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queryTables/queryTable5.xml" ContentType="application/vnd.openxmlformats-officedocument.spreadsheetml.queryTable+xml"/>
  <Override PartName="/xl/tables/table11.xml" ContentType="application/vnd.openxmlformats-officedocument.spreadsheetml.table+xml"/>
  <Override PartName="/xl/queryTables/queryTable6.xml" ContentType="application/vnd.openxmlformats-officedocument.spreadsheetml.queryTable+xml"/>
  <Override PartName="/xl/drawings/drawing5.xml" ContentType="application/vnd.openxmlformats-officedocument.drawing+xml"/>
  <Override PartName="/xl/ink/ink1.xml" ContentType="application/inkml+xml"/>
  <Override PartName="/xl/ink/ink2.xml" ContentType="application/inkml+xml"/>
  <Override PartName="/xl/drawings/drawing6.xml" ContentType="application/vnd.openxmlformats-officedocument.drawing+xml"/>
  <Override PartName="/xl/ink/ink3.xml" ContentType="application/inkml+xml"/>
  <Override PartName="/xl/drawings/drawing7.xml" ContentType="application/vnd.openxmlformats-officedocument.drawing+xml"/>
  <Override PartName="/xl/ink/ink4.xml" ContentType="application/inkml+xml"/>
  <Override PartName="/xl/drawings/drawing8.xml" ContentType="application/vnd.openxmlformats-officedocument.drawing+xml"/>
  <Override PartName="/xl/ink/ink5.xml" ContentType="application/inkml+xml"/>
  <Override PartName="/xl/drawings/drawing9.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mc:AlternateContent xmlns:mc="http://schemas.openxmlformats.org/markup-compatibility/2006">
    <mc:Choice Requires="x15">
      <x15ac:absPath xmlns:x15ac="http://schemas.microsoft.com/office/spreadsheetml/2010/11/ac" url="https://lifeisanadventure.sharepoint.com/sites/SellYourHome/Shared Documents/Property/"/>
    </mc:Choice>
  </mc:AlternateContent>
  <xr:revisionPtr revIDLastSave="52" documentId="13_ncr:1_{7F137ADD-2626-46A2-884B-98B70F80B178}" xr6:coauthVersionLast="47" xr6:coauthVersionMax="47" xr10:uidLastSave="{F8205C50-19F5-488D-8021-9D38DD06839B}"/>
  <bookViews>
    <workbookView xWindow="-120" yWindow="-120" windowWidth="38640" windowHeight="15720" tabRatio="889" firstSheet="5" activeTab="18" xr2:uid="{00000000-000D-0000-FFFF-FFFF00000000}"/>
  </bookViews>
  <sheets>
    <sheet name="Profit" sheetId="1" r:id="rId1"/>
    <sheet name="Amortization" sheetId="131" r:id="rId2"/>
    <sheet name="Amortization - Old" sheetId="63" r:id="rId3"/>
    <sheet name="Docs" sheetId="64" r:id="rId4"/>
    <sheet name="MOG" sheetId="33" state="hidden" r:id="rId5"/>
    <sheet name="Contact" sheetId="10" r:id="rId6"/>
    <sheet name="Carrying" sheetId="57" r:id="rId7"/>
    <sheet name="Contract" sheetId="98" r:id="rId8"/>
    <sheet name="Depends" sheetId="129" r:id="rId9"/>
    <sheet name="Glasgow" sheetId="116" r:id="rId10"/>
    <sheet name="Tim" sheetId="119" r:id="rId11"/>
    <sheet name="Others" sheetId="121" r:id="rId12"/>
    <sheet name="Gnatt Chart" sheetId="37" r:id="rId13"/>
    <sheet name="Sheet1" sheetId="128" state="hidden" r:id="rId14"/>
    <sheet name="Draws" sheetId="127" r:id="rId15"/>
    <sheet name="Legal" sheetId="58" r:id="rId16"/>
    <sheet name="Seller Advance" sheetId="9" r:id="rId17"/>
    <sheet name="Lumber" sheetId="74" r:id="rId18"/>
    <sheet name="Demo &amp; Trash Haul" sheetId="21" r:id="rId19"/>
    <sheet name="Appliances" sheetId="15" r:id="rId20"/>
    <sheet name="Plumbing Fixtures" sheetId="22" r:id="rId21"/>
    <sheet name="Windows &amp; Doors" sheetId="20" r:id="rId22"/>
    <sheet name="Cabinets" sheetId="6" r:id="rId23"/>
    <sheet name="Paint" sheetId="4" r:id="rId24"/>
    <sheet name="Flooring" sheetId="3" r:id="rId25"/>
    <sheet name="HVAC" sheetId="18" r:id="rId26"/>
    <sheet name="Smart" sheetId="130" r:id="rId27"/>
    <sheet name="Electrical Fixtures" sheetId="35" r:id="rId28"/>
    <sheet name="Landscape" sheetId="13" r:id="rId29"/>
    <sheet name="Exterior" sheetId="16" r:id="rId30"/>
    <sheet name="2024" sheetId="62" r:id="rId31"/>
    <sheet name="2023" sheetId="56" r:id="rId32"/>
    <sheet name="2022" sheetId="55" r:id="rId33"/>
    <sheet name="2021" sheetId="54" r:id="rId34"/>
    <sheet name="2020" sheetId="53" r:id="rId35"/>
    <sheet name="STR" sheetId="59" r:id="rId36"/>
    <sheet name="Furnishing" sheetId="61" r:id="rId37"/>
  </sheets>
  <definedNames>
    <definedName name="_xlnm._FilterDatabase" localSheetId="12" hidden="1">'Gnatt Chart'!$A$1:$FL$23</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T" hidden="1" xlm="1">#NAME?</definedName>
    <definedName name="_xleta.NOW"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elay"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RowPos"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Range" hidden="1" xlm="1">#NAME?</definedName>
    <definedName name="_xlpm.idxTRng"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Date" hidden="1" xlm="1">#NAME?</definedName>
    <definedName name="_xlpm.pDays" hidden="1" xlm="1">#NAME?</definedName>
    <definedName name="_xlpm.pDelay" hidden="1" xlm="1">#NAME?</definedName>
    <definedName name="_xlpm.pk" hidden="1" xlm="1">#NAME?</definedName>
    <definedName name="_xlpm.pkCol" hidden="1" xlm="1">#NAME?</definedName>
    <definedName name="_xlpm.pkColTxt" hidden="1" xlm="1">#NAME?</definedName>
    <definedName name="_xlpm.pkey"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Delay" hidden="1" xlm="1">#NAME?</definedName>
    <definedName name="_xlpm.prevOrder" hidden="1" xlm="1">#NAME?</definedName>
    <definedName name="_xlpm.prevPK" hidden="1" xlm="1">#NAME?</definedName>
    <definedName name="_xlpm.prevPos" hidden="1" xlm="1">#NAME?</definedName>
    <definedName name="_xlpm.prevPosT" hidden="1" xlm="1">#NAME?</definedName>
    <definedName name="_xlpm.prevRp" hidden="1" xlm="1">#NAME?</definedName>
    <definedName name="_xlpm.prevStart" hidden="1" xlm="1">#NAME?</definedName>
    <definedName name="_xlpm.prior" hidden="1" xlm="1">#NAME?</definedName>
    <definedName name="_xlpm.priorApproved" hidden="1" xlm="1">#NAME?</definedName>
    <definedName name="_xlpm.priorBase" hidden="1" xlm="1">#NAME?</definedName>
    <definedName name="_xlpm.priorNonBase" hidden="1" xlm="1">#NAME?</definedName>
    <definedName name="_xlpm.priorSibling" hidden="1" xlm="1">#NAME?</definedName>
    <definedName name="_xlpm.psDate" hidden="1" xlm="1">#NAME?</definedName>
    <definedName name="_xlpm.psDays" hidden="1" xlm="1">#NAME?</definedName>
    <definedName name="_xlpm.psPos" hidden="1" xlm="1">#NAME?</definedName>
    <definedName name="_xlpm.pStart"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owTRange" hidden="1" xlm="1">#NAME?</definedName>
    <definedName name="_xlpm.rowTRng"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ibDate" hidden="1" xlm="1">#NAME?</definedName>
    <definedName name="_xlpm.sibDays" hidden="1" xlm="1">#NAME?</definedName>
    <definedName name="_xlpm.sibDelay"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 localSheetId="1">tblContractBase[Cost Code]</definedName>
    <definedName name="baseCost">tblContractBase[Cost Code]</definedName>
    <definedName name="BaseDepth" localSheetId="1">_xlfn.LAMBDA(_xlpm.i,_xlpm.editsIdxTxt,_xlpm.editsParentKeyTxt,_xlpm.baseIdxTxt,_xlpm.baseCost,   IF(_xlpm.i="0", 0,      IF(Amortization!BaseFlagOf(_xlpm.i, _xlpm.baseIdxTxt, _xlpm.baseCost),         1 + Amortization!BaseDepth( Amortization!ParentOf(_xlpm.i,_xlpm.editsIdxTxt,_xlpm.editsParentKeyTxt),                        _xlpm.editsIdxTxt,_xlpm.editsParentKeyTxt, _xlpm.baseIdxTxt,_xlpm.baseCost),         0      )   ) )</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 localSheetId="1">_xlfn.LAMBDA(_xlpm.i,_xlpm.limit,_xlpm.editsIdxTxt,_xlpm.editsParentKeyTxt,_xlpm.baseIdxTxt,_xlpm.baseCost,   IF(_xlpm.limit&lt;=0, 0,     IF(_xlpm.i="0", 0,       IF(         ISNUMBER(SEARCH("BASE PARENT", UPPER(_xlfn.XLOOKUP(TEXT(_xlpm.i,"0"), _xlpm.baseIdxTxt, _xlpm.baseCost, "")))),         1 + Amortization!BaseDepthL(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 localSheetId="1">_xlfn.LAMBDA(_xlpm.i,_xlpm.baseIdxTxt,_xlpm.baseCost,   --ISNUMBER(SEARCH("BASE PARENT", UPPER(_xlfn.XLOOKUP(TEXT(_xlpm.i,"0"), _xlpm.baseIdxTxt, _xlpm.baseCost, "")))) )</definedName>
    <definedName name="BaseFlagOf">_xlfn.LAMBDA(_xlpm.i,_xlpm.baseIdxTxt,_xlpm.baseCost,   --ISNUMBER(SEARCH("BASE PARENT", UPPER(_xlfn.XLOOKUP(TEXT(_xlpm.i,"0"), _xlpm.baseIdxTxt, _xlpm.baseCost, "")))) )</definedName>
    <definedName name="baseIdxTxt" localSheetId="1">TEXT(tblContractBase[Index],"0")</definedName>
    <definedName name="baseIdxTxt">TEXT(tblContractBase[Index],"0")</definedName>
    <definedName name="DepTitlesUsed" localSheetId="1">_xlfn.ANCHORARRAY(Sheet1!$B$3)</definedName>
    <definedName name="DepTitlesUsed">_xlfn.ANCHORARRAY(Sheet1!$B$3)</definedName>
    <definedName name="editsIdxTxt" localSheetId="1">TEXT(Contract_Edits[Index],"0")</definedName>
    <definedName name="editsIdxTxt">TEXT(Contract_Edits[Index],"0")</definedName>
    <definedName name="editsParentKeyTxt" localSheetId="1">TEXT(Contract_Edits[ParentKey],"0")</definedName>
    <definedName name="editsParentKeyTxt">TEXT(Contract_Edits[ParentKey],"0")</definedName>
    <definedName name="ExternalData_1" localSheetId="9" hidden="1">Glasgow!$A$4:$G$83</definedName>
    <definedName name="ExternalData_1" localSheetId="12" hidden="1">'Gnatt Chart'!$A$24:$J$236</definedName>
    <definedName name="ExternalData_1" localSheetId="11" hidden="1">Others!$A$4:$G$55</definedName>
    <definedName name="ExternalData_1" localSheetId="10" hidden="1">Tim!$A$4:$G$52</definedName>
    <definedName name="ExternalData_2" localSheetId="8" hidden="1">Depends!$A$1:$H$33</definedName>
    <definedName name="ExternalData_2" localSheetId="14" hidden="1">Draws!$A$1:$H$165</definedName>
    <definedName name="ExternalData_3" localSheetId="12" hidden="1">'Gnatt Chart'!#REF!</definedName>
    <definedName name="Milestone_Marker" localSheetId="1">'Gnatt Chart'!#REF!</definedName>
    <definedName name="Milestone_Marker">'Gnatt Chart'!#REF!</definedName>
    <definedName name="NearestBase" localSheetId="1">_xlfn.LAMBDA(_xlpm.i,_xlpm.editsIdxTxt,_xlpm.editsParentKeyTxt,_xlpm.baseIdxTxt,_xlpm.baseCost,   IF(_xlpm.i="0", "0",      IF(Amortization!BaseFlagOf(_xlpm.i, _xlpm.baseIdxTxt, _xlpm.baseCost),         TEXT(_xlpm.i,"0"),         Amortization!NearestBase( Amortization!ParentOf(_xlpm.i,_xlpm.editsIdxTxt,_xlpm.editsParentKeyTxt),                      _xlpm.editsIdxTxt,_xlpm.editsParentKeyTxt, _xlpm.baseIdxTxt,_xlpm.baseCost)      )   ) )</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 localSheetId="1">_xlfn.LAMBDA(_xlpm.i,_xlpm.limit,_xlpm.editsIdxTxt,_xlpm.editsParentKeyTxt,_xlpm.baseIdxTxt,_xlpm.baseCost,   IF(_xlpm.limit&lt;=0, "0",     IF(_xlpm.i="0", "0",       IF(         ISNUMBER(SEARCH("BASE PARENT", UPPER(_xlfn.XLOOKUP(TEXT(_xlpm.i,"0"), _xlpm.baseIdxTxt, _xlpm.baseCost, "")))),         TEXT(_xlpm.i,"0"),         Amortization!NearestBaseL(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 localSheetId="1">_xlfn.LAMBDA(_xlpm.i,_xlpm.editsIdxTxt,_xlpm.editsParentKeyTxt,   _xlfn.LET(_xlpm.p, _xlfn.IFNA(_xlfn.XLOOKUP(TEXT(_xlpm.i,"0"), _xlpm.editsIdxTxt, _xlpm.editsParentKeyTxt), "0"),       IF(TEXT(_xlpm.p,"0")=TEXT(_xlpm.i,"0"), "0", TEXT(_xlpm.p,"0"))) )</definedName>
    <definedName name="ParentOf">_xlfn.LAMBDA(_xlpm.i,_xlpm.editsIdxTxt,_xlpm.editsParentKeyTxt,   _xlfn.LET(_xlpm.p, _xlfn.IFNA(_xlfn.XLOOKUP(TEXT(_xlpm.i,"0"), _xlpm.editsIdxTxt, _xlpm.editsParentKeyTxt), "0"),       IF(TEXT(_xlpm.p,"0")=TEXT(_xlpm.i,"0"), "0", TEXT(_xlpm.p,"0"))) )</definedName>
    <definedName name="Project_Start" localSheetId="1">'Gnatt Chart'!$B$2</definedName>
    <definedName name="Project_Start">'Gnatt Chart'!$B$2</definedName>
    <definedName name="Scrolling_Increment" localSheetId="1">'Gnatt Chart'!$BG$18</definedName>
    <definedName name="Scrolling_Increment">'Gnatt Chart'!$BH$18</definedName>
    <definedName name="Today" localSheetId="12">TODAY()</definedName>
    <definedName name="Today" localSheetId="13">TODAY()</definedName>
  </definedNames>
  <calcPr calcId="191029" iterate="1" calcCompleted="0" forceFullCal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0" i="13" l="1"/>
  <c r="B51" i="64"/>
  <c r="B20" i="64"/>
  <c r="B18" i="64"/>
  <c r="B15" i="64"/>
  <c r="B16" i="64" s="1"/>
  <c r="B17" i="64" s="1"/>
  <c r="B8" i="64"/>
  <c r="G13" i="1"/>
  <c r="B7" i="1"/>
  <c r="B69" i="64"/>
  <c r="B68" i="64"/>
  <c r="B49" i="64"/>
  <c r="B48" i="64"/>
  <c r="Z9" i="131"/>
  <c r="AB10" i="131" s="1"/>
  <c r="Z10" i="131" s="1"/>
  <c r="B13" i="64" s="1"/>
  <c r="B14" i="64" s="1"/>
  <c r="R3" i="131"/>
  <c r="Q3" i="131"/>
  <c r="P3" i="131"/>
  <c r="C4" i="131"/>
  <c r="Q7" i="131" s="1"/>
  <c r="C2" i="131"/>
  <c r="B16" i="131" s="1"/>
  <c r="X783" i="131"/>
  <c r="L783" i="131"/>
  <c r="X782" i="131"/>
  <c r="L782" i="131"/>
  <c r="X781" i="131"/>
  <c r="L781" i="131"/>
  <c r="X780" i="131"/>
  <c r="L780" i="131"/>
  <c r="X779" i="131"/>
  <c r="L779" i="131"/>
  <c r="X778" i="131"/>
  <c r="L778" i="131"/>
  <c r="X777" i="131"/>
  <c r="L777" i="131"/>
  <c r="X776" i="131"/>
  <c r="L776" i="131"/>
  <c r="X775" i="131"/>
  <c r="L775" i="131"/>
  <c r="X774" i="131"/>
  <c r="L774" i="131"/>
  <c r="X773" i="131"/>
  <c r="L773" i="131"/>
  <c r="X772" i="131"/>
  <c r="L772" i="131"/>
  <c r="X771" i="131"/>
  <c r="L771" i="131"/>
  <c r="X770" i="131"/>
  <c r="L770" i="131"/>
  <c r="X769" i="131"/>
  <c r="L769" i="131"/>
  <c r="X768" i="131"/>
  <c r="L768" i="131"/>
  <c r="X767" i="131"/>
  <c r="L767" i="131"/>
  <c r="X766" i="131"/>
  <c r="L766" i="131"/>
  <c r="X765" i="131"/>
  <c r="L765" i="131"/>
  <c r="X764" i="131"/>
  <c r="L764" i="131"/>
  <c r="X763" i="131"/>
  <c r="L763" i="131"/>
  <c r="X762" i="131"/>
  <c r="L762" i="131"/>
  <c r="X761" i="131"/>
  <c r="L761" i="131"/>
  <c r="X760" i="131"/>
  <c r="L760" i="131"/>
  <c r="X759" i="131"/>
  <c r="L759" i="131"/>
  <c r="X758" i="131"/>
  <c r="L758" i="131"/>
  <c r="X757" i="131"/>
  <c r="L757" i="131"/>
  <c r="X756" i="131"/>
  <c r="L756" i="131"/>
  <c r="X755" i="131"/>
  <c r="L755" i="131"/>
  <c r="X754" i="131"/>
  <c r="L754" i="131"/>
  <c r="X753" i="131"/>
  <c r="L753" i="131"/>
  <c r="X752" i="131"/>
  <c r="L752" i="131"/>
  <c r="X751" i="131"/>
  <c r="L751" i="131"/>
  <c r="X750" i="131"/>
  <c r="L750" i="131"/>
  <c r="X749" i="131"/>
  <c r="L749" i="131"/>
  <c r="X748" i="131"/>
  <c r="L748" i="131"/>
  <c r="X747" i="131"/>
  <c r="L747" i="131"/>
  <c r="X746" i="131"/>
  <c r="L746" i="131"/>
  <c r="X745" i="131"/>
  <c r="L745" i="131"/>
  <c r="X744" i="131"/>
  <c r="L744" i="131"/>
  <c r="X743" i="131"/>
  <c r="L743" i="131"/>
  <c r="X742" i="131"/>
  <c r="L742" i="131"/>
  <c r="X741" i="131"/>
  <c r="L741" i="131"/>
  <c r="X740" i="131"/>
  <c r="L740" i="131"/>
  <c r="X739" i="131"/>
  <c r="L739" i="131"/>
  <c r="X738" i="131"/>
  <c r="L738" i="131"/>
  <c r="X737" i="131"/>
  <c r="L737" i="131"/>
  <c r="X736" i="131"/>
  <c r="L736" i="131"/>
  <c r="X735" i="131"/>
  <c r="L735" i="131"/>
  <c r="X734" i="131"/>
  <c r="L734" i="131"/>
  <c r="X733" i="131"/>
  <c r="L733" i="131"/>
  <c r="X732" i="131"/>
  <c r="L732" i="131"/>
  <c r="X731" i="131"/>
  <c r="L731" i="131"/>
  <c r="X730" i="131"/>
  <c r="L730" i="131"/>
  <c r="X729" i="131"/>
  <c r="L729" i="131"/>
  <c r="X728" i="131"/>
  <c r="L728" i="131"/>
  <c r="X727" i="131"/>
  <c r="L727" i="131"/>
  <c r="X726" i="131"/>
  <c r="L726" i="131"/>
  <c r="X725" i="131"/>
  <c r="L725" i="131"/>
  <c r="X724" i="131"/>
  <c r="L724" i="131"/>
  <c r="AM724" i="131" s="1"/>
  <c r="X723" i="131"/>
  <c r="L723" i="131"/>
  <c r="AM723" i="131" s="1"/>
  <c r="X722" i="131"/>
  <c r="L722" i="131"/>
  <c r="AM722" i="131" s="1"/>
  <c r="X721" i="131"/>
  <c r="L721" i="131"/>
  <c r="AM721" i="131" s="1"/>
  <c r="X720" i="131"/>
  <c r="L720" i="131"/>
  <c r="AM720" i="131" s="1"/>
  <c r="X719" i="131"/>
  <c r="L719" i="131"/>
  <c r="AM719" i="131" s="1"/>
  <c r="X718" i="131"/>
  <c r="L718" i="131"/>
  <c r="AM718" i="131" s="1"/>
  <c r="X717" i="131"/>
  <c r="L717" i="131"/>
  <c r="AM717" i="131" s="1"/>
  <c r="X716" i="131"/>
  <c r="L716" i="131"/>
  <c r="AM716" i="131" s="1"/>
  <c r="X715" i="131"/>
  <c r="L715" i="131"/>
  <c r="AM715" i="131" s="1"/>
  <c r="X714" i="131"/>
  <c r="L714" i="131"/>
  <c r="AM714" i="131" s="1"/>
  <c r="X713" i="131"/>
  <c r="L713" i="131"/>
  <c r="AM713" i="131" s="1"/>
  <c r="X712" i="131"/>
  <c r="L712" i="131"/>
  <c r="AM712" i="131" s="1"/>
  <c r="X711" i="131"/>
  <c r="L711" i="131"/>
  <c r="AM711" i="131" s="1"/>
  <c r="X710" i="131"/>
  <c r="L710" i="131"/>
  <c r="AM710" i="131" s="1"/>
  <c r="X709" i="131"/>
  <c r="L709" i="131"/>
  <c r="AM709" i="131" s="1"/>
  <c r="X708" i="131"/>
  <c r="L708" i="131"/>
  <c r="AM708" i="131" s="1"/>
  <c r="X707" i="131"/>
  <c r="L707" i="131"/>
  <c r="AM707" i="131" s="1"/>
  <c r="X706" i="131"/>
  <c r="L706" i="131"/>
  <c r="AM706" i="131" s="1"/>
  <c r="X705" i="131"/>
  <c r="L705" i="131"/>
  <c r="AM705" i="131" s="1"/>
  <c r="X704" i="131"/>
  <c r="L704" i="131"/>
  <c r="AM704" i="131" s="1"/>
  <c r="X703" i="131"/>
  <c r="L703" i="131"/>
  <c r="AM703" i="131" s="1"/>
  <c r="X702" i="131"/>
  <c r="L702" i="131"/>
  <c r="AM702" i="131" s="1"/>
  <c r="X701" i="131"/>
  <c r="L701" i="131"/>
  <c r="AM701" i="131" s="1"/>
  <c r="X700" i="131"/>
  <c r="L700" i="131"/>
  <c r="AM700" i="131" s="1"/>
  <c r="X699" i="131"/>
  <c r="L699" i="131"/>
  <c r="AM699" i="131" s="1"/>
  <c r="X698" i="131"/>
  <c r="L698" i="131"/>
  <c r="AM698" i="131" s="1"/>
  <c r="X697" i="131"/>
  <c r="L697" i="131"/>
  <c r="AM697" i="131" s="1"/>
  <c r="X696" i="131"/>
  <c r="L696" i="131"/>
  <c r="AM696" i="131" s="1"/>
  <c r="X695" i="131"/>
  <c r="L695" i="131"/>
  <c r="AM695" i="131" s="1"/>
  <c r="X694" i="131"/>
  <c r="L694" i="131"/>
  <c r="AM694" i="131" s="1"/>
  <c r="X693" i="131"/>
  <c r="L693" i="131"/>
  <c r="AM693" i="131" s="1"/>
  <c r="X692" i="131"/>
  <c r="L692" i="131"/>
  <c r="AM692" i="131" s="1"/>
  <c r="X691" i="131"/>
  <c r="L691" i="131"/>
  <c r="AM691" i="131" s="1"/>
  <c r="X690" i="131"/>
  <c r="L690" i="131"/>
  <c r="AM690" i="131" s="1"/>
  <c r="X689" i="131"/>
  <c r="L689" i="131"/>
  <c r="AM689" i="131" s="1"/>
  <c r="X688" i="131"/>
  <c r="L688" i="131"/>
  <c r="AM688" i="131" s="1"/>
  <c r="X687" i="131"/>
  <c r="L687" i="131"/>
  <c r="AM687" i="131" s="1"/>
  <c r="X686" i="131"/>
  <c r="L686" i="131"/>
  <c r="AM686" i="131" s="1"/>
  <c r="X685" i="131"/>
  <c r="L685" i="131"/>
  <c r="AM685" i="131" s="1"/>
  <c r="X684" i="131"/>
  <c r="L684" i="131"/>
  <c r="AM684" i="131" s="1"/>
  <c r="X683" i="131"/>
  <c r="L683" i="131"/>
  <c r="AM683" i="131" s="1"/>
  <c r="X682" i="131"/>
  <c r="L682" i="131"/>
  <c r="AM682" i="131" s="1"/>
  <c r="X681" i="131"/>
  <c r="L681" i="131"/>
  <c r="AM681" i="131" s="1"/>
  <c r="X680" i="131"/>
  <c r="L680" i="131"/>
  <c r="AM680" i="131" s="1"/>
  <c r="X679" i="131"/>
  <c r="L679" i="131"/>
  <c r="AM679" i="131" s="1"/>
  <c r="X678" i="131"/>
  <c r="L678" i="131"/>
  <c r="AM678" i="131" s="1"/>
  <c r="X677" i="131"/>
  <c r="L677" i="131"/>
  <c r="AM677" i="131" s="1"/>
  <c r="X676" i="131"/>
  <c r="L676" i="131"/>
  <c r="AM676" i="131" s="1"/>
  <c r="X675" i="131"/>
  <c r="L675" i="131"/>
  <c r="AM675" i="131" s="1"/>
  <c r="X674" i="131"/>
  <c r="L674" i="131"/>
  <c r="AM674" i="131" s="1"/>
  <c r="X673" i="131"/>
  <c r="L673" i="131"/>
  <c r="AM673" i="131" s="1"/>
  <c r="X672" i="131"/>
  <c r="L672" i="131"/>
  <c r="AM672" i="131" s="1"/>
  <c r="X671" i="131"/>
  <c r="L671" i="131"/>
  <c r="AM671" i="131" s="1"/>
  <c r="X670" i="131"/>
  <c r="L670" i="131"/>
  <c r="AM670" i="131" s="1"/>
  <c r="X669" i="131"/>
  <c r="L669" i="131"/>
  <c r="AM669" i="131" s="1"/>
  <c r="X668" i="131"/>
  <c r="L668" i="131"/>
  <c r="AM668" i="131" s="1"/>
  <c r="X667" i="131"/>
  <c r="L667" i="131"/>
  <c r="AM667" i="131" s="1"/>
  <c r="X666" i="131"/>
  <c r="L666" i="131"/>
  <c r="AM666" i="131" s="1"/>
  <c r="X665" i="131"/>
  <c r="L665" i="131"/>
  <c r="AM665" i="131" s="1"/>
  <c r="X664" i="131"/>
  <c r="L664" i="131"/>
  <c r="AM664" i="131" s="1"/>
  <c r="X663" i="131"/>
  <c r="L663" i="131"/>
  <c r="AM663" i="131" s="1"/>
  <c r="X662" i="131"/>
  <c r="L662" i="131"/>
  <c r="AM662" i="131" s="1"/>
  <c r="X661" i="131"/>
  <c r="L661" i="131"/>
  <c r="AM661" i="131" s="1"/>
  <c r="X660" i="131"/>
  <c r="L660" i="131"/>
  <c r="AM660" i="131" s="1"/>
  <c r="X659" i="131"/>
  <c r="L659" i="131"/>
  <c r="AM659" i="131" s="1"/>
  <c r="X658" i="131"/>
  <c r="L658" i="131"/>
  <c r="AM658" i="131" s="1"/>
  <c r="X657" i="131"/>
  <c r="L657" i="131"/>
  <c r="AM657" i="131" s="1"/>
  <c r="X656" i="131"/>
  <c r="L656" i="131"/>
  <c r="AM656" i="131" s="1"/>
  <c r="X655" i="131"/>
  <c r="L655" i="131"/>
  <c r="AM655" i="131" s="1"/>
  <c r="X654" i="131"/>
  <c r="L654" i="131"/>
  <c r="AM654" i="131" s="1"/>
  <c r="X653" i="131"/>
  <c r="L653" i="131"/>
  <c r="AM653" i="131" s="1"/>
  <c r="X652" i="131"/>
  <c r="L652" i="131"/>
  <c r="AM652" i="131" s="1"/>
  <c r="X651" i="131"/>
  <c r="L651" i="131"/>
  <c r="AM651" i="131" s="1"/>
  <c r="X650" i="131"/>
  <c r="L650" i="131"/>
  <c r="AM650" i="131" s="1"/>
  <c r="X649" i="131"/>
  <c r="L649" i="131"/>
  <c r="AM649" i="131" s="1"/>
  <c r="X648" i="131"/>
  <c r="L648" i="131"/>
  <c r="AM648" i="131" s="1"/>
  <c r="X647" i="131"/>
  <c r="L647" i="131"/>
  <c r="AM647" i="131" s="1"/>
  <c r="X646" i="131"/>
  <c r="L646" i="131"/>
  <c r="AM646" i="131" s="1"/>
  <c r="X645" i="131"/>
  <c r="L645" i="131"/>
  <c r="AM645" i="131" s="1"/>
  <c r="X644" i="131"/>
  <c r="L644" i="131"/>
  <c r="AM644" i="131" s="1"/>
  <c r="X643" i="131"/>
  <c r="L643" i="131"/>
  <c r="AM643" i="131" s="1"/>
  <c r="X642" i="131"/>
  <c r="L642" i="131"/>
  <c r="AM642" i="131" s="1"/>
  <c r="X641" i="131"/>
  <c r="L641" i="131"/>
  <c r="AM641" i="131" s="1"/>
  <c r="X640" i="131"/>
  <c r="L640" i="131"/>
  <c r="AM640" i="131" s="1"/>
  <c r="X639" i="131"/>
  <c r="L639" i="131"/>
  <c r="AM639" i="131" s="1"/>
  <c r="X638" i="131"/>
  <c r="L638" i="131"/>
  <c r="AM638" i="131" s="1"/>
  <c r="X637" i="131"/>
  <c r="L637" i="131"/>
  <c r="AM637" i="131" s="1"/>
  <c r="X636" i="131"/>
  <c r="L636" i="131"/>
  <c r="AM636" i="131" s="1"/>
  <c r="X635" i="131"/>
  <c r="L635" i="131"/>
  <c r="AM635" i="131" s="1"/>
  <c r="X634" i="131"/>
  <c r="L634" i="131"/>
  <c r="AM634" i="131" s="1"/>
  <c r="X633" i="131"/>
  <c r="L633" i="131"/>
  <c r="AM633" i="131" s="1"/>
  <c r="X632" i="131"/>
  <c r="L632" i="131"/>
  <c r="AM632" i="131" s="1"/>
  <c r="X631" i="131"/>
  <c r="L631" i="131"/>
  <c r="AM631" i="131" s="1"/>
  <c r="X630" i="131"/>
  <c r="L630" i="131"/>
  <c r="AM630" i="131" s="1"/>
  <c r="X629" i="131"/>
  <c r="L629" i="131"/>
  <c r="AM629" i="131" s="1"/>
  <c r="X628" i="131"/>
  <c r="L628" i="131"/>
  <c r="AM628" i="131" s="1"/>
  <c r="X627" i="131"/>
  <c r="L627" i="131"/>
  <c r="AM627" i="131" s="1"/>
  <c r="X626" i="131"/>
  <c r="L626" i="131"/>
  <c r="AM626" i="131" s="1"/>
  <c r="X625" i="131"/>
  <c r="L625" i="131"/>
  <c r="AM625" i="131" s="1"/>
  <c r="X624" i="131"/>
  <c r="L624" i="131"/>
  <c r="AM624" i="131" s="1"/>
  <c r="X623" i="131"/>
  <c r="L623" i="131"/>
  <c r="AM623" i="131" s="1"/>
  <c r="X622" i="131"/>
  <c r="L622" i="131"/>
  <c r="AM622" i="131" s="1"/>
  <c r="X621" i="131"/>
  <c r="L621" i="131"/>
  <c r="AM621" i="131" s="1"/>
  <c r="X620" i="131"/>
  <c r="L620" i="131"/>
  <c r="AM620" i="131" s="1"/>
  <c r="X619" i="131"/>
  <c r="L619" i="131"/>
  <c r="AM619" i="131" s="1"/>
  <c r="X618" i="131"/>
  <c r="L618" i="131"/>
  <c r="AM618" i="131" s="1"/>
  <c r="X617" i="131"/>
  <c r="L617" i="131"/>
  <c r="AM617" i="131" s="1"/>
  <c r="X616" i="131"/>
  <c r="L616" i="131"/>
  <c r="AM616" i="131" s="1"/>
  <c r="X615" i="131"/>
  <c r="L615" i="131"/>
  <c r="AM615" i="131" s="1"/>
  <c r="X614" i="131"/>
  <c r="L614" i="131"/>
  <c r="AM614" i="131" s="1"/>
  <c r="X613" i="131"/>
  <c r="L613" i="131"/>
  <c r="AM613" i="131" s="1"/>
  <c r="X612" i="131"/>
  <c r="L612" i="131"/>
  <c r="AM612" i="131" s="1"/>
  <c r="X611" i="131"/>
  <c r="L611" i="131"/>
  <c r="AM611" i="131" s="1"/>
  <c r="X610" i="131"/>
  <c r="L610" i="131"/>
  <c r="AM610" i="131" s="1"/>
  <c r="X609" i="131"/>
  <c r="L609" i="131"/>
  <c r="AM609" i="131" s="1"/>
  <c r="X608" i="131"/>
  <c r="L608" i="131"/>
  <c r="AM608" i="131" s="1"/>
  <c r="X607" i="131"/>
  <c r="L607" i="131"/>
  <c r="AM607" i="131" s="1"/>
  <c r="X606" i="131"/>
  <c r="L606" i="131"/>
  <c r="AM606" i="131" s="1"/>
  <c r="X605" i="131"/>
  <c r="L605" i="131"/>
  <c r="AM605" i="131" s="1"/>
  <c r="X604" i="131"/>
  <c r="L604" i="131"/>
  <c r="AM604" i="131" s="1"/>
  <c r="X603" i="131"/>
  <c r="L603" i="131"/>
  <c r="AM603" i="131" s="1"/>
  <c r="X602" i="131"/>
  <c r="L602" i="131"/>
  <c r="AM602" i="131" s="1"/>
  <c r="X601" i="131"/>
  <c r="L601" i="131"/>
  <c r="AM601" i="131" s="1"/>
  <c r="X600" i="131"/>
  <c r="L600" i="131"/>
  <c r="AM600" i="131" s="1"/>
  <c r="X599" i="131"/>
  <c r="L599" i="131"/>
  <c r="AM599" i="131" s="1"/>
  <c r="X598" i="131"/>
  <c r="L598" i="131"/>
  <c r="AM598" i="131" s="1"/>
  <c r="X597" i="131"/>
  <c r="L597" i="131"/>
  <c r="AM597" i="131" s="1"/>
  <c r="X596" i="131"/>
  <c r="L596" i="131"/>
  <c r="AM596" i="131" s="1"/>
  <c r="X595" i="131"/>
  <c r="L595" i="131"/>
  <c r="AM595" i="131" s="1"/>
  <c r="X594" i="131"/>
  <c r="L594" i="131"/>
  <c r="AM594" i="131" s="1"/>
  <c r="X593" i="131"/>
  <c r="L593" i="131"/>
  <c r="AM593" i="131" s="1"/>
  <c r="X592" i="131"/>
  <c r="L592" i="131"/>
  <c r="AM592" i="131" s="1"/>
  <c r="X591" i="131"/>
  <c r="L591" i="131"/>
  <c r="AM591" i="131" s="1"/>
  <c r="X590" i="131"/>
  <c r="L590" i="131"/>
  <c r="AM590" i="131" s="1"/>
  <c r="X589" i="131"/>
  <c r="L589" i="131"/>
  <c r="AM589" i="131" s="1"/>
  <c r="X588" i="131"/>
  <c r="L588" i="131"/>
  <c r="AM588" i="131" s="1"/>
  <c r="X587" i="131"/>
  <c r="L587" i="131"/>
  <c r="AM587" i="131" s="1"/>
  <c r="X586" i="131"/>
  <c r="L586" i="131"/>
  <c r="AM586" i="131" s="1"/>
  <c r="X585" i="131"/>
  <c r="L585" i="131"/>
  <c r="AM585" i="131" s="1"/>
  <c r="X584" i="131"/>
  <c r="L584" i="131"/>
  <c r="AM584" i="131" s="1"/>
  <c r="X583" i="131"/>
  <c r="L583" i="131"/>
  <c r="AM583" i="131" s="1"/>
  <c r="X582" i="131"/>
  <c r="L582" i="131"/>
  <c r="AM582" i="131" s="1"/>
  <c r="X581" i="131"/>
  <c r="L581" i="131"/>
  <c r="AM581" i="131" s="1"/>
  <c r="X580" i="131"/>
  <c r="L580" i="131"/>
  <c r="AM580" i="131" s="1"/>
  <c r="X579" i="131"/>
  <c r="L579" i="131"/>
  <c r="AM579" i="131" s="1"/>
  <c r="X578" i="131"/>
  <c r="L578" i="131"/>
  <c r="AM578" i="131" s="1"/>
  <c r="X577" i="131"/>
  <c r="L577" i="131"/>
  <c r="AM577" i="131" s="1"/>
  <c r="X576" i="131"/>
  <c r="L576" i="131"/>
  <c r="AM576" i="131" s="1"/>
  <c r="X575" i="131"/>
  <c r="L575" i="131"/>
  <c r="AM575" i="131" s="1"/>
  <c r="X574" i="131"/>
  <c r="L574" i="131"/>
  <c r="AM574" i="131" s="1"/>
  <c r="X573" i="131"/>
  <c r="L573" i="131"/>
  <c r="AM573" i="131" s="1"/>
  <c r="X572" i="131"/>
  <c r="L572" i="131"/>
  <c r="AM572" i="131" s="1"/>
  <c r="X571" i="131"/>
  <c r="L571" i="131"/>
  <c r="AM571" i="131" s="1"/>
  <c r="X570" i="131"/>
  <c r="L570" i="131"/>
  <c r="AM570" i="131" s="1"/>
  <c r="X569" i="131"/>
  <c r="L569" i="131"/>
  <c r="AM569" i="131" s="1"/>
  <c r="X568" i="131"/>
  <c r="L568" i="131"/>
  <c r="AM568" i="131" s="1"/>
  <c r="X567" i="131"/>
  <c r="L567" i="131"/>
  <c r="AM567" i="131" s="1"/>
  <c r="X566" i="131"/>
  <c r="L566" i="131"/>
  <c r="AM566" i="131" s="1"/>
  <c r="X565" i="131"/>
  <c r="L565" i="131"/>
  <c r="AM565" i="131" s="1"/>
  <c r="X564" i="131"/>
  <c r="L564" i="131"/>
  <c r="AM564" i="131" s="1"/>
  <c r="X563" i="131"/>
  <c r="L563" i="131"/>
  <c r="AM563" i="131" s="1"/>
  <c r="X562" i="131"/>
  <c r="L562" i="131"/>
  <c r="AM562" i="131" s="1"/>
  <c r="X561" i="131"/>
  <c r="L561" i="131"/>
  <c r="AM561" i="131" s="1"/>
  <c r="X560" i="131"/>
  <c r="L560" i="131"/>
  <c r="AM560" i="131" s="1"/>
  <c r="X559" i="131"/>
  <c r="L559" i="131"/>
  <c r="AM559" i="131" s="1"/>
  <c r="X558" i="131"/>
  <c r="L558" i="131"/>
  <c r="AM558" i="131" s="1"/>
  <c r="X557" i="131"/>
  <c r="L557" i="131"/>
  <c r="AM557" i="131" s="1"/>
  <c r="X556" i="131"/>
  <c r="L556" i="131"/>
  <c r="AM556" i="131" s="1"/>
  <c r="X555" i="131"/>
  <c r="L555" i="131"/>
  <c r="AM555" i="131" s="1"/>
  <c r="X554" i="131"/>
  <c r="L554" i="131"/>
  <c r="AM554" i="131" s="1"/>
  <c r="X553" i="131"/>
  <c r="L553" i="131"/>
  <c r="AM553" i="131" s="1"/>
  <c r="X552" i="131"/>
  <c r="L552" i="131"/>
  <c r="AM552" i="131" s="1"/>
  <c r="X551" i="131"/>
  <c r="L551" i="131"/>
  <c r="AM551" i="131" s="1"/>
  <c r="X550" i="131"/>
  <c r="L550" i="131"/>
  <c r="AM550" i="131" s="1"/>
  <c r="X549" i="131"/>
  <c r="L549" i="131"/>
  <c r="AM549" i="131" s="1"/>
  <c r="X548" i="131"/>
  <c r="L548" i="131"/>
  <c r="AM548" i="131" s="1"/>
  <c r="X547" i="131"/>
  <c r="L547" i="131"/>
  <c r="AM547" i="131" s="1"/>
  <c r="X546" i="131"/>
  <c r="L546" i="131"/>
  <c r="AM546" i="131" s="1"/>
  <c r="X545" i="131"/>
  <c r="L545" i="131"/>
  <c r="AM545" i="131" s="1"/>
  <c r="AC544" i="131"/>
  <c r="AA544" i="131"/>
  <c r="X544" i="131"/>
  <c r="L544" i="131"/>
  <c r="AM544" i="131" s="1"/>
  <c r="AC543" i="131"/>
  <c r="AA543" i="131"/>
  <c r="X543" i="131"/>
  <c r="L543" i="131"/>
  <c r="AC542" i="131"/>
  <c r="AA542" i="131"/>
  <c r="X542" i="131"/>
  <c r="L542" i="131"/>
  <c r="AC541" i="131"/>
  <c r="AA541" i="131"/>
  <c r="X541" i="131"/>
  <c r="L541" i="131"/>
  <c r="AC540" i="131"/>
  <c r="AA540" i="131"/>
  <c r="X540" i="131"/>
  <c r="L540" i="131"/>
  <c r="AM540" i="131" s="1"/>
  <c r="AC539" i="131"/>
  <c r="AA539" i="131"/>
  <c r="X539" i="131"/>
  <c r="L539" i="131"/>
  <c r="AM539" i="131" s="1"/>
  <c r="AC538" i="131"/>
  <c r="AA538" i="131"/>
  <c r="X538" i="131"/>
  <c r="L538" i="131"/>
  <c r="AM538" i="131" s="1"/>
  <c r="AC537" i="131"/>
  <c r="AA537" i="131"/>
  <c r="X537" i="131"/>
  <c r="L537" i="131"/>
  <c r="AM537" i="131" s="1"/>
  <c r="AC536" i="131"/>
  <c r="AA536" i="131"/>
  <c r="X536" i="131"/>
  <c r="L536" i="131"/>
  <c r="AM536" i="131" s="1"/>
  <c r="AC535" i="131"/>
  <c r="AA535" i="131"/>
  <c r="X535" i="131"/>
  <c r="L535" i="131"/>
  <c r="AC534" i="131"/>
  <c r="AA534" i="131"/>
  <c r="X534" i="131"/>
  <c r="L534" i="131"/>
  <c r="AC533" i="131"/>
  <c r="AA533" i="131"/>
  <c r="X533" i="131"/>
  <c r="L533" i="131"/>
  <c r="AC532" i="131"/>
  <c r="AA532" i="131"/>
  <c r="X532" i="131"/>
  <c r="L532" i="131"/>
  <c r="AC531" i="131"/>
  <c r="AA531" i="131"/>
  <c r="X531" i="131"/>
  <c r="L531" i="131"/>
  <c r="AM531" i="131" s="1"/>
  <c r="AC530" i="131"/>
  <c r="AA530" i="131"/>
  <c r="X530" i="131"/>
  <c r="L530" i="131"/>
  <c r="AM530" i="131" s="1"/>
  <c r="AC529" i="131"/>
  <c r="AA529" i="131"/>
  <c r="X529" i="131"/>
  <c r="L529" i="131"/>
  <c r="AM529" i="131" s="1"/>
  <c r="AC528" i="131"/>
  <c r="AA528" i="131"/>
  <c r="X528" i="131"/>
  <c r="L528" i="131"/>
  <c r="AM528" i="131" s="1"/>
  <c r="AC527" i="131"/>
  <c r="AA527" i="131"/>
  <c r="X527" i="131"/>
  <c r="L527" i="131"/>
  <c r="AC526" i="131"/>
  <c r="AA526" i="131"/>
  <c r="X526" i="131"/>
  <c r="L526" i="131"/>
  <c r="AC525" i="131"/>
  <c r="AA525" i="131"/>
  <c r="X525" i="131"/>
  <c r="L525" i="131"/>
  <c r="AC524" i="131"/>
  <c r="AA524" i="131"/>
  <c r="X524" i="131"/>
  <c r="L524" i="131"/>
  <c r="AM524" i="131" s="1"/>
  <c r="AC523" i="131"/>
  <c r="AA523" i="131"/>
  <c r="X523" i="131"/>
  <c r="L523" i="131"/>
  <c r="AC522" i="131"/>
  <c r="AA522" i="131"/>
  <c r="X522" i="131"/>
  <c r="L522" i="131"/>
  <c r="AM522" i="131" s="1"/>
  <c r="AC521" i="131"/>
  <c r="AA521" i="131"/>
  <c r="X521" i="131"/>
  <c r="L521" i="131"/>
  <c r="AM521" i="131" s="1"/>
  <c r="AC520" i="131"/>
  <c r="AA520" i="131"/>
  <c r="X520" i="131"/>
  <c r="L520" i="131"/>
  <c r="AM520" i="131" s="1"/>
  <c r="AC519" i="131"/>
  <c r="AA519" i="131"/>
  <c r="X519" i="131"/>
  <c r="L519" i="131"/>
  <c r="AC518" i="131"/>
  <c r="AA518" i="131"/>
  <c r="X518" i="131"/>
  <c r="L518" i="131"/>
  <c r="AC517" i="131"/>
  <c r="AA517" i="131"/>
  <c r="X517" i="131"/>
  <c r="L517" i="131"/>
  <c r="AC516" i="131"/>
  <c r="AA516" i="131"/>
  <c r="X516" i="131"/>
  <c r="L516" i="131"/>
  <c r="AM516" i="131" s="1"/>
  <c r="AC515" i="131"/>
  <c r="AA515" i="131"/>
  <c r="X515" i="131"/>
  <c r="L515" i="131"/>
  <c r="AM515" i="131" s="1"/>
  <c r="AC514" i="131"/>
  <c r="AA514" i="131"/>
  <c r="X514" i="131"/>
  <c r="L514" i="131"/>
  <c r="AM514" i="131" s="1"/>
  <c r="AC513" i="131"/>
  <c r="AA513" i="131"/>
  <c r="X513" i="131"/>
  <c r="L513" i="131"/>
  <c r="AM513" i="131" s="1"/>
  <c r="AC512" i="131"/>
  <c r="AA512" i="131"/>
  <c r="X512" i="131"/>
  <c r="L512" i="131"/>
  <c r="AM512" i="131" s="1"/>
  <c r="AC511" i="131"/>
  <c r="AA511" i="131"/>
  <c r="X511" i="131"/>
  <c r="L511" i="131"/>
  <c r="AC510" i="131"/>
  <c r="AA510" i="131"/>
  <c r="X510" i="131"/>
  <c r="L510" i="131"/>
  <c r="AC509" i="131"/>
  <c r="AA509" i="131"/>
  <c r="X509" i="131"/>
  <c r="L509" i="131"/>
  <c r="AM509" i="131" s="1"/>
  <c r="AC508" i="131"/>
  <c r="AA508" i="131"/>
  <c r="X508" i="131"/>
  <c r="L508" i="131"/>
  <c r="AM508" i="131" s="1"/>
  <c r="AC507" i="131"/>
  <c r="AA507" i="131"/>
  <c r="X507" i="131"/>
  <c r="L507" i="131"/>
  <c r="AC506" i="131"/>
  <c r="AA506" i="131"/>
  <c r="X506" i="131"/>
  <c r="L506" i="131"/>
  <c r="AM506" i="131" s="1"/>
  <c r="AC505" i="131"/>
  <c r="AA505" i="131"/>
  <c r="X505" i="131"/>
  <c r="L505" i="131"/>
  <c r="AC504" i="131"/>
  <c r="AA504" i="131"/>
  <c r="X504" i="131"/>
  <c r="L504" i="131"/>
  <c r="AM504" i="131" s="1"/>
  <c r="AC503" i="131"/>
  <c r="AA503" i="131"/>
  <c r="X503" i="131"/>
  <c r="L503" i="131"/>
  <c r="AC502" i="131"/>
  <c r="AA502" i="131"/>
  <c r="X502" i="131"/>
  <c r="L502" i="131"/>
  <c r="AC501" i="131"/>
  <c r="AA501" i="131"/>
  <c r="X501" i="131"/>
  <c r="L501" i="131"/>
  <c r="AM501" i="131" s="1"/>
  <c r="AC500" i="131"/>
  <c r="AA500" i="131"/>
  <c r="X500" i="131"/>
  <c r="L500" i="131"/>
  <c r="AM500" i="131" s="1"/>
  <c r="AC499" i="131"/>
  <c r="AA499" i="131"/>
  <c r="X499" i="131"/>
  <c r="L499" i="131"/>
  <c r="AM499" i="131" s="1"/>
  <c r="AC498" i="131"/>
  <c r="AA498" i="131"/>
  <c r="X498" i="131"/>
  <c r="L498" i="131"/>
  <c r="AC497" i="131"/>
  <c r="AA497" i="131"/>
  <c r="X497" i="131"/>
  <c r="L497" i="131"/>
  <c r="AC496" i="131"/>
  <c r="AA496" i="131"/>
  <c r="X496" i="131"/>
  <c r="L496" i="131"/>
  <c r="AM496" i="131" s="1"/>
  <c r="AC495" i="131"/>
  <c r="AA495" i="131"/>
  <c r="X495" i="131"/>
  <c r="L495" i="131"/>
  <c r="AC494" i="131"/>
  <c r="AA494" i="131"/>
  <c r="X494" i="131"/>
  <c r="L494" i="131"/>
  <c r="AC493" i="131"/>
  <c r="AA493" i="131"/>
  <c r="X493" i="131"/>
  <c r="L493" i="131"/>
  <c r="AM493" i="131" s="1"/>
  <c r="AC492" i="131"/>
  <c r="AA492" i="131"/>
  <c r="X492" i="131"/>
  <c r="L492" i="131"/>
  <c r="AM492" i="131" s="1"/>
  <c r="L16" i="131"/>
  <c r="AM16" i="131" s="1"/>
  <c r="A16" i="131"/>
  <c r="P9" i="131"/>
  <c r="Q11" i="131" s="1"/>
  <c r="B19" i="64" s="1"/>
  <c r="AB8" i="131"/>
  <c r="D5" i="131"/>
  <c r="C5" i="131" s="1"/>
  <c r="AD2" i="131"/>
  <c r="AC2" i="131"/>
  <c r="AB2" i="131"/>
  <c r="AA2" i="131" s="1"/>
  <c r="O2" i="131"/>
  <c r="B21" i="64" l="1"/>
  <c r="B50" i="64"/>
  <c r="B12" i="64"/>
  <c r="B5" i="1"/>
  <c r="AB510" i="131"/>
  <c r="AB512" i="131"/>
  <c r="AB514" i="131"/>
  <c r="AB520" i="131"/>
  <c r="AB538" i="131"/>
  <c r="AB493" i="131"/>
  <c r="AB495" i="131"/>
  <c r="AB539" i="131"/>
  <c r="AB543" i="131"/>
  <c r="AB505" i="131"/>
  <c r="P7" i="131"/>
  <c r="O7" i="131" s="1"/>
  <c r="AB498" i="131"/>
  <c r="AB508" i="131"/>
  <c r="E16" i="131"/>
  <c r="J16" i="131" s="1"/>
  <c r="AB526" i="131"/>
  <c r="AB534" i="131"/>
  <c r="AB494" i="131"/>
  <c r="AB496" i="131"/>
  <c r="AB507" i="131"/>
  <c r="AB509" i="131"/>
  <c r="AB517" i="131"/>
  <c r="AB519" i="131"/>
  <c r="AB527" i="131"/>
  <c r="AB531" i="131"/>
  <c r="AB502" i="131"/>
  <c r="AB499" i="131"/>
  <c r="AB501" i="131"/>
  <c r="AB503" i="131"/>
  <c r="AB544" i="131"/>
  <c r="AB535" i="131"/>
  <c r="AB497" i="131"/>
  <c r="AB522" i="131"/>
  <c r="AB524" i="131"/>
  <c r="AB530" i="131"/>
  <c r="AB515" i="131"/>
  <c r="AB504" i="131"/>
  <c r="AB518" i="131"/>
  <c r="AB525" i="131"/>
  <c r="AB540" i="131"/>
  <c r="X16" i="131"/>
  <c r="AB533" i="131"/>
  <c r="AB542" i="131"/>
  <c r="AB541" i="131"/>
  <c r="AB516" i="131"/>
  <c r="AB523" i="131"/>
  <c r="AB532" i="131"/>
  <c r="C6" i="131"/>
  <c r="C16" i="131" s="1"/>
  <c r="O3" i="131"/>
  <c r="R7" i="131"/>
  <c r="AB7" i="131"/>
  <c r="AC7" i="131"/>
  <c r="AD7" i="131"/>
  <c r="AM495" i="131"/>
  <c r="AB500" i="131"/>
  <c r="AM523" i="131"/>
  <c r="AB492" i="131"/>
  <c r="AM507" i="131"/>
  <c r="AB529" i="131"/>
  <c r="AM532" i="131"/>
  <c r="AB513" i="131"/>
  <c r="AB528" i="131"/>
  <c r="AB506" i="131"/>
  <c r="AB537" i="131"/>
  <c r="AM502" i="131"/>
  <c r="AM494" i="131"/>
  <c r="AM503" i="131"/>
  <c r="AB511" i="131"/>
  <c r="AB521" i="131"/>
  <c r="AB536" i="131"/>
  <c r="AM497" i="131"/>
  <c r="AM505" i="131"/>
  <c r="AM517" i="131"/>
  <c r="AM525" i="131"/>
  <c r="AM533" i="131"/>
  <c r="AM541" i="131"/>
  <c r="AM498" i="131"/>
  <c r="AM511" i="131"/>
  <c r="AM510" i="131"/>
  <c r="AM518" i="131"/>
  <c r="AM526" i="131"/>
  <c r="AM534" i="131"/>
  <c r="AM542" i="131"/>
  <c r="AM519" i="131"/>
  <c r="AM527" i="131"/>
  <c r="AM535" i="131"/>
  <c r="AM543" i="131"/>
  <c r="N13" i="131" l="1"/>
  <c r="B52" i="64"/>
  <c r="Q4" i="131"/>
  <c r="Q5" i="131" s="1"/>
  <c r="Q8" i="131" s="1"/>
  <c r="P4" i="131"/>
  <c r="AB5" i="131"/>
  <c r="AA5" i="131" s="1"/>
  <c r="AB4" i="131"/>
  <c r="AD5" i="131"/>
  <c r="R4" i="131"/>
  <c r="R5" i="131" s="1"/>
  <c r="R8" i="131" s="1"/>
  <c r="AC5" i="131"/>
  <c r="Y10" i="131"/>
  <c r="I16" i="131"/>
  <c r="D16" i="131"/>
  <c r="K16" i="131" s="1"/>
  <c r="O4" i="131" l="1"/>
  <c r="P5" i="131"/>
  <c r="AC4" i="131"/>
  <c r="AB6" i="131"/>
  <c r="AA6" i="131" s="1"/>
  <c r="AA4" i="131"/>
  <c r="B7" i="64" s="1"/>
  <c r="Z544" i="131"/>
  <c r="Z536" i="131"/>
  <c r="Z528" i="131"/>
  <c r="Z520" i="131"/>
  <c r="Z512" i="131"/>
  <c r="Z530" i="131"/>
  <c r="Z500" i="131"/>
  <c r="Z521" i="131"/>
  <c r="Z499" i="131"/>
  <c r="Z537" i="131"/>
  <c r="Z522" i="131"/>
  <c r="Z513" i="131"/>
  <c r="Z529" i="131"/>
  <c r="Z514" i="131"/>
  <c r="Z492" i="131"/>
  <c r="Z538" i="131"/>
  <c r="Z501" i="131"/>
  <c r="Z493" i="131"/>
  <c r="Y13" i="131"/>
  <c r="Y9" i="131"/>
  <c r="Z16" i="131"/>
  <c r="Z495" i="131"/>
  <c r="Z504" i="131"/>
  <c r="Z502" i="131"/>
  <c r="Z533" i="131"/>
  <c r="Z534" i="131"/>
  <c r="Z519" i="131"/>
  <c r="Z543" i="131"/>
  <c r="Z527" i="131"/>
  <c r="Z525" i="131"/>
  <c r="Z510" i="131"/>
  <c r="Z523" i="131"/>
  <c r="Z516" i="131"/>
  <c r="Z511" i="131"/>
  <c r="Z506" i="131"/>
  <c r="Z517" i="131"/>
  <c r="Z508" i="131"/>
  <c r="Z496" i="131"/>
  <c r="Z498" i="131"/>
  <c r="Z524" i="131"/>
  <c r="Z542" i="131"/>
  <c r="Z535" i="131"/>
  <c r="Z532" i="131"/>
  <c r="Z531" i="131"/>
  <c r="Z494" i="131"/>
  <c r="Z541" i="131"/>
  <c r="Z509" i="131"/>
  <c r="Z539" i="131"/>
  <c r="Z518" i="131"/>
  <c r="Z515" i="131"/>
  <c r="Z540" i="131"/>
  <c r="Z507" i="131"/>
  <c r="Z503" i="131"/>
  <c r="Z505" i="131"/>
  <c r="Z526" i="131"/>
  <c r="Z497" i="131"/>
  <c r="C17" i="131"/>
  <c r="B17" i="131"/>
  <c r="B9" i="64" l="1"/>
  <c r="AD4" i="131"/>
  <c r="AD6" i="131" s="1"/>
  <c r="AC6" i="131"/>
  <c r="AA16" i="131"/>
  <c r="Y16" i="131"/>
  <c r="E17" i="131"/>
  <c r="J17" i="131" s="1"/>
  <c r="O5" i="131"/>
  <c r="B10" i="64" s="1"/>
  <c r="P8" i="131"/>
  <c r="AD16" i="131" l="1"/>
  <c r="AC16" i="131"/>
  <c r="AB16" i="131" s="1"/>
  <c r="N16" i="131"/>
  <c r="AU16" i="131"/>
  <c r="AV16" i="131" s="1"/>
  <c r="O8" i="131"/>
  <c r="D17" i="131"/>
  <c r="AE16" i="131" l="1"/>
  <c r="AF16" i="131" s="1"/>
  <c r="AL16" i="131"/>
  <c r="Y17" i="131" s="1"/>
  <c r="T11" i="131"/>
  <c r="O16" i="131"/>
  <c r="Q16" i="131"/>
  <c r="V16" i="131" s="1"/>
  <c r="I17" i="131"/>
  <c r="K17" i="131"/>
  <c r="R16" i="131" l="1"/>
  <c r="AN16" i="131"/>
  <c r="AS16" i="131" s="1"/>
  <c r="AT16" i="131" s="1"/>
  <c r="AP16" i="131"/>
  <c r="P16" i="131"/>
  <c r="B18" i="131"/>
  <c r="A17" i="131"/>
  <c r="C18" i="131"/>
  <c r="S16" i="131" l="1"/>
  <c r="T16" i="131" s="1"/>
  <c r="U16" i="131"/>
  <c r="AI16" i="131"/>
  <c r="W16" i="131"/>
  <c r="O17" i="131" s="1"/>
  <c r="X17" i="131"/>
  <c r="E18" i="131"/>
  <c r="J18" i="131" s="1"/>
  <c r="AO16" i="131" l="1"/>
  <c r="N17" i="131"/>
  <c r="AJ16" i="131"/>
  <c r="D18" i="131"/>
  <c r="AN17" i="131"/>
  <c r="AS17" i="131" s="1"/>
  <c r="R17" i="131"/>
  <c r="M17" i="131" l="1"/>
  <c r="L17" i="131" s="1"/>
  <c r="Q17" i="131"/>
  <c r="I18" i="131"/>
  <c r="K18" i="131"/>
  <c r="V17" i="131" l="1"/>
  <c r="P17" i="131"/>
  <c r="Z17" i="131"/>
  <c r="AM17" i="131"/>
  <c r="A18" i="131"/>
  <c r="C19" i="131"/>
  <c r="B19" i="131"/>
  <c r="AC17" i="131" l="1"/>
  <c r="AH17" i="131" s="1"/>
  <c r="AA17" i="131"/>
  <c r="W17" i="131"/>
  <c r="U17" i="131"/>
  <c r="S17" i="131"/>
  <c r="T17" i="131" s="1"/>
  <c r="X18" i="131"/>
  <c r="E19" i="131"/>
  <c r="J19" i="131" s="1"/>
  <c r="AU17" i="131" l="1"/>
  <c r="AV17" i="131" s="1"/>
  <c r="AT17" i="131"/>
  <c r="AO17" i="131"/>
  <c r="N18" i="131"/>
  <c r="O18" i="131"/>
  <c r="R18" i="131" s="1"/>
  <c r="AD17" i="131"/>
  <c r="AP17" i="131"/>
  <c r="AB17" i="131"/>
  <c r="AI17" i="131"/>
  <c r="D19" i="131"/>
  <c r="AN18" i="131" l="1"/>
  <c r="AS18" i="131" s="1"/>
  <c r="Q18" i="131"/>
  <c r="M18" i="131"/>
  <c r="L18" i="131" s="1"/>
  <c r="Z18" i="131" s="1"/>
  <c r="AL17" i="131"/>
  <c r="AE17" i="131"/>
  <c r="AF17" i="131" s="1"/>
  <c r="AG17" i="131"/>
  <c r="I19" i="131"/>
  <c r="K19" i="131"/>
  <c r="AA18" i="131" l="1"/>
  <c r="AD18" i="131" s="1"/>
  <c r="AM18" i="131"/>
  <c r="Y18" i="131"/>
  <c r="AC18" i="131" s="1"/>
  <c r="AH18" i="131" s="1"/>
  <c r="AJ17" i="131"/>
  <c r="V18" i="131"/>
  <c r="P18" i="131"/>
  <c r="C20" i="131"/>
  <c r="B20" i="131"/>
  <c r="A19" i="131"/>
  <c r="AP18" i="131" l="1"/>
  <c r="AI18" i="131"/>
  <c r="S18" i="131"/>
  <c r="T18" i="131" s="1"/>
  <c r="W18" i="131"/>
  <c r="O19" i="131" s="1"/>
  <c r="U18" i="131"/>
  <c r="AB18" i="131"/>
  <c r="X19" i="131"/>
  <c r="E20" i="131"/>
  <c r="J20" i="131" s="1"/>
  <c r="AU18" i="131" l="1"/>
  <c r="AV18" i="131" s="1"/>
  <c r="N19" i="131"/>
  <c r="AO18" i="131"/>
  <c r="AT18" i="131"/>
  <c r="AG18" i="131"/>
  <c r="AE18" i="131"/>
  <c r="AF18" i="131" s="1"/>
  <c r="AL18" i="131"/>
  <c r="R19" i="131"/>
  <c r="AN19" i="131"/>
  <c r="AS19" i="131" s="1"/>
  <c r="D20" i="131"/>
  <c r="M19" i="131" l="1"/>
  <c r="L19" i="131" s="1"/>
  <c r="Z19" i="131" s="1"/>
  <c r="AA19" i="131" s="1"/>
  <c r="Q19" i="131"/>
  <c r="Y19" i="131"/>
  <c r="AJ18" i="131"/>
  <c r="I20" i="131"/>
  <c r="K20" i="131"/>
  <c r="AM19" i="131" l="1"/>
  <c r="V19" i="131"/>
  <c r="P19" i="131"/>
  <c r="AD19" i="131"/>
  <c r="AP19" i="131"/>
  <c r="AI19" i="131"/>
  <c r="AC19" i="131"/>
  <c r="AH19" i="131" s="1"/>
  <c r="C21" i="131"/>
  <c r="B21" i="131"/>
  <c r="A20" i="131"/>
  <c r="W19" i="131" l="1"/>
  <c r="O20" i="131" s="1"/>
  <c r="U19" i="131"/>
  <c r="S19" i="131"/>
  <c r="T19" i="131" s="1"/>
  <c r="AB19" i="131"/>
  <c r="X20" i="131"/>
  <c r="E21" i="131"/>
  <c r="J21" i="131" s="1"/>
  <c r="AO19" i="131" l="1"/>
  <c r="AU19" i="131"/>
  <c r="AV19" i="131" s="1"/>
  <c r="AT19" i="131"/>
  <c r="N20" i="131"/>
  <c r="AG19" i="131"/>
  <c r="AE19" i="131"/>
  <c r="AF19" i="131" s="1"/>
  <c r="AL19" i="131"/>
  <c r="AN20" i="131"/>
  <c r="AS20" i="131" s="1"/>
  <c r="R20" i="131"/>
  <c r="D21" i="131"/>
  <c r="M20" i="131" l="1"/>
  <c r="L20" i="131" s="1"/>
  <c r="AM20" i="131" s="1"/>
  <c r="Q20" i="131"/>
  <c r="Y20" i="131"/>
  <c r="AJ19" i="131"/>
  <c r="I21" i="131"/>
  <c r="K21" i="131"/>
  <c r="Z20" i="131" l="1"/>
  <c r="AA20" i="131" s="1"/>
  <c r="AD20" i="131" s="1"/>
  <c r="V20" i="131"/>
  <c r="P20" i="131"/>
  <c r="B22" i="131"/>
  <c r="A21" i="131"/>
  <c r="C22" i="131"/>
  <c r="AP20" i="131" l="1"/>
  <c r="AC20" i="131"/>
  <c r="AH20" i="131" s="1"/>
  <c r="AI20" i="131"/>
  <c r="U20" i="131"/>
  <c r="S20" i="131"/>
  <c r="T20" i="131" s="1"/>
  <c r="W20" i="131"/>
  <c r="O21" i="131" s="1"/>
  <c r="E22" i="131"/>
  <c r="J22" i="131" s="1"/>
  <c r="X21" i="131"/>
  <c r="AB20" i="131" l="1"/>
  <c r="AG20" i="131" s="1"/>
  <c r="AT20" i="131"/>
  <c r="AU20" i="131"/>
  <c r="AV20" i="131" s="1"/>
  <c r="N21" i="131"/>
  <c r="AO20" i="131"/>
  <c r="D22" i="131"/>
  <c r="I22" i="131" s="1"/>
  <c r="AN21" i="131"/>
  <c r="AS21" i="131" s="1"/>
  <c r="R21" i="131"/>
  <c r="AE20" i="131" l="1"/>
  <c r="AF20" i="131" s="1"/>
  <c r="AL20" i="131"/>
  <c r="Y21" i="131" s="1"/>
  <c r="K22" i="131"/>
  <c r="A22" i="131" s="1"/>
  <c r="Q21" i="131"/>
  <c r="M21" i="131"/>
  <c r="L21" i="131" s="1"/>
  <c r="AM21" i="131" s="1"/>
  <c r="AJ20" i="131" l="1"/>
  <c r="C23" i="131"/>
  <c r="B23" i="131"/>
  <c r="E23" i="131" s="1"/>
  <c r="J23" i="131" s="1"/>
  <c r="Z21" i="131"/>
  <c r="AA21" i="131" s="1"/>
  <c r="AD21" i="131" s="1"/>
  <c r="V21" i="131"/>
  <c r="P21" i="131"/>
  <c r="X22" i="131"/>
  <c r="AC21" i="131" l="1"/>
  <c r="AH21" i="131" s="1"/>
  <c r="AP21" i="131"/>
  <c r="AI21" i="131"/>
  <c r="S21" i="131"/>
  <c r="T21" i="131" s="1"/>
  <c r="W21" i="131"/>
  <c r="U21" i="131"/>
  <c r="D23" i="131"/>
  <c r="AB21" i="131" l="1"/>
  <c r="AE21" i="131" s="1"/>
  <c r="AF21" i="131" s="1"/>
  <c r="O22" i="131"/>
  <c r="AU21" i="131"/>
  <c r="AV21" i="131" s="1"/>
  <c r="AO21" i="131"/>
  <c r="AT21" i="131"/>
  <c r="N22" i="131"/>
  <c r="I23" i="131"/>
  <c r="K23" i="131"/>
  <c r="AL21" i="131" l="1"/>
  <c r="AJ21" i="131" s="1"/>
  <c r="AG21" i="131"/>
  <c r="Q22" i="131"/>
  <c r="V22" i="131" s="1"/>
  <c r="M22" i="131"/>
  <c r="L22" i="131" s="1"/>
  <c r="R22" i="131"/>
  <c r="AN22" i="131"/>
  <c r="AS22" i="131" s="1"/>
  <c r="B24" i="131"/>
  <c r="C24" i="131"/>
  <c r="A23" i="131"/>
  <c r="Y22" i="131" l="1"/>
  <c r="P22" i="131"/>
  <c r="U22" i="131" s="1"/>
  <c r="Z22" i="131"/>
  <c r="AA22" i="131" s="1"/>
  <c r="AI22" i="131" s="1"/>
  <c r="AM22" i="131"/>
  <c r="E24" i="131"/>
  <c r="J24" i="131" s="1"/>
  <c r="X23" i="131"/>
  <c r="AD22" i="131" l="1"/>
  <c r="W22" i="131"/>
  <c r="O23" i="131" s="1"/>
  <c r="AN23" i="131" s="1"/>
  <c r="AS23" i="131" s="1"/>
  <c r="S22" i="131"/>
  <c r="T22" i="131" s="1"/>
  <c r="AP22" i="131"/>
  <c r="AC22" i="131"/>
  <c r="AH22" i="131" s="1"/>
  <c r="D24" i="131"/>
  <c r="I24" i="131" s="1"/>
  <c r="AO22" i="131" l="1"/>
  <c r="AT22" i="131"/>
  <c r="N23" i="131"/>
  <c r="Q23" i="131" s="1"/>
  <c r="AU22" i="131"/>
  <c r="AV22" i="131" s="1"/>
  <c r="R23" i="131"/>
  <c r="AB22" i="131"/>
  <c r="AG22" i="131" s="1"/>
  <c r="K24" i="131"/>
  <c r="A24" i="131" s="1"/>
  <c r="M23" i="131" l="1"/>
  <c r="L23" i="131" s="1"/>
  <c r="Z23" i="131" s="1"/>
  <c r="AL22" i="131"/>
  <c r="AJ22" i="131" s="1"/>
  <c r="C25" i="131"/>
  <c r="AE22" i="131"/>
  <c r="AF22" i="131" s="1"/>
  <c r="B25" i="131"/>
  <c r="E25" i="131" s="1"/>
  <c r="J25" i="131" s="1"/>
  <c r="V23" i="131"/>
  <c r="P23" i="131"/>
  <c r="X24" i="131"/>
  <c r="Y23" i="131" l="1"/>
  <c r="AC23" i="131" s="1"/>
  <c r="AH23" i="131" s="1"/>
  <c r="AM23" i="131"/>
  <c r="AA23" i="131"/>
  <c r="AI23" i="131" s="1"/>
  <c r="U23" i="131"/>
  <c r="W23" i="131"/>
  <c r="S23" i="131"/>
  <c r="T23" i="131" s="1"/>
  <c r="D25" i="131"/>
  <c r="I25" i="131" s="1"/>
  <c r="AD23" i="131" l="1"/>
  <c r="AP23" i="131"/>
  <c r="N24" i="131"/>
  <c r="AU23" i="131"/>
  <c r="AV23" i="131" s="1"/>
  <c r="AO23" i="131"/>
  <c r="O24" i="131"/>
  <c r="AT23" i="131"/>
  <c r="K25" i="131"/>
  <c r="B26" i="131" s="1"/>
  <c r="E26" i="131" s="1"/>
  <c r="J26" i="131" s="1"/>
  <c r="AB23" i="131"/>
  <c r="A25" i="131" l="1"/>
  <c r="X25" i="131" s="1"/>
  <c r="AN24" i="131"/>
  <c r="AS24" i="131" s="1"/>
  <c r="R24" i="131"/>
  <c r="C26" i="131"/>
  <c r="D26" i="131" s="1"/>
  <c r="Q24" i="131"/>
  <c r="V24" i="131" s="1"/>
  <c r="M24" i="131"/>
  <c r="L24" i="131" s="1"/>
  <c r="AG23" i="131"/>
  <c r="AE23" i="131"/>
  <c r="AF23" i="131" s="1"/>
  <c r="AL23" i="131"/>
  <c r="Z24" i="131" l="1"/>
  <c r="AA24" i="131" s="1"/>
  <c r="AM24" i="131"/>
  <c r="P24" i="131"/>
  <c r="Y24" i="131"/>
  <c r="AJ23" i="131"/>
  <c r="I26" i="131"/>
  <c r="K26" i="131"/>
  <c r="W24" i="131" l="1"/>
  <c r="S24" i="131"/>
  <c r="T24" i="131" s="1"/>
  <c r="U24" i="131"/>
  <c r="AI24" i="131"/>
  <c r="AD24" i="131"/>
  <c r="AP24" i="131"/>
  <c r="AC24" i="131"/>
  <c r="AH24" i="131" s="1"/>
  <c r="C27" i="131"/>
  <c r="B27" i="131"/>
  <c r="A26" i="131"/>
  <c r="AO24" i="131" l="1"/>
  <c r="AU24" i="131"/>
  <c r="AV24" i="131" s="1"/>
  <c r="N25" i="131"/>
  <c r="AT24" i="131"/>
  <c r="O25" i="131"/>
  <c r="AB24" i="131"/>
  <c r="X26" i="131"/>
  <c r="E27" i="131"/>
  <c r="J27" i="131" s="1"/>
  <c r="AN25" i="131" l="1"/>
  <c r="AS25" i="131" s="1"/>
  <c r="R25" i="131"/>
  <c r="Q25" i="131"/>
  <c r="V25" i="131" s="1"/>
  <c r="M25" i="131"/>
  <c r="L25" i="131" s="1"/>
  <c r="AE24" i="131"/>
  <c r="AF24" i="131" s="1"/>
  <c r="AG24" i="131"/>
  <c r="AL24" i="131"/>
  <c r="D27" i="131"/>
  <c r="AM25" i="131" l="1"/>
  <c r="Z25" i="131"/>
  <c r="AA25" i="131" s="1"/>
  <c r="P25" i="131"/>
  <c r="Y25" i="131"/>
  <c r="AJ24" i="131"/>
  <c r="I27" i="131"/>
  <c r="K27" i="131"/>
  <c r="U25" i="131" l="1"/>
  <c r="S25" i="131"/>
  <c r="T25" i="131" s="1"/>
  <c r="W25" i="131"/>
  <c r="AD25" i="131"/>
  <c r="AI25" i="131"/>
  <c r="AP25" i="131"/>
  <c r="AC25" i="131"/>
  <c r="AH25" i="131" s="1"/>
  <c r="B28" i="131"/>
  <c r="E28" i="131" s="1"/>
  <c r="J28" i="131" s="1"/>
  <c r="A27" i="131"/>
  <c r="C28" i="131"/>
  <c r="AT25" i="131" l="1"/>
  <c r="N26" i="131"/>
  <c r="AU25" i="131"/>
  <c r="AV25" i="131" s="1"/>
  <c r="AO25" i="131"/>
  <c r="O26" i="131"/>
  <c r="AB25" i="131"/>
  <c r="D28" i="131"/>
  <c r="I28" i="131" s="1"/>
  <c r="X27" i="131"/>
  <c r="R26" i="131" l="1"/>
  <c r="AN26" i="131"/>
  <c r="AS26" i="131" s="1"/>
  <c r="K28" i="131"/>
  <c r="B29" i="131" s="1"/>
  <c r="M26" i="131"/>
  <c r="L26" i="131" s="1"/>
  <c r="Q26" i="131"/>
  <c r="V26" i="131" s="1"/>
  <c r="AE25" i="131"/>
  <c r="AF25" i="131" s="1"/>
  <c r="AG25" i="131"/>
  <c r="AL25" i="131"/>
  <c r="A28" i="131" l="1"/>
  <c r="X28" i="131" s="1"/>
  <c r="Z26" i="131"/>
  <c r="AA26" i="131" s="1"/>
  <c r="AM26" i="131"/>
  <c r="C29" i="131"/>
  <c r="P26" i="131"/>
  <c r="Y26" i="131"/>
  <c r="AJ25" i="131"/>
  <c r="E29" i="131"/>
  <c r="J29" i="131" s="1"/>
  <c r="U26" i="131" l="1"/>
  <c r="S26" i="131"/>
  <c r="T26" i="131" s="1"/>
  <c r="W26" i="131"/>
  <c r="AI26" i="131"/>
  <c r="AP26" i="131"/>
  <c r="AD26" i="131"/>
  <c r="AC26" i="131"/>
  <c r="AH26" i="131" s="1"/>
  <c r="D29" i="131"/>
  <c r="AO26" i="131" l="1"/>
  <c r="AU26" i="131"/>
  <c r="AV26" i="131" s="1"/>
  <c r="N27" i="131"/>
  <c r="AT26" i="131"/>
  <c r="O27" i="131"/>
  <c r="AB26" i="131"/>
  <c r="I29" i="131"/>
  <c r="K29" i="131"/>
  <c r="R27" i="131" l="1"/>
  <c r="AN27" i="131"/>
  <c r="AS27" i="131" s="1"/>
  <c r="Q27" i="131"/>
  <c r="V27" i="131" s="1"/>
  <c r="M27" i="131"/>
  <c r="L27" i="131" s="1"/>
  <c r="AG26" i="131"/>
  <c r="AE26" i="131"/>
  <c r="AF26" i="131" s="1"/>
  <c r="AL26" i="131"/>
  <c r="C30" i="131"/>
  <c r="B30" i="131"/>
  <c r="A29" i="131"/>
  <c r="AM27" i="131" l="1"/>
  <c r="Z27" i="131"/>
  <c r="AA27" i="131" s="1"/>
  <c r="P27" i="131"/>
  <c r="Y27" i="131"/>
  <c r="AJ26" i="131"/>
  <c r="X29" i="131"/>
  <c r="E30" i="131"/>
  <c r="J30" i="131" s="1"/>
  <c r="U27" i="131" l="1"/>
  <c r="S27" i="131"/>
  <c r="T27" i="131" s="1"/>
  <c r="W27" i="131"/>
  <c r="AI27" i="131"/>
  <c r="AD27" i="131"/>
  <c r="AP27" i="131"/>
  <c r="AC27" i="131"/>
  <c r="AH27" i="131" s="1"/>
  <c r="D30" i="131"/>
  <c r="O28" i="131" l="1"/>
  <c r="AU27" i="131"/>
  <c r="AV27" i="131" s="1"/>
  <c r="AT27" i="131"/>
  <c r="AO27" i="131"/>
  <c r="N28" i="131"/>
  <c r="AB27" i="131"/>
  <c r="I30" i="131"/>
  <c r="K30" i="131"/>
  <c r="M28" i="131" l="1"/>
  <c r="L28" i="131" s="1"/>
  <c r="Q28" i="131"/>
  <c r="V28" i="131" s="1"/>
  <c r="R28" i="131"/>
  <c r="AN28" i="131"/>
  <c r="AS28" i="131" s="1"/>
  <c r="AE27" i="131"/>
  <c r="AF27" i="131" s="1"/>
  <c r="AG27" i="131"/>
  <c r="AL27" i="131"/>
  <c r="C31" i="131"/>
  <c r="B31" i="131"/>
  <c r="A30" i="131"/>
  <c r="P28" i="131" l="1"/>
  <c r="S28" i="131" s="1"/>
  <c r="T28" i="131" s="1"/>
  <c r="Z28" i="131"/>
  <c r="AA28" i="131" s="1"/>
  <c r="AM28" i="131"/>
  <c r="Y28" i="131"/>
  <c r="AJ27" i="131"/>
  <c r="X30" i="131"/>
  <c r="E31" i="131"/>
  <c r="J31" i="131" s="1"/>
  <c r="U28" i="131" l="1"/>
  <c r="W28" i="131"/>
  <c r="O29" i="131" s="1"/>
  <c r="AD28" i="131"/>
  <c r="AI28" i="131"/>
  <c r="AP28" i="131"/>
  <c r="AC28" i="131"/>
  <c r="AH28" i="131" s="1"/>
  <c r="D31" i="131"/>
  <c r="AU28" i="131" l="1"/>
  <c r="AV28" i="131" s="1"/>
  <c r="N29" i="131"/>
  <c r="M29" i="131" s="1"/>
  <c r="L29" i="131" s="1"/>
  <c r="AO28" i="131"/>
  <c r="AT28" i="131"/>
  <c r="R29" i="131"/>
  <c r="AN29" i="131"/>
  <c r="AS29" i="131" s="1"/>
  <c r="AB28" i="131"/>
  <c r="AL28" i="131" s="1"/>
  <c r="Y29" i="131" s="1"/>
  <c r="I31" i="131"/>
  <c r="K31" i="131"/>
  <c r="Q29" i="131" l="1"/>
  <c r="V29" i="131" s="1"/>
  <c r="Z29" i="131"/>
  <c r="AA29" i="131" s="1"/>
  <c r="AM29" i="131"/>
  <c r="AG28" i="131"/>
  <c r="AJ28" i="131"/>
  <c r="AE28" i="131"/>
  <c r="AF28" i="131" s="1"/>
  <c r="B32" i="131"/>
  <c r="A31" i="131"/>
  <c r="C32" i="131"/>
  <c r="P29" i="131" l="1"/>
  <c r="W29" i="131" s="1"/>
  <c r="AU29" i="131" s="1"/>
  <c r="AV29" i="131" s="1"/>
  <c r="AD29" i="131"/>
  <c r="AI29" i="131"/>
  <c r="AP29" i="131"/>
  <c r="AC29" i="131"/>
  <c r="AH29" i="131" s="1"/>
  <c r="X31" i="131"/>
  <c r="E32" i="131"/>
  <c r="J32" i="131" s="1"/>
  <c r="O30" i="131" l="1"/>
  <c r="R30" i="131" s="1"/>
  <c r="AT29" i="131"/>
  <c r="N30" i="131"/>
  <c r="M30" i="131" s="1"/>
  <c r="L30" i="131" s="1"/>
  <c r="AM30" i="131" s="1"/>
  <c r="S29" i="131"/>
  <c r="T29" i="131" s="1"/>
  <c r="U29" i="131"/>
  <c r="AO29" i="131" s="1"/>
  <c r="AB29" i="131"/>
  <c r="AE29" i="131" s="1"/>
  <c r="AF29" i="131" s="1"/>
  <c r="D32" i="131"/>
  <c r="I32" i="131" s="1"/>
  <c r="AN30" i="131" l="1"/>
  <c r="AS30" i="131" s="1"/>
  <c r="Z30" i="131"/>
  <c r="Q30" i="131"/>
  <c r="V30" i="131" s="1"/>
  <c r="AL29" i="131"/>
  <c r="AJ29" i="131" s="1"/>
  <c r="AG29" i="131"/>
  <c r="K32" i="131"/>
  <c r="A32" i="131" s="1"/>
  <c r="P30" i="131" l="1"/>
  <c r="U30" i="131" s="1"/>
  <c r="Y30" i="131"/>
  <c r="AC30" i="131" s="1"/>
  <c r="AH30" i="131" s="1"/>
  <c r="AA30" i="131"/>
  <c r="AD30" i="131" s="1"/>
  <c r="C33" i="131"/>
  <c r="B33" i="131"/>
  <c r="E33" i="131" s="1"/>
  <c r="J33" i="131" s="1"/>
  <c r="X32" i="131"/>
  <c r="S30" i="131" l="1"/>
  <c r="T30" i="131" s="1"/>
  <c r="W30" i="131"/>
  <c r="N31" i="131" s="1"/>
  <c r="M31" i="131" s="1"/>
  <c r="L31" i="131" s="1"/>
  <c r="AB30" i="131"/>
  <c r="AG30" i="131" s="1"/>
  <c r="AP30" i="131"/>
  <c r="AI30" i="131"/>
  <c r="D33" i="131"/>
  <c r="I33" i="131" s="1"/>
  <c r="O31" i="131" l="1"/>
  <c r="R31" i="131" s="1"/>
  <c r="AO30" i="131"/>
  <c r="AT30" i="131"/>
  <c r="AU30" i="131"/>
  <c r="AV30" i="131" s="1"/>
  <c r="Q31" i="131"/>
  <c r="V31" i="131" s="1"/>
  <c r="AE30" i="131"/>
  <c r="AF30" i="131" s="1"/>
  <c r="AL30" i="131"/>
  <c r="AJ30" i="131" s="1"/>
  <c r="Z31" i="131"/>
  <c r="AM31" i="131"/>
  <c r="K33" i="131"/>
  <c r="C34" i="131" s="1"/>
  <c r="AN31" i="131" l="1"/>
  <c r="AS31" i="131" s="1"/>
  <c r="P31" i="131"/>
  <c r="W31" i="131" s="1"/>
  <c r="Y31" i="131"/>
  <c r="AC31" i="131" s="1"/>
  <c r="AH31" i="131" s="1"/>
  <c r="AA31" i="131"/>
  <c r="AP31" i="131" s="1"/>
  <c r="A33" i="131"/>
  <c r="B34" i="131"/>
  <c r="E34" i="131" s="1"/>
  <c r="U31" i="131" l="1"/>
  <c r="AO31" i="131" s="1"/>
  <c r="S31" i="131"/>
  <c r="T31" i="131" s="1"/>
  <c r="AD31" i="131"/>
  <c r="AI31" i="131"/>
  <c r="AB31" i="131"/>
  <c r="AL31" i="131" s="1"/>
  <c r="AJ31" i="131" s="1"/>
  <c r="O32" i="131"/>
  <c r="AU31" i="131"/>
  <c r="AV31" i="131" s="1"/>
  <c r="AT31" i="131"/>
  <c r="N32" i="131"/>
  <c r="X33" i="131"/>
  <c r="J34" i="131"/>
  <c r="D34" i="131"/>
  <c r="I34" i="131" s="1"/>
  <c r="AE31" i="131" l="1"/>
  <c r="AF31" i="131" s="1"/>
  <c r="Y32" i="131"/>
  <c r="AG31" i="131"/>
  <c r="M32" i="131"/>
  <c r="L32" i="131" s="1"/>
  <c r="Q32" i="131"/>
  <c r="AN32" i="131"/>
  <c r="AS32" i="131" s="1"/>
  <c r="R32" i="131"/>
  <c r="K34" i="131"/>
  <c r="C35" i="131" s="1"/>
  <c r="V32" i="131" l="1"/>
  <c r="P32" i="131"/>
  <c r="AM32" i="131"/>
  <c r="Z32" i="131"/>
  <c r="A34" i="131"/>
  <c r="X34" i="131" s="1"/>
  <c r="B35" i="131"/>
  <c r="E35" i="131" s="1"/>
  <c r="J35" i="131" s="1"/>
  <c r="AA32" i="131" l="1"/>
  <c r="AC32" i="131"/>
  <c r="AH32" i="131" s="1"/>
  <c r="W32" i="131"/>
  <c r="S32" i="131"/>
  <c r="T32" i="131" s="1"/>
  <c r="U32" i="131"/>
  <c r="D35" i="131"/>
  <c r="AO32" i="131" l="1"/>
  <c r="O33" i="131"/>
  <c r="N33" i="131"/>
  <c r="AU32" i="131"/>
  <c r="AV32" i="131" s="1"/>
  <c r="AT32" i="131"/>
  <c r="AI32" i="131"/>
  <c r="AD32" i="131"/>
  <c r="AP32" i="131"/>
  <c r="AB32" i="131"/>
  <c r="I35" i="131"/>
  <c r="K35" i="131"/>
  <c r="M33" i="131" l="1"/>
  <c r="L33" i="131" s="1"/>
  <c r="Q33" i="131"/>
  <c r="V33" i="131" s="1"/>
  <c r="AN33" i="131"/>
  <c r="AS33" i="131" s="1"/>
  <c r="R33" i="131"/>
  <c r="AG32" i="131"/>
  <c r="AL32" i="131"/>
  <c r="AE32" i="131"/>
  <c r="AF32" i="131" s="1"/>
  <c r="B36" i="131"/>
  <c r="A35" i="131"/>
  <c r="C36" i="131"/>
  <c r="P33" i="131" l="1"/>
  <c r="S33" i="131" s="1"/>
  <c r="T33" i="131" s="1"/>
  <c r="Y33" i="131"/>
  <c r="AJ32" i="131"/>
  <c r="Z33" i="131"/>
  <c r="AA33" i="131" s="1"/>
  <c r="AM33" i="131"/>
  <c r="E36" i="131"/>
  <c r="J36" i="131" s="1"/>
  <c r="X35" i="131"/>
  <c r="W33" i="131" l="1"/>
  <c r="AT33" i="131" s="1"/>
  <c r="U33" i="131"/>
  <c r="AD33" i="131"/>
  <c r="AI33" i="131"/>
  <c r="AP33" i="131"/>
  <c r="AC33" i="131"/>
  <c r="AH33" i="131" s="1"/>
  <c r="D36" i="131"/>
  <c r="I36" i="131" s="1"/>
  <c r="N34" i="131" l="1"/>
  <c r="Q34" i="131" s="1"/>
  <c r="V34" i="131" s="1"/>
  <c r="AU33" i="131"/>
  <c r="AV33" i="131" s="1"/>
  <c r="O34" i="131"/>
  <c r="R34" i="131" s="1"/>
  <c r="AO33" i="131"/>
  <c r="K36" i="131"/>
  <c r="B37" i="131" s="1"/>
  <c r="AB33" i="131"/>
  <c r="AN34" i="131" l="1"/>
  <c r="AS34" i="131" s="1"/>
  <c r="M34" i="131"/>
  <c r="L34" i="131" s="1"/>
  <c r="AM34" i="131" s="1"/>
  <c r="A36" i="131"/>
  <c r="X36" i="131" s="1"/>
  <c r="C37" i="131"/>
  <c r="AG33" i="131"/>
  <c r="AE33" i="131"/>
  <c r="AF33" i="131" s="1"/>
  <c r="AL33" i="131"/>
  <c r="P34" i="131"/>
  <c r="E37" i="131"/>
  <c r="J37" i="131" s="1"/>
  <c r="Z34" i="131" l="1"/>
  <c r="AA34" i="131" s="1"/>
  <c r="S34" i="131"/>
  <c r="T34" i="131" s="1"/>
  <c r="U34" i="131"/>
  <c r="W34" i="131"/>
  <c r="Y34" i="131"/>
  <c r="AJ33" i="131"/>
  <c r="D37" i="131"/>
  <c r="AT34" i="131" l="1"/>
  <c r="N35" i="131"/>
  <c r="O35" i="131"/>
  <c r="AO34" i="131"/>
  <c r="AU34" i="131"/>
  <c r="AV34" i="131" s="1"/>
  <c r="AC34" i="131"/>
  <c r="AH34" i="131" s="1"/>
  <c r="AD34" i="131"/>
  <c r="AI34" i="131"/>
  <c r="AP34" i="131"/>
  <c r="I37" i="131"/>
  <c r="K37" i="131"/>
  <c r="R35" i="131" l="1"/>
  <c r="AN35" i="131"/>
  <c r="AS35" i="131" s="1"/>
  <c r="AB34" i="131"/>
  <c r="M35" i="131"/>
  <c r="L35" i="131" s="1"/>
  <c r="Q35" i="131"/>
  <c r="V35" i="131" s="1"/>
  <c r="C38" i="131"/>
  <c r="B38" i="131"/>
  <c r="A37" i="131"/>
  <c r="AG34" i="131" l="1"/>
  <c r="AE34" i="131"/>
  <c r="AF34" i="131" s="1"/>
  <c r="AL34" i="131"/>
  <c r="P35" i="131"/>
  <c r="AM35" i="131"/>
  <c r="Z35" i="131"/>
  <c r="E38" i="131"/>
  <c r="J38" i="131" s="1"/>
  <c r="X37" i="131"/>
  <c r="AA35" i="131" l="1"/>
  <c r="AI35" i="131" s="1"/>
  <c r="U35" i="131"/>
  <c r="W35" i="131"/>
  <c r="S35" i="131"/>
  <c r="T35" i="131" s="1"/>
  <c r="Y35" i="131"/>
  <c r="AJ34" i="131"/>
  <c r="D38" i="131"/>
  <c r="AD35" i="131" l="1"/>
  <c r="AP35" i="131"/>
  <c r="AU35" i="131"/>
  <c r="AV35" i="131" s="1"/>
  <c r="AO35" i="131"/>
  <c r="O36" i="131"/>
  <c r="AT35" i="131"/>
  <c r="N36" i="131"/>
  <c r="AC35" i="131"/>
  <c r="I38" i="131"/>
  <c r="K38" i="131"/>
  <c r="AH35" i="131" l="1"/>
  <c r="AB35" i="131"/>
  <c r="Q36" i="131"/>
  <c r="V36" i="131" s="1"/>
  <c r="M36" i="131"/>
  <c r="L36" i="131" s="1"/>
  <c r="R36" i="131"/>
  <c r="AN36" i="131"/>
  <c r="AS36" i="131" s="1"/>
  <c r="C39" i="131"/>
  <c r="B39" i="131"/>
  <c r="A38" i="131"/>
  <c r="P36" i="131" l="1"/>
  <c r="S36" i="131" s="1"/>
  <c r="T36" i="131" s="1"/>
  <c r="Z36" i="131"/>
  <c r="AM36" i="131"/>
  <c r="AG35" i="131"/>
  <c r="AE35" i="131"/>
  <c r="AF35" i="131" s="1"/>
  <c r="AL35" i="131"/>
  <c r="X38" i="131"/>
  <c r="E39" i="131"/>
  <c r="J39" i="131" s="1"/>
  <c r="W36" i="131" l="1"/>
  <c r="N37" i="131" s="1"/>
  <c r="U36" i="131"/>
  <c r="Y36" i="131"/>
  <c r="AC36" i="131" s="1"/>
  <c r="AH36" i="131" s="1"/>
  <c r="AJ35" i="131"/>
  <c r="AA36" i="131"/>
  <c r="D39" i="131"/>
  <c r="O37" i="131" l="1"/>
  <c r="R37" i="131" s="1"/>
  <c r="AT36" i="131"/>
  <c r="AU36" i="131"/>
  <c r="AV36" i="131" s="1"/>
  <c r="AO36" i="131"/>
  <c r="M37" i="131"/>
  <c r="L37" i="131" s="1"/>
  <c r="Q37" i="131"/>
  <c r="AD36" i="131"/>
  <c r="AB36" i="131"/>
  <c r="AI36" i="131"/>
  <c r="AP36" i="131"/>
  <c r="I39" i="131"/>
  <c r="K39" i="131"/>
  <c r="AN37" i="131" l="1"/>
  <c r="AS37" i="131" s="1"/>
  <c r="V37" i="131"/>
  <c r="P37" i="131"/>
  <c r="AL36" i="131"/>
  <c r="AG36" i="131"/>
  <c r="AE36" i="131"/>
  <c r="AF36" i="131" s="1"/>
  <c r="Z37" i="131"/>
  <c r="AM37" i="131"/>
  <c r="B40" i="131"/>
  <c r="A39" i="131"/>
  <c r="C40" i="131"/>
  <c r="Y37" i="131" l="1"/>
  <c r="AC37" i="131" s="1"/>
  <c r="AH37" i="131" s="1"/>
  <c r="AJ36" i="131"/>
  <c r="AA37" i="131"/>
  <c r="W37" i="131"/>
  <c r="U37" i="131"/>
  <c r="S37" i="131"/>
  <c r="T37" i="131" s="1"/>
  <c r="X39" i="131"/>
  <c r="E40" i="131"/>
  <c r="J40" i="131" s="1"/>
  <c r="AO37" i="131" l="1"/>
  <c r="AP37" i="131"/>
  <c r="AI37" i="131"/>
  <c r="AD37" i="131"/>
  <c r="AB37" i="131"/>
  <c r="AL37" i="131" s="1"/>
  <c r="Y38" i="131" s="1"/>
  <c r="AT37" i="131"/>
  <c r="N38" i="131"/>
  <c r="O38" i="131"/>
  <c r="AU37" i="131"/>
  <c r="AV37" i="131" s="1"/>
  <c r="D40" i="131"/>
  <c r="AG37" i="131" l="1"/>
  <c r="AE37" i="131"/>
  <c r="AF37" i="131" s="1"/>
  <c r="M38" i="131"/>
  <c r="L38" i="131" s="1"/>
  <c r="Q38" i="131"/>
  <c r="V38" i="131" s="1"/>
  <c r="AJ37" i="131"/>
  <c r="R38" i="131"/>
  <c r="AN38" i="131"/>
  <c r="AS38" i="131" s="1"/>
  <c r="I40" i="131"/>
  <c r="K40" i="131"/>
  <c r="Z38" i="131" l="1"/>
  <c r="AM38" i="131"/>
  <c r="P38" i="131"/>
  <c r="A40" i="131"/>
  <c r="B41" i="131"/>
  <c r="C41" i="131"/>
  <c r="U38" i="131" l="1"/>
  <c r="S38" i="131"/>
  <c r="T38" i="131" s="1"/>
  <c r="W38" i="131"/>
  <c r="AA38" i="131"/>
  <c r="AC38" i="131"/>
  <c r="AH38" i="131" s="1"/>
  <c r="E41" i="131"/>
  <c r="J41" i="131" s="1"/>
  <c r="X40" i="131"/>
  <c r="AP38" i="131" l="1"/>
  <c r="AD38" i="131"/>
  <c r="AI38" i="131"/>
  <c r="AB38" i="131"/>
  <c r="AT38" i="131"/>
  <c r="AO38" i="131"/>
  <c r="N39" i="131"/>
  <c r="AU38" i="131"/>
  <c r="AV38" i="131" s="1"/>
  <c r="O39" i="131"/>
  <c r="D41" i="131"/>
  <c r="AN39" i="131" l="1"/>
  <c r="AS39" i="131" s="1"/>
  <c r="R39" i="131"/>
  <c r="Q39" i="131"/>
  <c r="V39" i="131" s="1"/>
  <c r="M39" i="131"/>
  <c r="L39" i="131" s="1"/>
  <c r="AG38" i="131"/>
  <c r="AE38" i="131"/>
  <c r="AF38" i="131" s="1"/>
  <c r="AL38" i="131"/>
  <c r="I41" i="131"/>
  <c r="K41" i="131"/>
  <c r="AM39" i="131" l="1"/>
  <c r="Z39" i="131"/>
  <c r="AA39" i="131" s="1"/>
  <c r="P39" i="131"/>
  <c r="Y39" i="131"/>
  <c r="AJ38" i="131"/>
  <c r="C42" i="131"/>
  <c r="B42" i="131"/>
  <c r="A41" i="131"/>
  <c r="AC39" i="131" l="1"/>
  <c r="AH39" i="131" s="1"/>
  <c r="U39" i="131"/>
  <c r="S39" i="131"/>
  <c r="T39" i="131" s="1"/>
  <c r="W39" i="131"/>
  <c r="AD39" i="131"/>
  <c r="AP39" i="131"/>
  <c r="AI39" i="131"/>
  <c r="X41" i="131"/>
  <c r="E42" i="131"/>
  <c r="J42" i="131" s="1"/>
  <c r="AB39" i="131" l="1"/>
  <c r="AE39" i="131" s="1"/>
  <c r="AF39" i="131" s="1"/>
  <c r="AU39" i="131"/>
  <c r="AV39" i="131" s="1"/>
  <c r="AT39" i="131"/>
  <c r="O40" i="131"/>
  <c r="AO39" i="131"/>
  <c r="N40" i="131"/>
  <c r="D42" i="131"/>
  <c r="I42" i="131" s="1"/>
  <c r="AG39" i="131" l="1"/>
  <c r="AL39" i="131"/>
  <c r="AJ39" i="131" s="1"/>
  <c r="M40" i="131"/>
  <c r="L40" i="131" s="1"/>
  <c r="Q40" i="131"/>
  <c r="V40" i="131" s="1"/>
  <c r="R40" i="131"/>
  <c r="AN40" i="131"/>
  <c r="AS40" i="131" s="1"/>
  <c r="K42" i="131"/>
  <c r="C43" i="131" s="1"/>
  <c r="Y40" i="131" l="1"/>
  <c r="P40" i="131"/>
  <c r="U40" i="131" s="1"/>
  <c r="Z40" i="131"/>
  <c r="AA40" i="131" s="1"/>
  <c r="AM40" i="131"/>
  <c r="A42" i="131"/>
  <c r="B43" i="131"/>
  <c r="E43" i="131" s="1"/>
  <c r="J43" i="131" s="1"/>
  <c r="W40" i="131" l="1"/>
  <c r="AO40" i="131" s="1"/>
  <c r="S40" i="131"/>
  <c r="T40" i="131" s="1"/>
  <c r="AD40" i="131"/>
  <c r="AI40" i="131"/>
  <c r="AP40" i="131"/>
  <c r="X42" i="131"/>
  <c r="AC40" i="131"/>
  <c r="AH40" i="131" s="1"/>
  <c r="D43" i="131"/>
  <c r="I43" i="131" s="1"/>
  <c r="N41" i="131" l="1"/>
  <c r="Q41" i="131" s="1"/>
  <c r="V41" i="131" s="1"/>
  <c r="AT40" i="131"/>
  <c r="AU40" i="131"/>
  <c r="AV40" i="131" s="1"/>
  <c r="O41" i="131"/>
  <c r="AN41" i="131" s="1"/>
  <c r="AS41" i="131" s="1"/>
  <c r="K43" i="131"/>
  <c r="A43" i="131" s="1"/>
  <c r="AB40" i="131"/>
  <c r="M41" i="131" l="1"/>
  <c r="L41" i="131" s="1"/>
  <c r="AM41" i="131" s="1"/>
  <c r="B44" i="131"/>
  <c r="E44" i="131" s="1"/>
  <c r="J44" i="131" s="1"/>
  <c r="R41" i="131"/>
  <c r="C44" i="131"/>
  <c r="P41" i="131"/>
  <c r="AL40" i="131"/>
  <c r="AE40" i="131"/>
  <c r="AF40" i="131" s="1"/>
  <c r="AG40" i="131"/>
  <c r="X43" i="131"/>
  <c r="Z41" i="131" l="1"/>
  <c r="AA41" i="131" s="1"/>
  <c r="S41" i="131"/>
  <c r="T41" i="131" s="1"/>
  <c r="U41" i="131"/>
  <c r="W41" i="131"/>
  <c r="Y41" i="131"/>
  <c r="AJ40" i="131"/>
  <c r="D44" i="131"/>
  <c r="AD41" i="131" l="1"/>
  <c r="AI41" i="131"/>
  <c r="AP41" i="131"/>
  <c r="AC41" i="131"/>
  <c r="AH41" i="131" s="1"/>
  <c r="AT41" i="131"/>
  <c r="AO41" i="131"/>
  <c r="N42" i="131"/>
  <c r="AU41" i="131"/>
  <c r="AV41" i="131" s="1"/>
  <c r="O42" i="131"/>
  <c r="I44" i="131"/>
  <c r="K44" i="131"/>
  <c r="AN42" i="131" l="1"/>
  <c r="AS42" i="131" s="1"/>
  <c r="R42" i="131"/>
  <c r="AB41" i="131"/>
  <c r="Q42" i="131"/>
  <c r="V42" i="131" s="1"/>
  <c r="M42" i="131"/>
  <c r="L42" i="131" s="1"/>
  <c r="A44" i="131"/>
  <c r="B45" i="131"/>
  <c r="C45" i="131"/>
  <c r="Z42" i="131" l="1"/>
  <c r="AM42" i="131"/>
  <c r="AE41" i="131"/>
  <c r="AF41" i="131" s="1"/>
  <c r="AG41" i="131"/>
  <c r="AL41" i="131"/>
  <c r="P42" i="131"/>
  <c r="X44" i="131"/>
  <c r="E45" i="131"/>
  <c r="J45" i="131" s="1"/>
  <c r="W42" i="131" l="1"/>
  <c r="U42" i="131"/>
  <c r="S42" i="131"/>
  <c r="T42" i="131" s="1"/>
  <c r="Y42" i="131"/>
  <c r="AA42" i="131"/>
  <c r="AJ41" i="131"/>
  <c r="D45" i="131"/>
  <c r="AC42" i="131" l="1"/>
  <c r="AH42" i="131" s="1"/>
  <c r="AD42" i="131"/>
  <c r="AI42" i="131"/>
  <c r="AP42" i="131"/>
  <c r="AU42" i="131"/>
  <c r="AV42" i="131" s="1"/>
  <c r="O43" i="131"/>
  <c r="AT42" i="131"/>
  <c r="N43" i="131"/>
  <c r="AO42" i="131"/>
  <c r="I45" i="131"/>
  <c r="K45" i="131"/>
  <c r="AN43" i="131" l="1"/>
  <c r="AS43" i="131" s="1"/>
  <c r="R43" i="131"/>
  <c r="AB42" i="131"/>
  <c r="Q43" i="131"/>
  <c r="V43" i="131" s="1"/>
  <c r="M43" i="131"/>
  <c r="L43" i="131" s="1"/>
  <c r="C46" i="131"/>
  <c r="B46" i="131"/>
  <c r="A45" i="131"/>
  <c r="AM43" i="131" l="1"/>
  <c r="Z43" i="131"/>
  <c r="AG42" i="131"/>
  <c r="AE42" i="131"/>
  <c r="AF42" i="131" s="1"/>
  <c r="AL42" i="131"/>
  <c r="P43" i="131"/>
  <c r="E46" i="131"/>
  <c r="J46" i="131" s="1"/>
  <c r="X45" i="131"/>
  <c r="Y43" i="131" l="1"/>
  <c r="AC43" i="131" s="1"/>
  <c r="AH43" i="131" s="1"/>
  <c r="AA43" i="131"/>
  <c r="AJ42" i="131"/>
  <c r="U43" i="131"/>
  <c r="S43" i="131"/>
  <c r="T43" i="131" s="1"/>
  <c r="W43" i="131"/>
  <c r="D46" i="131"/>
  <c r="I46" i="131" s="1"/>
  <c r="AU43" i="131" l="1"/>
  <c r="AV43" i="131" s="1"/>
  <c r="AT43" i="131"/>
  <c r="AO43" i="131"/>
  <c r="N44" i="131"/>
  <c r="O44" i="131"/>
  <c r="K46" i="131"/>
  <c r="C47" i="131" s="1"/>
  <c r="AD43" i="131"/>
  <c r="AB43" i="131"/>
  <c r="AP43" i="131"/>
  <c r="AI43" i="131"/>
  <c r="B47" i="131" l="1"/>
  <c r="E47" i="131" s="1"/>
  <c r="J47" i="131" s="1"/>
  <c r="A46" i="131"/>
  <c r="X46" i="131" s="1"/>
  <c r="AL43" i="131"/>
  <c r="AG43" i="131"/>
  <c r="AE43" i="131"/>
  <c r="AF43" i="131" s="1"/>
  <c r="R44" i="131"/>
  <c r="AN44" i="131"/>
  <c r="AS44" i="131" s="1"/>
  <c r="Q44" i="131"/>
  <c r="V44" i="131" s="1"/>
  <c r="M44" i="131"/>
  <c r="L44" i="131" s="1"/>
  <c r="P44" i="131" l="1"/>
  <c r="W44" i="131" s="1"/>
  <c r="Z44" i="131"/>
  <c r="AA44" i="131" s="1"/>
  <c r="AM44" i="131"/>
  <c r="Y44" i="131"/>
  <c r="AJ43" i="131"/>
  <c r="D47" i="131"/>
  <c r="S44" i="131" l="1"/>
  <c r="T44" i="131" s="1"/>
  <c r="U44" i="131"/>
  <c r="AO44" i="131" s="1"/>
  <c r="AC44" i="131"/>
  <c r="AH44" i="131" s="1"/>
  <c r="AD44" i="131"/>
  <c r="AI44" i="131"/>
  <c r="AP44" i="131"/>
  <c r="N45" i="131"/>
  <c r="AU44" i="131"/>
  <c r="AV44" i="131" s="1"/>
  <c r="AT44" i="131"/>
  <c r="O45" i="131"/>
  <c r="I47" i="131"/>
  <c r="K47" i="131"/>
  <c r="M45" i="131" l="1"/>
  <c r="L45" i="131" s="1"/>
  <c r="Q45" i="131"/>
  <c r="V45" i="131" s="1"/>
  <c r="AB44" i="131"/>
  <c r="R45" i="131"/>
  <c r="AN45" i="131"/>
  <c r="AS45" i="131" s="1"/>
  <c r="B48" i="131"/>
  <c r="A47" i="131"/>
  <c r="C48" i="131"/>
  <c r="P45" i="131" l="1"/>
  <c r="AG44" i="131"/>
  <c r="AE44" i="131"/>
  <c r="AF44" i="131" s="1"/>
  <c r="AL44" i="131"/>
  <c r="Z45" i="131"/>
  <c r="AM45" i="131"/>
  <c r="X47" i="131"/>
  <c r="E48" i="131"/>
  <c r="J48" i="131" s="1"/>
  <c r="Y45" i="131" l="1"/>
  <c r="AA45" i="131"/>
  <c r="AJ44" i="131"/>
  <c r="S45" i="131"/>
  <c r="T45" i="131" s="1"/>
  <c r="U45" i="131"/>
  <c r="W45" i="131"/>
  <c r="D48" i="131"/>
  <c r="O46" i="131" l="1"/>
  <c r="AU45" i="131"/>
  <c r="AV45" i="131" s="1"/>
  <c r="AT45" i="131"/>
  <c r="AO45" i="131"/>
  <c r="N46" i="131"/>
  <c r="AD45" i="131"/>
  <c r="AP45" i="131"/>
  <c r="AI45" i="131"/>
  <c r="AC45" i="131"/>
  <c r="AH45" i="131" s="1"/>
  <c r="I48" i="131"/>
  <c r="K48" i="131"/>
  <c r="AB45" i="131" l="1"/>
  <c r="AG45" i="131" s="1"/>
  <c r="Q46" i="131"/>
  <c r="V46" i="131" s="1"/>
  <c r="M46" i="131"/>
  <c r="L46" i="131" s="1"/>
  <c r="AN46" i="131"/>
  <c r="AS46" i="131" s="1"/>
  <c r="R46" i="131"/>
  <c r="A48" i="131"/>
  <c r="B49" i="131"/>
  <c r="C49" i="131"/>
  <c r="AL45" i="131" l="1"/>
  <c r="AJ45" i="131" s="1"/>
  <c r="AE45" i="131"/>
  <c r="AF45" i="131" s="1"/>
  <c r="AM46" i="131"/>
  <c r="Z46" i="131"/>
  <c r="P46" i="131"/>
  <c r="E49" i="131"/>
  <c r="J49" i="131" s="1"/>
  <c r="X48" i="131"/>
  <c r="Y46" i="131" l="1"/>
  <c r="AC46" i="131" s="1"/>
  <c r="AH46" i="131" s="1"/>
  <c r="AA46" i="131"/>
  <c r="AD46" i="131" s="1"/>
  <c r="U46" i="131"/>
  <c r="S46" i="131"/>
  <c r="T46" i="131" s="1"/>
  <c r="W46" i="131"/>
  <c r="D49" i="131"/>
  <c r="AI46" i="131" l="1"/>
  <c r="AP46" i="131"/>
  <c r="AO46" i="131"/>
  <c r="AB46" i="131"/>
  <c r="N47" i="131"/>
  <c r="AT46" i="131"/>
  <c r="AU46" i="131"/>
  <c r="AV46" i="131" s="1"/>
  <c r="O47" i="131"/>
  <c r="I49" i="131"/>
  <c r="K49" i="131"/>
  <c r="R47" i="131" l="1"/>
  <c r="AN47" i="131"/>
  <c r="AS47" i="131" s="1"/>
  <c r="AE46" i="131"/>
  <c r="AF46" i="131" s="1"/>
  <c r="AG46" i="131"/>
  <c r="AL46" i="131"/>
  <c r="M47" i="131"/>
  <c r="L47" i="131" s="1"/>
  <c r="Q47" i="131"/>
  <c r="V47" i="131" s="1"/>
  <c r="C50" i="131"/>
  <c r="B50" i="131"/>
  <c r="A49" i="131"/>
  <c r="Y47" i="131" l="1"/>
  <c r="AJ46" i="131"/>
  <c r="P47" i="131"/>
  <c r="AM47" i="131"/>
  <c r="Z47" i="131"/>
  <c r="AA47" i="131" s="1"/>
  <c r="X49" i="131"/>
  <c r="E50" i="131"/>
  <c r="J50" i="131" s="1"/>
  <c r="AD47" i="131" l="1"/>
  <c r="AP47" i="131"/>
  <c r="AI47" i="131"/>
  <c r="AC47" i="131"/>
  <c r="AH47" i="131" s="1"/>
  <c r="S47" i="131"/>
  <c r="T47" i="131" s="1"/>
  <c r="U47" i="131"/>
  <c r="W47" i="131"/>
  <c r="D50" i="131"/>
  <c r="AB47" i="131" l="1"/>
  <c r="AO47" i="131"/>
  <c r="N48" i="131"/>
  <c r="AU47" i="131"/>
  <c r="AV47" i="131" s="1"/>
  <c r="AT47" i="131"/>
  <c r="O48" i="131"/>
  <c r="I50" i="131"/>
  <c r="K50" i="131"/>
  <c r="R48" i="131" l="1"/>
  <c r="AN48" i="131"/>
  <c r="AS48" i="131" s="1"/>
  <c r="Q48" i="131"/>
  <c r="V48" i="131" s="1"/>
  <c r="M48" i="131"/>
  <c r="L48" i="131" s="1"/>
  <c r="AG47" i="131"/>
  <c r="AE47" i="131"/>
  <c r="AF47" i="131" s="1"/>
  <c r="AL47" i="131"/>
  <c r="C51" i="131"/>
  <c r="B51" i="131"/>
  <c r="A50" i="131"/>
  <c r="Z48" i="131" l="1"/>
  <c r="AA48" i="131" s="1"/>
  <c r="AM48" i="131"/>
  <c r="Y48" i="131"/>
  <c r="AJ47" i="131"/>
  <c r="P48" i="131"/>
  <c r="X50" i="131"/>
  <c r="E51" i="131"/>
  <c r="J51" i="131" s="1"/>
  <c r="AD48" i="131" l="1"/>
  <c r="AP48" i="131"/>
  <c r="AI48" i="131"/>
  <c r="U48" i="131"/>
  <c r="S48" i="131"/>
  <c r="T48" i="131" s="1"/>
  <c r="W48" i="131"/>
  <c r="AC48" i="131"/>
  <c r="AH48" i="131" s="1"/>
  <c r="D51" i="131"/>
  <c r="AB48" i="131" l="1"/>
  <c r="AL48" i="131" s="1"/>
  <c r="Y49" i="131" s="1"/>
  <c r="AU48" i="131"/>
  <c r="AV48" i="131" s="1"/>
  <c r="AT48" i="131"/>
  <c r="AO48" i="131"/>
  <c r="N49" i="131"/>
  <c r="O49" i="131"/>
  <c r="I51" i="131"/>
  <c r="K51" i="131"/>
  <c r="AE48" i="131" l="1"/>
  <c r="AF48" i="131" s="1"/>
  <c r="AJ48" i="131"/>
  <c r="AG48" i="131"/>
  <c r="R49" i="131"/>
  <c r="AN49" i="131"/>
  <c r="AS49" i="131" s="1"/>
  <c r="M49" i="131"/>
  <c r="L49" i="131" s="1"/>
  <c r="Q49" i="131"/>
  <c r="V49" i="131" s="1"/>
  <c r="B52" i="131"/>
  <c r="A51" i="131"/>
  <c r="C52" i="131"/>
  <c r="P49" i="131" l="1"/>
  <c r="W49" i="131" s="1"/>
  <c r="AU49" i="131" s="1"/>
  <c r="AV49" i="131" s="1"/>
  <c r="Z49" i="131"/>
  <c r="AM49" i="131"/>
  <c r="X51" i="131"/>
  <c r="E52" i="131"/>
  <c r="J52" i="131" s="1"/>
  <c r="S49" i="131" l="1"/>
  <c r="T49" i="131" s="1"/>
  <c r="O50" i="131"/>
  <c r="AN50" i="131" s="1"/>
  <c r="AS50" i="131" s="1"/>
  <c r="AT49" i="131"/>
  <c r="N50" i="131"/>
  <c r="Q50" i="131" s="1"/>
  <c r="V50" i="131" s="1"/>
  <c r="U49" i="131"/>
  <c r="AO49" i="131" s="1"/>
  <c r="AA49" i="131"/>
  <c r="AC49" i="131"/>
  <c r="AH49" i="131" s="1"/>
  <c r="D52" i="131"/>
  <c r="M50" i="131" l="1"/>
  <c r="L50" i="131" s="1"/>
  <c r="AM50" i="131" s="1"/>
  <c r="R50" i="131"/>
  <c r="P50" i="131"/>
  <c r="AD49" i="131"/>
  <c r="AB49" i="131"/>
  <c r="AP49" i="131"/>
  <c r="AI49" i="131"/>
  <c r="I52" i="131"/>
  <c r="K52" i="131"/>
  <c r="Z50" i="131" l="1"/>
  <c r="AG49" i="131"/>
  <c r="AE49" i="131"/>
  <c r="AF49" i="131" s="1"/>
  <c r="AL49" i="131"/>
  <c r="U50" i="131"/>
  <c r="S50" i="131"/>
  <c r="T50" i="131" s="1"/>
  <c r="W50" i="131"/>
  <c r="A52" i="131"/>
  <c r="X52" i="131" s="1"/>
  <c r="B53" i="131"/>
  <c r="E53" i="131" s="1"/>
  <c r="J53" i="131" s="1"/>
  <c r="C53" i="131"/>
  <c r="AT50" i="131" l="1"/>
  <c r="AU50" i="131"/>
  <c r="AV50" i="131" s="1"/>
  <c r="AO50" i="131"/>
  <c r="N51" i="131"/>
  <c r="O51" i="131"/>
  <c r="AA50" i="131"/>
  <c r="Y50" i="131"/>
  <c r="AJ49" i="131"/>
  <c r="D53" i="131"/>
  <c r="I53" i="131" s="1"/>
  <c r="K53" i="131" l="1"/>
  <c r="C54" i="131" s="1"/>
  <c r="AD50" i="131"/>
  <c r="AI50" i="131"/>
  <c r="AP50" i="131"/>
  <c r="R51" i="131"/>
  <c r="AN51" i="131"/>
  <c r="AS51" i="131" s="1"/>
  <c r="M51" i="131"/>
  <c r="L51" i="131" s="1"/>
  <c r="Q51" i="131"/>
  <c r="V51" i="131" s="1"/>
  <c r="AC50" i="131"/>
  <c r="AH50" i="131" s="1"/>
  <c r="B54" i="131" l="1"/>
  <c r="E54" i="131" s="1"/>
  <c r="J54" i="131" s="1"/>
  <c r="A53" i="131"/>
  <c r="X53" i="131" s="1"/>
  <c r="P51" i="131"/>
  <c r="AM51" i="131"/>
  <c r="Z51" i="131"/>
  <c r="AB50" i="131"/>
  <c r="D54" i="131" l="1"/>
  <c r="I54" i="131" s="1"/>
  <c r="AG50" i="131"/>
  <c r="AE50" i="131"/>
  <c r="AF50" i="131" s="1"/>
  <c r="AL50" i="131"/>
  <c r="U51" i="131"/>
  <c r="S51" i="131"/>
  <c r="T51" i="131" s="1"/>
  <c r="W51" i="131"/>
  <c r="K54" i="131" l="1"/>
  <c r="A54" i="131" s="1"/>
  <c r="X54" i="131" s="1"/>
  <c r="AU51" i="131"/>
  <c r="AV51" i="131" s="1"/>
  <c r="AO51" i="131"/>
  <c r="AT51" i="131"/>
  <c r="N52" i="131"/>
  <c r="O52" i="131"/>
  <c r="Y51" i="131"/>
  <c r="AA51" i="131"/>
  <c r="AJ50" i="131"/>
  <c r="B55" i="131" l="1"/>
  <c r="E55" i="131" s="1"/>
  <c r="J55" i="131" s="1"/>
  <c r="C55" i="131"/>
  <c r="AC51" i="131"/>
  <c r="AH51" i="131" s="1"/>
  <c r="AN52" i="131"/>
  <c r="AS52" i="131" s="1"/>
  <c r="R52" i="131"/>
  <c r="M52" i="131"/>
  <c r="L52" i="131" s="1"/>
  <c r="Q52" i="131"/>
  <c r="V52" i="131" s="1"/>
  <c r="AD51" i="131"/>
  <c r="AI51" i="131"/>
  <c r="AP51" i="131"/>
  <c r="D55" i="131" l="1"/>
  <c r="I55" i="131" s="1"/>
  <c r="AB51" i="131"/>
  <c r="AE51" i="131" s="1"/>
  <c r="AF51" i="131" s="1"/>
  <c r="Z52" i="131"/>
  <c r="AM52" i="131"/>
  <c r="P52" i="131"/>
  <c r="K55" i="131" l="1"/>
  <c r="C56" i="131" s="1"/>
  <c r="AL51" i="131"/>
  <c r="AA52" i="131" s="1"/>
  <c r="AD52" i="131" s="1"/>
  <c r="AG51" i="131"/>
  <c r="S52" i="131"/>
  <c r="T52" i="131" s="1"/>
  <c r="U52" i="131"/>
  <c r="W52" i="131"/>
  <c r="A55" i="131" l="1"/>
  <c r="X55" i="131" s="1"/>
  <c r="B56" i="131"/>
  <c r="E56" i="131" s="1"/>
  <c r="J56" i="131" s="1"/>
  <c r="AJ51" i="131"/>
  <c r="Y52" i="131"/>
  <c r="AC52" i="131" s="1"/>
  <c r="AP52" i="131"/>
  <c r="AI52" i="131"/>
  <c r="AT52" i="131"/>
  <c r="O53" i="131"/>
  <c r="AU52" i="131"/>
  <c r="AV52" i="131" s="1"/>
  <c r="N53" i="131"/>
  <c r="AO52" i="131"/>
  <c r="M53" i="131" l="1"/>
  <c r="L53" i="131" s="1"/>
  <c r="Q53" i="131"/>
  <c r="V53" i="131" s="1"/>
  <c r="AH52" i="131"/>
  <c r="AB52" i="131"/>
  <c r="R53" i="131"/>
  <c r="AN53" i="131"/>
  <c r="AS53" i="131" s="1"/>
  <c r="D56" i="131"/>
  <c r="P53" i="131" l="1"/>
  <c r="S53" i="131" s="1"/>
  <c r="T53" i="131" s="1"/>
  <c r="AE52" i="131"/>
  <c r="AF52" i="131" s="1"/>
  <c r="AG52" i="131"/>
  <c r="AL52" i="131"/>
  <c r="Z53" i="131"/>
  <c r="AM53" i="131"/>
  <c r="I56" i="131"/>
  <c r="K56" i="131"/>
  <c r="W53" i="131" l="1"/>
  <c r="AT53" i="131" s="1"/>
  <c r="AA53" i="131"/>
  <c r="AP53" i="131" s="1"/>
  <c r="U53" i="131"/>
  <c r="Y53" i="131"/>
  <c r="AJ52" i="131"/>
  <c r="A56" i="131"/>
  <c r="B57" i="131"/>
  <c r="C57" i="131"/>
  <c r="AD53" i="131" l="1"/>
  <c r="AO53" i="131"/>
  <c r="O54" i="131"/>
  <c r="R54" i="131" s="1"/>
  <c r="AU53" i="131"/>
  <c r="AV53" i="131" s="1"/>
  <c r="N54" i="131"/>
  <c r="M54" i="131" s="1"/>
  <c r="L54" i="131" s="1"/>
  <c r="AI53" i="131"/>
  <c r="AC53" i="131"/>
  <c r="E57" i="131"/>
  <c r="J57" i="131" s="1"/>
  <c r="X56" i="131"/>
  <c r="AN54" i="131" l="1"/>
  <c r="AS54" i="131" s="1"/>
  <c r="Q54" i="131"/>
  <c r="V54" i="131" s="1"/>
  <c r="AM54" i="131"/>
  <c r="Z54" i="131"/>
  <c r="AH53" i="131"/>
  <c r="AB53" i="131"/>
  <c r="D57" i="131"/>
  <c r="P54" i="131" l="1"/>
  <c r="AE53" i="131"/>
  <c r="AF53" i="131" s="1"/>
  <c r="AG53" i="131"/>
  <c r="AL53" i="131"/>
  <c r="I57" i="131"/>
  <c r="K57" i="131"/>
  <c r="S54" i="131" l="1"/>
  <c r="T54" i="131" s="1"/>
  <c r="U54" i="131"/>
  <c r="W54" i="131"/>
  <c r="AA54" i="131"/>
  <c r="Y54" i="131"/>
  <c r="AJ53" i="131"/>
  <c r="C58" i="131"/>
  <c r="B58" i="131"/>
  <c r="A57" i="131"/>
  <c r="O55" i="131" l="1"/>
  <c r="N55" i="131"/>
  <c r="AU54" i="131"/>
  <c r="AV54" i="131" s="1"/>
  <c r="AO54" i="131"/>
  <c r="AT54" i="131"/>
  <c r="AD54" i="131"/>
  <c r="AI54" i="131"/>
  <c r="AP54" i="131"/>
  <c r="AC54" i="131"/>
  <c r="AH54" i="131" s="1"/>
  <c r="X57" i="131"/>
  <c r="E58" i="131"/>
  <c r="J58" i="131" s="1"/>
  <c r="F58" i="131"/>
  <c r="F59" i="131" s="1"/>
  <c r="F60" i="131" s="1"/>
  <c r="F61" i="131" s="1"/>
  <c r="F62" i="131" s="1"/>
  <c r="F63" i="131" s="1"/>
  <c r="F64" i="131" s="1"/>
  <c r="F65" i="131" s="1"/>
  <c r="F66" i="131" s="1"/>
  <c r="F67" i="131" s="1"/>
  <c r="F68" i="131" s="1"/>
  <c r="F69" i="131" s="1"/>
  <c r="F70" i="131" s="1"/>
  <c r="F71" i="131" s="1"/>
  <c r="F72" i="131" s="1"/>
  <c r="F73" i="131" s="1"/>
  <c r="F74" i="131" s="1"/>
  <c r="F75" i="131" s="1"/>
  <c r="F76" i="131" s="1"/>
  <c r="F77" i="131" s="1"/>
  <c r="F78" i="131" s="1"/>
  <c r="F79" i="131" s="1"/>
  <c r="F80" i="131" s="1"/>
  <c r="F81" i="131" s="1"/>
  <c r="F82" i="131" s="1"/>
  <c r="F83" i="131" s="1"/>
  <c r="F84" i="131" s="1"/>
  <c r="F85" i="131" s="1"/>
  <c r="F86" i="131" s="1"/>
  <c r="F87" i="131" s="1"/>
  <c r="F88" i="131" s="1"/>
  <c r="F89" i="131" s="1"/>
  <c r="F90" i="131" s="1"/>
  <c r="F91" i="131" s="1"/>
  <c r="F92" i="131" s="1"/>
  <c r="F93" i="131" s="1"/>
  <c r="F94" i="131" s="1"/>
  <c r="F95" i="131" s="1"/>
  <c r="F96" i="131" s="1"/>
  <c r="F97" i="131" s="1"/>
  <c r="F98" i="131" s="1"/>
  <c r="F99" i="131" s="1"/>
  <c r="F100" i="131" s="1"/>
  <c r="F101" i="131" s="1"/>
  <c r="F102" i="131" s="1"/>
  <c r="F103" i="131" s="1"/>
  <c r="F104" i="131" s="1"/>
  <c r="F105" i="131" s="1"/>
  <c r="F106" i="131" s="1"/>
  <c r="F107" i="131" s="1"/>
  <c r="F108" i="131" s="1"/>
  <c r="F109" i="131" s="1"/>
  <c r="F110" i="131" s="1"/>
  <c r="F111" i="131" s="1"/>
  <c r="F112" i="131" s="1"/>
  <c r="F113" i="131" s="1"/>
  <c r="F114" i="131" s="1"/>
  <c r="F115" i="131" s="1"/>
  <c r="F116" i="131" s="1"/>
  <c r="F117" i="131" s="1"/>
  <c r="F118" i="131" s="1"/>
  <c r="F119" i="131" s="1"/>
  <c r="F120" i="131" s="1"/>
  <c r="F121" i="131" s="1"/>
  <c r="F122" i="131" s="1"/>
  <c r="F123" i="131" s="1"/>
  <c r="F124" i="131" s="1"/>
  <c r="F125" i="131" s="1"/>
  <c r="F126" i="131" s="1"/>
  <c r="F127" i="131" s="1"/>
  <c r="F128" i="131" s="1"/>
  <c r="F129" i="131" s="1"/>
  <c r="F130" i="131" s="1"/>
  <c r="F131" i="131" s="1"/>
  <c r="F132" i="131" s="1"/>
  <c r="F133" i="131" s="1"/>
  <c r="F134" i="131" s="1"/>
  <c r="F135" i="131" s="1"/>
  <c r="F136" i="131" s="1"/>
  <c r="F137" i="131" s="1"/>
  <c r="F138" i="131" s="1"/>
  <c r="F139" i="131" s="1"/>
  <c r="F140" i="131" s="1"/>
  <c r="F141" i="131" s="1"/>
  <c r="F142" i="131" s="1"/>
  <c r="F143" i="131" s="1"/>
  <c r="F144" i="131" s="1"/>
  <c r="F145" i="131" s="1"/>
  <c r="F146" i="131" s="1"/>
  <c r="F147" i="131" s="1"/>
  <c r="F148" i="131" s="1"/>
  <c r="F149" i="131" s="1"/>
  <c r="F150" i="131" s="1"/>
  <c r="F151" i="131" s="1"/>
  <c r="F152" i="131" s="1"/>
  <c r="F153" i="131" s="1"/>
  <c r="F154" i="131" s="1"/>
  <c r="F155" i="131" s="1"/>
  <c r="F156" i="131" s="1"/>
  <c r="F157" i="131" s="1"/>
  <c r="F158" i="131" s="1"/>
  <c r="F159" i="131" s="1"/>
  <c r="F160" i="131" s="1"/>
  <c r="F161" i="131" s="1"/>
  <c r="F162" i="131" s="1"/>
  <c r="F163" i="131" s="1"/>
  <c r="F164" i="131" s="1"/>
  <c r="F165" i="131" s="1"/>
  <c r="F166" i="131" s="1"/>
  <c r="F167" i="131" s="1"/>
  <c r="F168" i="131" s="1"/>
  <c r="F169" i="131" s="1"/>
  <c r="F170" i="131" s="1"/>
  <c r="F171" i="131" s="1"/>
  <c r="F172" i="131" s="1"/>
  <c r="F173" i="131" s="1"/>
  <c r="F174" i="131" s="1"/>
  <c r="F175" i="131" s="1"/>
  <c r="F176" i="131" s="1"/>
  <c r="F177" i="131" s="1"/>
  <c r="F178" i="131" s="1"/>
  <c r="F179" i="131" s="1"/>
  <c r="F180" i="131" s="1"/>
  <c r="F181" i="131" s="1"/>
  <c r="F182" i="131" s="1"/>
  <c r="F183" i="131" s="1"/>
  <c r="F184" i="131" s="1"/>
  <c r="F185" i="131" s="1"/>
  <c r="F186" i="131" s="1"/>
  <c r="F187" i="131" s="1"/>
  <c r="F188" i="131" s="1"/>
  <c r="F189" i="131" s="1"/>
  <c r="F190" i="131" s="1"/>
  <c r="F191" i="131" s="1"/>
  <c r="F192" i="131" s="1"/>
  <c r="F193" i="131" s="1"/>
  <c r="F194" i="131" s="1"/>
  <c r="F195" i="131" s="1"/>
  <c r="F196" i="131" s="1"/>
  <c r="F197" i="131" s="1"/>
  <c r="F198" i="131" s="1"/>
  <c r="F199" i="131" s="1"/>
  <c r="F200" i="131" s="1"/>
  <c r="F201" i="131" s="1"/>
  <c r="F202" i="131" s="1"/>
  <c r="F203" i="131" s="1"/>
  <c r="F204" i="131" s="1"/>
  <c r="F205" i="131" s="1"/>
  <c r="F206" i="131" s="1"/>
  <c r="F207" i="131" s="1"/>
  <c r="F208" i="131" s="1"/>
  <c r="F209" i="131" s="1"/>
  <c r="F210" i="131" s="1"/>
  <c r="F211" i="131" s="1"/>
  <c r="F212" i="131" s="1"/>
  <c r="F213" i="131" s="1"/>
  <c r="F214" i="131" s="1"/>
  <c r="F215" i="131" s="1"/>
  <c r="F216" i="131" s="1"/>
  <c r="F217" i="131" s="1"/>
  <c r="F218" i="131" s="1"/>
  <c r="F219" i="131" s="1"/>
  <c r="F220" i="131" s="1"/>
  <c r="F221" i="131" s="1"/>
  <c r="F222" i="131" s="1"/>
  <c r="F223" i="131" s="1"/>
  <c r="F224" i="131" s="1"/>
  <c r="F225" i="131" s="1"/>
  <c r="F226" i="131" s="1"/>
  <c r="F227" i="131" s="1"/>
  <c r="F228" i="131" s="1"/>
  <c r="F229" i="131" s="1"/>
  <c r="F230" i="131" s="1"/>
  <c r="F231" i="131" s="1"/>
  <c r="F232" i="131" s="1"/>
  <c r="F233" i="131" s="1"/>
  <c r="F234" i="131" s="1"/>
  <c r="F235" i="131" s="1"/>
  <c r="F236" i="131" s="1"/>
  <c r="F237" i="131" s="1"/>
  <c r="F238" i="131" s="1"/>
  <c r="F239" i="131" s="1"/>
  <c r="F240" i="131" s="1"/>
  <c r="F241" i="131" s="1"/>
  <c r="F242" i="131" s="1"/>
  <c r="F243" i="131" s="1"/>
  <c r="F244" i="131" s="1"/>
  <c r="F245" i="131" s="1"/>
  <c r="F246" i="131" s="1"/>
  <c r="F247" i="131" s="1"/>
  <c r="F248" i="131" s="1"/>
  <c r="F249" i="131" s="1"/>
  <c r="F250" i="131" s="1"/>
  <c r="F251" i="131" s="1"/>
  <c r="F252" i="131" s="1"/>
  <c r="F253" i="131" s="1"/>
  <c r="F254" i="131" s="1"/>
  <c r="F255" i="131" s="1"/>
  <c r="F256" i="131" s="1"/>
  <c r="F257" i="131" s="1"/>
  <c r="F258" i="131" s="1"/>
  <c r="F259" i="131" s="1"/>
  <c r="F260" i="131" s="1"/>
  <c r="F261" i="131" s="1"/>
  <c r="F262" i="131" s="1"/>
  <c r="F263" i="131" s="1"/>
  <c r="F264" i="131" s="1"/>
  <c r="F265" i="131" s="1"/>
  <c r="F266" i="131" s="1"/>
  <c r="F267" i="131" s="1"/>
  <c r="F268" i="131" s="1"/>
  <c r="F269" i="131" s="1"/>
  <c r="F270" i="131" s="1"/>
  <c r="F271" i="131" s="1"/>
  <c r="F272" i="131" s="1"/>
  <c r="F273" i="131" s="1"/>
  <c r="F274" i="131" s="1"/>
  <c r="F275" i="131" s="1"/>
  <c r="F276" i="131" s="1"/>
  <c r="F277" i="131" s="1"/>
  <c r="F278" i="131" s="1"/>
  <c r="F279" i="131" s="1"/>
  <c r="F280" i="131" s="1"/>
  <c r="F281" i="131" s="1"/>
  <c r="F282" i="131" s="1"/>
  <c r="F283" i="131" s="1"/>
  <c r="F284" i="131" s="1"/>
  <c r="F285" i="131" s="1"/>
  <c r="F286" i="131" s="1"/>
  <c r="F287" i="131" s="1"/>
  <c r="F288" i="131" s="1"/>
  <c r="F289" i="131" s="1"/>
  <c r="F290" i="131" s="1"/>
  <c r="F291" i="131" s="1"/>
  <c r="F292" i="131" s="1"/>
  <c r="F293" i="131" s="1"/>
  <c r="F294" i="131" s="1"/>
  <c r="F295" i="131" s="1"/>
  <c r="F296" i="131" s="1"/>
  <c r="F297" i="131" s="1"/>
  <c r="F298" i="131" s="1"/>
  <c r="F299" i="131" s="1"/>
  <c r="F300" i="131" s="1"/>
  <c r="F301" i="131" s="1"/>
  <c r="F302" i="131" s="1"/>
  <c r="F303" i="131" s="1"/>
  <c r="F304" i="131" s="1"/>
  <c r="F305" i="131" s="1"/>
  <c r="F306" i="131" s="1"/>
  <c r="F307" i="131" s="1"/>
  <c r="F308" i="131" s="1"/>
  <c r="F309" i="131" s="1"/>
  <c r="F310" i="131" s="1"/>
  <c r="F311" i="131" s="1"/>
  <c r="F312" i="131" s="1"/>
  <c r="F313" i="131" s="1"/>
  <c r="F314" i="131" s="1"/>
  <c r="F315" i="131" s="1"/>
  <c r="F316" i="131" s="1"/>
  <c r="F317" i="131" s="1"/>
  <c r="F318" i="131" s="1"/>
  <c r="F319" i="131" s="1"/>
  <c r="F320" i="131" s="1"/>
  <c r="F321" i="131" s="1"/>
  <c r="F322" i="131" s="1"/>
  <c r="F323" i="131" s="1"/>
  <c r="F324" i="131" s="1"/>
  <c r="F325" i="131" s="1"/>
  <c r="F326" i="131" s="1"/>
  <c r="F327" i="131" s="1"/>
  <c r="F328" i="131" s="1"/>
  <c r="F329" i="131" s="1"/>
  <c r="F330" i="131" s="1"/>
  <c r="F331" i="131" s="1"/>
  <c r="F332" i="131" s="1"/>
  <c r="F333" i="131" s="1"/>
  <c r="F334" i="131" s="1"/>
  <c r="F335" i="131" s="1"/>
  <c r="F336" i="131" s="1"/>
  <c r="F337" i="131" s="1"/>
  <c r="F338" i="131" s="1"/>
  <c r="F339" i="131" s="1"/>
  <c r="F340" i="131" s="1"/>
  <c r="F341" i="131" s="1"/>
  <c r="F342" i="131" s="1"/>
  <c r="F343" i="131" s="1"/>
  <c r="F344" i="131" s="1"/>
  <c r="F345" i="131" s="1"/>
  <c r="F346" i="131" s="1"/>
  <c r="F347" i="131" s="1"/>
  <c r="F348" i="131" s="1"/>
  <c r="F349" i="131" s="1"/>
  <c r="F350" i="131" s="1"/>
  <c r="F351" i="131" s="1"/>
  <c r="F352" i="131" s="1"/>
  <c r="F353" i="131" s="1"/>
  <c r="F354" i="131" s="1"/>
  <c r="F355" i="131" s="1"/>
  <c r="F356" i="131" s="1"/>
  <c r="F357" i="131" s="1"/>
  <c r="F358" i="131" s="1"/>
  <c r="F359" i="131" s="1"/>
  <c r="F360" i="131" s="1"/>
  <c r="F361" i="131" s="1"/>
  <c r="F362" i="131" s="1"/>
  <c r="F363" i="131" s="1"/>
  <c r="F364" i="131" s="1"/>
  <c r="F365" i="131" s="1"/>
  <c r="F366" i="131" s="1"/>
  <c r="F367" i="131" s="1"/>
  <c r="F368" i="131" s="1"/>
  <c r="F369" i="131" s="1"/>
  <c r="F370" i="131" s="1"/>
  <c r="F371" i="131" s="1"/>
  <c r="F372" i="131" s="1"/>
  <c r="F373" i="131" s="1"/>
  <c r="F374" i="131" s="1"/>
  <c r="F375" i="131" s="1"/>
  <c r="F376" i="131" s="1"/>
  <c r="F377" i="131" s="1"/>
  <c r="F378" i="131" s="1"/>
  <c r="F379" i="131" s="1"/>
  <c r="F380" i="131" s="1"/>
  <c r="F381" i="131" s="1"/>
  <c r="F382" i="131" s="1"/>
  <c r="F383" i="131" s="1"/>
  <c r="F384" i="131" s="1"/>
  <c r="F385" i="131" s="1"/>
  <c r="F386" i="131" s="1"/>
  <c r="F387" i="131" s="1"/>
  <c r="F388" i="131" s="1"/>
  <c r="F389" i="131" s="1"/>
  <c r="F390" i="131" s="1"/>
  <c r="F391" i="131" s="1"/>
  <c r="F392" i="131" s="1"/>
  <c r="F393" i="131" s="1"/>
  <c r="F394" i="131" s="1"/>
  <c r="F395" i="131" s="1"/>
  <c r="F396" i="131" s="1"/>
  <c r="F397" i="131" s="1"/>
  <c r="F398" i="131" s="1"/>
  <c r="F399" i="131" s="1"/>
  <c r="F400" i="131" s="1"/>
  <c r="F401" i="131" s="1"/>
  <c r="F402" i="131" s="1"/>
  <c r="F403" i="131" s="1"/>
  <c r="F404" i="131" s="1"/>
  <c r="F405" i="131" s="1"/>
  <c r="F406" i="131" s="1"/>
  <c r="F407" i="131" s="1"/>
  <c r="F408" i="131" s="1"/>
  <c r="F409" i="131" s="1"/>
  <c r="F410" i="131" s="1"/>
  <c r="F411" i="131" s="1"/>
  <c r="F412" i="131" s="1"/>
  <c r="F413" i="131" s="1"/>
  <c r="F414" i="131" s="1"/>
  <c r="F415" i="131" s="1"/>
  <c r="F416" i="131" s="1"/>
  <c r="F417" i="131" s="1"/>
  <c r="F418" i="131" s="1"/>
  <c r="F419" i="131" s="1"/>
  <c r="F420" i="131" s="1"/>
  <c r="F421" i="131" s="1"/>
  <c r="F422" i="131" s="1"/>
  <c r="F423" i="131" s="1"/>
  <c r="F424" i="131" s="1"/>
  <c r="F425" i="131" s="1"/>
  <c r="F426" i="131" s="1"/>
  <c r="F427" i="131" s="1"/>
  <c r="F428" i="131" s="1"/>
  <c r="F429" i="131" s="1"/>
  <c r="F430" i="131" s="1"/>
  <c r="F431" i="131" s="1"/>
  <c r="F432" i="131" s="1"/>
  <c r="F433" i="131" s="1"/>
  <c r="F434" i="131" s="1"/>
  <c r="F435" i="131" s="1"/>
  <c r="F436" i="131" s="1"/>
  <c r="F437" i="131" s="1"/>
  <c r="F438" i="131" s="1"/>
  <c r="F439" i="131" s="1"/>
  <c r="F440" i="131" s="1"/>
  <c r="F441" i="131" s="1"/>
  <c r="F442" i="131" s="1"/>
  <c r="F443" i="131" s="1"/>
  <c r="F444" i="131" s="1"/>
  <c r="F445" i="131" s="1"/>
  <c r="F446" i="131" s="1"/>
  <c r="F447" i="131" s="1"/>
  <c r="F448" i="131" s="1"/>
  <c r="F449" i="131" s="1"/>
  <c r="F450" i="131" s="1"/>
  <c r="F451" i="131" s="1"/>
  <c r="F452" i="131" s="1"/>
  <c r="F453" i="131" s="1"/>
  <c r="F454" i="131" s="1"/>
  <c r="F455" i="131" s="1"/>
  <c r="F456" i="131" s="1"/>
  <c r="F457" i="131" s="1"/>
  <c r="F458" i="131" s="1"/>
  <c r="F459" i="131" s="1"/>
  <c r="F460" i="131" s="1"/>
  <c r="F461" i="131" s="1"/>
  <c r="F462" i="131" s="1"/>
  <c r="F463" i="131" s="1"/>
  <c r="F464" i="131" s="1"/>
  <c r="F465" i="131" s="1"/>
  <c r="F466" i="131" s="1"/>
  <c r="F467" i="131" s="1"/>
  <c r="F468" i="131" s="1"/>
  <c r="F469" i="131" s="1"/>
  <c r="F470" i="131" s="1"/>
  <c r="F471" i="131" s="1"/>
  <c r="F472" i="131" s="1"/>
  <c r="F473" i="131" s="1"/>
  <c r="F474" i="131" s="1"/>
  <c r="F475" i="131" s="1"/>
  <c r="F476" i="131" s="1"/>
  <c r="F477" i="131" s="1"/>
  <c r="F478" i="131" s="1"/>
  <c r="F479" i="131" s="1"/>
  <c r="F480" i="131" s="1"/>
  <c r="F481" i="131" s="1"/>
  <c r="F482" i="131" s="1"/>
  <c r="F483" i="131" s="1"/>
  <c r="F484" i="131" s="1"/>
  <c r="F485" i="131" s="1"/>
  <c r="F486" i="131" s="1"/>
  <c r="F487" i="131" s="1"/>
  <c r="F488" i="131" s="1"/>
  <c r="F489" i="131" s="1"/>
  <c r="F490" i="131" s="1"/>
  <c r="F491" i="131" s="1"/>
  <c r="M55" i="131" l="1"/>
  <c r="L55" i="131" s="1"/>
  <c r="Q55" i="131"/>
  <c r="R55" i="131"/>
  <c r="AN55" i="131"/>
  <c r="AS55" i="131" s="1"/>
  <c r="AB54" i="131"/>
  <c r="D58" i="131"/>
  <c r="V55" i="131" l="1"/>
  <c r="P55" i="131"/>
  <c r="AM55" i="131"/>
  <c r="Z55" i="131"/>
  <c r="AE54" i="131"/>
  <c r="AF54" i="131" s="1"/>
  <c r="AG54" i="131"/>
  <c r="AL54" i="131"/>
  <c r="G58" i="131"/>
  <c r="G59" i="131" s="1"/>
  <c r="G60" i="131" s="1"/>
  <c r="G61" i="131" s="1"/>
  <c r="G62" i="131" s="1"/>
  <c r="G63" i="131" s="1"/>
  <c r="G64" i="131" s="1"/>
  <c r="G65" i="131" s="1"/>
  <c r="G66" i="131" s="1"/>
  <c r="G67" i="131" s="1"/>
  <c r="G68" i="131" s="1"/>
  <c r="G69" i="131" s="1"/>
  <c r="G70" i="131" s="1"/>
  <c r="G71" i="131" s="1"/>
  <c r="G72" i="131" s="1"/>
  <c r="G73" i="131" s="1"/>
  <c r="G74" i="131" s="1"/>
  <c r="G75" i="131" s="1"/>
  <c r="G76" i="131" s="1"/>
  <c r="G77" i="131" s="1"/>
  <c r="G78" i="131" s="1"/>
  <c r="G79" i="131" s="1"/>
  <c r="G80" i="131" s="1"/>
  <c r="G81" i="131" s="1"/>
  <c r="G82" i="131" s="1"/>
  <c r="G83" i="131" s="1"/>
  <c r="G84" i="131" s="1"/>
  <c r="G85" i="131" s="1"/>
  <c r="G86" i="131" s="1"/>
  <c r="G87" i="131" s="1"/>
  <c r="G88" i="131" s="1"/>
  <c r="G89" i="131" s="1"/>
  <c r="G90" i="131" s="1"/>
  <c r="G91" i="131" s="1"/>
  <c r="G92" i="131" s="1"/>
  <c r="G93" i="131" s="1"/>
  <c r="G94" i="131" s="1"/>
  <c r="G95" i="131" s="1"/>
  <c r="G96" i="131" s="1"/>
  <c r="G97" i="131" s="1"/>
  <c r="G98" i="131" s="1"/>
  <c r="G99" i="131" s="1"/>
  <c r="G100" i="131" s="1"/>
  <c r="G101" i="131" s="1"/>
  <c r="G102" i="131" s="1"/>
  <c r="G103" i="131" s="1"/>
  <c r="G104" i="131" s="1"/>
  <c r="G105" i="131" s="1"/>
  <c r="G106" i="131" s="1"/>
  <c r="G107" i="131" s="1"/>
  <c r="G108" i="131" s="1"/>
  <c r="G109" i="131" s="1"/>
  <c r="G110" i="131" s="1"/>
  <c r="G111" i="131" s="1"/>
  <c r="G112" i="131" s="1"/>
  <c r="G113" i="131" s="1"/>
  <c r="G114" i="131" s="1"/>
  <c r="G115" i="131" s="1"/>
  <c r="G116" i="131" s="1"/>
  <c r="G117" i="131" s="1"/>
  <c r="G118" i="131" s="1"/>
  <c r="G119" i="131" s="1"/>
  <c r="G120" i="131" s="1"/>
  <c r="G121" i="131" s="1"/>
  <c r="G122" i="131" s="1"/>
  <c r="G123" i="131" s="1"/>
  <c r="G124" i="131" s="1"/>
  <c r="G125" i="131" s="1"/>
  <c r="G126" i="131" s="1"/>
  <c r="G127" i="131" s="1"/>
  <c r="G128" i="131" s="1"/>
  <c r="G129" i="131" s="1"/>
  <c r="G130" i="131" s="1"/>
  <c r="G131" i="131" s="1"/>
  <c r="G132" i="131" s="1"/>
  <c r="G133" i="131" s="1"/>
  <c r="G134" i="131" s="1"/>
  <c r="G135" i="131" s="1"/>
  <c r="G136" i="131" s="1"/>
  <c r="G137" i="131" s="1"/>
  <c r="G138" i="131" s="1"/>
  <c r="G139" i="131" s="1"/>
  <c r="G140" i="131" s="1"/>
  <c r="G141" i="131" s="1"/>
  <c r="G142" i="131" s="1"/>
  <c r="G143" i="131" s="1"/>
  <c r="G144" i="131" s="1"/>
  <c r="G145" i="131" s="1"/>
  <c r="G146" i="131" s="1"/>
  <c r="G147" i="131" s="1"/>
  <c r="G148" i="131" s="1"/>
  <c r="G149" i="131" s="1"/>
  <c r="G150" i="131" s="1"/>
  <c r="G151" i="131" s="1"/>
  <c r="G152" i="131" s="1"/>
  <c r="G153" i="131" s="1"/>
  <c r="G154" i="131" s="1"/>
  <c r="G155" i="131" s="1"/>
  <c r="G156" i="131" s="1"/>
  <c r="G157" i="131" s="1"/>
  <c r="G158" i="131" s="1"/>
  <c r="G159" i="131" s="1"/>
  <c r="G160" i="131" s="1"/>
  <c r="G161" i="131" s="1"/>
  <c r="G162" i="131" s="1"/>
  <c r="G163" i="131" s="1"/>
  <c r="G164" i="131" s="1"/>
  <c r="G165" i="131" s="1"/>
  <c r="G166" i="131" s="1"/>
  <c r="G167" i="131" s="1"/>
  <c r="G168" i="131" s="1"/>
  <c r="G169" i="131" s="1"/>
  <c r="G170" i="131" s="1"/>
  <c r="G171" i="131" s="1"/>
  <c r="G172" i="131" s="1"/>
  <c r="G173" i="131" s="1"/>
  <c r="G174" i="131" s="1"/>
  <c r="G175" i="131" s="1"/>
  <c r="G176" i="131" s="1"/>
  <c r="G177" i="131" s="1"/>
  <c r="G178" i="131" s="1"/>
  <c r="G179" i="131" s="1"/>
  <c r="G180" i="131" s="1"/>
  <c r="G181" i="131" s="1"/>
  <c r="G182" i="131" s="1"/>
  <c r="G183" i="131" s="1"/>
  <c r="G184" i="131" s="1"/>
  <c r="G185" i="131" s="1"/>
  <c r="G186" i="131" s="1"/>
  <c r="G187" i="131" s="1"/>
  <c r="G188" i="131" s="1"/>
  <c r="G189" i="131" s="1"/>
  <c r="G190" i="131" s="1"/>
  <c r="G191" i="131" s="1"/>
  <c r="G192" i="131" s="1"/>
  <c r="G193" i="131" s="1"/>
  <c r="G194" i="131" s="1"/>
  <c r="G195" i="131" s="1"/>
  <c r="G196" i="131" s="1"/>
  <c r="G197" i="131" s="1"/>
  <c r="G198" i="131" s="1"/>
  <c r="G199" i="131" s="1"/>
  <c r="G200" i="131" s="1"/>
  <c r="G201" i="131" s="1"/>
  <c r="G202" i="131" s="1"/>
  <c r="G203" i="131" s="1"/>
  <c r="G204" i="131" s="1"/>
  <c r="G205" i="131" s="1"/>
  <c r="G206" i="131" s="1"/>
  <c r="G207" i="131" s="1"/>
  <c r="G208" i="131" s="1"/>
  <c r="G209" i="131" s="1"/>
  <c r="G210" i="131" s="1"/>
  <c r="G211" i="131" s="1"/>
  <c r="G212" i="131" s="1"/>
  <c r="G213" i="131" s="1"/>
  <c r="G214" i="131" s="1"/>
  <c r="G215" i="131" s="1"/>
  <c r="G216" i="131" s="1"/>
  <c r="G217" i="131" s="1"/>
  <c r="G218" i="131" s="1"/>
  <c r="G219" i="131" s="1"/>
  <c r="G220" i="131" s="1"/>
  <c r="G221" i="131" s="1"/>
  <c r="G222" i="131" s="1"/>
  <c r="G223" i="131" s="1"/>
  <c r="G224" i="131" s="1"/>
  <c r="G225" i="131" s="1"/>
  <c r="G226" i="131" s="1"/>
  <c r="G227" i="131" s="1"/>
  <c r="G228" i="131" s="1"/>
  <c r="G229" i="131" s="1"/>
  <c r="G230" i="131" s="1"/>
  <c r="G231" i="131" s="1"/>
  <c r="G232" i="131" s="1"/>
  <c r="G233" i="131" s="1"/>
  <c r="G234" i="131" s="1"/>
  <c r="G235" i="131" s="1"/>
  <c r="G236" i="131" s="1"/>
  <c r="G237" i="131" s="1"/>
  <c r="G238" i="131" s="1"/>
  <c r="G239" i="131" s="1"/>
  <c r="G240" i="131" s="1"/>
  <c r="G241" i="131" s="1"/>
  <c r="G242" i="131" s="1"/>
  <c r="G243" i="131" s="1"/>
  <c r="G244" i="131" s="1"/>
  <c r="G245" i="131" s="1"/>
  <c r="G246" i="131" s="1"/>
  <c r="G247" i="131" s="1"/>
  <c r="G248" i="131" s="1"/>
  <c r="G249" i="131" s="1"/>
  <c r="G250" i="131" s="1"/>
  <c r="G251" i="131" s="1"/>
  <c r="G252" i="131" s="1"/>
  <c r="G253" i="131" s="1"/>
  <c r="G254" i="131" s="1"/>
  <c r="G255" i="131" s="1"/>
  <c r="G256" i="131" s="1"/>
  <c r="G257" i="131" s="1"/>
  <c r="G258" i="131" s="1"/>
  <c r="G259" i="131" s="1"/>
  <c r="G260" i="131" s="1"/>
  <c r="G261" i="131" s="1"/>
  <c r="G262" i="131" s="1"/>
  <c r="G263" i="131" s="1"/>
  <c r="G264" i="131" s="1"/>
  <c r="G265" i="131" s="1"/>
  <c r="G266" i="131" s="1"/>
  <c r="G267" i="131" s="1"/>
  <c r="G268" i="131" s="1"/>
  <c r="G269" i="131" s="1"/>
  <c r="G270" i="131" s="1"/>
  <c r="G271" i="131" s="1"/>
  <c r="G272" i="131" s="1"/>
  <c r="G273" i="131" s="1"/>
  <c r="G274" i="131" s="1"/>
  <c r="G275" i="131" s="1"/>
  <c r="G276" i="131" s="1"/>
  <c r="G277" i="131" s="1"/>
  <c r="G278" i="131" s="1"/>
  <c r="G279" i="131" s="1"/>
  <c r="G280" i="131" s="1"/>
  <c r="G281" i="131" s="1"/>
  <c r="G282" i="131" s="1"/>
  <c r="G283" i="131" s="1"/>
  <c r="G284" i="131" s="1"/>
  <c r="G285" i="131" s="1"/>
  <c r="G286" i="131" s="1"/>
  <c r="G287" i="131" s="1"/>
  <c r="G288" i="131" s="1"/>
  <c r="G289" i="131" s="1"/>
  <c r="G290" i="131" s="1"/>
  <c r="G291" i="131" s="1"/>
  <c r="G292" i="131" s="1"/>
  <c r="G293" i="131" s="1"/>
  <c r="G294" i="131" s="1"/>
  <c r="G295" i="131" s="1"/>
  <c r="G296" i="131" s="1"/>
  <c r="G297" i="131" s="1"/>
  <c r="G298" i="131" s="1"/>
  <c r="G299" i="131" s="1"/>
  <c r="G300" i="131" s="1"/>
  <c r="G301" i="131" s="1"/>
  <c r="G302" i="131" s="1"/>
  <c r="G303" i="131" s="1"/>
  <c r="G304" i="131" s="1"/>
  <c r="G305" i="131" s="1"/>
  <c r="G306" i="131" s="1"/>
  <c r="G307" i="131" s="1"/>
  <c r="G308" i="131" s="1"/>
  <c r="G309" i="131" s="1"/>
  <c r="G310" i="131" s="1"/>
  <c r="G311" i="131" s="1"/>
  <c r="G312" i="131" s="1"/>
  <c r="G313" i="131" s="1"/>
  <c r="G314" i="131" s="1"/>
  <c r="G315" i="131" s="1"/>
  <c r="G316" i="131" s="1"/>
  <c r="G317" i="131" s="1"/>
  <c r="G318" i="131" s="1"/>
  <c r="G319" i="131" s="1"/>
  <c r="G320" i="131" s="1"/>
  <c r="G321" i="131" s="1"/>
  <c r="G322" i="131" s="1"/>
  <c r="G323" i="131" s="1"/>
  <c r="G324" i="131" s="1"/>
  <c r="G325" i="131" s="1"/>
  <c r="G326" i="131" s="1"/>
  <c r="G327" i="131" s="1"/>
  <c r="G328" i="131" s="1"/>
  <c r="G329" i="131" s="1"/>
  <c r="G330" i="131" s="1"/>
  <c r="G331" i="131" s="1"/>
  <c r="G332" i="131" s="1"/>
  <c r="G333" i="131" s="1"/>
  <c r="G334" i="131" s="1"/>
  <c r="G335" i="131" s="1"/>
  <c r="G336" i="131" s="1"/>
  <c r="G337" i="131" s="1"/>
  <c r="G338" i="131" s="1"/>
  <c r="G339" i="131" s="1"/>
  <c r="G340" i="131" s="1"/>
  <c r="G341" i="131" s="1"/>
  <c r="G342" i="131" s="1"/>
  <c r="G343" i="131" s="1"/>
  <c r="G344" i="131" s="1"/>
  <c r="G345" i="131" s="1"/>
  <c r="G346" i="131" s="1"/>
  <c r="G347" i="131" s="1"/>
  <c r="G348" i="131" s="1"/>
  <c r="G349" i="131" s="1"/>
  <c r="G350" i="131" s="1"/>
  <c r="G351" i="131" s="1"/>
  <c r="G352" i="131" s="1"/>
  <c r="G353" i="131" s="1"/>
  <c r="G354" i="131" s="1"/>
  <c r="G355" i="131" s="1"/>
  <c r="G356" i="131" s="1"/>
  <c r="G357" i="131" s="1"/>
  <c r="G358" i="131" s="1"/>
  <c r="G359" i="131" s="1"/>
  <c r="G360" i="131" s="1"/>
  <c r="G361" i="131" s="1"/>
  <c r="G362" i="131" s="1"/>
  <c r="G363" i="131" s="1"/>
  <c r="G364" i="131" s="1"/>
  <c r="G365" i="131" s="1"/>
  <c r="G366" i="131" s="1"/>
  <c r="G367" i="131" s="1"/>
  <c r="G368" i="131" s="1"/>
  <c r="G369" i="131" s="1"/>
  <c r="G370" i="131" s="1"/>
  <c r="G371" i="131" s="1"/>
  <c r="G372" i="131" s="1"/>
  <c r="G373" i="131" s="1"/>
  <c r="G374" i="131" s="1"/>
  <c r="G375" i="131" s="1"/>
  <c r="G376" i="131" s="1"/>
  <c r="G377" i="131" s="1"/>
  <c r="G378" i="131" s="1"/>
  <c r="G379" i="131" s="1"/>
  <c r="G380" i="131" s="1"/>
  <c r="G381" i="131" s="1"/>
  <c r="G382" i="131" s="1"/>
  <c r="G383" i="131" s="1"/>
  <c r="G384" i="131" s="1"/>
  <c r="G385" i="131" s="1"/>
  <c r="G386" i="131" s="1"/>
  <c r="G387" i="131" s="1"/>
  <c r="G388" i="131" s="1"/>
  <c r="G389" i="131" s="1"/>
  <c r="G390" i="131" s="1"/>
  <c r="G391" i="131" s="1"/>
  <c r="G392" i="131" s="1"/>
  <c r="G393" i="131" s="1"/>
  <c r="G394" i="131" s="1"/>
  <c r="G395" i="131" s="1"/>
  <c r="G396" i="131" s="1"/>
  <c r="G397" i="131" s="1"/>
  <c r="G398" i="131" s="1"/>
  <c r="G399" i="131" s="1"/>
  <c r="G400" i="131" s="1"/>
  <c r="G401" i="131" s="1"/>
  <c r="G402" i="131" s="1"/>
  <c r="G403" i="131" s="1"/>
  <c r="G404" i="131" s="1"/>
  <c r="G405" i="131" s="1"/>
  <c r="G406" i="131" s="1"/>
  <c r="G407" i="131" s="1"/>
  <c r="G408" i="131" s="1"/>
  <c r="G409" i="131" s="1"/>
  <c r="G410" i="131" s="1"/>
  <c r="G411" i="131" s="1"/>
  <c r="G412" i="131" s="1"/>
  <c r="G413" i="131" s="1"/>
  <c r="G414" i="131" s="1"/>
  <c r="G415" i="131" s="1"/>
  <c r="G416" i="131" s="1"/>
  <c r="G417" i="131" s="1"/>
  <c r="G418" i="131" s="1"/>
  <c r="G419" i="131" s="1"/>
  <c r="G420" i="131" s="1"/>
  <c r="G421" i="131" s="1"/>
  <c r="G422" i="131" s="1"/>
  <c r="G423" i="131" s="1"/>
  <c r="G424" i="131" s="1"/>
  <c r="G425" i="131" s="1"/>
  <c r="G426" i="131" s="1"/>
  <c r="G427" i="131" s="1"/>
  <c r="G428" i="131" s="1"/>
  <c r="G429" i="131" s="1"/>
  <c r="G430" i="131" s="1"/>
  <c r="G431" i="131" s="1"/>
  <c r="G432" i="131" s="1"/>
  <c r="G433" i="131" s="1"/>
  <c r="G434" i="131" s="1"/>
  <c r="G435" i="131" s="1"/>
  <c r="G436" i="131" s="1"/>
  <c r="G437" i="131" s="1"/>
  <c r="G438" i="131" s="1"/>
  <c r="G439" i="131" s="1"/>
  <c r="G440" i="131" s="1"/>
  <c r="G441" i="131" s="1"/>
  <c r="G442" i="131" s="1"/>
  <c r="G443" i="131" s="1"/>
  <c r="G444" i="131" s="1"/>
  <c r="G445" i="131" s="1"/>
  <c r="G446" i="131" s="1"/>
  <c r="G447" i="131" s="1"/>
  <c r="G448" i="131" s="1"/>
  <c r="G449" i="131" s="1"/>
  <c r="G450" i="131" s="1"/>
  <c r="G451" i="131" s="1"/>
  <c r="G452" i="131" s="1"/>
  <c r="G453" i="131" s="1"/>
  <c r="G454" i="131" s="1"/>
  <c r="G455" i="131" s="1"/>
  <c r="G456" i="131" s="1"/>
  <c r="G457" i="131" s="1"/>
  <c r="G458" i="131" s="1"/>
  <c r="G459" i="131" s="1"/>
  <c r="G460" i="131" s="1"/>
  <c r="G461" i="131" s="1"/>
  <c r="G462" i="131" s="1"/>
  <c r="G463" i="131" s="1"/>
  <c r="G464" i="131" s="1"/>
  <c r="G465" i="131" s="1"/>
  <c r="G466" i="131" s="1"/>
  <c r="G467" i="131" s="1"/>
  <c r="G468" i="131" s="1"/>
  <c r="G469" i="131" s="1"/>
  <c r="G470" i="131" s="1"/>
  <c r="G471" i="131" s="1"/>
  <c r="G472" i="131" s="1"/>
  <c r="G473" i="131" s="1"/>
  <c r="G474" i="131" s="1"/>
  <c r="G475" i="131" s="1"/>
  <c r="G476" i="131" s="1"/>
  <c r="G477" i="131" s="1"/>
  <c r="G478" i="131" s="1"/>
  <c r="G479" i="131" s="1"/>
  <c r="G480" i="131" s="1"/>
  <c r="G481" i="131" s="1"/>
  <c r="G482" i="131" s="1"/>
  <c r="G483" i="131" s="1"/>
  <c r="G484" i="131" s="1"/>
  <c r="G485" i="131" s="1"/>
  <c r="G486" i="131" s="1"/>
  <c r="G487" i="131" s="1"/>
  <c r="G488" i="131" s="1"/>
  <c r="G489" i="131" s="1"/>
  <c r="G490" i="131" s="1"/>
  <c r="G491" i="131" s="1"/>
  <c r="I58" i="131"/>
  <c r="K58" i="131"/>
  <c r="U55" i="131" l="1"/>
  <c r="S55" i="131"/>
  <c r="T55" i="131" s="1"/>
  <c r="W55" i="131"/>
  <c r="Y55" i="131"/>
  <c r="AC55" i="131" s="1"/>
  <c r="AH55" i="131" s="1"/>
  <c r="AA55" i="131"/>
  <c r="AJ54" i="131"/>
  <c r="C59" i="131"/>
  <c r="A58" i="131"/>
  <c r="B59" i="131"/>
  <c r="H58" i="131"/>
  <c r="H59" i="131" s="1"/>
  <c r="N56" i="131" l="1"/>
  <c r="AT55" i="131"/>
  <c r="AU55" i="131"/>
  <c r="AV55" i="131" s="1"/>
  <c r="O56" i="131"/>
  <c r="AO55" i="131"/>
  <c r="AD55" i="131"/>
  <c r="AB55" i="131"/>
  <c r="AI55" i="131"/>
  <c r="AP55" i="131"/>
  <c r="E59" i="131"/>
  <c r="J59" i="131" s="1"/>
  <c r="X58" i="131"/>
  <c r="AN56" i="131" l="1"/>
  <c r="AS56" i="131" s="1"/>
  <c r="R56" i="131"/>
  <c r="Q56" i="131"/>
  <c r="M56" i="131"/>
  <c r="L56" i="131" s="1"/>
  <c r="AL55" i="131"/>
  <c r="AG55" i="131"/>
  <c r="AE55" i="131"/>
  <c r="AF55" i="131" s="1"/>
  <c r="D59" i="131"/>
  <c r="I59" i="131" s="1"/>
  <c r="Z56" i="131" l="1"/>
  <c r="AA56" i="131" s="1"/>
  <c r="AM56" i="131"/>
  <c r="V56" i="131"/>
  <c r="P56" i="131"/>
  <c r="K59" i="131"/>
  <c r="A59" i="131" s="1"/>
  <c r="Y56" i="131"/>
  <c r="AJ55" i="131"/>
  <c r="B60" i="131" l="1"/>
  <c r="E60" i="131" s="1"/>
  <c r="J60" i="131" s="1"/>
  <c r="C60" i="131"/>
  <c r="U56" i="131"/>
  <c r="S56" i="131"/>
  <c r="T56" i="131" s="1"/>
  <c r="W56" i="131"/>
  <c r="AC56" i="131"/>
  <c r="AH56" i="131" s="1"/>
  <c r="AD56" i="131"/>
  <c r="AP56" i="131"/>
  <c r="AI56" i="131"/>
  <c r="X59" i="131"/>
  <c r="AT56" i="131" l="1"/>
  <c r="N57" i="131"/>
  <c r="O57" i="131"/>
  <c r="AU56" i="131"/>
  <c r="AV56" i="131" s="1"/>
  <c r="AO56" i="131"/>
  <c r="AB56" i="131"/>
  <c r="AL56" i="131" s="1"/>
  <c r="Y57" i="131" s="1"/>
  <c r="D60" i="131"/>
  <c r="AN57" i="131" l="1"/>
  <c r="AS57" i="131" s="1"/>
  <c r="R57" i="131"/>
  <c r="AG56" i="131"/>
  <c r="M57" i="131"/>
  <c r="L57" i="131" s="1"/>
  <c r="Q57" i="131"/>
  <c r="V57" i="131" s="1"/>
  <c r="AJ56" i="131"/>
  <c r="AE56" i="131"/>
  <c r="AF56" i="131" s="1"/>
  <c r="I60" i="131"/>
  <c r="H60" i="131"/>
  <c r="K60" i="131"/>
  <c r="Z57" i="131" l="1"/>
  <c r="AM57" i="131"/>
  <c r="P57" i="131"/>
  <c r="C61" i="131"/>
  <c r="A60" i="131"/>
  <c r="B61" i="131"/>
  <c r="S57" i="131" l="1"/>
  <c r="T57" i="131" s="1"/>
  <c r="W57" i="131"/>
  <c r="U57" i="131"/>
  <c r="AC57" i="131"/>
  <c r="AH57" i="131" s="1"/>
  <c r="AA57" i="131"/>
  <c r="X60" i="131"/>
  <c r="E61" i="131"/>
  <c r="J61" i="131" s="1"/>
  <c r="AB57" i="131" l="1"/>
  <c r="AD57" i="131"/>
  <c r="AI57" i="131"/>
  <c r="AP57" i="131"/>
  <c r="AT57" i="131"/>
  <c r="AO57" i="131"/>
  <c r="AU57" i="131"/>
  <c r="AV57" i="131" s="1"/>
  <c r="N58" i="131"/>
  <c r="O58" i="131"/>
  <c r="D61" i="131"/>
  <c r="Q58" i="131" l="1"/>
  <c r="V58" i="131" s="1"/>
  <c r="M58" i="131"/>
  <c r="L58" i="131" s="1"/>
  <c r="AN58" i="131"/>
  <c r="AS58" i="131" s="1"/>
  <c r="R58" i="131"/>
  <c r="AL57" i="131"/>
  <c r="AG57" i="131"/>
  <c r="AE57" i="131"/>
  <c r="AF57" i="131" s="1"/>
  <c r="H61" i="131"/>
  <c r="I61" i="131"/>
  <c r="K61" i="131"/>
  <c r="Y58" i="131" l="1"/>
  <c r="AJ57" i="131"/>
  <c r="P58" i="131"/>
  <c r="Z58" i="131"/>
  <c r="AA58" i="131" s="1"/>
  <c r="AM58" i="131"/>
  <c r="B62" i="131"/>
  <c r="A61" i="131"/>
  <c r="C62" i="131"/>
  <c r="AP58" i="131" l="1"/>
  <c r="AD58" i="131"/>
  <c r="AI58" i="131"/>
  <c r="W58" i="131"/>
  <c r="U58" i="131"/>
  <c r="S58" i="131"/>
  <c r="T58" i="131" s="1"/>
  <c r="AC58" i="131"/>
  <c r="AH58" i="131" s="1"/>
  <c r="X61" i="131"/>
  <c r="E62" i="131"/>
  <c r="J62" i="131" s="1"/>
  <c r="AB58" i="131" l="1"/>
  <c r="AU58" i="131"/>
  <c r="AV58" i="131" s="1"/>
  <c r="N59" i="131"/>
  <c r="AT58" i="131"/>
  <c r="O59" i="131"/>
  <c r="AO58" i="131"/>
  <c r="D62" i="131"/>
  <c r="AN59" i="131" l="1"/>
  <c r="AS59" i="131" s="1"/>
  <c r="R59" i="131"/>
  <c r="Q59" i="131"/>
  <c r="V59" i="131" s="1"/>
  <c r="M59" i="131"/>
  <c r="L59" i="131" s="1"/>
  <c r="AL58" i="131"/>
  <c r="AE58" i="131"/>
  <c r="AF58" i="131" s="1"/>
  <c r="AG58" i="131"/>
  <c r="H62" i="131"/>
  <c r="I62" i="131"/>
  <c r="K62" i="131"/>
  <c r="AM59" i="131" l="1"/>
  <c r="Z59" i="131"/>
  <c r="AA59" i="131" s="1"/>
  <c r="P59" i="131"/>
  <c r="Y59" i="131"/>
  <c r="AJ58" i="131"/>
  <c r="B63" i="131"/>
  <c r="C63" i="131"/>
  <c r="A62" i="131"/>
  <c r="AC59" i="131" l="1"/>
  <c r="AH59" i="131" s="1"/>
  <c r="AD59" i="131"/>
  <c r="AP59" i="131"/>
  <c r="AI59" i="131"/>
  <c r="S59" i="131"/>
  <c r="T59" i="131" s="1"/>
  <c r="U59" i="131"/>
  <c r="W59" i="131"/>
  <c r="X62" i="131"/>
  <c r="E63" i="131"/>
  <c r="J63" i="131" s="1"/>
  <c r="AB59" i="131" l="1"/>
  <c r="AG59" i="131" s="1"/>
  <c r="AO59" i="131"/>
  <c r="AU59" i="131"/>
  <c r="AV59" i="131" s="1"/>
  <c r="O60" i="131"/>
  <c r="N60" i="131"/>
  <c r="AT59" i="131"/>
  <c r="D63" i="131"/>
  <c r="K63" i="131" s="1"/>
  <c r="AL59" i="131" l="1"/>
  <c r="AJ59" i="131" s="1"/>
  <c r="AE59" i="131"/>
  <c r="AF59" i="131" s="1"/>
  <c r="Q60" i="131"/>
  <c r="V60" i="131" s="1"/>
  <c r="M60" i="131"/>
  <c r="L60" i="131" s="1"/>
  <c r="AN60" i="131"/>
  <c r="AS60" i="131" s="1"/>
  <c r="R60" i="131"/>
  <c r="H63" i="131"/>
  <c r="I63" i="131"/>
  <c r="C64" i="131"/>
  <c r="A63" i="131"/>
  <c r="B64" i="131"/>
  <c r="Y60" i="131" l="1"/>
  <c r="P60" i="131"/>
  <c r="W60" i="131" s="1"/>
  <c r="AM60" i="131"/>
  <c r="Z60" i="131"/>
  <c r="AA60" i="131" s="1"/>
  <c r="E64" i="131"/>
  <c r="J64" i="131" s="1"/>
  <c r="X63" i="131"/>
  <c r="AC60" i="131" l="1"/>
  <c r="AH60" i="131" s="1"/>
  <c r="S60" i="131"/>
  <c r="T60" i="131" s="1"/>
  <c r="U60" i="131"/>
  <c r="AO60" i="131" s="1"/>
  <c r="AD60" i="131"/>
  <c r="AD61" i="131" s="1"/>
  <c r="AD62" i="131" s="1"/>
  <c r="AD63" i="131" s="1"/>
  <c r="AD64" i="131" s="1"/>
  <c r="AD65" i="131" s="1"/>
  <c r="AD66" i="131" s="1"/>
  <c r="AD67" i="131" s="1"/>
  <c r="AD68" i="131" s="1"/>
  <c r="AD69" i="131" s="1"/>
  <c r="AD70" i="131" s="1"/>
  <c r="AD71" i="131" s="1"/>
  <c r="AD72" i="131" s="1"/>
  <c r="AD73" i="131" s="1"/>
  <c r="AD74" i="131" s="1"/>
  <c r="AD75" i="131" s="1"/>
  <c r="AD76" i="131" s="1"/>
  <c r="AD77" i="131" s="1"/>
  <c r="AD78" i="131" s="1"/>
  <c r="AD79" i="131" s="1"/>
  <c r="AD80" i="131" s="1"/>
  <c r="AD81" i="131" s="1"/>
  <c r="AD82" i="131" s="1"/>
  <c r="AD83" i="131" s="1"/>
  <c r="AD84" i="131" s="1"/>
  <c r="AD85" i="131" s="1"/>
  <c r="AD86" i="131" s="1"/>
  <c r="AD87" i="131" s="1"/>
  <c r="AD88" i="131" s="1"/>
  <c r="AD89" i="131" s="1"/>
  <c r="AD90" i="131" s="1"/>
  <c r="AD91" i="131" s="1"/>
  <c r="AD92" i="131" s="1"/>
  <c r="AD93" i="131" s="1"/>
  <c r="AD94" i="131" s="1"/>
  <c r="AD95" i="131" s="1"/>
  <c r="AD96" i="131" s="1"/>
  <c r="AD97" i="131" s="1"/>
  <c r="AD98" i="131" s="1"/>
  <c r="AD99" i="131" s="1"/>
  <c r="AD100" i="131" s="1"/>
  <c r="AD101" i="131" s="1"/>
  <c r="AD102" i="131" s="1"/>
  <c r="AD103" i="131" s="1"/>
  <c r="AD104" i="131" s="1"/>
  <c r="AD105" i="131" s="1"/>
  <c r="AD106" i="131" s="1"/>
  <c r="AD107" i="131" s="1"/>
  <c r="AD108" i="131" s="1"/>
  <c r="AD109" i="131" s="1"/>
  <c r="AD110" i="131" s="1"/>
  <c r="AD111" i="131" s="1"/>
  <c r="AD112" i="131" s="1"/>
  <c r="AD113" i="131" s="1"/>
  <c r="AD114" i="131" s="1"/>
  <c r="AD115" i="131" s="1"/>
  <c r="AD116" i="131" s="1"/>
  <c r="AD117" i="131" s="1"/>
  <c r="AD118" i="131" s="1"/>
  <c r="AD119" i="131" s="1"/>
  <c r="AD120" i="131" s="1"/>
  <c r="AD121" i="131" s="1"/>
  <c r="AD122" i="131" s="1"/>
  <c r="AD123" i="131" s="1"/>
  <c r="AD124" i="131" s="1"/>
  <c r="AD125" i="131" s="1"/>
  <c r="AD126" i="131" s="1"/>
  <c r="AD127" i="131" s="1"/>
  <c r="AD128" i="131" s="1"/>
  <c r="AD129" i="131" s="1"/>
  <c r="AD130" i="131" s="1"/>
  <c r="AD131" i="131" s="1"/>
  <c r="AD132" i="131" s="1"/>
  <c r="AD133" i="131" s="1"/>
  <c r="AD134" i="131" s="1"/>
  <c r="AD135" i="131" s="1"/>
  <c r="AD136" i="131" s="1"/>
  <c r="AD137" i="131" s="1"/>
  <c r="AD138" i="131" s="1"/>
  <c r="AD139" i="131" s="1"/>
  <c r="AD140" i="131" s="1"/>
  <c r="AD141" i="131" s="1"/>
  <c r="AD142" i="131" s="1"/>
  <c r="AD143" i="131" s="1"/>
  <c r="AD144" i="131" s="1"/>
  <c r="AD145" i="131" s="1"/>
  <c r="AD146" i="131" s="1"/>
  <c r="AD147" i="131" s="1"/>
  <c r="AD148" i="131" s="1"/>
  <c r="AD149" i="131" s="1"/>
  <c r="AD150" i="131" s="1"/>
  <c r="AD151" i="131" s="1"/>
  <c r="AD152" i="131" s="1"/>
  <c r="AD153" i="131" s="1"/>
  <c r="AD154" i="131" s="1"/>
  <c r="AD155" i="131" s="1"/>
  <c r="AD156" i="131" s="1"/>
  <c r="AD157" i="131" s="1"/>
  <c r="AD158" i="131" s="1"/>
  <c r="AD159" i="131" s="1"/>
  <c r="AD160" i="131" s="1"/>
  <c r="AD161" i="131" s="1"/>
  <c r="AD162" i="131" s="1"/>
  <c r="AD163" i="131" s="1"/>
  <c r="AD164" i="131" s="1"/>
  <c r="AD165" i="131" s="1"/>
  <c r="AD166" i="131" s="1"/>
  <c r="AD167" i="131" s="1"/>
  <c r="AD168" i="131" s="1"/>
  <c r="AD169" i="131" s="1"/>
  <c r="AD170" i="131" s="1"/>
  <c r="AD171" i="131" s="1"/>
  <c r="AD172" i="131" s="1"/>
  <c r="AD173" i="131" s="1"/>
  <c r="AD174" i="131" s="1"/>
  <c r="AD175" i="131" s="1"/>
  <c r="AD176" i="131" s="1"/>
  <c r="AD177" i="131" s="1"/>
  <c r="AD178" i="131" s="1"/>
  <c r="AD179" i="131" s="1"/>
  <c r="AD180" i="131" s="1"/>
  <c r="AD181" i="131" s="1"/>
  <c r="AD182" i="131" s="1"/>
  <c r="AD183" i="131" s="1"/>
  <c r="AD184" i="131" s="1"/>
  <c r="AD185" i="131" s="1"/>
  <c r="AD186" i="131" s="1"/>
  <c r="AD187" i="131" s="1"/>
  <c r="AD188" i="131" s="1"/>
  <c r="AD189" i="131" s="1"/>
  <c r="AD190" i="131" s="1"/>
  <c r="AD191" i="131" s="1"/>
  <c r="AD192" i="131" s="1"/>
  <c r="AD193" i="131" s="1"/>
  <c r="AD194" i="131" s="1"/>
  <c r="AD195" i="131" s="1"/>
  <c r="AD196" i="131" s="1"/>
  <c r="AD197" i="131" s="1"/>
  <c r="AD198" i="131" s="1"/>
  <c r="AD199" i="131" s="1"/>
  <c r="AD200" i="131" s="1"/>
  <c r="AD201" i="131" s="1"/>
  <c r="AD202" i="131" s="1"/>
  <c r="AD203" i="131" s="1"/>
  <c r="AD204" i="131" s="1"/>
  <c r="AD205" i="131" s="1"/>
  <c r="AD206" i="131" s="1"/>
  <c r="AD207" i="131" s="1"/>
  <c r="AD208" i="131" s="1"/>
  <c r="AD209" i="131" s="1"/>
  <c r="AD210" i="131" s="1"/>
  <c r="AD211" i="131" s="1"/>
  <c r="AD212" i="131" s="1"/>
  <c r="AD213" i="131" s="1"/>
  <c r="AD214" i="131" s="1"/>
  <c r="AD215" i="131" s="1"/>
  <c r="AD216" i="131" s="1"/>
  <c r="AD217" i="131" s="1"/>
  <c r="AD218" i="131" s="1"/>
  <c r="AD219" i="131" s="1"/>
  <c r="AD220" i="131" s="1"/>
  <c r="AD221" i="131" s="1"/>
  <c r="AD222" i="131" s="1"/>
  <c r="AD223" i="131" s="1"/>
  <c r="AD224" i="131" s="1"/>
  <c r="AD225" i="131" s="1"/>
  <c r="AD226" i="131" s="1"/>
  <c r="AD227" i="131" s="1"/>
  <c r="AD228" i="131" s="1"/>
  <c r="AD229" i="131" s="1"/>
  <c r="AD230" i="131" s="1"/>
  <c r="AD231" i="131" s="1"/>
  <c r="AD232" i="131" s="1"/>
  <c r="AD233" i="131" s="1"/>
  <c r="AD234" i="131" s="1"/>
  <c r="AD235" i="131" s="1"/>
  <c r="AD236" i="131" s="1"/>
  <c r="AD237" i="131" s="1"/>
  <c r="AD238" i="131" s="1"/>
  <c r="AD239" i="131" s="1"/>
  <c r="AD240" i="131" s="1"/>
  <c r="AD241" i="131" s="1"/>
  <c r="AD242" i="131" s="1"/>
  <c r="AD243" i="131" s="1"/>
  <c r="AD244" i="131" s="1"/>
  <c r="AD245" i="131" s="1"/>
  <c r="AD246" i="131" s="1"/>
  <c r="AD247" i="131" s="1"/>
  <c r="AD248" i="131" s="1"/>
  <c r="AD249" i="131" s="1"/>
  <c r="AD250" i="131" s="1"/>
  <c r="AD251" i="131" s="1"/>
  <c r="AD252" i="131" s="1"/>
  <c r="AD253" i="131" s="1"/>
  <c r="AD254" i="131" s="1"/>
  <c r="AD255" i="131" s="1"/>
  <c r="AD256" i="131" s="1"/>
  <c r="AD257" i="131" s="1"/>
  <c r="AD258" i="131" s="1"/>
  <c r="AD259" i="131" s="1"/>
  <c r="AD260" i="131" s="1"/>
  <c r="AD261" i="131" s="1"/>
  <c r="AD262" i="131" s="1"/>
  <c r="AD263" i="131" s="1"/>
  <c r="AD264" i="131" s="1"/>
  <c r="AD265" i="131" s="1"/>
  <c r="AD266" i="131" s="1"/>
  <c r="AD267" i="131" s="1"/>
  <c r="AD268" i="131" s="1"/>
  <c r="AD269" i="131" s="1"/>
  <c r="AD270" i="131" s="1"/>
  <c r="AD271" i="131" s="1"/>
  <c r="AD272" i="131" s="1"/>
  <c r="AD273" i="131" s="1"/>
  <c r="AD274" i="131" s="1"/>
  <c r="AD275" i="131" s="1"/>
  <c r="AD276" i="131" s="1"/>
  <c r="AD277" i="131" s="1"/>
  <c r="AD278" i="131" s="1"/>
  <c r="AD279" i="131" s="1"/>
  <c r="AD280" i="131" s="1"/>
  <c r="AD281" i="131" s="1"/>
  <c r="AD282" i="131" s="1"/>
  <c r="AD283" i="131" s="1"/>
  <c r="AD284" i="131" s="1"/>
  <c r="AD285" i="131" s="1"/>
  <c r="AD286" i="131" s="1"/>
  <c r="AD287" i="131" s="1"/>
  <c r="AD288" i="131" s="1"/>
  <c r="AD289" i="131" s="1"/>
  <c r="AD290" i="131" s="1"/>
  <c r="AD291" i="131" s="1"/>
  <c r="AD292" i="131" s="1"/>
  <c r="AD293" i="131" s="1"/>
  <c r="AD294" i="131" s="1"/>
  <c r="AD295" i="131" s="1"/>
  <c r="AD296" i="131" s="1"/>
  <c r="AD297" i="131" s="1"/>
  <c r="AD298" i="131" s="1"/>
  <c r="AD299" i="131" s="1"/>
  <c r="AD300" i="131" s="1"/>
  <c r="AD301" i="131" s="1"/>
  <c r="AD302" i="131" s="1"/>
  <c r="AD303" i="131" s="1"/>
  <c r="AD304" i="131" s="1"/>
  <c r="AD305" i="131" s="1"/>
  <c r="AD306" i="131" s="1"/>
  <c r="AD307" i="131" s="1"/>
  <c r="AD308" i="131" s="1"/>
  <c r="AD309" i="131" s="1"/>
  <c r="AD310" i="131" s="1"/>
  <c r="AD311" i="131" s="1"/>
  <c r="AD312" i="131" s="1"/>
  <c r="AD313" i="131" s="1"/>
  <c r="AD314" i="131" s="1"/>
  <c r="AD315" i="131" s="1"/>
  <c r="AD316" i="131" s="1"/>
  <c r="AD317" i="131" s="1"/>
  <c r="AD318" i="131" s="1"/>
  <c r="AD319" i="131" s="1"/>
  <c r="AD320" i="131" s="1"/>
  <c r="AD321" i="131" s="1"/>
  <c r="AD322" i="131" s="1"/>
  <c r="AD323" i="131" s="1"/>
  <c r="AD324" i="131" s="1"/>
  <c r="AD325" i="131" s="1"/>
  <c r="AD326" i="131" s="1"/>
  <c r="AD327" i="131" s="1"/>
  <c r="AD328" i="131" s="1"/>
  <c r="AD329" i="131" s="1"/>
  <c r="AD330" i="131" s="1"/>
  <c r="AD331" i="131" s="1"/>
  <c r="AD332" i="131" s="1"/>
  <c r="AD333" i="131" s="1"/>
  <c r="AD334" i="131" s="1"/>
  <c r="AD335" i="131" s="1"/>
  <c r="AD336" i="131" s="1"/>
  <c r="AD337" i="131" s="1"/>
  <c r="AD338" i="131" s="1"/>
  <c r="AD339" i="131" s="1"/>
  <c r="AD340" i="131" s="1"/>
  <c r="AD341" i="131" s="1"/>
  <c r="AD342" i="131" s="1"/>
  <c r="AD343" i="131" s="1"/>
  <c r="AD344" i="131" s="1"/>
  <c r="AD345" i="131" s="1"/>
  <c r="AD346" i="131" s="1"/>
  <c r="AD347" i="131" s="1"/>
  <c r="AD348" i="131" s="1"/>
  <c r="AD349" i="131" s="1"/>
  <c r="AD350" i="131" s="1"/>
  <c r="AD351" i="131" s="1"/>
  <c r="AD352" i="131" s="1"/>
  <c r="AD353" i="131" s="1"/>
  <c r="AD354" i="131" s="1"/>
  <c r="AD355" i="131" s="1"/>
  <c r="AD356" i="131" s="1"/>
  <c r="AD357" i="131" s="1"/>
  <c r="AD358" i="131" s="1"/>
  <c r="AD359" i="131" s="1"/>
  <c r="AD360" i="131" s="1"/>
  <c r="AD361" i="131" s="1"/>
  <c r="AD362" i="131" s="1"/>
  <c r="AD363" i="131" s="1"/>
  <c r="AD364" i="131" s="1"/>
  <c r="AD365" i="131" s="1"/>
  <c r="AD366" i="131" s="1"/>
  <c r="AD367" i="131" s="1"/>
  <c r="AD368" i="131" s="1"/>
  <c r="AD369" i="131" s="1"/>
  <c r="AD370" i="131" s="1"/>
  <c r="AD371" i="131" s="1"/>
  <c r="AD372" i="131" s="1"/>
  <c r="AD373" i="131" s="1"/>
  <c r="AD374" i="131" s="1"/>
  <c r="AD375" i="131" s="1"/>
  <c r="AD376" i="131" s="1"/>
  <c r="AD377" i="131" s="1"/>
  <c r="AD378" i="131" s="1"/>
  <c r="AD379" i="131" s="1"/>
  <c r="AD380" i="131" s="1"/>
  <c r="AD381" i="131" s="1"/>
  <c r="AD382" i="131" s="1"/>
  <c r="AD383" i="131" s="1"/>
  <c r="AD384" i="131" s="1"/>
  <c r="AD385" i="131" s="1"/>
  <c r="AD386" i="131" s="1"/>
  <c r="AD387" i="131" s="1"/>
  <c r="AD388" i="131" s="1"/>
  <c r="AD389" i="131" s="1"/>
  <c r="AD390" i="131" s="1"/>
  <c r="AD391" i="131" s="1"/>
  <c r="AD392" i="131" s="1"/>
  <c r="AD393" i="131" s="1"/>
  <c r="AD394" i="131" s="1"/>
  <c r="AD395" i="131" s="1"/>
  <c r="AD396" i="131" s="1"/>
  <c r="AD397" i="131" s="1"/>
  <c r="AD398" i="131" s="1"/>
  <c r="AD399" i="131" s="1"/>
  <c r="AD400" i="131" s="1"/>
  <c r="AD401" i="131" s="1"/>
  <c r="AD402" i="131" s="1"/>
  <c r="AD403" i="131" s="1"/>
  <c r="AD404" i="131" s="1"/>
  <c r="AD405" i="131" s="1"/>
  <c r="AD406" i="131" s="1"/>
  <c r="AD407" i="131" s="1"/>
  <c r="AD408" i="131" s="1"/>
  <c r="AD409" i="131" s="1"/>
  <c r="AD410" i="131" s="1"/>
  <c r="AD411" i="131" s="1"/>
  <c r="AD412" i="131" s="1"/>
  <c r="AD413" i="131" s="1"/>
  <c r="AD414" i="131" s="1"/>
  <c r="AD415" i="131" s="1"/>
  <c r="AD416" i="131" s="1"/>
  <c r="AD417" i="131" s="1"/>
  <c r="AD418" i="131" s="1"/>
  <c r="AD419" i="131" s="1"/>
  <c r="AD420" i="131" s="1"/>
  <c r="AD421" i="131" s="1"/>
  <c r="AD422" i="131" s="1"/>
  <c r="AD423" i="131" s="1"/>
  <c r="AD424" i="131" s="1"/>
  <c r="AD425" i="131" s="1"/>
  <c r="AD426" i="131" s="1"/>
  <c r="AD427" i="131" s="1"/>
  <c r="AD428" i="131" s="1"/>
  <c r="AD429" i="131" s="1"/>
  <c r="AD430" i="131" s="1"/>
  <c r="AD431" i="131" s="1"/>
  <c r="AD432" i="131" s="1"/>
  <c r="AD433" i="131" s="1"/>
  <c r="AD434" i="131" s="1"/>
  <c r="AD435" i="131" s="1"/>
  <c r="AD436" i="131" s="1"/>
  <c r="AD437" i="131" s="1"/>
  <c r="AD438" i="131" s="1"/>
  <c r="AD439" i="131" s="1"/>
  <c r="AD440" i="131" s="1"/>
  <c r="AD441" i="131" s="1"/>
  <c r="AD442" i="131" s="1"/>
  <c r="AD443" i="131" s="1"/>
  <c r="AD444" i="131" s="1"/>
  <c r="AD445" i="131" s="1"/>
  <c r="AD446" i="131" s="1"/>
  <c r="AD447" i="131" s="1"/>
  <c r="AD448" i="131" s="1"/>
  <c r="AD449" i="131" s="1"/>
  <c r="AD450" i="131" s="1"/>
  <c r="AD451" i="131" s="1"/>
  <c r="AD452" i="131" s="1"/>
  <c r="AD453" i="131" s="1"/>
  <c r="AD454" i="131" s="1"/>
  <c r="AD455" i="131" s="1"/>
  <c r="AD456" i="131" s="1"/>
  <c r="AD457" i="131" s="1"/>
  <c r="AD458" i="131" s="1"/>
  <c r="AD459" i="131" s="1"/>
  <c r="AD460" i="131" s="1"/>
  <c r="AD461" i="131" s="1"/>
  <c r="AD462" i="131" s="1"/>
  <c r="AD463" i="131" s="1"/>
  <c r="AD464" i="131" s="1"/>
  <c r="AD465" i="131" s="1"/>
  <c r="AD466" i="131" s="1"/>
  <c r="AD467" i="131" s="1"/>
  <c r="AD468" i="131" s="1"/>
  <c r="AD469" i="131" s="1"/>
  <c r="AD470" i="131" s="1"/>
  <c r="AD471" i="131" s="1"/>
  <c r="AD472" i="131" s="1"/>
  <c r="AD473" i="131" s="1"/>
  <c r="AD474" i="131" s="1"/>
  <c r="AD475" i="131" s="1"/>
  <c r="AD476" i="131" s="1"/>
  <c r="AD477" i="131" s="1"/>
  <c r="AD478" i="131" s="1"/>
  <c r="AD479" i="131" s="1"/>
  <c r="AD480" i="131" s="1"/>
  <c r="AD481" i="131" s="1"/>
  <c r="AD482" i="131" s="1"/>
  <c r="AD483" i="131" s="1"/>
  <c r="AD484" i="131" s="1"/>
  <c r="AD485" i="131" s="1"/>
  <c r="AD486" i="131" s="1"/>
  <c r="AD487" i="131" s="1"/>
  <c r="AD488" i="131" s="1"/>
  <c r="AD489" i="131" s="1"/>
  <c r="AD490" i="131" s="1"/>
  <c r="AD491" i="131" s="1"/>
  <c r="AD492" i="131" s="1"/>
  <c r="AP60" i="131"/>
  <c r="AI60" i="131"/>
  <c r="AT60" i="131"/>
  <c r="O61" i="131"/>
  <c r="N61" i="131"/>
  <c r="AU60" i="131"/>
  <c r="AV60" i="131" s="1"/>
  <c r="D64" i="131"/>
  <c r="AB60" i="131" l="1"/>
  <c r="AE60" i="131" s="1"/>
  <c r="AE61" i="131" s="1"/>
  <c r="AE62" i="131" s="1"/>
  <c r="AE63" i="131" s="1"/>
  <c r="AE64" i="131" s="1"/>
  <c r="AE65" i="131" s="1"/>
  <c r="AE66" i="131" s="1"/>
  <c r="AE67" i="131" s="1"/>
  <c r="AE68" i="131" s="1"/>
  <c r="AE69" i="131" s="1"/>
  <c r="AE70" i="131" s="1"/>
  <c r="AE71" i="131" s="1"/>
  <c r="AE72" i="131" s="1"/>
  <c r="AE73" i="131" s="1"/>
  <c r="AE74" i="131" s="1"/>
  <c r="AE75" i="131" s="1"/>
  <c r="AE76" i="131" s="1"/>
  <c r="AE77" i="131" s="1"/>
  <c r="AE78" i="131" s="1"/>
  <c r="AE79" i="131" s="1"/>
  <c r="AE80" i="131" s="1"/>
  <c r="AE81" i="131" s="1"/>
  <c r="AE82" i="131" s="1"/>
  <c r="AE83" i="131" s="1"/>
  <c r="AE84" i="131" s="1"/>
  <c r="AE85" i="131" s="1"/>
  <c r="AE86" i="131" s="1"/>
  <c r="AE87" i="131" s="1"/>
  <c r="AE88" i="131" s="1"/>
  <c r="AE89" i="131" s="1"/>
  <c r="AE90" i="131" s="1"/>
  <c r="AE91" i="131" s="1"/>
  <c r="AE92" i="131" s="1"/>
  <c r="AE93" i="131" s="1"/>
  <c r="AE94" i="131" s="1"/>
  <c r="AE95" i="131" s="1"/>
  <c r="AE96" i="131" s="1"/>
  <c r="AE97" i="131" s="1"/>
  <c r="AE98" i="131" s="1"/>
  <c r="AE99" i="131" s="1"/>
  <c r="AE100" i="131" s="1"/>
  <c r="AE101" i="131" s="1"/>
  <c r="AE102" i="131" s="1"/>
  <c r="AE103" i="131" s="1"/>
  <c r="AE104" i="131" s="1"/>
  <c r="AE105" i="131" s="1"/>
  <c r="AE106" i="131" s="1"/>
  <c r="AE107" i="131" s="1"/>
  <c r="AE108" i="131" s="1"/>
  <c r="AE109" i="131" s="1"/>
  <c r="AE110" i="131" s="1"/>
  <c r="AE111" i="131" s="1"/>
  <c r="AE112" i="131" s="1"/>
  <c r="AE113" i="131" s="1"/>
  <c r="AE114" i="131" s="1"/>
  <c r="AE115" i="131" s="1"/>
  <c r="AE116" i="131" s="1"/>
  <c r="AE117" i="131" s="1"/>
  <c r="AE118" i="131" s="1"/>
  <c r="AE119" i="131" s="1"/>
  <c r="AE120" i="131" s="1"/>
  <c r="AE121" i="131" s="1"/>
  <c r="AE122" i="131" s="1"/>
  <c r="AE123" i="131" s="1"/>
  <c r="AE124" i="131" s="1"/>
  <c r="AE125" i="131" s="1"/>
  <c r="AE126" i="131" s="1"/>
  <c r="AE127" i="131" s="1"/>
  <c r="AE128" i="131" s="1"/>
  <c r="AE129" i="131" s="1"/>
  <c r="AE130" i="131" s="1"/>
  <c r="AE131" i="131" s="1"/>
  <c r="AE132" i="131" s="1"/>
  <c r="AE133" i="131" s="1"/>
  <c r="AE134" i="131" s="1"/>
  <c r="AE135" i="131" s="1"/>
  <c r="AE136" i="131" s="1"/>
  <c r="AE137" i="131" s="1"/>
  <c r="AE138" i="131" s="1"/>
  <c r="AE139" i="131" s="1"/>
  <c r="AE140" i="131" s="1"/>
  <c r="AE141" i="131" s="1"/>
  <c r="AE142" i="131" s="1"/>
  <c r="AE143" i="131" s="1"/>
  <c r="AE144" i="131" s="1"/>
  <c r="AE145" i="131" s="1"/>
  <c r="AE146" i="131" s="1"/>
  <c r="AE147" i="131" s="1"/>
  <c r="AE148" i="131" s="1"/>
  <c r="AE149" i="131" s="1"/>
  <c r="AE150" i="131" s="1"/>
  <c r="AE151" i="131" s="1"/>
  <c r="AE152" i="131" s="1"/>
  <c r="AE153" i="131" s="1"/>
  <c r="AE154" i="131" s="1"/>
  <c r="AE155" i="131" s="1"/>
  <c r="AE156" i="131" s="1"/>
  <c r="AE157" i="131" s="1"/>
  <c r="AE158" i="131" s="1"/>
  <c r="AE159" i="131" s="1"/>
  <c r="AE160" i="131" s="1"/>
  <c r="AE161" i="131" s="1"/>
  <c r="AE162" i="131" s="1"/>
  <c r="AE163" i="131" s="1"/>
  <c r="AE164" i="131" s="1"/>
  <c r="AE165" i="131" s="1"/>
  <c r="AE166" i="131" s="1"/>
  <c r="AE167" i="131" s="1"/>
  <c r="AE168" i="131" s="1"/>
  <c r="AE169" i="131" s="1"/>
  <c r="AE170" i="131" s="1"/>
  <c r="AE171" i="131" s="1"/>
  <c r="AE172" i="131" s="1"/>
  <c r="AE173" i="131" s="1"/>
  <c r="AE174" i="131" s="1"/>
  <c r="AE175" i="131" s="1"/>
  <c r="AE176" i="131" s="1"/>
  <c r="AE177" i="131" s="1"/>
  <c r="AE178" i="131" s="1"/>
  <c r="AE179" i="131" s="1"/>
  <c r="AE180" i="131" s="1"/>
  <c r="AE181" i="131" s="1"/>
  <c r="AE182" i="131" s="1"/>
  <c r="AE183" i="131" s="1"/>
  <c r="AE184" i="131" s="1"/>
  <c r="AE185" i="131" s="1"/>
  <c r="AE186" i="131" s="1"/>
  <c r="AE187" i="131" s="1"/>
  <c r="AE188" i="131" s="1"/>
  <c r="AE189" i="131" s="1"/>
  <c r="AE190" i="131" s="1"/>
  <c r="AE191" i="131" s="1"/>
  <c r="AE192" i="131" s="1"/>
  <c r="AE193" i="131" s="1"/>
  <c r="AE194" i="131" s="1"/>
  <c r="AE195" i="131" s="1"/>
  <c r="AE196" i="131" s="1"/>
  <c r="AE197" i="131" s="1"/>
  <c r="AE198" i="131" s="1"/>
  <c r="AE199" i="131" s="1"/>
  <c r="AE200" i="131" s="1"/>
  <c r="AE201" i="131" s="1"/>
  <c r="AE202" i="131" s="1"/>
  <c r="AE203" i="131" s="1"/>
  <c r="AE204" i="131" s="1"/>
  <c r="AE205" i="131" s="1"/>
  <c r="AE206" i="131" s="1"/>
  <c r="AE207" i="131" s="1"/>
  <c r="AE208" i="131" s="1"/>
  <c r="AE209" i="131" s="1"/>
  <c r="AE210" i="131" s="1"/>
  <c r="AE211" i="131" s="1"/>
  <c r="AE212" i="131" s="1"/>
  <c r="AE213" i="131" s="1"/>
  <c r="AE214" i="131" s="1"/>
  <c r="AE215" i="131" s="1"/>
  <c r="AE216" i="131" s="1"/>
  <c r="AE217" i="131" s="1"/>
  <c r="AE218" i="131" s="1"/>
  <c r="AE219" i="131" s="1"/>
  <c r="AE220" i="131" s="1"/>
  <c r="AE221" i="131" s="1"/>
  <c r="AE222" i="131" s="1"/>
  <c r="AE223" i="131" s="1"/>
  <c r="AE224" i="131" s="1"/>
  <c r="AE225" i="131" s="1"/>
  <c r="AE226" i="131" s="1"/>
  <c r="AE227" i="131" s="1"/>
  <c r="AE228" i="131" s="1"/>
  <c r="AE229" i="131" s="1"/>
  <c r="AE230" i="131" s="1"/>
  <c r="AE231" i="131" s="1"/>
  <c r="AE232" i="131" s="1"/>
  <c r="AE233" i="131" s="1"/>
  <c r="AE234" i="131" s="1"/>
  <c r="AE235" i="131" s="1"/>
  <c r="AE236" i="131" s="1"/>
  <c r="AE237" i="131" s="1"/>
  <c r="AE238" i="131" s="1"/>
  <c r="AE239" i="131" s="1"/>
  <c r="AE240" i="131" s="1"/>
  <c r="AE241" i="131" s="1"/>
  <c r="AE242" i="131" s="1"/>
  <c r="AE243" i="131" s="1"/>
  <c r="AE244" i="131" s="1"/>
  <c r="AE245" i="131" s="1"/>
  <c r="AE246" i="131" s="1"/>
  <c r="AE247" i="131" s="1"/>
  <c r="AE248" i="131" s="1"/>
  <c r="AE249" i="131" s="1"/>
  <c r="AE250" i="131" s="1"/>
  <c r="AE251" i="131" s="1"/>
  <c r="AE252" i="131" s="1"/>
  <c r="AE253" i="131" s="1"/>
  <c r="AE254" i="131" s="1"/>
  <c r="AE255" i="131" s="1"/>
  <c r="AE256" i="131" s="1"/>
  <c r="AE257" i="131" s="1"/>
  <c r="AE258" i="131" s="1"/>
  <c r="AE259" i="131" s="1"/>
  <c r="AE260" i="131" s="1"/>
  <c r="AE261" i="131" s="1"/>
  <c r="AE262" i="131" s="1"/>
  <c r="AE263" i="131" s="1"/>
  <c r="AE264" i="131" s="1"/>
  <c r="AE265" i="131" s="1"/>
  <c r="AE266" i="131" s="1"/>
  <c r="AE267" i="131" s="1"/>
  <c r="AE268" i="131" s="1"/>
  <c r="AE269" i="131" s="1"/>
  <c r="AE270" i="131" s="1"/>
  <c r="AE271" i="131" s="1"/>
  <c r="AE272" i="131" s="1"/>
  <c r="AE273" i="131" s="1"/>
  <c r="AE274" i="131" s="1"/>
  <c r="AE275" i="131" s="1"/>
  <c r="AE276" i="131" s="1"/>
  <c r="AE277" i="131" s="1"/>
  <c r="AE278" i="131" s="1"/>
  <c r="AE279" i="131" s="1"/>
  <c r="AE280" i="131" s="1"/>
  <c r="AE281" i="131" s="1"/>
  <c r="AE282" i="131" s="1"/>
  <c r="AE283" i="131" s="1"/>
  <c r="AE284" i="131" s="1"/>
  <c r="AE285" i="131" s="1"/>
  <c r="AE286" i="131" s="1"/>
  <c r="AE287" i="131" s="1"/>
  <c r="AE288" i="131" s="1"/>
  <c r="AE289" i="131" s="1"/>
  <c r="AE290" i="131" s="1"/>
  <c r="AE291" i="131" s="1"/>
  <c r="AE292" i="131" s="1"/>
  <c r="AE293" i="131" s="1"/>
  <c r="AE294" i="131" s="1"/>
  <c r="AE295" i="131" s="1"/>
  <c r="AE296" i="131" s="1"/>
  <c r="AE297" i="131" s="1"/>
  <c r="AE298" i="131" s="1"/>
  <c r="AE299" i="131" s="1"/>
  <c r="AE300" i="131" s="1"/>
  <c r="AE301" i="131" s="1"/>
  <c r="AE302" i="131" s="1"/>
  <c r="AE303" i="131" s="1"/>
  <c r="AE304" i="131" s="1"/>
  <c r="AE305" i="131" s="1"/>
  <c r="AE306" i="131" s="1"/>
  <c r="AE307" i="131" s="1"/>
  <c r="AE308" i="131" s="1"/>
  <c r="AE309" i="131" s="1"/>
  <c r="AE310" i="131" s="1"/>
  <c r="AE311" i="131" s="1"/>
  <c r="AE312" i="131" s="1"/>
  <c r="AE313" i="131" s="1"/>
  <c r="AE314" i="131" s="1"/>
  <c r="AE315" i="131" s="1"/>
  <c r="AE316" i="131" s="1"/>
  <c r="AE317" i="131" s="1"/>
  <c r="AE318" i="131" s="1"/>
  <c r="AE319" i="131" s="1"/>
  <c r="AE320" i="131" s="1"/>
  <c r="AE321" i="131" s="1"/>
  <c r="AE322" i="131" s="1"/>
  <c r="AE323" i="131" s="1"/>
  <c r="AE324" i="131" s="1"/>
  <c r="AE325" i="131" s="1"/>
  <c r="AE326" i="131" s="1"/>
  <c r="AE327" i="131" s="1"/>
  <c r="AE328" i="131" s="1"/>
  <c r="AE329" i="131" s="1"/>
  <c r="AE330" i="131" s="1"/>
  <c r="AE331" i="131" s="1"/>
  <c r="AE332" i="131" s="1"/>
  <c r="AE333" i="131" s="1"/>
  <c r="AE334" i="131" s="1"/>
  <c r="AE335" i="131" s="1"/>
  <c r="AE336" i="131" s="1"/>
  <c r="AE337" i="131" s="1"/>
  <c r="AE338" i="131" s="1"/>
  <c r="AE339" i="131" s="1"/>
  <c r="AE340" i="131" s="1"/>
  <c r="AE341" i="131" s="1"/>
  <c r="AE342" i="131" s="1"/>
  <c r="AE343" i="131" s="1"/>
  <c r="AE344" i="131" s="1"/>
  <c r="AE345" i="131" s="1"/>
  <c r="AE346" i="131" s="1"/>
  <c r="AE347" i="131" s="1"/>
  <c r="AE348" i="131" s="1"/>
  <c r="AE349" i="131" s="1"/>
  <c r="AE350" i="131" s="1"/>
  <c r="AE351" i="131" s="1"/>
  <c r="AE352" i="131" s="1"/>
  <c r="AE353" i="131" s="1"/>
  <c r="AE354" i="131" s="1"/>
  <c r="AE355" i="131" s="1"/>
  <c r="AE356" i="131" s="1"/>
  <c r="AE357" i="131" s="1"/>
  <c r="AE358" i="131" s="1"/>
  <c r="AE359" i="131" s="1"/>
  <c r="AE360" i="131" s="1"/>
  <c r="AE361" i="131" s="1"/>
  <c r="AE362" i="131" s="1"/>
  <c r="AE363" i="131" s="1"/>
  <c r="AE364" i="131" s="1"/>
  <c r="AE365" i="131" s="1"/>
  <c r="AE366" i="131" s="1"/>
  <c r="AE367" i="131" s="1"/>
  <c r="AE368" i="131" s="1"/>
  <c r="AE369" i="131" s="1"/>
  <c r="AE370" i="131" s="1"/>
  <c r="AE371" i="131" s="1"/>
  <c r="AE372" i="131" s="1"/>
  <c r="AE373" i="131" s="1"/>
  <c r="AE374" i="131" s="1"/>
  <c r="AE375" i="131" s="1"/>
  <c r="AE376" i="131" s="1"/>
  <c r="AE377" i="131" s="1"/>
  <c r="AE378" i="131" s="1"/>
  <c r="AE379" i="131" s="1"/>
  <c r="AE380" i="131" s="1"/>
  <c r="AE381" i="131" s="1"/>
  <c r="AE382" i="131" s="1"/>
  <c r="AE383" i="131" s="1"/>
  <c r="AE384" i="131" s="1"/>
  <c r="AE385" i="131" s="1"/>
  <c r="AE386" i="131" s="1"/>
  <c r="AE387" i="131" s="1"/>
  <c r="AE388" i="131" s="1"/>
  <c r="AE389" i="131" s="1"/>
  <c r="AE390" i="131" s="1"/>
  <c r="AE391" i="131" s="1"/>
  <c r="AE392" i="131" s="1"/>
  <c r="AE393" i="131" s="1"/>
  <c r="AE394" i="131" s="1"/>
  <c r="AE395" i="131" s="1"/>
  <c r="AE396" i="131" s="1"/>
  <c r="AE397" i="131" s="1"/>
  <c r="AE398" i="131" s="1"/>
  <c r="AE399" i="131" s="1"/>
  <c r="AE400" i="131" s="1"/>
  <c r="AE401" i="131" s="1"/>
  <c r="AE402" i="131" s="1"/>
  <c r="AE403" i="131" s="1"/>
  <c r="AE404" i="131" s="1"/>
  <c r="AE405" i="131" s="1"/>
  <c r="AE406" i="131" s="1"/>
  <c r="AE407" i="131" s="1"/>
  <c r="AE408" i="131" s="1"/>
  <c r="AE409" i="131" s="1"/>
  <c r="AE410" i="131" s="1"/>
  <c r="AE411" i="131" s="1"/>
  <c r="AE412" i="131" s="1"/>
  <c r="AE413" i="131" s="1"/>
  <c r="AE414" i="131" s="1"/>
  <c r="AE415" i="131" s="1"/>
  <c r="AE416" i="131" s="1"/>
  <c r="AE417" i="131" s="1"/>
  <c r="AE418" i="131" s="1"/>
  <c r="AE419" i="131" s="1"/>
  <c r="AE420" i="131" s="1"/>
  <c r="AE421" i="131" s="1"/>
  <c r="AE422" i="131" s="1"/>
  <c r="AE423" i="131" s="1"/>
  <c r="AE424" i="131" s="1"/>
  <c r="AE425" i="131" s="1"/>
  <c r="AE426" i="131" s="1"/>
  <c r="AE427" i="131" s="1"/>
  <c r="AE428" i="131" s="1"/>
  <c r="AE429" i="131" s="1"/>
  <c r="AE430" i="131" s="1"/>
  <c r="AE431" i="131" s="1"/>
  <c r="AE432" i="131" s="1"/>
  <c r="AE433" i="131" s="1"/>
  <c r="AE434" i="131" s="1"/>
  <c r="AE435" i="131" s="1"/>
  <c r="AE436" i="131" s="1"/>
  <c r="AE437" i="131" s="1"/>
  <c r="AE438" i="131" s="1"/>
  <c r="AE439" i="131" s="1"/>
  <c r="AE440" i="131" s="1"/>
  <c r="AE441" i="131" s="1"/>
  <c r="AE442" i="131" s="1"/>
  <c r="AE443" i="131" s="1"/>
  <c r="AE444" i="131" s="1"/>
  <c r="AE445" i="131" s="1"/>
  <c r="AE446" i="131" s="1"/>
  <c r="AE447" i="131" s="1"/>
  <c r="AE448" i="131" s="1"/>
  <c r="AE449" i="131" s="1"/>
  <c r="AE450" i="131" s="1"/>
  <c r="AE451" i="131" s="1"/>
  <c r="AE452" i="131" s="1"/>
  <c r="AE453" i="131" s="1"/>
  <c r="AE454" i="131" s="1"/>
  <c r="AE455" i="131" s="1"/>
  <c r="AE456" i="131" s="1"/>
  <c r="AE457" i="131" s="1"/>
  <c r="AE458" i="131" s="1"/>
  <c r="AE459" i="131" s="1"/>
  <c r="AE460" i="131" s="1"/>
  <c r="AE461" i="131" s="1"/>
  <c r="AE462" i="131" s="1"/>
  <c r="AE463" i="131" s="1"/>
  <c r="AE464" i="131" s="1"/>
  <c r="AE465" i="131" s="1"/>
  <c r="AE466" i="131" s="1"/>
  <c r="AE467" i="131" s="1"/>
  <c r="AE468" i="131" s="1"/>
  <c r="AE469" i="131" s="1"/>
  <c r="AE470" i="131" s="1"/>
  <c r="AE471" i="131" s="1"/>
  <c r="AE472" i="131" s="1"/>
  <c r="AE473" i="131" s="1"/>
  <c r="AE474" i="131" s="1"/>
  <c r="AE475" i="131" s="1"/>
  <c r="AE476" i="131" s="1"/>
  <c r="AE477" i="131" s="1"/>
  <c r="AE478" i="131" s="1"/>
  <c r="AE479" i="131" s="1"/>
  <c r="AE480" i="131" s="1"/>
  <c r="AE481" i="131" s="1"/>
  <c r="AE482" i="131" s="1"/>
  <c r="AE483" i="131" s="1"/>
  <c r="AE484" i="131" s="1"/>
  <c r="AE485" i="131" s="1"/>
  <c r="AE486" i="131" s="1"/>
  <c r="AE487" i="131" s="1"/>
  <c r="AE488" i="131" s="1"/>
  <c r="AE489" i="131" s="1"/>
  <c r="AE490" i="131" s="1"/>
  <c r="AE491" i="131" s="1"/>
  <c r="AE492" i="131" s="1"/>
  <c r="AE493" i="131" s="1"/>
  <c r="AE494" i="131" s="1"/>
  <c r="AE495" i="131" s="1"/>
  <c r="AE496" i="131" s="1"/>
  <c r="AE497" i="131" s="1"/>
  <c r="R61" i="131"/>
  <c r="AN61" i="131"/>
  <c r="AS61" i="131" s="1"/>
  <c r="M61" i="131"/>
  <c r="L61" i="131" s="1"/>
  <c r="Q61" i="131"/>
  <c r="V61" i="131" s="1"/>
  <c r="AD493" i="131"/>
  <c r="I64" i="131"/>
  <c r="H64" i="131"/>
  <c r="K64" i="131"/>
  <c r="AL60" i="131" l="1"/>
  <c r="AJ60" i="131" s="1"/>
  <c r="AK60" i="131" s="1"/>
  <c r="AG60" i="131"/>
  <c r="AF60" i="131"/>
  <c r="AF492" i="131"/>
  <c r="Z61" i="131"/>
  <c r="AM61" i="131"/>
  <c r="AD494" i="131"/>
  <c r="AF493" i="131"/>
  <c r="P61" i="131"/>
  <c r="AE498" i="131"/>
  <c r="C65" i="131"/>
  <c r="A64" i="131"/>
  <c r="B65" i="131"/>
  <c r="AA61" i="131" l="1"/>
  <c r="AI61" i="131" s="1"/>
  <c r="Y61" i="131"/>
  <c r="AC61" i="131" s="1"/>
  <c r="AH61" i="131" s="1"/>
  <c r="AD495" i="131"/>
  <c r="AF494" i="131"/>
  <c r="S61" i="131"/>
  <c r="T61" i="131" s="1"/>
  <c r="U61" i="131"/>
  <c r="W61" i="131"/>
  <c r="AE499" i="131"/>
  <c r="E65" i="131"/>
  <c r="J65" i="131" s="1"/>
  <c r="X64" i="131"/>
  <c r="AP61" i="131" l="1"/>
  <c r="AD496" i="131"/>
  <c r="AF495" i="131"/>
  <c r="AU61" i="131"/>
  <c r="AV61" i="131" s="1"/>
  <c r="N62" i="131"/>
  <c r="AT61" i="131"/>
  <c r="AO61" i="131"/>
  <c r="O62" i="131"/>
  <c r="AB61" i="131"/>
  <c r="AE500" i="131"/>
  <c r="D65" i="131"/>
  <c r="H65" i="131" s="1"/>
  <c r="R62" i="131" l="1"/>
  <c r="AN62" i="131"/>
  <c r="AS62" i="131" s="1"/>
  <c r="M62" i="131"/>
  <c r="L62" i="131" s="1"/>
  <c r="Q62" i="131"/>
  <c r="V62" i="131" s="1"/>
  <c r="AF61" i="131"/>
  <c r="AG61" i="131"/>
  <c r="AL61" i="131"/>
  <c r="AD497" i="131"/>
  <c r="AF496" i="131"/>
  <c r="K65" i="131"/>
  <c r="B66" i="131" s="1"/>
  <c r="AE501" i="131"/>
  <c r="I65" i="131"/>
  <c r="AD498" i="131" l="1"/>
  <c r="AF497" i="131"/>
  <c r="AM62" i="131"/>
  <c r="Z62" i="131"/>
  <c r="AA62" i="131" s="1"/>
  <c r="C66" i="131"/>
  <c r="Y62" i="131"/>
  <c r="AJ61" i="131"/>
  <c r="AK61" i="131" s="1"/>
  <c r="P62" i="131"/>
  <c r="A65" i="131"/>
  <c r="X65" i="131" s="1"/>
  <c r="AE502" i="131"/>
  <c r="E66" i="131"/>
  <c r="J66" i="131" s="1"/>
  <c r="AI62" i="131" l="1"/>
  <c r="AP62" i="131"/>
  <c r="AC62" i="131"/>
  <c r="AH62" i="131" s="1"/>
  <c r="U62" i="131"/>
  <c r="S62" i="131"/>
  <c r="S63" i="131" s="1"/>
  <c r="S64" i="131" s="1"/>
  <c r="S65" i="131" s="1"/>
  <c r="S66" i="131" s="1"/>
  <c r="S67" i="131" s="1"/>
  <c r="S68" i="131" s="1"/>
  <c r="S69" i="131" s="1"/>
  <c r="S70" i="131" s="1"/>
  <c r="S71" i="131" s="1"/>
  <c r="S72" i="131" s="1"/>
  <c r="S73" i="131" s="1"/>
  <c r="S74" i="131" s="1"/>
  <c r="S75" i="131" s="1"/>
  <c r="S76" i="131" s="1"/>
  <c r="S77" i="131" s="1"/>
  <c r="S78" i="131" s="1"/>
  <c r="S79" i="131" s="1"/>
  <c r="S80" i="131" s="1"/>
  <c r="S81" i="131" s="1"/>
  <c r="S82" i="131" s="1"/>
  <c r="S83" i="131" s="1"/>
  <c r="S84" i="131" s="1"/>
  <c r="S85" i="131" s="1"/>
  <c r="S86" i="131" s="1"/>
  <c r="S87" i="131" s="1"/>
  <c r="S88" i="131" s="1"/>
  <c r="S89" i="131" s="1"/>
  <c r="S90" i="131" s="1"/>
  <c r="S91" i="131" s="1"/>
  <c r="S92" i="131" s="1"/>
  <c r="S93" i="131" s="1"/>
  <c r="S94" i="131" s="1"/>
  <c r="S95" i="131" s="1"/>
  <c r="S96" i="131" s="1"/>
  <c r="S97" i="131" s="1"/>
  <c r="S98" i="131" s="1"/>
  <c r="S99" i="131" s="1"/>
  <c r="S100" i="131" s="1"/>
  <c r="S101" i="131" s="1"/>
  <c r="S102" i="131" s="1"/>
  <c r="S103" i="131" s="1"/>
  <c r="S104" i="131" s="1"/>
  <c r="S105" i="131" s="1"/>
  <c r="S106" i="131" s="1"/>
  <c r="S107" i="131" s="1"/>
  <c r="S108" i="131" s="1"/>
  <c r="S109" i="131" s="1"/>
  <c r="S110" i="131" s="1"/>
  <c r="S111" i="131" s="1"/>
  <c r="S112" i="131" s="1"/>
  <c r="S113" i="131" s="1"/>
  <c r="S114" i="131" s="1"/>
  <c r="S115" i="131" s="1"/>
  <c r="S116" i="131" s="1"/>
  <c r="S117" i="131" s="1"/>
  <c r="S118" i="131" s="1"/>
  <c r="S119" i="131" s="1"/>
  <c r="S120" i="131" s="1"/>
  <c r="S121" i="131" s="1"/>
  <c r="S122" i="131" s="1"/>
  <c r="S123" i="131" s="1"/>
  <c r="S124" i="131" s="1"/>
  <c r="S125" i="131" s="1"/>
  <c r="S126" i="131" s="1"/>
  <c r="S127" i="131" s="1"/>
  <c r="S128" i="131" s="1"/>
  <c r="S129" i="131" s="1"/>
  <c r="S130" i="131" s="1"/>
  <c r="S131" i="131" s="1"/>
  <c r="S132" i="131" s="1"/>
  <c r="S133" i="131" s="1"/>
  <c r="S134" i="131" s="1"/>
  <c r="S135" i="131" s="1"/>
  <c r="S136" i="131" s="1"/>
  <c r="S137" i="131" s="1"/>
  <c r="S138" i="131" s="1"/>
  <c r="S139" i="131" s="1"/>
  <c r="S140" i="131" s="1"/>
  <c r="S141" i="131" s="1"/>
  <c r="S142" i="131" s="1"/>
  <c r="S143" i="131" s="1"/>
  <c r="S144" i="131" s="1"/>
  <c r="S145" i="131" s="1"/>
  <c r="S146" i="131" s="1"/>
  <c r="S147" i="131" s="1"/>
  <c r="S148" i="131" s="1"/>
  <c r="S149" i="131" s="1"/>
  <c r="S150" i="131" s="1"/>
  <c r="S151" i="131" s="1"/>
  <c r="S152" i="131" s="1"/>
  <c r="S153" i="131" s="1"/>
  <c r="S154" i="131" s="1"/>
  <c r="S155" i="131" s="1"/>
  <c r="S156" i="131" s="1"/>
  <c r="S157" i="131" s="1"/>
  <c r="S158" i="131" s="1"/>
  <c r="S159" i="131" s="1"/>
  <c r="S160" i="131" s="1"/>
  <c r="S161" i="131" s="1"/>
  <c r="S162" i="131" s="1"/>
  <c r="S163" i="131" s="1"/>
  <c r="S164" i="131" s="1"/>
  <c r="S165" i="131" s="1"/>
  <c r="S166" i="131" s="1"/>
  <c r="S167" i="131" s="1"/>
  <c r="S168" i="131" s="1"/>
  <c r="S169" i="131" s="1"/>
  <c r="S170" i="131" s="1"/>
  <c r="S171" i="131" s="1"/>
  <c r="S172" i="131" s="1"/>
  <c r="S173" i="131" s="1"/>
  <c r="S174" i="131" s="1"/>
  <c r="S175" i="131" s="1"/>
  <c r="S176" i="131" s="1"/>
  <c r="S177" i="131" s="1"/>
  <c r="S178" i="131" s="1"/>
  <c r="S179" i="131" s="1"/>
  <c r="S180" i="131" s="1"/>
  <c r="S181" i="131" s="1"/>
  <c r="S182" i="131" s="1"/>
  <c r="S183" i="131" s="1"/>
  <c r="S184" i="131" s="1"/>
  <c r="S185" i="131" s="1"/>
  <c r="S186" i="131" s="1"/>
  <c r="S187" i="131" s="1"/>
  <c r="S188" i="131" s="1"/>
  <c r="S189" i="131" s="1"/>
  <c r="S190" i="131" s="1"/>
  <c r="S191" i="131" s="1"/>
  <c r="S192" i="131" s="1"/>
  <c r="S193" i="131" s="1"/>
  <c r="S194" i="131" s="1"/>
  <c r="S195" i="131" s="1"/>
  <c r="S196" i="131" s="1"/>
  <c r="S197" i="131" s="1"/>
  <c r="S198" i="131" s="1"/>
  <c r="S199" i="131" s="1"/>
  <c r="S200" i="131" s="1"/>
  <c r="S201" i="131" s="1"/>
  <c r="S202" i="131" s="1"/>
  <c r="S203" i="131" s="1"/>
  <c r="S204" i="131" s="1"/>
  <c r="S205" i="131" s="1"/>
  <c r="S206" i="131" s="1"/>
  <c r="S207" i="131" s="1"/>
  <c r="S208" i="131" s="1"/>
  <c r="S209" i="131" s="1"/>
  <c r="S210" i="131" s="1"/>
  <c r="S211" i="131" s="1"/>
  <c r="S212" i="131" s="1"/>
  <c r="S213" i="131" s="1"/>
  <c r="S214" i="131" s="1"/>
  <c r="S215" i="131" s="1"/>
  <c r="S216" i="131" s="1"/>
  <c r="S217" i="131" s="1"/>
  <c r="S218" i="131" s="1"/>
  <c r="S219" i="131" s="1"/>
  <c r="S220" i="131" s="1"/>
  <c r="S221" i="131" s="1"/>
  <c r="S222" i="131" s="1"/>
  <c r="S223" i="131" s="1"/>
  <c r="S224" i="131" s="1"/>
  <c r="S225" i="131" s="1"/>
  <c r="S226" i="131" s="1"/>
  <c r="S227" i="131" s="1"/>
  <c r="S228" i="131" s="1"/>
  <c r="S229" i="131" s="1"/>
  <c r="S230" i="131" s="1"/>
  <c r="S231" i="131" s="1"/>
  <c r="S232" i="131" s="1"/>
  <c r="S233" i="131" s="1"/>
  <c r="S234" i="131" s="1"/>
  <c r="S235" i="131" s="1"/>
  <c r="S236" i="131" s="1"/>
  <c r="S237" i="131" s="1"/>
  <c r="S238" i="131" s="1"/>
  <c r="S239" i="131" s="1"/>
  <c r="S240" i="131" s="1"/>
  <c r="S241" i="131" s="1"/>
  <c r="S242" i="131" s="1"/>
  <c r="S243" i="131" s="1"/>
  <c r="S244" i="131" s="1"/>
  <c r="S245" i="131" s="1"/>
  <c r="S246" i="131" s="1"/>
  <c r="S247" i="131" s="1"/>
  <c r="S248" i="131" s="1"/>
  <c r="S249" i="131" s="1"/>
  <c r="S250" i="131" s="1"/>
  <c r="S251" i="131" s="1"/>
  <c r="S252" i="131" s="1"/>
  <c r="S253" i="131" s="1"/>
  <c r="S254" i="131" s="1"/>
  <c r="S255" i="131" s="1"/>
  <c r="S256" i="131" s="1"/>
  <c r="S257" i="131" s="1"/>
  <c r="S258" i="131" s="1"/>
  <c r="S259" i="131" s="1"/>
  <c r="S260" i="131" s="1"/>
  <c r="S261" i="131" s="1"/>
  <c r="S262" i="131" s="1"/>
  <c r="S263" i="131" s="1"/>
  <c r="S264" i="131" s="1"/>
  <c r="S265" i="131" s="1"/>
  <c r="S266" i="131" s="1"/>
  <c r="S267" i="131" s="1"/>
  <c r="S268" i="131" s="1"/>
  <c r="S269" i="131" s="1"/>
  <c r="S270" i="131" s="1"/>
  <c r="S271" i="131" s="1"/>
  <c r="S272" i="131" s="1"/>
  <c r="S273" i="131" s="1"/>
  <c r="S274" i="131" s="1"/>
  <c r="S275" i="131" s="1"/>
  <c r="S276" i="131" s="1"/>
  <c r="S277" i="131" s="1"/>
  <c r="S278" i="131" s="1"/>
  <c r="S279" i="131" s="1"/>
  <c r="S280" i="131" s="1"/>
  <c r="S281" i="131" s="1"/>
  <c r="S282" i="131" s="1"/>
  <c r="S283" i="131" s="1"/>
  <c r="S284" i="131" s="1"/>
  <c r="S285" i="131" s="1"/>
  <c r="S286" i="131" s="1"/>
  <c r="S287" i="131" s="1"/>
  <c r="S288" i="131" s="1"/>
  <c r="S289" i="131" s="1"/>
  <c r="S290" i="131" s="1"/>
  <c r="S291" i="131" s="1"/>
  <c r="S292" i="131" s="1"/>
  <c r="S293" i="131" s="1"/>
  <c r="S294" i="131" s="1"/>
  <c r="S295" i="131" s="1"/>
  <c r="S296" i="131" s="1"/>
  <c r="S297" i="131" s="1"/>
  <c r="S298" i="131" s="1"/>
  <c r="S299" i="131" s="1"/>
  <c r="S300" i="131" s="1"/>
  <c r="S301" i="131" s="1"/>
  <c r="S302" i="131" s="1"/>
  <c r="S303" i="131" s="1"/>
  <c r="S304" i="131" s="1"/>
  <c r="S305" i="131" s="1"/>
  <c r="S306" i="131" s="1"/>
  <c r="S307" i="131" s="1"/>
  <c r="S308" i="131" s="1"/>
  <c r="S309" i="131" s="1"/>
  <c r="S310" i="131" s="1"/>
  <c r="S311" i="131" s="1"/>
  <c r="S312" i="131" s="1"/>
  <c r="S313" i="131" s="1"/>
  <c r="S314" i="131" s="1"/>
  <c r="S315" i="131" s="1"/>
  <c r="S316" i="131" s="1"/>
  <c r="S317" i="131" s="1"/>
  <c r="S318" i="131" s="1"/>
  <c r="S319" i="131" s="1"/>
  <c r="S320" i="131" s="1"/>
  <c r="S321" i="131" s="1"/>
  <c r="S322" i="131" s="1"/>
  <c r="S323" i="131" s="1"/>
  <c r="S324" i="131" s="1"/>
  <c r="S325" i="131" s="1"/>
  <c r="S326" i="131" s="1"/>
  <c r="S327" i="131" s="1"/>
  <c r="S328" i="131" s="1"/>
  <c r="S329" i="131" s="1"/>
  <c r="S330" i="131" s="1"/>
  <c r="S331" i="131" s="1"/>
  <c r="S332" i="131" s="1"/>
  <c r="S333" i="131" s="1"/>
  <c r="S334" i="131" s="1"/>
  <c r="S335" i="131" s="1"/>
  <c r="S336" i="131" s="1"/>
  <c r="S337" i="131" s="1"/>
  <c r="S338" i="131" s="1"/>
  <c r="S339" i="131" s="1"/>
  <c r="S340" i="131" s="1"/>
  <c r="S341" i="131" s="1"/>
  <c r="S342" i="131" s="1"/>
  <c r="S343" i="131" s="1"/>
  <c r="S344" i="131" s="1"/>
  <c r="S345" i="131" s="1"/>
  <c r="S346" i="131" s="1"/>
  <c r="S347" i="131" s="1"/>
  <c r="S348" i="131" s="1"/>
  <c r="S349" i="131" s="1"/>
  <c r="S350" i="131" s="1"/>
  <c r="S351" i="131" s="1"/>
  <c r="S352" i="131" s="1"/>
  <c r="S353" i="131" s="1"/>
  <c r="S354" i="131" s="1"/>
  <c r="S355" i="131" s="1"/>
  <c r="S356" i="131" s="1"/>
  <c r="S357" i="131" s="1"/>
  <c r="S358" i="131" s="1"/>
  <c r="S359" i="131" s="1"/>
  <c r="S360" i="131" s="1"/>
  <c r="S361" i="131" s="1"/>
  <c r="S362" i="131" s="1"/>
  <c r="S363" i="131" s="1"/>
  <c r="S364" i="131" s="1"/>
  <c r="S365" i="131" s="1"/>
  <c r="S366" i="131" s="1"/>
  <c r="S367" i="131" s="1"/>
  <c r="S368" i="131" s="1"/>
  <c r="S369" i="131" s="1"/>
  <c r="S370" i="131" s="1"/>
  <c r="S371" i="131" s="1"/>
  <c r="S372" i="131" s="1"/>
  <c r="S373" i="131" s="1"/>
  <c r="S374" i="131" s="1"/>
  <c r="S375" i="131" s="1"/>
  <c r="S376" i="131" s="1"/>
  <c r="S377" i="131" s="1"/>
  <c r="S378" i="131" s="1"/>
  <c r="S379" i="131" s="1"/>
  <c r="S380" i="131" s="1"/>
  <c r="S381" i="131" s="1"/>
  <c r="S382" i="131" s="1"/>
  <c r="S383" i="131" s="1"/>
  <c r="S384" i="131" s="1"/>
  <c r="S385" i="131" s="1"/>
  <c r="S386" i="131" s="1"/>
  <c r="S387" i="131" s="1"/>
  <c r="S388" i="131" s="1"/>
  <c r="S389" i="131" s="1"/>
  <c r="S390" i="131" s="1"/>
  <c r="S391" i="131" s="1"/>
  <c r="S392" i="131" s="1"/>
  <c r="S393" i="131" s="1"/>
  <c r="S394" i="131" s="1"/>
  <c r="S395" i="131" s="1"/>
  <c r="S396" i="131" s="1"/>
  <c r="S397" i="131" s="1"/>
  <c r="S398" i="131" s="1"/>
  <c r="S399" i="131" s="1"/>
  <c r="S400" i="131" s="1"/>
  <c r="S401" i="131" s="1"/>
  <c r="S402" i="131" s="1"/>
  <c r="S403" i="131" s="1"/>
  <c r="S404" i="131" s="1"/>
  <c r="S405" i="131" s="1"/>
  <c r="S406" i="131" s="1"/>
  <c r="S407" i="131" s="1"/>
  <c r="S408" i="131" s="1"/>
  <c r="S409" i="131" s="1"/>
  <c r="S410" i="131" s="1"/>
  <c r="S411" i="131" s="1"/>
  <c r="S412" i="131" s="1"/>
  <c r="S413" i="131" s="1"/>
  <c r="S414" i="131" s="1"/>
  <c r="S415" i="131" s="1"/>
  <c r="S416" i="131" s="1"/>
  <c r="S417" i="131" s="1"/>
  <c r="S418" i="131" s="1"/>
  <c r="S419" i="131" s="1"/>
  <c r="S420" i="131" s="1"/>
  <c r="S421" i="131" s="1"/>
  <c r="S422" i="131" s="1"/>
  <c r="S423" i="131" s="1"/>
  <c r="S424" i="131" s="1"/>
  <c r="S425" i="131" s="1"/>
  <c r="S426" i="131" s="1"/>
  <c r="S427" i="131" s="1"/>
  <c r="S428" i="131" s="1"/>
  <c r="S429" i="131" s="1"/>
  <c r="S430" i="131" s="1"/>
  <c r="S431" i="131" s="1"/>
  <c r="S432" i="131" s="1"/>
  <c r="S433" i="131" s="1"/>
  <c r="S434" i="131" s="1"/>
  <c r="S435" i="131" s="1"/>
  <c r="S436" i="131" s="1"/>
  <c r="S437" i="131" s="1"/>
  <c r="S438" i="131" s="1"/>
  <c r="S439" i="131" s="1"/>
  <c r="S440" i="131" s="1"/>
  <c r="S441" i="131" s="1"/>
  <c r="S442" i="131" s="1"/>
  <c r="S443" i="131" s="1"/>
  <c r="S444" i="131" s="1"/>
  <c r="S445" i="131" s="1"/>
  <c r="S446" i="131" s="1"/>
  <c r="S447" i="131" s="1"/>
  <c r="S448" i="131" s="1"/>
  <c r="S449" i="131" s="1"/>
  <c r="S450" i="131" s="1"/>
  <c r="S451" i="131" s="1"/>
  <c r="S452" i="131" s="1"/>
  <c r="S453" i="131" s="1"/>
  <c r="S454" i="131" s="1"/>
  <c r="S455" i="131" s="1"/>
  <c r="S456" i="131" s="1"/>
  <c r="S457" i="131" s="1"/>
  <c r="S458" i="131" s="1"/>
  <c r="S459" i="131" s="1"/>
  <c r="S460" i="131" s="1"/>
  <c r="S461" i="131" s="1"/>
  <c r="S462" i="131" s="1"/>
  <c r="S463" i="131" s="1"/>
  <c r="S464" i="131" s="1"/>
  <c r="S465" i="131" s="1"/>
  <c r="S466" i="131" s="1"/>
  <c r="S467" i="131" s="1"/>
  <c r="S468" i="131" s="1"/>
  <c r="S469" i="131" s="1"/>
  <c r="S470" i="131" s="1"/>
  <c r="S471" i="131" s="1"/>
  <c r="S472" i="131" s="1"/>
  <c r="S473" i="131" s="1"/>
  <c r="S474" i="131" s="1"/>
  <c r="S475" i="131" s="1"/>
  <c r="S476" i="131" s="1"/>
  <c r="S477" i="131" s="1"/>
  <c r="S478" i="131" s="1"/>
  <c r="S479" i="131" s="1"/>
  <c r="S480" i="131" s="1"/>
  <c r="S481" i="131" s="1"/>
  <c r="S482" i="131" s="1"/>
  <c r="S483" i="131" s="1"/>
  <c r="S484" i="131" s="1"/>
  <c r="S485" i="131" s="1"/>
  <c r="S486" i="131" s="1"/>
  <c r="S487" i="131" s="1"/>
  <c r="S488" i="131" s="1"/>
  <c r="S489" i="131" s="1"/>
  <c r="S490" i="131" s="1"/>
  <c r="S491" i="131" s="1"/>
  <c r="W62" i="131"/>
  <c r="AD499" i="131"/>
  <c r="AF498" i="131"/>
  <c r="AE503" i="131"/>
  <c r="D66" i="131"/>
  <c r="T62" i="131" l="1"/>
  <c r="AD500" i="131"/>
  <c r="AF499" i="131"/>
  <c r="N63" i="131"/>
  <c r="AO62" i="131"/>
  <c r="AU62" i="131"/>
  <c r="AV62" i="131" s="1"/>
  <c r="AT62" i="131"/>
  <c r="O63" i="131"/>
  <c r="AB62" i="131"/>
  <c r="AE504" i="131"/>
  <c r="H66" i="131"/>
  <c r="I66" i="131"/>
  <c r="K66" i="131"/>
  <c r="R63" i="131" l="1"/>
  <c r="R64" i="131" s="1"/>
  <c r="R65" i="131" s="1"/>
  <c r="R66" i="131" s="1"/>
  <c r="R67" i="131" s="1"/>
  <c r="R68" i="131" s="1"/>
  <c r="R69" i="131" s="1"/>
  <c r="R70" i="131" s="1"/>
  <c r="R71" i="131" s="1"/>
  <c r="R72" i="131" s="1"/>
  <c r="R73" i="131" s="1"/>
  <c r="R74" i="131" s="1"/>
  <c r="R75" i="131" s="1"/>
  <c r="R76" i="131" s="1"/>
  <c r="R77" i="131" s="1"/>
  <c r="R78" i="131" s="1"/>
  <c r="R79" i="131" s="1"/>
  <c r="R80" i="131" s="1"/>
  <c r="R81" i="131" s="1"/>
  <c r="R82" i="131" s="1"/>
  <c r="R83" i="131" s="1"/>
  <c r="R84" i="131" s="1"/>
  <c r="R85" i="131" s="1"/>
  <c r="R86" i="131" s="1"/>
  <c r="R87" i="131" s="1"/>
  <c r="R88" i="131" s="1"/>
  <c r="R89" i="131" s="1"/>
  <c r="R90" i="131" s="1"/>
  <c r="R91" i="131" s="1"/>
  <c r="R92" i="131" s="1"/>
  <c r="R93" i="131" s="1"/>
  <c r="R94" i="131" s="1"/>
  <c r="R95" i="131" s="1"/>
  <c r="R96" i="131" s="1"/>
  <c r="R97" i="131" s="1"/>
  <c r="R98" i="131" s="1"/>
  <c r="R99" i="131" s="1"/>
  <c r="R100" i="131" s="1"/>
  <c r="R101" i="131" s="1"/>
  <c r="R102" i="131" s="1"/>
  <c r="R103" i="131" s="1"/>
  <c r="R104" i="131" s="1"/>
  <c r="R105" i="131" s="1"/>
  <c r="R106" i="131" s="1"/>
  <c r="R107" i="131" s="1"/>
  <c r="R108" i="131" s="1"/>
  <c r="R109" i="131" s="1"/>
  <c r="R110" i="131" s="1"/>
  <c r="R111" i="131" s="1"/>
  <c r="R112" i="131" s="1"/>
  <c r="R113" i="131" s="1"/>
  <c r="R114" i="131" s="1"/>
  <c r="R115" i="131" s="1"/>
  <c r="R116" i="131" s="1"/>
  <c r="R117" i="131" s="1"/>
  <c r="R118" i="131" s="1"/>
  <c r="R119" i="131" s="1"/>
  <c r="R120" i="131" s="1"/>
  <c r="R121" i="131" s="1"/>
  <c r="R122" i="131" s="1"/>
  <c r="R123" i="131" s="1"/>
  <c r="R124" i="131" s="1"/>
  <c r="R125" i="131" s="1"/>
  <c r="R126" i="131" s="1"/>
  <c r="R127" i="131" s="1"/>
  <c r="R128" i="131" s="1"/>
  <c r="R129" i="131" s="1"/>
  <c r="R130" i="131" s="1"/>
  <c r="R131" i="131" s="1"/>
  <c r="R132" i="131" s="1"/>
  <c r="R133" i="131" s="1"/>
  <c r="R134" i="131" s="1"/>
  <c r="R135" i="131" s="1"/>
  <c r="R136" i="131" s="1"/>
  <c r="R137" i="131" s="1"/>
  <c r="R138" i="131" s="1"/>
  <c r="R139" i="131" s="1"/>
  <c r="R140" i="131" s="1"/>
  <c r="R141" i="131" s="1"/>
  <c r="R142" i="131" s="1"/>
  <c r="R143" i="131" s="1"/>
  <c r="R144" i="131" s="1"/>
  <c r="R145" i="131" s="1"/>
  <c r="R146" i="131" s="1"/>
  <c r="R147" i="131" s="1"/>
  <c r="R148" i="131" s="1"/>
  <c r="R149" i="131" s="1"/>
  <c r="R150" i="131" s="1"/>
  <c r="R151" i="131" s="1"/>
  <c r="R152" i="131" s="1"/>
  <c r="R153" i="131" s="1"/>
  <c r="R154" i="131" s="1"/>
  <c r="R155" i="131" s="1"/>
  <c r="R156" i="131" s="1"/>
  <c r="R157" i="131" s="1"/>
  <c r="R158" i="131" s="1"/>
  <c r="R159" i="131" s="1"/>
  <c r="R160" i="131" s="1"/>
  <c r="R161" i="131" s="1"/>
  <c r="R162" i="131" s="1"/>
  <c r="R163" i="131" s="1"/>
  <c r="R164" i="131" s="1"/>
  <c r="R165" i="131" s="1"/>
  <c r="R166" i="131" s="1"/>
  <c r="R167" i="131" s="1"/>
  <c r="R168" i="131" s="1"/>
  <c r="R169" i="131" s="1"/>
  <c r="R170" i="131" s="1"/>
  <c r="R171" i="131" s="1"/>
  <c r="R172" i="131" s="1"/>
  <c r="R173" i="131" s="1"/>
  <c r="R174" i="131" s="1"/>
  <c r="R175" i="131" s="1"/>
  <c r="R176" i="131" s="1"/>
  <c r="R177" i="131" s="1"/>
  <c r="R178" i="131" s="1"/>
  <c r="R179" i="131" s="1"/>
  <c r="R180" i="131" s="1"/>
  <c r="R181" i="131" s="1"/>
  <c r="R182" i="131" s="1"/>
  <c r="R183" i="131" s="1"/>
  <c r="R184" i="131" s="1"/>
  <c r="R185" i="131" s="1"/>
  <c r="R186" i="131" s="1"/>
  <c r="R187" i="131" s="1"/>
  <c r="R188" i="131" s="1"/>
  <c r="R189" i="131" s="1"/>
  <c r="R190" i="131" s="1"/>
  <c r="R191" i="131" s="1"/>
  <c r="R192" i="131" s="1"/>
  <c r="R193" i="131" s="1"/>
  <c r="R194" i="131" s="1"/>
  <c r="R195" i="131" s="1"/>
  <c r="R196" i="131" s="1"/>
  <c r="R197" i="131" s="1"/>
  <c r="R198" i="131" s="1"/>
  <c r="R199" i="131" s="1"/>
  <c r="R200" i="131" s="1"/>
  <c r="R201" i="131" s="1"/>
  <c r="R202" i="131" s="1"/>
  <c r="R203" i="131" s="1"/>
  <c r="R204" i="131" s="1"/>
  <c r="R205" i="131" s="1"/>
  <c r="R206" i="131" s="1"/>
  <c r="R207" i="131" s="1"/>
  <c r="R208" i="131" s="1"/>
  <c r="R209" i="131" s="1"/>
  <c r="R210" i="131" s="1"/>
  <c r="R211" i="131" s="1"/>
  <c r="R212" i="131" s="1"/>
  <c r="R213" i="131" s="1"/>
  <c r="R214" i="131" s="1"/>
  <c r="R215" i="131" s="1"/>
  <c r="R216" i="131" s="1"/>
  <c r="R217" i="131" s="1"/>
  <c r="R218" i="131" s="1"/>
  <c r="R219" i="131" s="1"/>
  <c r="R220" i="131" s="1"/>
  <c r="R221" i="131" s="1"/>
  <c r="R222" i="131" s="1"/>
  <c r="R223" i="131" s="1"/>
  <c r="R224" i="131" s="1"/>
  <c r="R225" i="131" s="1"/>
  <c r="R226" i="131" s="1"/>
  <c r="R227" i="131" s="1"/>
  <c r="R228" i="131" s="1"/>
  <c r="R229" i="131" s="1"/>
  <c r="R230" i="131" s="1"/>
  <c r="R231" i="131" s="1"/>
  <c r="R232" i="131" s="1"/>
  <c r="R233" i="131" s="1"/>
  <c r="R234" i="131" s="1"/>
  <c r="R235" i="131" s="1"/>
  <c r="R236" i="131" s="1"/>
  <c r="R237" i="131" s="1"/>
  <c r="R238" i="131" s="1"/>
  <c r="R239" i="131" s="1"/>
  <c r="R240" i="131" s="1"/>
  <c r="R241" i="131" s="1"/>
  <c r="R242" i="131" s="1"/>
  <c r="R243" i="131" s="1"/>
  <c r="R244" i="131" s="1"/>
  <c r="R245" i="131" s="1"/>
  <c r="R246" i="131" s="1"/>
  <c r="R247" i="131" s="1"/>
  <c r="R248" i="131" s="1"/>
  <c r="R249" i="131" s="1"/>
  <c r="R250" i="131" s="1"/>
  <c r="R251" i="131" s="1"/>
  <c r="R252" i="131" s="1"/>
  <c r="R253" i="131" s="1"/>
  <c r="R254" i="131" s="1"/>
  <c r="R255" i="131" s="1"/>
  <c r="R256" i="131" s="1"/>
  <c r="R257" i="131" s="1"/>
  <c r="R258" i="131" s="1"/>
  <c r="R259" i="131" s="1"/>
  <c r="R260" i="131" s="1"/>
  <c r="R261" i="131" s="1"/>
  <c r="R262" i="131" s="1"/>
  <c r="R263" i="131" s="1"/>
  <c r="R264" i="131" s="1"/>
  <c r="R265" i="131" s="1"/>
  <c r="R266" i="131" s="1"/>
  <c r="R267" i="131" s="1"/>
  <c r="R268" i="131" s="1"/>
  <c r="R269" i="131" s="1"/>
  <c r="R270" i="131" s="1"/>
  <c r="R271" i="131" s="1"/>
  <c r="R272" i="131" s="1"/>
  <c r="R273" i="131" s="1"/>
  <c r="R274" i="131" s="1"/>
  <c r="R275" i="131" s="1"/>
  <c r="R276" i="131" s="1"/>
  <c r="R277" i="131" s="1"/>
  <c r="R278" i="131" s="1"/>
  <c r="R279" i="131" s="1"/>
  <c r="R280" i="131" s="1"/>
  <c r="R281" i="131" s="1"/>
  <c r="R282" i="131" s="1"/>
  <c r="R283" i="131" s="1"/>
  <c r="R284" i="131" s="1"/>
  <c r="R285" i="131" s="1"/>
  <c r="R286" i="131" s="1"/>
  <c r="R287" i="131" s="1"/>
  <c r="R288" i="131" s="1"/>
  <c r="R289" i="131" s="1"/>
  <c r="R290" i="131" s="1"/>
  <c r="R291" i="131" s="1"/>
  <c r="R292" i="131" s="1"/>
  <c r="R293" i="131" s="1"/>
  <c r="R294" i="131" s="1"/>
  <c r="R295" i="131" s="1"/>
  <c r="R296" i="131" s="1"/>
  <c r="R297" i="131" s="1"/>
  <c r="R298" i="131" s="1"/>
  <c r="R299" i="131" s="1"/>
  <c r="R300" i="131" s="1"/>
  <c r="R301" i="131" s="1"/>
  <c r="R302" i="131" s="1"/>
  <c r="R303" i="131" s="1"/>
  <c r="R304" i="131" s="1"/>
  <c r="R305" i="131" s="1"/>
  <c r="R306" i="131" s="1"/>
  <c r="R307" i="131" s="1"/>
  <c r="R308" i="131" s="1"/>
  <c r="R309" i="131" s="1"/>
  <c r="R310" i="131" s="1"/>
  <c r="R311" i="131" s="1"/>
  <c r="R312" i="131" s="1"/>
  <c r="R313" i="131" s="1"/>
  <c r="R314" i="131" s="1"/>
  <c r="R315" i="131" s="1"/>
  <c r="R316" i="131" s="1"/>
  <c r="R317" i="131" s="1"/>
  <c r="R318" i="131" s="1"/>
  <c r="R319" i="131" s="1"/>
  <c r="R320" i="131" s="1"/>
  <c r="R321" i="131" s="1"/>
  <c r="R322" i="131" s="1"/>
  <c r="R323" i="131" s="1"/>
  <c r="R324" i="131" s="1"/>
  <c r="R325" i="131" s="1"/>
  <c r="R326" i="131" s="1"/>
  <c r="R327" i="131" s="1"/>
  <c r="R328" i="131" s="1"/>
  <c r="R329" i="131" s="1"/>
  <c r="R330" i="131" s="1"/>
  <c r="R331" i="131" s="1"/>
  <c r="R332" i="131" s="1"/>
  <c r="R333" i="131" s="1"/>
  <c r="R334" i="131" s="1"/>
  <c r="R335" i="131" s="1"/>
  <c r="R336" i="131" s="1"/>
  <c r="R337" i="131" s="1"/>
  <c r="R338" i="131" s="1"/>
  <c r="R339" i="131" s="1"/>
  <c r="R340" i="131" s="1"/>
  <c r="R341" i="131" s="1"/>
  <c r="R342" i="131" s="1"/>
  <c r="R343" i="131" s="1"/>
  <c r="R344" i="131" s="1"/>
  <c r="R345" i="131" s="1"/>
  <c r="R346" i="131" s="1"/>
  <c r="R347" i="131" s="1"/>
  <c r="R348" i="131" s="1"/>
  <c r="R349" i="131" s="1"/>
  <c r="R350" i="131" s="1"/>
  <c r="R351" i="131" s="1"/>
  <c r="R352" i="131" s="1"/>
  <c r="R353" i="131" s="1"/>
  <c r="R354" i="131" s="1"/>
  <c r="R355" i="131" s="1"/>
  <c r="R356" i="131" s="1"/>
  <c r="R357" i="131" s="1"/>
  <c r="R358" i="131" s="1"/>
  <c r="R359" i="131" s="1"/>
  <c r="R360" i="131" s="1"/>
  <c r="R361" i="131" s="1"/>
  <c r="R362" i="131" s="1"/>
  <c r="R363" i="131" s="1"/>
  <c r="R364" i="131" s="1"/>
  <c r="R365" i="131" s="1"/>
  <c r="R366" i="131" s="1"/>
  <c r="R367" i="131" s="1"/>
  <c r="R368" i="131" s="1"/>
  <c r="R369" i="131" s="1"/>
  <c r="R370" i="131" s="1"/>
  <c r="R371" i="131" s="1"/>
  <c r="R372" i="131" s="1"/>
  <c r="R373" i="131" s="1"/>
  <c r="R374" i="131" s="1"/>
  <c r="R375" i="131" s="1"/>
  <c r="R376" i="131" s="1"/>
  <c r="R377" i="131" s="1"/>
  <c r="R378" i="131" s="1"/>
  <c r="R379" i="131" s="1"/>
  <c r="R380" i="131" s="1"/>
  <c r="R381" i="131" s="1"/>
  <c r="R382" i="131" s="1"/>
  <c r="R383" i="131" s="1"/>
  <c r="R384" i="131" s="1"/>
  <c r="R385" i="131" s="1"/>
  <c r="R386" i="131" s="1"/>
  <c r="R387" i="131" s="1"/>
  <c r="R388" i="131" s="1"/>
  <c r="R389" i="131" s="1"/>
  <c r="R390" i="131" s="1"/>
  <c r="R391" i="131" s="1"/>
  <c r="R392" i="131" s="1"/>
  <c r="R393" i="131" s="1"/>
  <c r="R394" i="131" s="1"/>
  <c r="R395" i="131" s="1"/>
  <c r="R396" i="131" s="1"/>
  <c r="R397" i="131" s="1"/>
  <c r="R398" i="131" s="1"/>
  <c r="R399" i="131" s="1"/>
  <c r="R400" i="131" s="1"/>
  <c r="R401" i="131" s="1"/>
  <c r="R402" i="131" s="1"/>
  <c r="R403" i="131" s="1"/>
  <c r="R404" i="131" s="1"/>
  <c r="R405" i="131" s="1"/>
  <c r="R406" i="131" s="1"/>
  <c r="R407" i="131" s="1"/>
  <c r="R408" i="131" s="1"/>
  <c r="R409" i="131" s="1"/>
  <c r="R410" i="131" s="1"/>
  <c r="R411" i="131" s="1"/>
  <c r="R412" i="131" s="1"/>
  <c r="R413" i="131" s="1"/>
  <c r="R414" i="131" s="1"/>
  <c r="R415" i="131" s="1"/>
  <c r="R416" i="131" s="1"/>
  <c r="R417" i="131" s="1"/>
  <c r="R418" i="131" s="1"/>
  <c r="R419" i="131" s="1"/>
  <c r="R420" i="131" s="1"/>
  <c r="R421" i="131" s="1"/>
  <c r="R422" i="131" s="1"/>
  <c r="R423" i="131" s="1"/>
  <c r="R424" i="131" s="1"/>
  <c r="R425" i="131" s="1"/>
  <c r="R426" i="131" s="1"/>
  <c r="R427" i="131" s="1"/>
  <c r="R428" i="131" s="1"/>
  <c r="R429" i="131" s="1"/>
  <c r="R430" i="131" s="1"/>
  <c r="R431" i="131" s="1"/>
  <c r="R432" i="131" s="1"/>
  <c r="R433" i="131" s="1"/>
  <c r="R434" i="131" s="1"/>
  <c r="R435" i="131" s="1"/>
  <c r="R436" i="131" s="1"/>
  <c r="R437" i="131" s="1"/>
  <c r="R438" i="131" s="1"/>
  <c r="R439" i="131" s="1"/>
  <c r="R440" i="131" s="1"/>
  <c r="R441" i="131" s="1"/>
  <c r="R442" i="131" s="1"/>
  <c r="R443" i="131" s="1"/>
  <c r="R444" i="131" s="1"/>
  <c r="R445" i="131" s="1"/>
  <c r="R446" i="131" s="1"/>
  <c r="R447" i="131" s="1"/>
  <c r="R448" i="131" s="1"/>
  <c r="R449" i="131" s="1"/>
  <c r="R450" i="131" s="1"/>
  <c r="R451" i="131" s="1"/>
  <c r="R452" i="131" s="1"/>
  <c r="R453" i="131" s="1"/>
  <c r="R454" i="131" s="1"/>
  <c r="R455" i="131" s="1"/>
  <c r="R456" i="131" s="1"/>
  <c r="R457" i="131" s="1"/>
  <c r="R458" i="131" s="1"/>
  <c r="R459" i="131" s="1"/>
  <c r="R460" i="131" s="1"/>
  <c r="R461" i="131" s="1"/>
  <c r="R462" i="131" s="1"/>
  <c r="R463" i="131" s="1"/>
  <c r="R464" i="131" s="1"/>
  <c r="R465" i="131" s="1"/>
  <c r="R466" i="131" s="1"/>
  <c r="R467" i="131" s="1"/>
  <c r="R468" i="131" s="1"/>
  <c r="R469" i="131" s="1"/>
  <c r="R470" i="131" s="1"/>
  <c r="R471" i="131" s="1"/>
  <c r="R472" i="131" s="1"/>
  <c r="R473" i="131" s="1"/>
  <c r="R474" i="131" s="1"/>
  <c r="R475" i="131" s="1"/>
  <c r="R476" i="131" s="1"/>
  <c r="R477" i="131" s="1"/>
  <c r="R478" i="131" s="1"/>
  <c r="R479" i="131" s="1"/>
  <c r="R480" i="131" s="1"/>
  <c r="R481" i="131" s="1"/>
  <c r="R482" i="131" s="1"/>
  <c r="R483" i="131" s="1"/>
  <c r="R484" i="131" s="1"/>
  <c r="R485" i="131" s="1"/>
  <c r="R486" i="131" s="1"/>
  <c r="R487" i="131" s="1"/>
  <c r="R488" i="131" s="1"/>
  <c r="R489" i="131" s="1"/>
  <c r="R490" i="131" s="1"/>
  <c r="R491" i="131" s="1"/>
  <c r="AN63" i="131"/>
  <c r="AS63" i="131" s="1"/>
  <c r="Q63" i="131"/>
  <c r="V63" i="131" s="1"/>
  <c r="M63" i="131"/>
  <c r="L63" i="131" s="1"/>
  <c r="AG62" i="131"/>
  <c r="AF62" i="131"/>
  <c r="AL62" i="131"/>
  <c r="AD501" i="131"/>
  <c r="AF500" i="131"/>
  <c r="AE505" i="131"/>
  <c r="B67" i="131"/>
  <c r="C67" i="131"/>
  <c r="A66" i="131"/>
  <c r="AM63" i="131" l="1"/>
  <c r="Z63" i="131"/>
  <c r="AA63" i="131" s="1"/>
  <c r="AD502" i="131"/>
  <c r="AF501" i="131"/>
  <c r="Y63" i="131"/>
  <c r="AJ62" i="131"/>
  <c r="AK62" i="131" s="1"/>
  <c r="P63" i="131"/>
  <c r="AE506" i="131"/>
  <c r="E67" i="131"/>
  <c r="J67" i="131" s="1"/>
  <c r="X66" i="131"/>
  <c r="W63" i="131" l="1"/>
  <c r="T63" i="131"/>
  <c r="U63" i="131"/>
  <c r="AP63" i="131"/>
  <c r="AI63" i="131"/>
  <c r="AC63" i="131"/>
  <c r="AH63" i="131" s="1"/>
  <c r="AD503" i="131"/>
  <c r="AF502" i="131"/>
  <c r="AE507" i="131"/>
  <c r="D67" i="131"/>
  <c r="AO63" i="131" l="1"/>
  <c r="AB63" i="131"/>
  <c r="AD504" i="131"/>
  <c r="AF503" i="131"/>
  <c r="AT63" i="131"/>
  <c r="AU63" i="131"/>
  <c r="AV63" i="131" s="1"/>
  <c r="N64" i="131"/>
  <c r="O64" i="131"/>
  <c r="AE508" i="131"/>
  <c r="I67" i="131"/>
  <c r="H67" i="131"/>
  <c r="K67" i="131"/>
  <c r="AN64" i="131" l="1"/>
  <c r="AS64" i="131" s="1"/>
  <c r="M64" i="131"/>
  <c r="L64" i="131" s="1"/>
  <c r="Q64" i="131"/>
  <c r="V64" i="131" s="1"/>
  <c r="AD505" i="131"/>
  <c r="AF504" i="131"/>
  <c r="AG63" i="131"/>
  <c r="AF63" i="131"/>
  <c r="AL63" i="131"/>
  <c r="AE509" i="131"/>
  <c r="C68" i="131"/>
  <c r="A67" i="131"/>
  <c r="B68" i="131"/>
  <c r="Z64" i="131" l="1"/>
  <c r="AA64" i="131" s="1"/>
  <c r="AM64" i="131"/>
  <c r="AD506" i="131"/>
  <c r="AF505" i="131"/>
  <c r="P64" i="131"/>
  <c r="Y64" i="131"/>
  <c r="AJ63" i="131"/>
  <c r="AK63" i="131" s="1"/>
  <c r="AE510" i="131"/>
  <c r="X67" i="131"/>
  <c r="E68" i="131"/>
  <c r="J68" i="131" s="1"/>
  <c r="AP64" i="131" l="1"/>
  <c r="AI64" i="131"/>
  <c r="T64" i="131"/>
  <c r="U64" i="131"/>
  <c r="W64" i="131"/>
  <c r="AC64" i="131"/>
  <c r="AH64" i="131" s="1"/>
  <c r="AD507" i="131"/>
  <c r="AF506" i="131"/>
  <c r="AE511" i="131"/>
  <c r="D68" i="131"/>
  <c r="I68" i="131" s="1"/>
  <c r="N65" i="131" l="1"/>
  <c r="O65" i="131"/>
  <c r="AT64" i="131"/>
  <c r="AO64" i="131"/>
  <c r="AU64" i="131"/>
  <c r="AV64" i="131" s="1"/>
  <c r="AD508" i="131"/>
  <c r="AF507" i="131"/>
  <c r="AB64" i="131"/>
  <c r="K68" i="131"/>
  <c r="C69" i="131" s="1"/>
  <c r="H68" i="131"/>
  <c r="AE512" i="131"/>
  <c r="B69" i="131" l="1"/>
  <c r="E69" i="131" s="1"/>
  <c r="J69" i="131" s="1"/>
  <c r="A68" i="131"/>
  <c r="X68" i="131" s="1"/>
  <c r="AD509" i="131"/>
  <c r="AF508" i="131"/>
  <c r="AN65" i="131"/>
  <c r="AS65" i="131" s="1"/>
  <c r="AF64" i="131"/>
  <c r="AG64" i="131"/>
  <c r="AL64" i="131"/>
  <c r="M65" i="131"/>
  <c r="L65" i="131" s="1"/>
  <c r="Q65" i="131"/>
  <c r="V65" i="131" s="1"/>
  <c r="AE513" i="131"/>
  <c r="P65" i="131" l="1"/>
  <c r="Z65" i="131"/>
  <c r="AA65" i="131" s="1"/>
  <c r="AM65" i="131"/>
  <c r="Y65" i="131"/>
  <c r="AJ64" i="131"/>
  <c r="AK64" i="131" s="1"/>
  <c r="AD510" i="131"/>
  <c r="AF509" i="131"/>
  <c r="AE514" i="131"/>
  <c r="D69" i="131"/>
  <c r="H69" i="131" s="1"/>
  <c r="AP65" i="131" l="1"/>
  <c r="AI65" i="131"/>
  <c r="AC65" i="131"/>
  <c r="AH65" i="131" s="1"/>
  <c r="AD511" i="131"/>
  <c r="AF510" i="131"/>
  <c r="W65" i="131"/>
  <c r="T65" i="131"/>
  <c r="U65" i="131"/>
  <c r="AE515" i="131"/>
  <c r="K69" i="131"/>
  <c r="B70" i="131" s="1"/>
  <c r="I69" i="131"/>
  <c r="AU65" i="131" l="1"/>
  <c r="AV65" i="131" s="1"/>
  <c r="N66" i="131"/>
  <c r="AT65" i="131"/>
  <c r="O66" i="131"/>
  <c r="AD512" i="131"/>
  <c r="AF511" i="131"/>
  <c r="AO65" i="131"/>
  <c r="AB65" i="131"/>
  <c r="AE516" i="131"/>
  <c r="C70" i="131"/>
  <c r="A69" i="131"/>
  <c r="X69" i="131" s="1"/>
  <c r="E70" i="131"/>
  <c r="J70" i="131" s="1"/>
  <c r="AD513" i="131" l="1"/>
  <c r="AF512" i="131"/>
  <c r="AN66" i="131"/>
  <c r="AS66" i="131" s="1"/>
  <c r="M66" i="131"/>
  <c r="L66" i="131" s="1"/>
  <c r="Q66" i="131"/>
  <c r="V66" i="131" s="1"/>
  <c r="AF65" i="131"/>
  <c r="AG65" i="131"/>
  <c r="AL65" i="131"/>
  <c r="AE517" i="131"/>
  <c r="D70" i="131"/>
  <c r="AM66" i="131" l="1"/>
  <c r="Z66" i="131"/>
  <c r="AA66" i="131" s="1"/>
  <c r="Y66" i="131"/>
  <c r="AJ65" i="131"/>
  <c r="AK65" i="131" s="1"/>
  <c r="P66" i="131"/>
  <c r="AD514" i="131"/>
  <c r="AF513" i="131"/>
  <c r="AE518" i="131"/>
  <c r="H70" i="131"/>
  <c r="I70" i="131"/>
  <c r="K70" i="131"/>
  <c r="AC66" i="131" l="1"/>
  <c r="AH66" i="131" s="1"/>
  <c r="T66" i="131"/>
  <c r="U66" i="131"/>
  <c r="W66" i="131"/>
  <c r="AD515" i="131"/>
  <c r="AF514" i="131"/>
  <c r="AI66" i="131"/>
  <c r="AP66" i="131"/>
  <c r="AE519" i="131"/>
  <c r="B71" i="131"/>
  <c r="C71" i="131"/>
  <c r="A70" i="131"/>
  <c r="AB66" i="131" l="1"/>
  <c r="AL66" i="131" s="1"/>
  <c r="AJ66" i="131" s="1"/>
  <c r="AK66" i="131" s="1"/>
  <c r="N67" i="131"/>
  <c r="AT66" i="131"/>
  <c r="AO66" i="131"/>
  <c r="AU66" i="131"/>
  <c r="AV66" i="131" s="1"/>
  <c r="O67" i="131"/>
  <c r="AD516" i="131"/>
  <c r="AF515" i="131"/>
  <c r="AE520" i="131"/>
  <c r="X70" i="131"/>
  <c r="E71" i="131"/>
  <c r="J71" i="131" s="1"/>
  <c r="AF66" i="131" l="1"/>
  <c r="AG66" i="131"/>
  <c r="AN67" i="131"/>
  <c r="AS67" i="131" s="1"/>
  <c r="M67" i="131"/>
  <c r="L67" i="131" s="1"/>
  <c r="Q67" i="131"/>
  <c r="V67" i="131" s="1"/>
  <c r="AD517" i="131"/>
  <c r="AF516" i="131"/>
  <c r="Y67" i="131"/>
  <c r="AE521" i="131"/>
  <c r="D71" i="131"/>
  <c r="Z67" i="131" l="1"/>
  <c r="AA67" i="131" s="1"/>
  <c r="AM67" i="131"/>
  <c r="AD518" i="131"/>
  <c r="AF517" i="131"/>
  <c r="P67" i="131"/>
  <c r="AE522" i="131"/>
  <c r="I71" i="131"/>
  <c r="H71" i="131"/>
  <c r="K71" i="131"/>
  <c r="AC67" i="131" l="1"/>
  <c r="AH67" i="131" s="1"/>
  <c r="T67" i="131"/>
  <c r="U67" i="131"/>
  <c r="W67" i="131"/>
  <c r="AD519" i="131"/>
  <c r="AF518" i="131"/>
  <c r="AP67" i="131"/>
  <c r="AI67" i="131"/>
  <c r="AE523" i="131"/>
  <c r="C72" i="131"/>
  <c r="A71" i="131"/>
  <c r="B72" i="131"/>
  <c r="AB67" i="131" l="1"/>
  <c r="AG67" i="131" s="1"/>
  <c r="AD520" i="131"/>
  <c r="AF519" i="131"/>
  <c r="AT67" i="131"/>
  <c r="AU67" i="131"/>
  <c r="AV67" i="131" s="1"/>
  <c r="AO67" i="131"/>
  <c r="O68" i="131"/>
  <c r="N68" i="131"/>
  <c r="AE524" i="131"/>
  <c r="E72" i="131"/>
  <c r="J72" i="131" s="1"/>
  <c r="X71" i="131"/>
  <c r="AL67" i="131" l="1"/>
  <c r="AJ67" i="131" s="1"/>
  <c r="AK67" i="131" s="1"/>
  <c r="AF67" i="131"/>
  <c r="AD521" i="131"/>
  <c r="AF520" i="131"/>
  <c r="M68" i="131"/>
  <c r="L68" i="131" s="1"/>
  <c r="Q68" i="131"/>
  <c r="V68" i="131" s="1"/>
  <c r="AN68" i="131"/>
  <c r="AS68" i="131" s="1"/>
  <c r="AE525" i="131"/>
  <c r="D72" i="131"/>
  <c r="I72" i="131" s="1"/>
  <c r="Y68" i="131" l="1"/>
  <c r="AM68" i="131"/>
  <c r="Z68" i="131"/>
  <c r="AA68" i="131" s="1"/>
  <c r="P68" i="131"/>
  <c r="AD522" i="131"/>
  <c r="AF521" i="131"/>
  <c r="AE526" i="131"/>
  <c r="K72" i="131"/>
  <c r="C73" i="131" s="1"/>
  <c r="H72" i="131"/>
  <c r="AC68" i="131" l="1"/>
  <c r="AH68" i="131" s="1"/>
  <c r="AD523" i="131"/>
  <c r="AF522" i="131"/>
  <c r="T68" i="131"/>
  <c r="U68" i="131"/>
  <c r="W68" i="131"/>
  <c r="AP68" i="131"/>
  <c r="AI68" i="131"/>
  <c r="AE527" i="131"/>
  <c r="B73" i="131"/>
  <c r="E73" i="131" s="1"/>
  <c r="A72" i="131"/>
  <c r="X72" i="131" s="1"/>
  <c r="AB68" i="131" l="1"/>
  <c r="AG68" i="131" s="1"/>
  <c r="AU68" i="131"/>
  <c r="AV68" i="131" s="1"/>
  <c r="O69" i="131"/>
  <c r="N69" i="131"/>
  <c r="AT68" i="131"/>
  <c r="AO68" i="131"/>
  <c r="AF68" i="131"/>
  <c r="AD524" i="131"/>
  <c r="AF523" i="131"/>
  <c r="AE528" i="131"/>
  <c r="J73" i="131"/>
  <c r="D73" i="131"/>
  <c r="H73" i="131" s="1"/>
  <c r="AL68" i="131" l="1"/>
  <c r="Y69" i="131" s="1"/>
  <c r="M69" i="131"/>
  <c r="L69" i="131" s="1"/>
  <c r="Q69" i="131"/>
  <c r="V69" i="131" s="1"/>
  <c r="AD525" i="131"/>
  <c r="AF524" i="131"/>
  <c r="AN69" i="131"/>
  <c r="AS69" i="131" s="1"/>
  <c r="K73" i="131"/>
  <c r="C74" i="131" s="1"/>
  <c r="I73" i="131"/>
  <c r="AE529" i="131"/>
  <c r="AJ68" i="131" l="1"/>
  <c r="AK68" i="131" s="1"/>
  <c r="AD526" i="131"/>
  <c r="AF525" i="131"/>
  <c r="Z69" i="131"/>
  <c r="AM69" i="131"/>
  <c r="P69" i="131"/>
  <c r="A73" i="131"/>
  <c r="X73" i="131" s="1"/>
  <c r="B74" i="131"/>
  <c r="E74" i="131" s="1"/>
  <c r="J74" i="131" s="1"/>
  <c r="AE530" i="131"/>
  <c r="U69" i="131" l="1"/>
  <c r="T69" i="131"/>
  <c r="W69" i="131"/>
  <c r="AA69" i="131"/>
  <c r="AC69" i="131"/>
  <c r="AH69" i="131" s="1"/>
  <c r="AD527" i="131"/>
  <c r="AF526" i="131"/>
  <c r="AE531" i="131"/>
  <c r="D74" i="131"/>
  <c r="AD528" i="131" l="1"/>
  <c r="AF527" i="131"/>
  <c r="AB69" i="131"/>
  <c r="AI69" i="131"/>
  <c r="AP69" i="131"/>
  <c r="O70" i="131"/>
  <c r="AU69" i="131"/>
  <c r="AV69" i="131" s="1"/>
  <c r="N70" i="131"/>
  <c r="AT69" i="131"/>
  <c r="AO69" i="131"/>
  <c r="AE532" i="131"/>
  <c r="H74" i="131"/>
  <c r="I74" i="131"/>
  <c r="K74" i="131"/>
  <c r="AN70" i="131" l="1"/>
  <c r="AS70" i="131" s="1"/>
  <c r="AF69" i="131"/>
  <c r="AG69" i="131"/>
  <c r="AL69" i="131"/>
  <c r="M70" i="131"/>
  <c r="L70" i="131" s="1"/>
  <c r="Q70" i="131"/>
  <c r="V70" i="131" s="1"/>
  <c r="AD529" i="131"/>
  <c r="AF528" i="131"/>
  <c r="AE533" i="131"/>
  <c r="B75" i="131"/>
  <c r="C75" i="131"/>
  <c r="A74" i="131"/>
  <c r="AM70" i="131" l="1"/>
  <c r="Z70" i="131"/>
  <c r="AA70" i="131" s="1"/>
  <c r="AJ69" i="131"/>
  <c r="AK69" i="131" s="1"/>
  <c r="Y70" i="131"/>
  <c r="AD530" i="131"/>
  <c r="AF529" i="131"/>
  <c r="P70" i="131"/>
  <c r="AE534" i="131"/>
  <c r="X74" i="131"/>
  <c r="E75" i="131"/>
  <c r="J75" i="131" s="1"/>
  <c r="AD531" i="131" l="1"/>
  <c r="AF530" i="131"/>
  <c r="AC70" i="131"/>
  <c r="AH70" i="131" s="1"/>
  <c r="AP70" i="131"/>
  <c r="AI70" i="131"/>
  <c r="U70" i="131"/>
  <c r="T70" i="131"/>
  <c r="W70" i="131"/>
  <c r="AE535" i="131"/>
  <c r="D75" i="131"/>
  <c r="I75" i="131" s="1"/>
  <c r="AB70" i="131" l="1"/>
  <c r="N71" i="131"/>
  <c r="AT70" i="131"/>
  <c r="AO70" i="131"/>
  <c r="O71" i="131"/>
  <c r="AU70" i="131"/>
  <c r="AV70" i="131" s="1"/>
  <c r="AD532" i="131"/>
  <c r="AF531" i="131"/>
  <c r="AE536" i="131"/>
  <c r="H75" i="131"/>
  <c r="K75" i="131"/>
  <c r="B76" i="131" s="1"/>
  <c r="AN71" i="131" l="1"/>
  <c r="AS71" i="131" s="1"/>
  <c r="Q71" i="131"/>
  <c r="V71" i="131" s="1"/>
  <c r="M71" i="131"/>
  <c r="L71" i="131" s="1"/>
  <c r="AD533" i="131"/>
  <c r="AF532" i="131"/>
  <c r="AG70" i="131"/>
  <c r="AF70" i="131"/>
  <c r="AL70" i="131"/>
  <c r="A75" i="131"/>
  <c r="X75" i="131" s="1"/>
  <c r="C76" i="131"/>
  <c r="AE537" i="131"/>
  <c r="E76" i="131"/>
  <c r="J76" i="131" s="1"/>
  <c r="AD534" i="131" l="1"/>
  <c r="AF533" i="131"/>
  <c r="AM71" i="131"/>
  <c r="Z71" i="131"/>
  <c r="AA71" i="131" s="1"/>
  <c r="Y71" i="131"/>
  <c r="AJ70" i="131"/>
  <c r="AK70" i="131" s="1"/>
  <c r="P71" i="131"/>
  <c r="AE538" i="131"/>
  <c r="D76" i="131"/>
  <c r="K76" i="131" s="1"/>
  <c r="A76" i="131" s="1"/>
  <c r="AC71" i="131" l="1"/>
  <c r="AH71" i="131" s="1"/>
  <c r="AI71" i="131"/>
  <c r="AP71" i="131"/>
  <c r="T71" i="131"/>
  <c r="U71" i="131"/>
  <c r="W71" i="131"/>
  <c r="AD535" i="131"/>
  <c r="AF534" i="131"/>
  <c r="AE539" i="131"/>
  <c r="H76" i="131"/>
  <c r="B77" i="131"/>
  <c r="E77" i="131" s="1"/>
  <c r="J77" i="131" s="1"/>
  <c r="I76" i="131"/>
  <c r="C77" i="131"/>
  <c r="X76" i="131"/>
  <c r="AB71" i="131" l="1"/>
  <c r="AF71" i="131" s="1"/>
  <c r="AO71" i="131"/>
  <c r="N72" i="131"/>
  <c r="AT71" i="131"/>
  <c r="AU71" i="131"/>
  <c r="AV71" i="131" s="1"/>
  <c r="O72" i="131"/>
  <c r="AD536" i="131"/>
  <c r="AF535" i="131"/>
  <c r="AE540" i="131"/>
  <c r="D77" i="131"/>
  <c r="AL71" i="131" l="1"/>
  <c r="Y72" i="131" s="1"/>
  <c r="AG71" i="131"/>
  <c r="AN72" i="131"/>
  <c r="AS72" i="131" s="1"/>
  <c r="M72" i="131"/>
  <c r="L72" i="131" s="1"/>
  <c r="Q72" i="131"/>
  <c r="V72" i="131" s="1"/>
  <c r="AD537" i="131"/>
  <c r="AF536" i="131"/>
  <c r="AE541" i="131"/>
  <c r="H77" i="131"/>
  <c r="I77" i="131"/>
  <c r="K77" i="131"/>
  <c r="AJ71" i="131" l="1"/>
  <c r="AK71" i="131" s="1"/>
  <c r="AM72" i="131"/>
  <c r="Z72" i="131"/>
  <c r="AD538" i="131"/>
  <c r="AF537" i="131"/>
  <c r="P72" i="131"/>
  <c r="AE542" i="131"/>
  <c r="B78" i="131"/>
  <c r="A77" i="131"/>
  <c r="C78" i="131"/>
  <c r="T72" i="131" l="1"/>
  <c r="U72" i="131"/>
  <c r="W72" i="131"/>
  <c r="AD539" i="131"/>
  <c r="AF538" i="131"/>
  <c r="AA72" i="131"/>
  <c r="AC72" i="131"/>
  <c r="AH72" i="131" s="1"/>
  <c r="AE543" i="131"/>
  <c r="E78" i="131"/>
  <c r="J78" i="131" s="1"/>
  <c r="X77" i="131"/>
  <c r="AD540" i="131" l="1"/>
  <c r="AF539" i="131"/>
  <c r="AB72" i="131"/>
  <c r="AP72" i="131"/>
  <c r="AI72" i="131"/>
  <c r="N73" i="131"/>
  <c r="O73" i="131"/>
  <c r="AO72" i="131"/>
  <c r="AT72" i="131"/>
  <c r="AU72" i="131"/>
  <c r="AV72" i="131" s="1"/>
  <c r="D78" i="131"/>
  <c r="H78" i="131" s="1"/>
  <c r="AE544" i="131"/>
  <c r="AN73" i="131" l="1"/>
  <c r="AS73" i="131" s="1"/>
  <c r="Q73" i="131"/>
  <c r="V73" i="131" s="1"/>
  <c r="M73" i="131"/>
  <c r="L73" i="131" s="1"/>
  <c r="AG72" i="131"/>
  <c r="AF72" i="131"/>
  <c r="AL72" i="131"/>
  <c r="AD541" i="131"/>
  <c r="AF540" i="131"/>
  <c r="K78" i="131"/>
  <c r="A78" i="131" s="1"/>
  <c r="I78" i="131"/>
  <c r="Z73" i="131" l="1"/>
  <c r="AA73" i="131" s="1"/>
  <c r="AM73" i="131"/>
  <c r="AD542" i="131"/>
  <c r="AF541" i="131"/>
  <c r="Y73" i="131"/>
  <c r="AJ72" i="131"/>
  <c r="AK72" i="131" s="1"/>
  <c r="P73" i="131"/>
  <c r="C79" i="131"/>
  <c r="B79" i="131"/>
  <c r="E79" i="131" s="1"/>
  <c r="J79" i="131" s="1"/>
  <c r="X78" i="131"/>
  <c r="AC73" i="131" l="1"/>
  <c r="AH73" i="131" s="1"/>
  <c r="U73" i="131"/>
  <c r="T73" i="131"/>
  <c r="W73" i="131"/>
  <c r="AI73" i="131"/>
  <c r="AP73" i="131"/>
  <c r="AD543" i="131"/>
  <c r="AF542" i="131"/>
  <c r="D79" i="131"/>
  <c r="K79" i="131" s="1"/>
  <c r="H79" i="131" l="1"/>
  <c r="I79" i="131"/>
  <c r="AB73" i="131"/>
  <c r="AL73" i="131" s="1"/>
  <c r="Y74" i="131" s="1"/>
  <c r="AD544" i="131"/>
  <c r="AF544" i="131" s="1"/>
  <c r="AF543" i="131"/>
  <c r="AT73" i="131"/>
  <c r="AO73" i="131"/>
  <c r="N74" i="131"/>
  <c r="O74" i="131"/>
  <c r="AU73" i="131"/>
  <c r="AV73" i="131" s="1"/>
  <c r="C80" i="131"/>
  <c r="A79" i="131"/>
  <c r="B80" i="131"/>
  <c r="AG73" i="131" l="1"/>
  <c r="AF73" i="131"/>
  <c r="AJ73" i="131"/>
  <c r="AK73" i="131" s="1"/>
  <c r="M74" i="131"/>
  <c r="L74" i="131" s="1"/>
  <c r="Q74" i="131"/>
  <c r="V74" i="131" s="1"/>
  <c r="AN74" i="131"/>
  <c r="AS74" i="131" s="1"/>
  <c r="E80" i="131"/>
  <c r="J80" i="131" s="1"/>
  <c r="X79" i="131"/>
  <c r="P74" i="131" l="1"/>
  <c r="U74" i="131" s="1"/>
  <c r="Z74" i="131"/>
  <c r="AM74" i="131"/>
  <c r="D80" i="131"/>
  <c r="W74" i="131" l="1"/>
  <c r="N75" i="131" s="1"/>
  <c r="T74" i="131"/>
  <c r="AA74" i="131"/>
  <c r="AC74" i="131"/>
  <c r="AH74" i="131" s="1"/>
  <c r="I80" i="131"/>
  <c r="H80" i="131"/>
  <c r="K80" i="131"/>
  <c r="O75" i="131" l="1"/>
  <c r="AN75" i="131" s="1"/>
  <c r="AS75" i="131" s="1"/>
  <c r="AO74" i="131"/>
  <c r="AU74" i="131"/>
  <c r="AV74" i="131" s="1"/>
  <c r="AT74" i="131"/>
  <c r="M75" i="131"/>
  <c r="L75" i="131" s="1"/>
  <c r="Q75" i="131"/>
  <c r="V75" i="131" s="1"/>
  <c r="AB74" i="131"/>
  <c r="AP74" i="131"/>
  <c r="AI74" i="131"/>
  <c r="C81" i="131"/>
  <c r="A80" i="131"/>
  <c r="B81" i="131"/>
  <c r="AF74" i="131" l="1"/>
  <c r="AG74" i="131"/>
  <c r="AL74" i="131"/>
  <c r="Z75" i="131"/>
  <c r="AM75" i="131"/>
  <c r="P75" i="131"/>
  <c r="E81" i="131"/>
  <c r="J81" i="131" s="1"/>
  <c r="X80" i="131"/>
  <c r="AA75" i="131" l="1"/>
  <c r="AI75" i="131" s="1"/>
  <c r="T75" i="131"/>
  <c r="U75" i="131"/>
  <c r="W75" i="131"/>
  <c r="AJ74" i="131"/>
  <c r="AK74" i="131" s="1"/>
  <c r="Y75" i="131"/>
  <c r="D81" i="131"/>
  <c r="AP75" i="131" l="1"/>
  <c r="AC75" i="131"/>
  <c r="N76" i="131"/>
  <c r="AT75" i="131"/>
  <c r="AU75" i="131"/>
  <c r="AV75" i="131" s="1"/>
  <c r="O76" i="131"/>
  <c r="AO75" i="131"/>
  <c r="H81" i="131"/>
  <c r="I81" i="131"/>
  <c r="K81" i="131"/>
  <c r="AN76" i="131" l="1"/>
  <c r="AS76" i="131" s="1"/>
  <c r="Q76" i="131"/>
  <c r="V76" i="131" s="1"/>
  <c r="M76" i="131"/>
  <c r="L76" i="131" s="1"/>
  <c r="AH75" i="131"/>
  <c r="AB75" i="131"/>
  <c r="B82" i="131"/>
  <c r="A81" i="131"/>
  <c r="C82" i="131"/>
  <c r="AM76" i="131" l="1"/>
  <c r="Z76" i="131"/>
  <c r="P76" i="131"/>
  <c r="AG75" i="131"/>
  <c r="AF75" i="131"/>
  <c r="AL75" i="131"/>
  <c r="X81" i="131"/>
  <c r="E82" i="131"/>
  <c r="J82" i="131" s="1"/>
  <c r="Y76" i="131" l="1"/>
  <c r="AJ75" i="131"/>
  <c r="AK75" i="131" s="1"/>
  <c r="T76" i="131"/>
  <c r="U76" i="131"/>
  <c r="W76" i="131"/>
  <c r="AA76" i="131"/>
  <c r="D82" i="131"/>
  <c r="AI76" i="131" l="1"/>
  <c r="AP76" i="131"/>
  <c r="AU76" i="131"/>
  <c r="AV76" i="131" s="1"/>
  <c r="N77" i="131"/>
  <c r="AO76" i="131"/>
  <c r="AT76" i="131"/>
  <c r="O77" i="131"/>
  <c r="AC76" i="131"/>
  <c r="AH76" i="131" s="1"/>
  <c r="H82" i="131"/>
  <c r="I82" i="131"/>
  <c r="K82" i="131"/>
  <c r="M77" i="131" l="1"/>
  <c r="L77" i="131" s="1"/>
  <c r="Q77" i="131"/>
  <c r="V77" i="131" s="1"/>
  <c r="AN77" i="131"/>
  <c r="AS77" i="131" s="1"/>
  <c r="AB76" i="131"/>
  <c r="B83" i="131"/>
  <c r="C83" i="131"/>
  <c r="A82" i="131"/>
  <c r="P77" i="131" l="1"/>
  <c r="U77" i="131" s="1"/>
  <c r="AG76" i="131"/>
  <c r="AF76" i="131"/>
  <c r="AL76" i="131"/>
  <c r="Z77" i="131"/>
  <c r="AM77" i="131"/>
  <c r="X82" i="131"/>
  <c r="E83" i="131"/>
  <c r="J83" i="131" s="1"/>
  <c r="W77" i="131" l="1"/>
  <c r="AU77" i="131" s="1"/>
  <c r="AV77" i="131" s="1"/>
  <c r="T77" i="131"/>
  <c r="AA77" i="131"/>
  <c r="Y77" i="131"/>
  <c r="AJ76" i="131"/>
  <c r="AK76" i="131" s="1"/>
  <c r="D83" i="131"/>
  <c r="I83" i="131" s="1"/>
  <c r="AO77" i="131" l="1"/>
  <c r="N78" i="131"/>
  <c r="Q78" i="131" s="1"/>
  <c r="V78" i="131" s="1"/>
  <c r="O78" i="131"/>
  <c r="AN78" i="131" s="1"/>
  <c r="AS78" i="131" s="1"/>
  <c r="AT77" i="131"/>
  <c r="K83" i="131"/>
  <c r="A83" i="131" s="1"/>
  <c r="AP77" i="131"/>
  <c r="AI77" i="131"/>
  <c r="M78" i="131"/>
  <c r="L78" i="131" s="1"/>
  <c r="AC77" i="131"/>
  <c r="AH77" i="131" s="1"/>
  <c r="H83" i="131"/>
  <c r="C84" i="131" l="1"/>
  <c r="B84" i="131"/>
  <c r="E84" i="131" s="1"/>
  <c r="J84" i="131" s="1"/>
  <c r="AM78" i="131"/>
  <c r="Z78" i="131"/>
  <c r="P78" i="131"/>
  <c r="AB77" i="131"/>
  <c r="X83" i="131"/>
  <c r="AF77" i="131" l="1"/>
  <c r="AG77" i="131"/>
  <c r="AL77" i="131"/>
  <c r="W78" i="131"/>
  <c r="T78" i="131"/>
  <c r="U78" i="131"/>
  <c r="D84" i="131"/>
  <c r="AO78" i="131" l="1"/>
  <c r="AU78" i="131"/>
  <c r="AV78" i="131" s="1"/>
  <c r="O79" i="131"/>
  <c r="AT78" i="131"/>
  <c r="N79" i="131"/>
  <c r="AA78" i="131"/>
  <c r="Y78" i="131"/>
  <c r="AJ77" i="131"/>
  <c r="AK77" i="131" s="1"/>
  <c r="I84" i="131"/>
  <c r="H84" i="131"/>
  <c r="K84" i="131"/>
  <c r="AP78" i="131" l="1"/>
  <c r="AI78" i="131"/>
  <c r="AC78" i="131"/>
  <c r="AH78" i="131" s="1"/>
  <c r="M79" i="131"/>
  <c r="L79" i="131" s="1"/>
  <c r="Q79" i="131"/>
  <c r="V79" i="131" s="1"/>
  <c r="AN79" i="131"/>
  <c r="AS79" i="131" s="1"/>
  <c r="C85" i="131"/>
  <c r="A84" i="131"/>
  <c r="B85" i="131"/>
  <c r="Z79" i="131" l="1"/>
  <c r="AM79" i="131"/>
  <c r="P79" i="131"/>
  <c r="AB78" i="131"/>
  <c r="E85" i="131"/>
  <c r="J85" i="131" s="1"/>
  <c r="X84" i="131"/>
  <c r="AG78" i="131" l="1"/>
  <c r="AF78" i="131"/>
  <c r="AL78" i="131"/>
  <c r="U79" i="131"/>
  <c r="T79" i="131"/>
  <c r="W79" i="131"/>
  <c r="D85" i="131"/>
  <c r="AT79" i="131" l="1"/>
  <c r="AO79" i="131"/>
  <c r="AU79" i="131"/>
  <c r="AV79" i="131" s="1"/>
  <c r="N80" i="131"/>
  <c r="O80" i="131"/>
  <c r="AA79" i="131"/>
  <c r="Y79" i="131"/>
  <c r="AJ78" i="131"/>
  <c r="AK78" i="131" s="1"/>
  <c r="H85" i="131"/>
  <c r="I85" i="131"/>
  <c r="K85" i="131"/>
  <c r="AN80" i="131" l="1"/>
  <c r="AS80" i="131" s="1"/>
  <c r="AP79" i="131"/>
  <c r="AI79" i="131"/>
  <c r="AC79" i="131"/>
  <c r="AH79" i="131" s="1"/>
  <c r="M80" i="131"/>
  <c r="L80" i="131" s="1"/>
  <c r="Q80" i="131"/>
  <c r="V80" i="131" s="1"/>
  <c r="B86" i="131"/>
  <c r="C86" i="131"/>
  <c r="A85" i="131"/>
  <c r="AB79" i="131" l="1"/>
  <c r="Z80" i="131"/>
  <c r="AM80" i="131"/>
  <c r="P80" i="131"/>
  <c r="X85" i="131"/>
  <c r="E86" i="131"/>
  <c r="J86" i="131" s="1"/>
  <c r="U80" i="131" l="1"/>
  <c r="T80" i="131"/>
  <c r="W80" i="131"/>
  <c r="AG79" i="131"/>
  <c r="AF79" i="131"/>
  <c r="AL79" i="131"/>
  <c r="D86" i="131"/>
  <c r="AA80" i="131" l="1"/>
  <c r="Y80" i="131"/>
  <c r="AJ79" i="131"/>
  <c r="AK79" i="131" s="1"/>
  <c r="AO80" i="131"/>
  <c r="O81" i="131"/>
  <c r="AU80" i="131"/>
  <c r="AV80" i="131" s="1"/>
  <c r="N81" i="131"/>
  <c r="AT80" i="131"/>
  <c r="H86" i="131"/>
  <c r="I86" i="131"/>
  <c r="K86" i="131"/>
  <c r="M81" i="131" l="1"/>
  <c r="L81" i="131" s="1"/>
  <c r="Q81" i="131"/>
  <c r="V81" i="131" s="1"/>
  <c r="AN81" i="131"/>
  <c r="AS81" i="131" s="1"/>
  <c r="AC80" i="131"/>
  <c r="AH80" i="131" s="1"/>
  <c r="AP80" i="131"/>
  <c r="AI80" i="131"/>
  <c r="B87" i="131"/>
  <c r="C87" i="131"/>
  <c r="A86" i="131"/>
  <c r="P81" i="131" l="1"/>
  <c r="T81" i="131" s="1"/>
  <c r="AB80" i="131"/>
  <c r="AM81" i="131"/>
  <c r="Z81" i="131"/>
  <c r="E87" i="131"/>
  <c r="J87" i="131" s="1"/>
  <c r="X86" i="131"/>
  <c r="U81" i="131" l="1"/>
  <c r="W81" i="131"/>
  <c r="AT81" i="131" s="1"/>
  <c r="AG80" i="131"/>
  <c r="AF80" i="131"/>
  <c r="AL80" i="131"/>
  <c r="D87" i="131"/>
  <c r="N82" i="131" l="1"/>
  <c r="Q82" i="131" s="1"/>
  <c r="V82" i="131" s="1"/>
  <c r="O82" i="131"/>
  <c r="AN82" i="131" s="1"/>
  <c r="AS82" i="131" s="1"/>
  <c r="AU81" i="131"/>
  <c r="AV81" i="131" s="1"/>
  <c r="AO81" i="131"/>
  <c r="Y81" i="131"/>
  <c r="AA81" i="131"/>
  <c r="AJ80" i="131"/>
  <c r="AK80" i="131" s="1"/>
  <c r="I87" i="131"/>
  <c r="H87" i="131"/>
  <c r="K87" i="131"/>
  <c r="M82" i="131" l="1"/>
  <c r="L82" i="131" s="1"/>
  <c r="Z82" i="131" s="1"/>
  <c r="P82" i="131"/>
  <c r="U82" i="131" s="1"/>
  <c r="AC81" i="131"/>
  <c r="AH81" i="131" s="1"/>
  <c r="AI81" i="131"/>
  <c r="AP81" i="131"/>
  <c r="C88" i="131"/>
  <c r="A87" i="131"/>
  <c r="B88" i="131"/>
  <c r="AM82" i="131" l="1"/>
  <c r="AB81" i="131"/>
  <c r="AF81" i="131" s="1"/>
  <c r="T82" i="131"/>
  <c r="W82" i="131"/>
  <c r="AU82" i="131" s="1"/>
  <c r="AV82" i="131" s="1"/>
  <c r="E88" i="131"/>
  <c r="J88" i="131" s="1"/>
  <c r="X87" i="131"/>
  <c r="O83" i="131" l="1"/>
  <c r="AN83" i="131" s="1"/>
  <c r="AS83" i="131" s="1"/>
  <c r="AT82" i="131"/>
  <c r="AG81" i="131"/>
  <c r="AO82" i="131"/>
  <c r="N83" i="131"/>
  <c r="Q83" i="131" s="1"/>
  <c r="V83" i="131" s="1"/>
  <c r="AL81" i="131"/>
  <c r="AA82" i="131" s="1"/>
  <c r="D88" i="131"/>
  <c r="I88" i="131" s="1"/>
  <c r="M83" i="131" l="1"/>
  <c r="L83" i="131" s="1"/>
  <c r="AM83" i="131" s="1"/>
  <c r="AJ81" i="131"/>
  <c r="AK81" i="131" s="1"/>
  <c r="Y82" i="131"/>
  <c r="AC82" i="131" s="1"/>
  <c r="AH82" i="131" s="1"/>
  <c r="P83" i="131"/>
  <c r="AP82" i="131"/>
  <c r="AI82" i="131"/>
  <c r="H88" i="131"/>
  <c r="K88" i="131"/>
  <c r="C89" i="131" s="1"/>
  <c r="Z83" i="131" l="1"/>
  <c r="AB82" i="131"/>
  <c r="T83" i="131"/>
  <c r="U83" i="131"/>
  <c r="W83" i="131"/>
  <c r="B89" i="131"/>
  <c r="E89" i="131" s="1"/>
  <c r="A88" i="131"/>
  <c r="X88" i="131" s="1"/>
  <c r="AO83" i="131" l="1"/>
  <c r="N84" i="131"/>
  <c r="AT83" i="131"/>
  <c r="AU83" i="131"/>
  <c r="AV83" i="131" s="1"/>
  <c r="O84" i="131"/>
  <c r="AG82" i="131"/>
  <c r="AF82" i="131"/>
  <c r="AL82" i="131"/>
  <c r="J89" i="131"/>
  <c r="D89" i="131"/>
  <c r="I89" i="131" s="1"/>
  <c r="K89" i="131" l="1"/>
  <c r="C90" i="131" s="1"/>
  <c r="AN84" i="131"/>
  <c r="AS84" i="131" s="1"/>
  <c r="AA83" i="131"/>
  <c r="Y83" i="131"/>
  <c r="AJ82" i="131"/>
  <c r="AK82" i="131" s="1"/>
  <c r="M84" i="131"/>
  <c r="L84" i="131" s="1"/>
  <c r="Q84" i="131"/>
  <c r="V84" i="131" s="1"/>
  <c r="H89" i="131"/>
  <c r="B90" i="131" l="1"/>
  <c r="A89" i="131"/>
  <c r="X89" i="131" s="1"/>
  <c r="P84" i="131"/>
  <c r="W84" i="131" s="1"/>
  <c r="O85" i="131" s="1"/>
  <c r="Z84" i="131"/>
  <c r="AM84" i="131"/>
  <c r="AC83" i="131"/>
  <c r="AH83" i="131" s="1"/>
  <c r="AP83" i="131"/>
  <c r="AI83" i="131"/>
  <c r="E90" i="131"/>
  <c r="J90" i="131" s="1"/>
  <c r="N85" i="131" l="1"/>
  <c r="Q85" i="131" s="1"/>
  <c r="V85" i="131" s="1"/>
  <c r="U84" i="131"/>
  <c r="AO84" i="131" s="1"/>
  <c r="AT84" i="131"/>
  <c r="T84" i="131"/>
  <c r="AB83" i="131"/>
  <c r="AL83" i="131" s="1"/>
  <c r="AU84" i="131"/>
  <c r="AV84" i="131" s="1"/>
  <c r="D90" i="131"/>
  <c r="H90" i="131" s="1"/>
  <c r="AN85" i="131"/>
  <c r="AS85" i="131" s="1"/>
  <c r="AF83" i="131" l="1"/>
  <c r="AG83" i="131"/>
  <c r="M85" i="131"/>
  <c r="L85" i="131" s="1"/>
  <c r="Z85" i="131" s="1"/>
  <c r="I90" i="131"/>
  <c r="K90" i="131"/>
  <c r="B91" i="131" s="1"/>
  <c r="AA84" i="131"/>
  <c r="Y84" i="131"/>
  <c r="AJ83" i="131"/>
  <c r="AK83" i="131" s="1"/>
  <c r="P85" i="131"/>
  <c r="AM85" i="131" l="1"/>
  <c r="C91" i="131"/>
  <c r="A90" i="131"/>
  <c r="X90" i="131" s="1"/>
  <c r="T85" i="131"/>
  <c r="U85" i="131"/>
  <c r="W85" i="131"/>
  <c r="AI84" i="131"/>
  <c r="AP84" i="131"/>
  <c r="AC84" i="131"/>
  <c r="AH84" i="131" s="1"/>
  <c r="E91" i="131"/>
  <c r="J91" i="131" s="1"/>
  <c r="AU85" i="131" l="1"/>
  <c r="AV85" i="131" s="1"/>
  <c r="N86" i="131"/>
  <c r="AO85" i="131"/>
  <c r="O86" i="131"/>
  <c r="AT85" i="131"/>
  <c r="AB84" i="131"/>
  <c r="D91" i="131"/>
  <c r="M86" i="131" l="1"/>
  <c r="L86" i="131" s="1"/>
  <c r="Q86" i="131"/>
  <c r="V86" i="131" s="1"/>
  <c r="AG84" i="131"/>
  <c r="AF84" i="131"/>
  <c r="AL84" i="131"/>
  <c r="AN86" i="131"/>
  <c r="AS86" i="131" s="1"/>
  <c r="I91" i="131"/>
  <c r="H91" i="131"/>
  <c r="K91" i="131"/>
  <c r="P86" i="131" l="1"/>
  <c r="W86" i="131" s="1"/>
  <c r="N87" i="131" s="1"/>
  <c r="Y85" i="131"/>
  <c r="AA85" i="131"/>
  <c r="AJ84" i="131"/>
  <c r="AK84" i="131" s="1"/>
  <c r="AM86" i="131"/>
  <c r="Z86" i="131"/>
  <c r="C92" i="131"/>
  <c r="A91" i="131"/>
  <c r="B92" i="131"/>
  <c r="AU86" i="131" l="1"/>
  <c r="AV86" i="131" s="1"/>
  <c r="T86" i="131"/>
  <c r="U86" i="131"/>
  <c r="AO86" i="131" s="1"/>
  <c r="O87" i="131"/>
  <c r="AN87" i="131" s="1"/>
  <c r="AS87" i="131" s="1"/>
  <c r="AT86" i="131"/>
  <c r="AI85" i="131"/>
  <c r="AP85" i="131"/>
  <c r="M87" i="131"/>
  <c r="L87" i="131" s="1"/>
  <c r="Q87" i="131"/>
  <c r="V87" i="131" s="1"/>
  <c r="AC85" i="131"/>
  <c r="AH85" i="131" s="1"/>
  <c r="E92" i="131"/>
  <c r="J92" i="131" s="1"/>
  <c r="X91" i="131"/>
  <c r="AB85" i="131" l="1"/>
  <c r="AL85" i="131" s="1"/>
  <c r="Y86" i="131" s="1"/>
  <c r="AM87" i="131"/>
  <c r="Z87" i="131"/>
  <c r="P87" i="131"/>
  <c r="D92" i="131"/>
  <c r="I92" i="131" s="1"/>
  <c r="AJ85" i="131" l="1"/>
  <c r="AK85" i="131" s="1"/>
  <c r="AA86" i="131"/>
  <c r="AI86" i="131" s="1"/>
  <c r="H92" i="131"/>
  <c r="AG85" i="131"/>
  <c r="AF85" i="131"/>
  <c r="T87" i="131"/>
  <c r="U87" i="131"/>
  <c r="W87" i="131"/>
  <c r="AC86" i="131"/>
  <c r="AH86" i="131" s="1"/>
  <c r="K92" i="131"/>
  <c r="A92" i="131" s="1"/>
  <c r="AP86" i="131" l="1"/>
  <c r="N88" i="131"/>
  <c r="AT87" i="131"/>
  <c r="AU87" i="131"/>
  <c r="AV87" i="131" s="1"/>
  <c r="O88" i="131"/>
  <c r="AO87" i="131"/>
  <c r="AB86" i="131"/>
  <c r="C93" i="131"/>
  <c r="B93" i="131"/>
  <c r="E93" i="131" s="1"/>
  <c r="J93" i="131" s="1"/>
  <c r="X92" i="131"/>
  <c r="AF86" i="131" l="1"/>
  <c r="AG86" i="131"/>
  <c r="AL86" i="131"/>
  <c r="AN88" i="131"/>
  <c r="AS88" i="131" s="1"/>
  <c r="M88" i="131"/>
  <c r="L88" i="131" s="1"/>
  <c r="Q88" i="131"/>
  <c r="V88" i="131" s="1"/>
  <c r="D93" i="131"/>
  <c r="P88" i="131" l="1"/>
  <c r="W88" i="131" s="1"/>
  <c r="AU88" i="131" s="1"/>
  <c r="AV88" i="131" s="1"/>
  <c r="AM88" i="131"/>
  <c r="Z88" i="131"/>
  <c r="Y87" i="131"/>
  <c r="AA87" i="131"/>
  <c r="AJ86" i="131"/>
  <c r="AK86" i="131" s="1"/>
  <c r="H93" i="131"/>
  <c r="I93" i="131"/>
  <c r="K93" i="131"/>
  <c r="T88" i="131" l="1"/>
  <c r="U88" i="131"/>
  <c r="AO88" i="131" s="1"/>
  <c r="O89" i="131"/>
  <c r="AN89" i="131" s="1"/>
  <c r="AS89" i="131" s="1"/>
  <c r="AT88" i="131"/>
  <c r="N89" i="131"/>
  <c r="M89" i="131" s="1"/>
  <c r="L89" i="131" s="1"/>
  <c r="AP87" i="131"/>
  <c r="AI87" i="131"/>
  <c r="Q89" i="131"/>
  <c r="V89" i="131" s="1"/>
  <c r="AC87" i="131"/>
  <c r="AH87" i="131" s="1"/>
  <c r="B94" i="131"/>
  <c r="A93" i="131"/>
  <c r="C94" i="131"/>
  <c r="P89" i="131" l="1"/>
  <c r="U89" i="131" s="1"/>
  <c r="Z89" i="131"/>
  <c r="AM89" i="131"/>
  <c r="AB87" i="131"/>
  <c r="X93" i="131"/>
  <c r="E94" i="131"/>
  <c r="J94" i="131" s="1"/>
  <c r="W89" i="131" l="1"/>
  <c r="AT89" i="131" s="1"/>
  <c r="T89" i="131"/>
  <c r="AG87" i="131"/>
  <c r="AF87" i="131"/>
  <c r="AL87" i="131"/>
  <c r="D94" i="131"/>
  <c r="O90" i="131" l="1"/>
  <c r="AN90" i="131" s="1"/>
  <c r="AS90" i="131" s="1"/>
  <c r="N90" i="131"/>
  <c r="M90" i="131" s="1"/>
  <c r="L90" i="131" s="1"/>
  <c r="AO89" i="131"/>
  <c r="AU89" i="131"/>
  <c r="AV89" i="131" s="1"/>
  <c r="Y88" i="131"/>
  <c r="AA88" i="131"/>
  <c r="AJ87" i="131"/>
  <c r="AK87" i="131" s="1"/>
  <c r="H94" i="131"/>
  <c r="I94" i="131"/>
  <c r="K94" i="131"/>
  <c r="Q90" i="131" l="1"/>
  <c r="V90" i="131" s="1"/>
  <c r="AM90" i="131"/>
  <c r="Z90" i="131"/>
  <c r="AP88" i="131"/>
  <c r="AI88" i="131"/>
  <c r="AC88" i="131"/>
  <c r="AH88" i="131" s="1"/>
  <c r="B95" i="131"/>
  <c r="C95" i="131"/>
  <c r="A94" i="131"/>
  <c r="P90" i="131" l="1"/>
  <c r="T90" i="131" s="1"/>
  <c r="AB88" i="131"/>
  <c r="AL88" i="131" s="1"/>
  <c r="AJ88" i="131" s="1"/>
  <c r="AK88" i="131" s="1"/>
  <c r="X94" i="131"/>
  <c r="E95" i="131"/>
  <c r="J95" i="131" s="1"/>
  <c r="U90" i="131" l="1"/>
  <c r="W90" i="131"/>
  <c r="N91" i="131" s="1"/>
  <c r="O91" i="131"/>
  <c r="AA89" i="131"/>
  <c r="AP89" i="131" s="1"/>
  <c r="AF88" i="131"/>
  <c r="Y89" i="131"/>
  <c r="AC89" i="131" s="1"/>
  <c r="AH89" i="131" s="1"/>
  <c r="AG88" i="131"/>
  <c r="AN91" i="131"/>
  <c r="AS91" i="131" s="1"/>
  <c r="M91" i="131"/>
  <c r="L91" i="131" s="1"/>
  <c r="Q91" i="131"/>
  <c r="V91" i="131" s="1"/>
  <c r="D95" i="131"/>
  <c r="AU90" i="131" l="1"/>
  <c r="AV90" i="131" s="1"/>
  <c r="AO90" i="131"/>
  <c r="AT90" i="131"/>
  <c r="AI89" i="131"/>
  <c r="AB89" i="131"/>
  <c r="AL89" i="131" s="1"/>
  <c r="Y90" i="131" s="1"/>
  <c r="Z91" i="131"/>
  <c r="AM91" i="131"/>
  <c r="P91" i="131"/>
  <c r="I95" i="131"/>
  <c r="H95" i="131"/>
  <c r="K95" i="131"/>
  <c r="AG89" i="131" l="1"/>
  <c r="AF89" i="131"/>
  <c r="AA90" i="131"/>
  <c r="AI90" i="131" s="1"/>
  <c r="AJ89" i="131"/>
  <c r="AK89" i="131" s="1"/>
  <c r="T91" i="131"/>
  <c r="U91" i="131"/>
  <c r="W91" i="131"/>
  <c r="AC90" i="131"/>
  <c r="AH90" i="131" s="1"/>
  <c r="C96" i="131"/>
  <c r="A95" i="131"/>
  <c r="B96" i="131"/>
  <c r="AP90" i="131" l="1"/>
  <c r="AB90" i="131"/>
  <c r="AU91" i="131"/>
  <c r="AV91" i="131" s="1"/>
  <c r="N92" i="131"/>
  <c r="O92" i="131"/>
  <c r="AT91" i="131"/>
  <c r="AO91" i="131"/>
  <c r="X95" i="131"/>
  <c r="E96" i="131"/>
  <c r="J96" i="131" s="1"/>
  <c r="M92" i="131" l="1"/>
  <c r="L92" i="131" s="1"/>
  <c r="Q92" i="131"/>
  <c r="V92" i="131" s="1"/>
  <c r="AN92" i="131"/>
  <c r="AS92" i="131" s="1"/>
  <c r="AF90" i="131"/>
  <c r="AG90" i="131"/>
  <c r="AL90" i="131"/>
  <c r="D96" i="131"/>
  <c r="P92" i="131" l="1"/>
  <c r="Y91" i="131"/>
  <c r="AJ90" i="131"/>
  <c r="AK90" i="131" s="1"/>
  <c r="AA91" i="131"/>
  <c r="AM92" i="131"/>
  <c r="Z92" i="131"/>
  <c r="I96" i="131"/>
  <c r="H96" i="131"/>
  <c r="K96" i="131"/>
  <c r="AP91" i="131" l="1"/>
  <c r="AI91" i="131"/>
  <c r="AC91" i="131"/>
  <c r="AH91" i="131" s="1"/>
  <c r="U92" i="131"/>
  <c r="T92" i="131"/>
  <c r="W92" i="131"/>
  <c r="C97" i="131"/>
  <c r="A96" i="131"/>
  <c r="B97" i="131"/>
  <c r="AT92" i="131" l="1"/>
  <c r="O93" i="131"/>
  <c r="N93" i="131"/>
  <c r="AO92" i="131"/>
  <c r="AU92" i="131"/>
  <c r="AV92" i="131" s="1"/>
  <c r="AB91" i="131"/>
  <c r="E97" i="131"/>
  <c r="J97" i="131" s="1"/>
  <c r="X96" i="131"/>
  <c r="AN93" i="131" l="1"/>
  <c r="AS93" i="131" s="1"/>
  <c r="AF91" i="131"/>
  <c r="AG91" i="131"/>
  <c r="AL91" i="131"/>
  <c r="M93" i="131"/>
  <c r="L93" i="131" s="1"/>
  <c r="Q93" i="131"/>
  <c r="V93" i="131" s="1"/>
  <c r="D97" i="131"/>
  <c r="P93" i="131" l="1"/>
  <c r="U93" i="131" s="1"/>
  <c r="AM93" i="131"/>
  <c r="Z93" i="131"/>
  <c r="AA92" i="131"/>
  <c r="Y92" i="131"/>
  <c r="AJ91" i="131"/>
  <c r="AK91" i="131" s="1"/>
  <c r="H97" i="131"/>
  <c r="I97" i="131"/>
  <c r="K97" i="131"/>
  <c r="W93" i="131" l="1"/>
  <c r="AU93" i="131" s="1"/>
  <c r="AV93" i="131" s="1"/>
  <c r="T93" i="131"/>
  <c r="AC92" i="131"/>
  <c r="AH92" i="131" s="1"/>
  <c r="AP92" i="131"/>
  <c r="AI92" i="131"/>
  <c r="B98" i="131"/>
  <c r="A97" i="131"/>
  <c r="C98" i="131"/>
  <c r="AO93" i="131" l="1"/>
  <c r="AT93" i="131"/>
  <c r="O94" i="131"/>
  <c r="AN94" i="131" s="1"/>
  <c r="AS94" i="131" s="1"/>
  <c r="N94" i="131"/>
  <c r="M94" i="131" s="1"/>
  <c r="L94" i="131" s="1"/>
  <c r="AB92" i="131"/>
  <c r="X97" i="131"/>
  <c r="E98" i="131"/>
  <c r="J98" i="131" s="1"/>
  <c r="Q94" i="131" l="1"/>
  <c r="V94" i="131" s="1"/>
  <c r="AG92" i="131"/>
  <c r="AF92" i="131"/>
  <c r="AL92" i="131"/>
  <c r="Z94" i="131"/>
  <c r="AM94" i="131"/>
  <c r="D98" i="131"/>
  <c r="P94" i="131" l="1"/>
  <c r="U94" i="131" s="1"/>
  <c r="Y93" i="131"/>
  <c r="AA93" i="131"/>
  <c r="AJ92" i="131"/>
  <c r="AK92" i="131" s="1"/>
  <c r="H98" i="131"/>
  <c r="I98" i="131"/>
  <c r="K98" i="131"/>
  <c r="W94" i="131" l="1"/>
  <c r="O95" i="131" s="1"/>
  <c r="T94" i="131"/>
  <c r="AP93" i="131"/>
  <c r="AI93" i="131"/>
  <c r="AC93" i="131"/>
  <c r="AH93" i="131" s="1"/>
  <c r="B99" i="131"/>
  <c r="C99" i="131"/>
  <c r="A98" i="131"/>
  <c r="N95" i="131" l="1"/>
  <c r="M95" i="131" s="1"/>
  <c r="L95" i="131" s="1"/>
  <c r="AU94" i="131"/>
  <c r="AV94" i="131" s="1"/>
  <c r="AO94" i="131"/>
  <c r="AT94" i="131"/>
  <c r="AN95" i="131"/>
  <c r="AS95" i="131" s="1"/>
  <c r="AB93" i="131"/>
  <c r="X98" i="131"/>
  <c r="E99" i="131"/>
  <c r="J99" i="131" s="1"/>
  <c r="Q95" i="131" l="1"/>
  <c r="V95" i="131" s="1"/>
  <c r="AF93" i="131"/>
  <c r="AG93" i="131"/>
  <c r="AL93" i="131"/>
  <c r="Z95" i="131"/>
  <c r="AM95" i="131"/>
  <c r="D99" i="131"/>
  <c r="P95" i="131" l="1"/>
  <c r="U95" i="131" s="1"/>
  <c r="Y94" i="131"/>
  <c r="AA94" i="131"/>
  <c r="AJ93" i="131"/>
  <c r="AK93" i="131" s="1"/>
  <c r="I99" i="131"/>
  <c r="H99" i="131"/>
  <c r="K99" i="131"/>
  <c r="W95" i="131" l="1"/>
  <c r="O96" i="131" s="1"/>
  <c r="T95" i="131"/>
  <c r="AP94" i="131"/>
  <c r="AI94" i="131"/>
  <c r="AC94" i="131"/>
  <c r="AH94" i="131" s="1"/>
  <c r="C100" i="131"/>
  <c r="A99" i="131"/>
  <c r="B100" i="131"/>
  <c r="N96" i="131" l="1"/>
  <c r="Q96" i="131" s="1"/>
  <c r="V96" i="131" s="1"/>
  <c r="AU95" i="131"/>
  <c r="AV95" i="131" s="1"/>
  <c r="AT95" i="131"/>
  <c r="AO95" i="131"/>
  <c r="AN96" i="131"/>
  <c r="AS96" i="131" s="1"/>
  <c r="AB94" i="131"/>
  <c r="E100" i="131"/>
  <c r="J100" i="131" s="1"/>
  <c r="X99" i="131"/>
  <c r="M96" i="131" l="1"/>
  <c r="L96" i="131" s="1"/>
  <c r="Z96" i="131" s="1"/>
  <c r="AF94" i="131"/>
  <c r="AG94" i="131"/>
  <c r="AL94" i="131"/>
  <c r="P96" i="131"/>
  <c r="D100" i="131"/>
  <c r="AM96" i="131" l="1"/>
  <c r="T96" i="131"/>
  <c r="U96" i="131"/>
  <c r="W96" i="131"/>
  <c r="Y95" i="131"/>
  <c r="AA95" i="131"/>
  <c r="AJ94" i="131"/>
  <c r="AK94" i="131" s="1"/>
  <c r="I100" i="131"/>
  <c r="H100" i="131"/>
  <c r="K100" i="131"/>
  <c r="AO96" i="131" l="1"/>
  <c r="AU96" i="131"/>
  <c r="AV96" i="131" s="1"/>
  <c r="O97" i="131"/>
  <c r="N97" i="131"/>
  <c r="AT96" i="131"/>
  <c r="AP95" i="131"/>
  <c r="AI95" i="131"/>
  <c r="AC95" i="131"/>
  <c r="AH95" i="131" s="1"/>
  <c r="C101" i="131"/>
  <c r="A100" i="131"/>
  <c r="B101" i="131"/>
  <c r="AB95" i="131" l="1"/>
  <c r="M97" i="131"/>
  <c r="L97" i="131" s="1"/>
  <c r="Q97" i="131"/>
  <c r="V97" i="131" s="1"/>
  <c r="AN97" i="131"/>
  <c r="AS97" i="131" s="1"/>
  <c r="X100" i="131"/>
  <c r="E101" i="131"/>
  <c r="J101" i="131" s="1"/>
  <c r="P97" i="131" l="1"/>
  <c r="W97" i="131" s="1"/>
  <c r="AT97" i="131" s="1"/>
  <c r="Z97" i="131"/>
  <c r="AM97" i="131"/>
  <c r="AG95" i="131"/>
  <c r="AF95" i="131"/>
  <c r="AL95" i="131"/>
  <c r="D101" i="131"/>
  <c r="T97" i="131" l="1"/>
  <c r="U97" i="131"/>
  <c r="AO97" i="131" s="1"/>
  <c r="N98" i="131"/>
  <c r="M98" i="131" s="1"/>
  <c r="L98" i="131" s="1"/>
  <c r="O98" i="131"/>
  <c r="AN98" i="131" s="1"/>
  <c r="AS98" i="131" s="1"/>
  <c r="AU97" i="131"/>
  <c r="AV97" i="131" s="1"/>
  <c r="Y96" i="131"/>
  <c r="AA96" i="131"/>
  <c r="AJ95" i="131"/>
  <c r="AK95" i="131" s="1"/>
  <c r="H101" i="131"/>
  <c r="I101" i="131"/>
  <c r="K101" i="131"/>
  <c r="Q98" i="131" l="1"/>
  <c r="V98" i="131" s="1"/>
  <c r="AM98" i="131"/>
  <c r="Z98" i="131"/>
  <c r="AI96" i="131"/>
  <c r="AP96" i="131"/>
  <c r="AC96" i="131"/>
  <c r="AH96" i="131" s="1"/>
  <c r="C102" i="131"/>
  <c r="B102" i="131"/>
  <c r="A101" i="131"/>
  <c r="P98" i="131" l="1"/>
  <c r="U98" i="131" s="1"/>
  <c r="AB96" i="131"/>
  <c r="E102" i="131"/>
  <c r="J102" i="131" s="1"/>
  <c r="X101" i="131"/>
  <c r="T98" i="131" l="1"/>
  <c r="W98" i="131"/>
  <c r="AO98" i="131" s="1"/>
  <c r="D102" i="131"/>
  <c r="K102" i="131" s="1"/>
  <c r="C103" i="131" s="1"/>
  <c r="AG96" i="131"/>
  <c r="AF96" i="131"/>
  <c r="AL96" i="131"/>
  <c r="AU98" i="131" l="1"/>
  <c r="AV98" i="131" s="1"/>
  <c r="O99" i="131"/>
  <c r="AN99" i="131" s="1"/>
  <c r="AS99" i="131" s="1"/>
  <c r="AT98" i="131"/>
  <c r="N99" i="131"/>
  <c r="I102" i="131"/>
  <c r="H102" i="131"/>
  <c r="B103" i="131"/>
  <c r="E103" i="131" s="1"/>
  <c r="J103" i="131" s="1"/>
  <c r="A102" i="131"/>
  <c r="X102" i="131" s="1"/>
  <c r="M99" i="131"/>
  <c r="L99" i="131" s="1"/>
  <c r="Q99" i="131"/>
  <c r="V99" i="131" s="1"/>
  <c r="Y97" i="131"/>
  <c r="AA97" i="131"/>
  <c r="AJ96" i="131"/>
  <c r="AK96" i="131" s="1"/>
  <c r="AP97" i="131" l="1"/>
  <c r="AI97" i="131"/>
  <c r="P99" i="131"/>
  <c r="AC97" i="131"/>
  <c r="AH97" i="131" s="1"/>
  <c r="AM99" i="131"/>
  <c r="Z99" i="131"/>
  <c r="D103" i="131"/>
  <c r="T99" i="131" l="1"/>
  <c r="U99" i="131"/>
  <c r="W99" i="131"/>
  <c r="AB97" i="131"/>
  <c r="I103" i="131"/>
  <c r="H103" i="131"/>
  <c r="K103" i="131"/>
  <c r="AF97" i="131" l="1"/>
  <c r="AG97" i="131"/>
  <c r="AL97" i="131"/>
  <c r="AU99" i="131"/>
  <c r="AV99" i="131" s="1"/>
  <c r="AO99" i="131"/>
  <c r="N100" i="131"/>
  <c r="AT99" i="131"/>
  <c r="O100" i="131"/>
  <c r="C104" i="131"/>
  <c r="A103" i="131"/>
  <c r="B104" i="131"/>
  <c r="AN100" i="131" l="1"/>
  <c r="AS100" i="131" s="1"/>
  <c r="M100" i="131"/>
  <c r="L100" i="131" s="1"/>
  <c r="Q100" i="131"/>
  <c r="V100" i="131" s="1"/>
  <c r="AA98" i="131"/>
  <c r="AJ97" i="131"/>
  <c r="AK97" i="131" s="1"/>
  <c r="Y98" i="131"/>
  <c r="X103" i="131"/>
  <c r="E104" i="131"/>
  <c r="J104" i="131" s="1"/>
  <c r="AC98" i="131" l="1"/>
  <c r="AH98" i="131" s="1"/>
  <c r="AP98" i="131"/>
  <c r="AI98" i="131"/>
  <c r="Z100" i="131"/>
  <c r="AM100" i="131"/>
  <c r="P100" i="131"/>
  <c r="D104" i="131"/>
  <c r="AB98" i="131" l="1"/>
  <c r="AG98" i="131" s="1"/>
  <c r="T100" i="131"/>
  <c r="U100" i="131"/>
  <c r="W100" i="131"/>
  <c r="I104" i="131"/>
  <c r="H104" i="131"/>
  <c r="K104" i="131"/>
  <c r="AL98" i="131" l="1"/>
  <c r="AJ98" i="131" s="1"/>
  <c r="AK98" i="131" s="1"/>
  <c r="AF98" i="131"/>
  <c r="O101" i="131"/>
  <c r="AU100" i="131"/>
  <c r="AV100" i="131" s="1"/>
  <c r="AO100" i="131"/>
  <c r="AT100" i="131"/>
  <c r="N101" i="131"/>
  <c r="C105" i="131"/>
  <c r="A104" i="131"/>
  <c r="B105" i="131"/>
  <c r="AA99" i="131" l="1"/>
  <c r="AI99" i="131" s="1"/>
  <c r="Y99" i="131"/>
  <c r="AC99" i="131" s="1"/>
  <c r="AH99" i="131" s="1"/>
  <c r="M101" i="131"/>
  <c r="L101" i="131" s="1"/>
  <c r="Q101" i="131"/>
  <c r="V101" i="131" s="1"/>
  <c r="AN101" i="131"/>
  <c r="AS101" i="131" s="1"/>
  <c r="E105" i="131"/>
  <c r="J105" i="131" s="1"/>
  <c r="X104" i="131"/>
  <c r="AP99" i="131" l="1"/>
  <c r="P101" i="131"/>
  <c r="U101" i="131" s="1"/>
  <c r="AB99" i="131"/>
  <c r="AG99" i="131" s="1"/>
  <c r="AM101" i="131"/>
  <c r="Z101" i="131"/>
  <c r="D105" i="131"/>
  <c r="I105" i="131" s="1"/>
  <c r="AL99" i="131" l="1"/>
  <c r="Y100" i="131" s="1"/>
  <c r="W101" i="131"/>
  <c r="O102" i="131" s="1"/>
  <c r="AF99" i="131"/>
  <c r="T101" i="131"/>
  <c r="H105" i="131"/>
  <c r="K105" i="131"/>
  <c r="A105" i="131" s="1"/>
  <c r="AA100" i="131" l="1"/>
  <c r="AI100" i="131" s="1"/>
  <c r="AJ99" i="131"/>
  <c r="AK99" i="131" s="1"/>
  <c r="AU101" i="131"/>
  <c r="AV101" i="131" s="1"/>
  <c r="AT101" i="131"/>
  <c r="AO101" i="131"/>
  <c r="B106" i="131"/>
  <c r="E106" i="131" s="1"/>
  <c r="J106" i="131" s="1"/>
  <c r="N102" i="131"/>
  <c r="M102" i="131" s="1"/>
  <c r="L102" i="131" s="1"/>
  <c r="C106" i="131"/>
  <c r="AN102" i="131"/>
  <c r="AS102" i="131" s="1"/>
  <c r="AC100" i="131"/>
  <c r="AH100" i="131" s="1"/>
  <c r="X105" i="131"/>
  <c r="AP100" i="131" l="1"/>
  <c r="Q102" i="131"/>
  <c r="V102" i="131" s="1"/>
  <c r="Z102" i="131"/>
  <c r="AM102" i="131"/>
  <c r="AB100" i="131"/>
  <c r="D106" i="131"/>
  <c r="P102" i="131" l="1"/>
  <c r="W102" i="131" s="1"/>
  <c r="N103" i="131" s="1"/>
  <c r="AF100" i="131"/>
  <c r="AG100" i="131"/>
  <c r="AL100" i="131"/>
  <c r="I106" i="131"/>
  <c r="H106" i="131"/>
  <c r="K106" i="131"/>
  <c r="O103" i="131" l="1"/>
  <c r="AN103" i="131" s="1"/>
  <c r="AS103" i="131" s="1"/>
  <c r="AT102" i="131"/>
  <c r="AU102" i="131"/>
  <c r="AV102" i="131" s="1"/>
  <c r="U102" i="131"/>
  <c r="AO102" i="131" s="1"/>
  <c r="T102" i="131"/>
  <c r="M103" i="131"/>
  <c r="L103" i="131" s="1"/>
  <c r="Q103" i="131"/>
  <c r="V103" i="131" s="1"/>
  <c r="Y101" i="131"/>
  <c r="AA101" i="131"/>
  <c r="AJ100" i="131"/>
  <c r="AK100" i="131" s="1"/>
  <c r="B107" i="131"/>
  <c r="A106" i="131"/>
  <c r="C107" i="131"/>
  <c r="P103" i="131" l="1"/>
  <c r="W103" i="131" s="1"/>
  <c r="AU103" i="131" s="1"/>
  <c r="AV103" i="131" s="1"/>
  <c r="AP101" i="131"/>
  <c r="AI101" i="131"/>
  <c r="AC101" i="131"/>
  <c r="AH101" i="131" s="1"/>
  <c r="AM103" i="131"/>
  <c r="Z103" i="131"/>
  <c r="X106" i="131"/>
  <c r="E107" i="131"/>
  <c r="J107" i="131" s="1"/>
  <c r="U103" i="131" l="1"/>
  <c r="AO103" i="131" s="1"/>
  <c r="AT103" i="131"/>
  <c r="T103" i="131"/>
  <c r="N104" i="131"/>
  <c r="M104" i="131" s="1"/>
  <c r="L104" i="131" s="1"/>
  <c r="O104" i="131"/>
  <c r="AN104" i="131" s="1"/>
  <c r="AS104" i="131" s="1"/>
  <c r="AB101" i="131"/>
  <c r="AL101" i="131" s="1"/>
  <c r="Y102" i="131" s="1"/>
  <c r="Q104" i="131"/>
  <c r="D107" i="131"/>
  <c r="AA102" i="131" l="1"/>
  <c r="AI102" i="131" s="1"/>
  <c r="AJ101" i="131"/>
  <c r="AK101" i="131" s="1"/>
  <c r="AG101" i="131"/>
  <c r="AF101" i="131"/>
  <c r="AC102" i="131"/>
  <c r="AH102" i="131" s="1"/>
  <c r="AM104" i="131"/>
  <c r="Z104" i="131"/>
  <c r="V104" i="131"/>
  <c r="P104" i="131"/>
  <c r="I107" i="131"/>
  <c r="H107" i="131"/>
  <c r="K107" i="131"/>
  <c r="AP102" i="131" l="1"/>
  <c r="AB102" i="131"/>
  <c r="AG102" i="131" s="1"/>
  <c r="U104" i="131"/>
  <c r="T104" i="131"/>
  <c r="W104" i="131"/>
  <c r="C108" i="131"/>
  <c r="A107" i="131"/>
  <c r="B108" i="131"/>
  <c r="AF102" i="131" l="1"/>
  <c r="AL102" i="131"/>
  <c r="AJ102" i="131" s="1"/>
  <c r="AK102" i="131" s="1"/>
  <c r="N105" i="131"/>
  <c r="AO104" i="131"/>
  <c r="AT104" i="131"/>
  <c r="O105" i="131"/>
  <c r="AN105" i="131" s="1"/>
  <c r="AS105" i="131" s="1"/>
  <c r="AU104" i="131"/>
  <c r="AV104" i="131" s="1"/>
  <c r="X107" i="131"/>
  <c r="E108" i="131"/>
  <c r="J108" i="131" s="1"/>
  <c r="Y103" i="131" l="1"/>
  <c r="AA103" i="131"/>
  <c r="AP103" i="131" s="1"/>
  <c r="AC103" i="131"/>
  <c r="AH103" i="131" s="1"/>
  <c r="M105" i="131"/>
  <c r="L105" i="131" s="1"/>
  <c r="Q105" i="131"/>
  <c r="V105" i="131" s="1"/>
  <c r="D108" i="131"/>
  <c r="AI103" i="131" l="1"/>
  <c r="AB103" i="131"/>
  <c r="AF103" i="131" s="1"/>
  <c r="Z105" i="131"/>
  <c r="AM105" i="131"/>
  <c r="P105" i="131"/>
  <c r="I108" i="131"/>
  <c r="H108" i="131"/>
  <c r="K108" i="131"/>
  <c r="AL103" i="131" l="1"/>
  <c r="Y104" i="131" s="1"/>
  <c r="AG103" i="131"/>
  <c r="U105" i="131"/>
  <c r="T105" i="131"/>
  <c r="W105" i="131"/>
  <c r="C109" i="131"/>
  <c r="A108" i="131"/>
  <c r="B109" i="131"/>
  <c r="AJ103" i="131" l="1"/>
  <c r="AK103" i="131" s="1"/>
  <c r="AA104" i="131"/>
  <c r="AP104" i="131" s="1"/>
  <c r="AT105" i="131"/>
  <c r="AO105" i="131"/>
  <c r="O106" i="131"/>
  <c r="AN106" i="131" s="1"/>
  <c r="AS106" i="131" s="1"/>
  <c r="AU105" i="131"/>
  <c r="AV105" i="131" s="1"/>
  <c r="N106" i="131"/>
  <c r="AC104" i="131"/>
  <c r="AH104" i="131" s="1"/>
  <c r="E109" i="131"/>
  <c r="J109" i="131" s="1"/>
  <c r="X108" i="131"/>
  <c r="AI104" i="131" l="1"/>
  <c r="AB104" i="131"/>
  <c r="AG104" i="131" s="1"/>
  <c r="Q106" i="131"/>
  <c r="M106" i="131"/>
  <c r="L106" i="131" s="1"/>
  <c r="D109" i="131"/>
  <c r="H109" i="131" s="1"/>
  <c r="AL104" i="131" l="1"/>
  <c r="AA105" i="131" s="1"/>
  <c r="AF104" i="131"/>
  <c r="Z106" i="131"/>
  <c r="AM106" i="131"/>
  <c r="V106" i="131"/>
  <c r="P106" i="131"/>
  <c r="I109" i="131"/>
  <c r="K109" i="131"/>
  <c r="C110" i="131" s="1"/>
  <c r="AJ104" i="131" l="1"/>
  <c r="AK104" i="131" s="1"/>
  <c r="Y105" i="131"/>
  <c r="AC105" i="131" s="1"/>
  <c r="AH105" i="131" s="1"/>
  <c r="B110" i="131"/>
  <c r="E110" i="131" s="1"/>
  <c r="J110" i="131" s="1"/>
  <c r="A109" i="131"/>
  <c r="X109" i="131" s="1"/>
  <c r="AI105" i="131"/>
  <c r="AP105" i="131"/>
  <c r="U106" i="131"/>
  <c r="T106" i="131"/>
  <c r="W106" i="131"/>
  <c r="AB105" i="131" l="1"/>
  <c r="AG105" i="131" s="1"/>
  <c r="N107" i="131"/>
  <c r="AT106" i="131"/>
  <c r="O107" i="131"/>
  <c r="AN107" i="131" s="1"/>
  <c r="AS107" i="131" s="1"/>
  <c r="AU106" i="131"/>
  <c r="AV106" i="131" s="1"/>
  <c r="AO106" i="131"/>
  <c r="D110" i="131"/>
  <c r="AL105" i="131" l="1"/>
  <c r="Y106" i="131" s="1"/>
  <c r="AC106" i="131" s="1"/>
  <c r="AH106" i="131" s="1"/>
  <c r="AF105" i="131"/>
  <c r="M107" i="131"/>
  <c r="L107" i="131" s="1"/>
  <c r="Q107" i="131"/>
  <c r="V107" i="131" s="1"/>
  <c r="I110" i="131"/>
  <c r="H110" i="131"/>
  <c r="K110" i="131"/>
  <c r="AJ105" i="131" l="1"/>
  <c r="AK105" i="131" s="1"/>
  <c r="AA106" i="131"/>
  <c r="AI106" i="131" s="1"/>
  <c r="P107" i="131"/>
  <c r="T107" i="131" s="1"/>
  <c r="AM107" i="131"/>
  <c r="Z107" i="131"/>
  <c r="C111" i="131"/>
  <c r="B111" i="131"/>
  <c r="A110" i="131"/>
  <c r="AB106" i="131" l="1"/>
  <c r="AF106" i="131" s="1"/>
  <c r="AP106" i="131"/>
  <c r="U107" i="131"/>
  <c r="W107" i="131"/>
  <c r="X110" i="131"/>
  <c r="E111" i="131"/>
  <c r="J111" i="131" s="1"/>
  <c r="AL106" i="131" l="1"/>
  <c r="Y107" i="131" s="1"/>
  <c r="AC107" i="131" s="1"/>
  <c r="AH107" i="131" s="1"/>
  <c r="AG106" i="131"/>
  <c r="AU107" i="131"/>
  <c r="AV107" i="131" s="1"/>
  <c r="N108" i="131"/>
  <c r="AT107" i="131"/>
  <c r="O108" i="131"/>
  <c r="AN108" i="131" s="1"/>
  <c r="AS108" i="131" s="1"/>
  <c r="AO107" i="131"/>
  <c r="AJ106" i="131"/>
  <c r="AK106" i="131" s="1"/>
  <c r="AA107" i="131"/>
  <c r="D111" i="131"/>
  <c r="M108" i="131" l="1"/>
  <c r="L108" i="131" s="1"/>
  <c r="Q108" i="131"/>
  <c r="V108" i="131" s="1"/>
  <c r="AP107" i="131"/>
  <c r="AI107" i="131"/>
  <c r="AB107" i="131"/>
  <c r="I111" i="131"/>
  <c r="H111" i="131"/>
  <c r="K111" i="131"/>
  <c r="P108" i="131" l="1"/>
  <c r="W108" i="131" s="1"/>
  <c r="Z108" i="131"/>
  <c r="AM108" i="131"/>
  <c r="AG107" i="131"/>
  <c r="AF107" i="131"/>
  <c r="AL107" i="131"/>
  <c r="C112" i="131"/>
  <c r="A111" i="131"/>
  <c r="B112" i="131"/>
  <c r="T108" i="131" l="1"/>
  <c r="U108" i="131"/>
  <c r="AO108" i="131" s="1"/>
  <c r="N109" i="131"/>
  <c r="O109" i="131"/>
  <c r="AT108" i="131"/>
  <c r="AU108" i="131"/>
  <c r="AV108" i="131" s="1"/>
  <c r="Y108" i="131"/>
  <c r="AC108" i="131" s="1"/>
  <c r="AH108" i="131" s="1"/>
  <c r="AA108" i="131"/>
  <c r="AJ107" i="131"/>
  <c r="AK107" i="131" s="1"/>
  <c r="E112" i="131"/>
  <c r="J112" i="131" s="1"/>
  <c r="X111" i="131"/>
  <c r="AB108" i="131" l="1"/>
  <c r="AF108" i="131" s="1"/>
  <c r="AN109" i="131"/>
  <c r="AS109" i="131" s="1"/>
  <c r="Q109" i="131"/>
  <c r="V109" i="131" s="1"/>
  <c r="M109" i="131"/>
  <c r="L109" i="131" s="1"/>
  <c r="AI108" i="131"/>
  <c r="AP108" i="131"/>
  <c r="D112" i="131"/>
  <c r="AL108" i="131" l="1"/>
  <c r="Y109" i="131" s="1"/>
  <c r="AG108" i="131"/>
  <c r="Z109" i="131"/>
  <c r="AM109" i="131"/>
  <c r="P109" i="131"/>
  <c r="I112" i="131"/>
  <c r="H112" i="131"/>
  <c r="K112" i="131"/>
  <c r="AC109" i="131" l="1"/>
  <c r="AH109" i="131" s="1"/>
  <c r="AJ108" i="131"/>
  <c r="AK108" i="131" s="1"/>
  <c r="AA109" i="131"/>
  <c r="AI109" i="131" s="1"/>
  <c r="U109" i="131"/>
  <c r="W109" i="131"/>
  <c r="T109" i="131"/>
  <c r="C113" i="131"/>
  <c r="A112" i="131"/>
  <c r="B113" i="131"/>
  <c r="AB109" i="131" l="1"/>
  <c r="AG109" i="131" s="1"/>
  <c r="AP109" i="131"/>
  <c r="AU109" i="131"/>
  <c r="AV109" i="131" s="1"/>
  <c r="N110" i="131"/>
  <c r="AT109" i="131"/>
  <c r="AO109" i="131"/>
  <c r="O110" i="131"/>
  <c r="E113" i="131"/>
  <c r="J113" i="131" s="1"/>
  <c r="X112" i="131"/>
  <c r="AF109" i="131" l="1"/>
  <c r="AL109" i="131"/>
  <c r="Y110" i="131" s="1"/>
  <c r="AN110" i="131"/>
  <c r="AS110" i="131" s="1"/>
  <c r="M110" i="131"/>
  <c r="L110" i="131" s="1"/>
  <c r="Q110" i="131"/>
  <c r="V110" i="131" s="1"/>
  <c r="D113" i="131"/>
  <c r="H113" i="131" s="1"/>
  <c r="AJ109" i="131" l="1"/>
  <c r="AK109" i="131" s="1"/>
  <c r="AM110" i="131"/>
  <c r="Z110" i="131"/>
  <c r="K113" i="131"/>
  <c r="A113" i="131" s="1"/>
  <c r="P110" i="131"/>
  <c r="I113" i="131"/>
  <c r="B114" i="131" l="1"/>
  <c r="E114" i="131" s="1"/>
  <c r="J114" i="131" s="1"/>
  <c r="C114" i="131"/>
  <c r="AA110" i="131"/>
  <c r="AC110" i="131"/>
  <c r="AH110" i="131" s="1"/>
  <c r="T110" i="131"/>
  <c r="U110" i="131"/>
  <c r="W110" i="131"/>
  <c r="X113" i="131"/>
  <c r="AU110" i="131" l="1"/>
  <c r="AV110" i="131" s="1"/>
  <c r="N111" i="131"/>
  <c r="AT110" i="131"/>
  <c r="AO110" i="131"/>
  <c r="O111" i="131"/>
  <c r="AI110" i="131"/>
  <c r="AP110" i="131"/>
  <c r="AB110" i="131"/>
  <c r="D114" i="131"/>
  <c r="AG110" i="131" l="1"/>
  <c r="AF110" i="131"/>
  <c r="AL110" i="131"/>
  <c r="AN111" i="131"/>
  <c r="AS111" i="131" s="1"/>
  <c r="M111" i="131"/>
  <c r="L111" i="131" s="1"/>
  <c r="Q111" i="131"/>
  <c r="V111" i="131" s="1"/>
  <c r="I114" i="131"/>
  <c r="H114" i="131"/>
  <c r="K114" i="131"/>
  <c r="P111" i="131" l="1"/>
  <c r="AM111" i="131"/>
  <c r="Z111" i="131"/>
  <c r="AA111" i="131" s="1"/>
  <c r="Y111" i="131"/>
  <c r="AJ110" i="131"/>
  <c r="AK110" i="131" s="1"/>
  <c r="B115" i="131"/>
  <c r="A114" i="131"/>
  <c r="C115" i="131"/>
  <c r="AC111" i="131" l="1"/>
  <c r="AH111" i="131" s="1"/>
  <c r="AP111" i="131"/>
  <c r="AI111" i="131"/>
  <c r="T111" i="131"/>
  <c r="U111" i="131"/>
  <c r="W111" i="131"/>
  <c r="X114" i="131"/>
  <c r="E115" i="131"/>
  <c r="J115" i="131" s="1"/>
  <c r="AB111" i="131" l="1"/>
  <c r="AT111" i="131"/>
  <c r="O112" i="131"/>
  <c r="N112" i="131"/>
  <c r="AO111" i="131"/>
  <c r="AU111" i="131"/>
  <c r="AV111" i="131" s="1"/>
  <c r="D115" i="131"/>
  <c r="K115" i="131" s="1"/>
  <c r="C116" i="131" s="1"/>
  <c r="AG111" i="131" l="1"/>
  <c r="AF111" i="131"/>
  <c r="AL111" i="131"/>
  <c r="M112" i="131"/>
  <c r="L112" i="131" s="1"/>
  <c r="Q112" i="131"/>
  <c r="V112" i="131" s="1"/>
  <c r="AN112" i="131"/>
  <c r="AS112" i="131" s="1"/>
  <c r="I115" i="131"/>
  <c r="B116" i="131"/>
  <c r="E116" i="131" s="1"/>
  <c r="J116" i="131" s="1"/>
  <c r="A115" i="131"/>
  <c r="X115" i="131" s="1"/>
  <c r="H115" i="131"/>
  <c r="P112" i="131" l="1"/>
  <c r="T112" i="131" s="1"/>
  <c r="Y112" i="131"/>
  <c r="AJ111" i="131"/>
  <c r="AK111" i="131" s="1"/>
  <c r="Z112" i="131"/>
  <c r="AM112" i="131"/>
  <c r="D116" i="131"/>
  <c r="K116" i="131" s="1"/>
  <c r="W112" i="131" l="1"/>
  <c r="AT112" i="131" s="1"/>
  <c r="U112" i="131"/>
  <c r="AA112" i="131"/>
  <c r="AC112" i="131"/>
  <c r="AH112" i="131" s="1"/>
  <c r="N113" i="131"/>
  <c r="H116" i="131"/>
  <c r="I116" i="131"/>
  <c r="C117" i="131"/>
  <c r="A116" i="131"/>
  <c r="B117" i="131"/>
  <c r="O113" i="131" l="1"/>
  <c r="AN113" i="131" s="1"/>
  <c r="AS113" i="131" s="1"/>
  <c r="AU112" i="131"/>
  <c r="AV112" i="131" s="1"/>
  <c r="AO112" i="131"/>
  <c r="M113" i="131"/>
  <c r="L113" i="131" s="1"/>
  <c r="Q113" i="131"/>
  <c r="V113" i="131" s="1"/>
  <c r="AP112" i="131"/>
  <c r="AB112" i="131"/>
  <c r="AI112" i="131"/>
  <c r="X116" i="131"/>
  <c r="E117" i="131"/>
  <c r="J117" i="131" s="1"/>
  <c r="AL112" i="131" l="1"/>
  <c r="AF112" i="131"/>
  <c r="AG112" i="131"/>
  <c r="Z113" i="131"/>
  <c r="AM113" i="131"/>
  <c r="P113" i="131"/>
  <c r="D117" i="131"/>
  <c r="U113" i="131" l="1"/>
  <c r="T113" i="131"/>
  <c r="W113" i="131"/>
  <c r="Y113" i="131"/>
  <c r="AA113" i="131"/>
  <c r="AJ112" i="131"/>
  <c r="AK112" i="131" s="1"/>
  <c r="I117" i="131"/>
  <c r="H117" i="131"/>
  <c r="K117" i="131"/>
  <c r="AI113" i="131" l="1"/>
  <c r="AP113" i="131"/>
  <c r="N114" i="131"/>
  <c r="AU113" i="131"/>
  <c r="AV113" i="131" s="1"/>
  <c r="AO113" i="131"/>
  <c r="AT113" i="131"/>
  <c r="O114" i="131"/>
  <c r="AC113" i="131"/>
  <c r="AH113" i="131" s="1"/>
  <c r="C118" i="131"/>
  <c r="A117" i="131"/>
  <c r="B118" i="131"/>
  <c r="M114" i="131" l="1"/>
  <c r="L114" i="131" s="1"/>
  <c r="Q114" i="131"/>
  <c r="V114" i="131" s="1"/>
  <c r="AB113" i="131"/>
  <c r="AN114" i="131"/>
  <c r="AS114" i="131" s="1"/>
  <c r="E118" i="131"/>
  <c r="J118" i="131" s="1"/>
  <c r="X117" i="131"/>
  <c r="P114" i="131" l="1"/>
  <c r="W114" i="131" s="1"/>
  <c r="AG113" i="131"/>
  <c r="AF113" i="131"/>
  <c r="AL113" i="131"/>
  <c r="AM114" i="131"/>
  <c r="Z114" i="131"/>
  <c r="D118" i="131"/>
  <c r="K118" i="131" s="1"/>
  <c r="C119" i="131" s="1"/>
  <c r="T114" i="131" l="1"/>
  <c r="U114" i="131"/>
  <c r="AO114" i="131" s="1"/>
  <c r="AA114" i="131"/>
  <c r="Y114" i="131"/>
  <c r="AJ113" i="131"/>
  <c r="AK113" i="131" s="1"/>
  <c r="AU114" i="131"/>
  <c r="AV114" i="131" s="1"/>
  <c r="N115" i="131"/>
  <c r="O115" i="131"/>
  <c r="AT114" i="131"/>
  <c r="H118" i="131"/>
  <c r="A118" i="131"/>
  <c r="X118" i="131" s="1"/>
  <c r="B119" i="131"/>
  <c r="E119" i="131" s="1"/>
  <c r="J119" i="131" s="1"/>
  <c r="I118" i="131"/>
  <c r="M115" i="131" l="1"/>
  <c r="L115" i="131" s="1"/>
  <c r="Q115" i="131"/>
  <c r="V115" i="131" s="1"/>
  <c r="AN115" i="131"/>
  <c r="AS115" i="131" s="1"/>
  <c r="AC114" i="131"/>
  <c r="AH114" i="131" s="1"/>
  <c r="AI114" i="131"/>
  <c r="AP114" i="131"/>
  <c r="D119" i="131"/>
  <c r="I119" i="131" s="1"/>
  <c r="P115" i="131" l="1"/>
  <c r="AB114" i="131"/>
  <c r="AM115" i="131"/>
  <c r="Z115" i="131"/>
  <c r="K119" i="131"/>
  <c r="A119" i="131" s="1"/>
  <c r="H119" i="131"/>
  <c r="C120" i="131" l="1"/>
  <c r="B120" i="131"/>
  <c r="E120" i="131" s="1"/>
  <c r="J120" i="131" s="1"/>
  <c r="AG114" i="131"/>
  <c r="AF114" i="131"/>
  <c r="AL114" i="131"/>
  <c r="U115" i="131"/>
  <c r="T115" i="131"/>
  <c r="W115" i="131"/>
  <c r="X119" i="131"/>
  <c r="O116" i="131" l="1"/>
  <c r="AO115" i="131"/>
  <c r="AU115" i="131"/>
  <c r="AV115" i="131" s="1"/>
  <c r="N116" i="131"/>
  <c r="AT115" i="131"/>
  <c r="Y115" i="131"/>
  <c r="AA115" i="131"/>
  <c r="AJ114" i="131"/>
  <c r="AK114" i="131" s="1"/>
  <c r="D120" i="131"/>
  <c r="K120" i="131" s="1"/>
  <c r="AC115" i="131" l="1"/>
  <c r="AH115" i="131" s="1"/>
  <c r="M116" i="131"/>
  <c r="L116" i="131" s="1"/>
  <c r="Q116" i="131"/>
  <c r="V116" i="131" s="1"/>
  <c r="AP115" i="131"/>
  <c r="AI115" i="131"/>
  <c r="AN116" i="131"/>
  <c r="AS116" i="131" s="1"/>
  <c r="I120" i="131"/>
  <c r="H120" i="131"/>
  <c r="C121" i="131"/>
  <c r="A120" i="131"/>
  <c r="B121" i="131"/>
  <c r="Z116" i="131" l="1"/>
  <c r="AM116" i="131"/>
  <c r="P116" i="131"/>
  <c r="AB115" i="131"/>
  <c r="E121" i="131"/>
  <c r="J121" i="131" s="1"/>
  <c r="X120" i="131"/>
  <c r="AG115" i="131" l="1"/>
  <c r="AF115" i="131"/>
  <c r="AL115" i="131"/>
  <c r="U116" i="131"/>
  <c r="T116" i="131"/>
  <c r="W116" i="131"/>
  <c r="D121" i="131"/>
  <c r="K121" i="131" s="1"/>
  <c r="C122" i="131" s="1"/>
  <c r="AT116" i="131" l="1"/>
  <c r="O117" i="131"/>
  <c r="AO116" i="131"/>
  <c r="AU116" i="131"/>
  <c r="AV116" i="131" s="1"/>
  <c r="N117" i="131"/>
  <c r="Y116" i="131"/>
  <c r="AC116" i="131" s="1"/>
  <c r="AH116" i="131" s="1"/>
  <c r="AJ115" i="131"/>
  <c r="AK115" i="131" s="1"/>
  <c r="AA116" i="131"/>
  <c r="B122" i="131"/>
  <c r="E122" i="131" s="1"/>
  <c r="J122" i="131" s="1"/>
  <c r="A121" i="131"/>
  <c r="X121" i="131" s="1"/>
  <c r="H121" i="131"/>
  <c r="I121" i="131"/>
  <c r="M117" i="131" l="1"/>
  <c r="L117" i="131" s="1"/>
  <c r="Q117" i="131"/>
  <c r="V117" i="131" s="1"/>
  <c r="AN117" i="131"/>
  <c r="AS117" i="131" s="1"/>
  <c r="AI116" i="131"/>
  <c r="AP116" i="131"/>
  <c r="AB116" i="131"/>
  <c r="D122" i="131"/>
  <c r="P117" i="131" l="1"/>
  <c r="AL116" i="131"/>
  <c r="AG116" i="131"/>
  <c r="AF116" i="131"/>
  <c r="Z117" i="131"/>
  <c r="AM117" i="131"/>
  <c r="I122" i="131"/>
  <c r="H122" i="131"/>
  <c r="K122" i="131"/>
  <c r="Y117" i="131" l="1"/>
  <c r="AA117" i="131"/>
  <c r="AJ116" i="131"/>
  <c r="AK116" i="131" s="1"/>
  <c r="T117" i="131"/>
  <c r="U117" i="131"/>
  <c r="W117" i="131"/>
  <c r="C123" i="131"/>
  <c r="B123" i="131"/>
  <c r="A122" i="131"/>
  <c r="AO117" i="131" l="1"/>
  <c r="O118" i="131"/>
  <c r="AU117" i="131"/>
  <c r="AV117" i="131" s="1"/>
  <c r="N118" i="131"/>
  <c r="AT117" i="131"/>
  <c r="AP117" i="131"/>
  <c r="AI117" i="131"/>
  <c r="AC117" i="131"/>
  <c r="AH117" i="131" s="1"/>
  <c r="E123" i="131"/>
  <c r="J123" i="131" s="1"/>
  <c r="X122" i="131"/>
  <c r="AN118" i="131" l="1"/>
  <c r="AS118" i="131" s="1"/>
  <c r="AB117" i="131"/>
  <c r="M118" i="131"/>
  <c r="L118" i="131" s="1"/>
  <c r="Q118" i="131"/>
  <c r="V118" i="131" s="1"/>
  <c r="D123" i="131"/>
  <c r="P118" i="131" l="1"/>
  <c r="W118" i="131" s="1"/>
  <c r="AM118" i="131"/>
  <c r="Z118" i="131"/>
  <c r="AG117" i="131"/>
  <c r="AF117" i="131"/>
  <c r="AL117" i="131"/>
  <c r="I123" i="131"/>
  <c r="H123" i="131"/>
  <c r="K123" i="131"/>
  <c r="U118" i="131" l="1"/>
  <c r="AO118" i="131" s="1"/>
  <c r="T118" i="131"/>
  <c r="Y118" i="131"/>
  <c r="AA118" i="131"/>
  <c r="AJ117" i="131"/>
  <c r="AK117" i="131" s="1"/>
  <c r="AU118" i="131"/>
  <c r="AV118" i="131" s="1"/>
  <c r="N119" i="131"/>
  <c r="O119" i="131"/>
  <c r="AT118" i="131"/>
  <c r="C124" i="131"/>
  <c r="A123" i="131"/>
  <c r="B124" i="131"/>
  <c r="AN119" i="131" l="1"/>
  <c r="AS119" i="131" s="1"/>
  <c r="Q119" i="131"/>
  <c r="V119" i="131" s="1"/>
  <c r="M119" i="131"/>
  <c r="L119" i="131" s="1"/>
  <c r="AI118" i="131"/>
  <c r="AP118" i="131"/>
  <c r="AC118" i="131"/>
  <c r="AH118" i="131" s="1"/>
  <c r="E124" i="131"/>
  <c r="J124" i="131" s="1"/>
  <c r="X123" i="131"/>
  <c r="Z119" i="131" l="1"/>
  <c r="AM119" i="131"/>
  <c r="P119" i="131"/>
  <c r="AB118" i="131"/>
  <c r="D124" i="131"/>
  <c r="U119" i="131" l="1"/>
  <c r="T119" i="131"/>
  <c r="W119" i="131"/>
  <c r="AG118" i="131"/>
  <c r="AF118" i="131"/>
  <c r="AL118" i="131"/>
  <c r="I124" i="131"/>
  <c r="H124" i="131"/>
  <c r="K124" i="131"/>
  <c r="AA119" i="131" l="1"/>
  <c r="Y119" i="131"/>
  <c r="AJ118" i="131"/>
  <c r="AK118" i="131" s="1"/>
  <c r="AO119" i="131"/>
  <c r="AT119" i="131"/>
  <c r="N120" i="131"/>
  <c r="O120" i="131"/>
  <c r="AU119" i="131"/>
  <c r="AV119" i="131" s="1"/>
  <c r="C125" i="131"/>
  <c r="A124" i="131"/>
  <c r="B125" i="131"/>
  <c r="Q120" i="131" l="1"/>
  <c r="V120" i="131" s="1"/>
  <c r="M120" i="131"/>
  <c r="L120" i="131" s="1"/>
  <c r="AC119" i="131"/>
  <c r="AH119" i="131" s="1"/>
  <c r="AN120" i="131"/>
  <c r="AS120" i="131" s="1"/>
  <c r="AI119" i="131"/>
  <c r="AP119" i="131"/>
  <c r="E125" i="131"/>
  <c r="J125" i="131" s="1"/>
  <c r="X124" i="131"/>
  <c r="P120" i="131" l="1"/>
  <c r="T120" i="131" s="1"/>
  <c r="AB119" i="131"/>
  <c r="AM120" i="131"/>
  <c r="Z120" i="131"/>
  <c r="D125" i="131"/>
  <c r="H125" i="131" s="1"/>
  <c r="U120" i="131" l="1"/>
  <c r="W120" i="131"/>
  <c r="AU120" i="131" s="1"/>
  <c r="AV120" i="131" s="1"/>
  <c r="AG119" i="131"/>
  <c r="AF119" i="131"/>
  <c r="AL119" i="131"/>
  <c r="K125" i="131"/>
  <c r="B126" i="131" s="1"/>
  <c r="I125" i="131"/>
  <c r="AT120" i="131" l="1"/>
  <c r="O121" i="131"/>
  <c r="AN121" i="131" s="1"/>
  <c r="AS121" i="131" s="1"/>
  <c r="AO120" i="131"/>
  <c r="N121" i="131"/>
  <c r="Q121" i="131" s="1"/>
  <c r="V121" i="131" s="1"/>
  <c r="Y120" i="131"/>
  <c r="AA120" i="131"/>
  <c r="AJ119" i="131"/>
  <c r="AK119" i="131" s="1"/>
  <c r="A125" i="131"/>
  <c r="X125" i="131" s="1"/>
  <c r="C126" i="131"/>
  <c r="E126" i="131"/>
  <c r="J126" i="131" s="1"/>
  <c r="M121" i="131" l="1"/>
  <c r="L121" i="131" s="1"/>
  <c r="Z121" i="131" s="1"/>
  <c r="P121" i="131"/>
  <c r="U121" i="131" s="1"/>
  <c r="AC120" i="131"/>
  <c r="AH120" i="131" s="1"/>
  <c r="AI120" i="131"/>
  <c r="AP120" i="131"/>
  <c r="D126" i="131"/>
  <c r="AM121" i="131" l="1"/>
  <c r="W121" i="131"/>
  <c r="AT121" i="131" s="1"/>
  <c r="T121" i="131"/>
  <c r="AB120" i="131"/>
  <c r="AF120" i="131" s="1"/>
  <c r="H126" i="131"/>
  <c r="I126" i="131"/>
  <c r="K126" i="131"/>
  <c r="AO121" i="131" l="1"/>
  <c r="N122" i="131"/>
  <c r="M122" i="131" s="1"/>
  <c r="L122" i="131" s="1"/>
  <c r="AU121" i="131"/>
  <c r="AV121" i="131" s="1"/>
  <c r="O122" i="131"/>
  <c r="AN122" i="131" s="1"/>
  <c r="AS122" i="131" s="1"/>
  <c r="AG120" i="131"/>
  <c r="AL120" i="131"/>
  <c r="AJ120" i="131" s="1"/>
  <c r="AK120" i="131" s="1"/>
  <c r="A126" i="131"/>
  <c r="C127" i="131"/>
  <c r="B127" i="131"/>
  <c r="Y121" i="131" l="1"/>
  <c r="AC121" i="131" s="1"/>
  <c r="AH121" i="131" s="1"/>
  <c r="Q122" i="131"/>
  <c r="V122" i="131" s="1"/>
  <c r="AA121" i="131"/>
  <c r="AI121" i="131" s="1"/>
  <c r="Z122" i="131"/>
  <c r="AM122" i="131"/>
  <c r="E127" i="131"/>
  <c r="J127" i="131" s="1"/>
  <c r="X126" i="131"/>
  <c r="AP121" i="131" l="1"/>
  <c r="AB121" i="131"/>
  <c r="AL121" i="131" s="1"/>
  <c r="P122" i="131"/>
  <c r="T122" i="131" s="1"/>
  <c r="D127" i="131"/>
  <c r="K127" i="131" s="1"/>
  <c r="C128" i="131" s="1"/>
  <c r="AF121" i="131" l="1"/>
  <c r="AG121" i="131"/>
  <c r="W122" i="131"/>
  <c r="U122" i="131"/>
  <c r="AA122" i="131"/>
  <c r="Y122" i="131"/>
  <c r="AJ121" i="131"/>
  <c r="AK121" i="131" s="1"/>
  <c r="H127" i="131"/>
  <c r="I127" i="131"/>
  <c r="B128" i="131"/>
  <c r="E128" i="131" s="1"/>
  <c r="J128" i="131" s="1"/>
  <c r="A127" i="131"/>
  <c r="X127" i="131" s="1"/>
  <c r="O123" i="131" l="1"/>
  <c r="AN123" i="131" s="1"/>
  <c r="AS123" i="131" s="1"/>
  <c r="AO122" i="131"/>
  <c r="AT122" i="131"/>
  <c r="N123" i="131"/>
  <c r="AU122" i="131"/>
  <c r="AV122" i="131" s="1"/>
  <c r="AC122" i="131"/>
  <c r="AH122" i="131" s="1"/>
  <c r="AP122" i="131"/>
  <c r="AI122" i="131"/>
  <c r="D128" i="131"/>
  <c r="M123" i="131" l="1"/>
  <c r="L123" i="131" s="1"/>
  <c r="Q123" i="131"/>
  <c r="AB122" i="131"/>
  <c r="I128" i="131"/>
  <c r="H128" i="131"/>
  <c r="K128" i="131"/>
  <c r="V123" i="131" l="1"/>
  <c r="P123" i="131"/>
  <c r="AM123" i="131"/>
  <c r="Z123" i="131"/>
  <c r="AF122" i="131"/>
  <c r="AG122" i="131"/>
  <c r="AL122" i="131"/>
  <c r="C129" i="131"/>
  <c r="A128" i="131"/>
  <c r="B129" i="131"/>
  <c r="W123" i="131" l="1"/>
  <c r="T123" i="131"/>
  <c r="U123" i="131"/>
  <c r="Y123" i="131"/>
  <c r="AA123" i="131"/>
  <c r="AJ122" i="131"/>
  <c r="AK122" i="131" s="1"/>
  <c r="X128" i="131"/>
  <c r="E129" i="131"/>
  <c r="J129" i="131" s="1"/>
  <c r="AO123" i="131" l="1"/>
  <c r="N124" i="131"/>
  <c r="AT123" i="131"/>
  <c r="O124" i="131"/>
  <c r="AU123" i="131"/>
  <c r="AV123" i="131" s="1"/>
  <c r="AI123" i="131"/>
  <c r="AP123" i="131"/>
  <c r="AC123" i="131"/>
  <c r="AH123" i="131" s="1"/>
  <c r="D129" i="131"/>
  <c r="AN124" i="131" l="1"/>
  <c r="AS124" i="131" s="1"/>
  <c r="M124" i="131"/>
  <c r="L124" i="131" s="1"/>
  <c r="Q124" i="131"/>
  <c r="V124" i="131" s="1"/>
  <c r="AB123" i="131"/>
  <c r="AG123" i="131" s="1"/>
  <c r="I129" i="131"/>
  <c r="H129" i="131"/>
  <c r="K129" i="131"/>
  <c r="AM124" i="131" l="1"/>
  <c r="Z124" i="131"/>
  <c r="P124" i="131"/>
  <c r="AL123" i="131"/>
  <c r="Y124" i="131" s="1"/>
  <c r="AF123" i="131"/>
  <c r="AJ123" i="131"/>
  <c r="AK123" i="131" s="1"/>
  <c r="C130" i="131"/>
  <c r="A129" i="131"/>
  <c r="B130" i="131"/>
  <c r="AA124" i="131" l="1"/>
  <c r="AI124" i="131" s="1"/>
  <c r="U124" i="131"/>
  <c r="T124" i="131"/>
  <c r="W124" i="131"/>
  <c r="AC124" i="131"/>
  <c r="AH124" i="131" s="1"/>
  <c r="X129" i="131"/>
  <c r="E130" i="131"/>
  <c r="J130" i="131" s="1"/>
  <c r="AP124" i="131" l="1"/>
  <c r="N125" i="131"/>
  <c r="O125" i="131"/>
  <c r="AU124" i="131"/>
  <c r="AV124" i="131" s="1"/>
  <c r="AO124" i="131"/>
  <c r="AT124" i="131"/>
  <c r="AB124" i="131"/>
  <c r="D130" i="131"/>
  <c r="AN125" i="131" l="1"/>
  <c r="AS125" i="131" s="1"/>
  <c r="Q125" i="131"/>
  <c r="V125" i="131" s="1"/>
  <c r="M125" i="131"/>
  <c r="L125" i="131" s="1"/>
  <c r="AG124" i="131"/>
  <c r="AF124" i="131"/>
  <c r="AL124" i="131"/>
  <c r="I130" i="131"/>
  <c r="H130" i="131"/>
  <c r="K130" i="131"/>
  <c r="Z125" i="131" l="1"/>
  <c r="AA125" i="131" s="1"/>
  <c r="AM125" i="131"/>
  <c r="P125" i="131"/>
  <c r="Y125" i="131"/>
  <c r="AJ124" i="131"/>
  <c r="AK124" i="131" s="1"/>
  <c r="C131" i="131"/>
  <c r="B131" i="131"/>
  <c r="A130" i="131"/>
  <c r="W125" i="131" l="1"/>
  <c r="T125" i="131"/>
  <c r="U125" i="131"/>
  <c r="AC125" i="131"/>
  <c r="AH125" i="131" s="1"/>
  <c r="AI125" i="131"/>
  <c r="AP125" i="131"/>
  <c r="X130" i="131"/>
  <c r="E131" i="131"/>
  <c r="J131" i="131" s="1"/>
  <c r="AO125" i="131" l="1"/>
  <c r="AU125" i="131"/>
  <c r="AV125" i="131" s="1"/>
  <c r="AT125" i="131"/>
  <c r="N126" i="131"/>
  <c r="O126" i="131"/>
  <c r="AB125" i="131"/>
  <c r="AL125" i="131" s="1"/>
  <c r="Y126" i="131" s="1"/>
  <c r="D131" i="131"/>
  <c r="AN126" i="131" l="1"/>
  <c r="AS126" i="131" s="1"/>
  <c r="M126" i="131"/>
  <c r="L126" i="131" s="1"/>
  <c r="Q126" i="131"/>
  <c r="V126" i="131" s="1"/>
  <c r="AF125" i="131"/>
  <c r="AG125" i="131"/>
  <c r="AJ125" i="131"/>
  <c r="AK125" i="131" s="1"/>
  <c r="I131" i="131"/>
  <c r="H131" i="131"/>
  <c r="K131" i="131"/>
  <c r="Z126" i="131" l="1"/>
  <c r="AM126" i="131"/>
  <c r="P126" i="131"/>
  <c r="C132" i="131"/>
  <c r="A131" i="131"/>
  <c r="B132" i="131"/>
  <c r="T126" i="131" l="1"/>
  <c r="U126" i="131"/>
  <c r="W126" i="131"/>
  <c r="AA126" i="131"/>
  <c r="AC126" i="131"/>
  <c r="AH126" i="131" s="1"/>
  <c r="E132" i="131"/>
  <c r="J132" i="131" s="1"/>
  <c r="X131" i="131"/>
  <c r="AP126" i="131" l="1"/>
  <c r="AI126" i="131"/>
  <c r="AB126" i="131"/>
  <c r="O127" i="131"/>
  <c r="AT126" i="131"/>
  <c r="AU126" i="131"/>
  <c r="AV126" i="131" s="1"/>
  <c r="N127" i="131"/>
  <c r="AO126" i="131"/>
  <c r="D132" i="131"/>
  <c r="AN127" i="131" l="1"/>
  <c r="AS127" i="131" s="1"/>
  <c r="Q127" i="131"/>
  <c r="V127" i="131" s="1"/>
  <c r="M127" i="131"/>
  <c r="L127" i="131" s="1"/>
  <c r="AF126" i="131"/>
  <c r="AL126" i="131"/>
  <c r="AG126" i="131"/>
  <c r="I132" i="131"/>
  <c r="H132" i="131"/>
  <c r="K132" i="131"/>
  <c r="Z127" i="131" l="1"/>
  <c r="AA127" i="131" s="1"/>
  <c r="AM127" i="131"/>
  <c r="AJ126" i="131"/>
  <c r="AK126" i="131" s="1"/>
  <c r="Y127" i="131"/>
  <c r="P127" i="131"/>
  <c r="C133" i="131"/>
  <c r="A132" i="131"/>
  <c r="B133" i="131"/>
  <c r="AC127" i="131" l="1"/>
  <c r="AH127" i="131" s="1"/>
  <c r="AP127" i="131"/>
  <c r="AI127" i="131"/>
  <c r="T127" i="131"/>
  <c r="U127" i="131"/>
  <c r="W127" i="131"/>
  <c r="E133" i="131"/>
  <c r="J133" i="131" s="1"/>
  <c r="X132" i="131"/>
  <c r="AB127" i="131" l="1"/>
  <c r="AL127" i="131" s="1"/>
  <c r="AJ127" i="131" s="1"/>
  <c r="AK127" i="131" s="1"/>
  <c r="AU127" i="131"/>
  <c r="AV127" i="131" s="1"/>
  <c r="O128" i="131"/>
  <c r="AT127" i="131"/>
  <c r="N128" i="131"/>
  <c r="AO127" i="131"/>
  <c r="D133" i="131"/>
  <c r="AF127" i="131" l="1"/>
  <c r="AG127" i="131"/>
  <c r="Q128" i="131"/>
  <c r="V128" i="131" s="1"/>
  <c r="M128" i="131"/>
  <c r="L128" i="131" s="1"/>
  <c r="AN128" i="131"/>
  <c r="AS128" i="131" s="1"/>
  <c r="Y128" i="131"/>
  <c r="I133" i="131"/>
  <c r="H133" i="131"/>
  <c r="K133" i="131"/>
  <c r="P128" i="131" l="1"/>
  <c r="W128" i="131" s="1"/>
  <c r="AT128" i="131" s="1"/>
  <c r="Z128" i="131"/>
  <c r="AA128" i="131" s="1"/>
  <c r="AM128" i="131"/>
  <c r="C134" i="131"/>
  <c r="A133" i="131"/>
  <c r="B134" i="131"/>
  <c r="U128" i="131" l="1"/>
  <c r="AO128" i="131" s="1"/>
  <c r="T128" i="131"/>
  <c r="N129" i="131"/>
  <c r="O129" i="131"/>
  <c r="AN129" i="131" s="1"/>
  <c r="AS129" i="131" s="1"/>
  <c r="AU128" i="131"/>
  <c r="AV128" i="131" s="1"/>
  <c r="Q129" i="131"/>
  <c r="V129" i="131" s="1"/>
  <c r="M129" i="131"/>
  <c r="L129" i="131" s="1"/>
  <c r="AP128" i="131"/>
  <c r="AI128" i="131"/>
  <c r="AC128" i="131"/>
  <c r="E134" i="131"/>
  <c r="J134" i="131" s="1"/>
  <c r="X133" i="131"/>
  <c r="AH128" i="131" l="1"/>
  <c r="AB128" i="131"/>
  <c r="P129" i="131"/>
  <c r="AM129" i="131"/>
  <c r="Z129" i="131"/>
  <c r="D134" i="131"/>
  <c r="U129" i="131" l="1"/>
  <c r="T129" i="131"/>
  <c r="W129" i="131"/>
  <c r="AG128" i="131"/>
  <c r="AF128" i="131"/>
  <c r="AL128" i="131"/>
  <c r="I134" i="131"/>
  <c r="H134" i="131"/>
  <c r="K134" i="131"/>
  <c r="Y129" i="131" l="1"/>
  <c r="AC129" i="131" s="1"/>
  <c r="AH129" i="131" s="1"/>
  <c r="AJ128" i="131"/>
  <c r="AK128" i="131" s="1"/>
  <c r="AA129" i="131"/>
  <c r="O130" i="131"/>
  <c r="AT129" i="131"/>
  <c r="AU129" i="131"/>
  <c r="AV129" i="131" s="1"/>
  <c r="AO129" i="131"/>
  <c r="N130" i="131"/>
  <c r="C135" i="131"/>
  <c r="A134" i="131"/>
  <c r="B135" i="131"/>
  <c r="AB129" i="131" l="1"/>
  <c r="AG129" i="131" s="1"/>
  <c r="M130" i="131"/>
  <c r="L130" i="131" s="1"/>
  <c r="Q130" i="131"/>
  <c r="V130" i="131" s="1"/>
  <c r="AN130" i="131"/>
  <c r="AS130" i="131" s="1"/>
  <c r="AI129" i="131"/>
  <c r="AP129" i="131"/>
  <c r="X134" i="131"/>
  <c r="E135" i="131"/>
  <c r="J135" i="131" s="1"/>
  <c r="AL129" i="131" l="1"/>
  <c r="AF129" i="131"/>
  <c r="P130" i="131"/>
  <c r="T130" i="131" s="1"/>
  <c r="U130" i="131"/>
  <c r="AM130" i="131"/>
  <c r="Z130" i="131"/>
  <c r="AA130" i="131" s="1"/>
  <c r="Y130" i="131"/>
  <c r="AJ129" i="131"/>
  <c r="AK129" i="131" s="1"/>
  <c r="D135" i="131"/>
  <c r="W130" i="131" l="1"/>
  <c r="N131" i="131" s="1"/>
  <c r="AI130" i="131"/>
  <c r="AP130" i="131"/>
  <c r="AC130" i="131"/>
  <c r="AH130" i="131" s="1"/>
  <c r="I135" i="131"/>
  <c r="H135" i="131"/>
  <c r="K135" i="131"/>
  <c r="AT130" i="131" l="1"/>
  <c r="O131" i="131"/>
  <c r="AN131" i="131" s="1"/>
  <c r="AS131" i="131" s="1"/>
  <c r="AU130" i="131"/>
  <c r="AV130" i="131" s="1"/>
  <c r="AO130" i="131"/>
  <c r="M131" i="131"/>
  <c r="L131" i="131" s="1"/>
  <c r="Q131" i="131"/>
  <c r="V131" i="131" s="1"/>
  <c r="AB130" i="131"/>
  <c r="C136" i="131"/>
  <c r="A135" i="131"/>
  <c r="B136" i="131"/>
  <c r="AM131" i="131" l="1"/>
  <c r="Z131" i="131"/>
  <c r="P131" i="131"/>
  <c r="AF130" i="131"/>
  <c r="AG130" i="131"/>
  <c r="AL130" i="131"/>
  <c r="E136" i="131"/>
  <c r="J136" i="131" s="1"/>
  <c r="X135" i="131"/>
  <c r="T131" i="131" l="1"/>
  <c r="U131" i="131"/>
  <c r="W131" i="131"/>
  <c r="AA131" i="131"/>
  <c r="AJ130" i="131"/>
  <c r="AK130" i="131" s="1"/>
  <c r="Y131" i="131"/>
  <c r="D136" i="131"/>
  <c r="N132" i="131" l="1"/>
  <c r="AU131" i="131"/>
  <c r="AV131" i="131" s="1"/>
  <c r="AO131" i="131"/>
  <c r="O132" i="131"/>
  <c r="AT131" i="131"/>
  <c r="AC131" i="131"/>
  <c r="AH131" i="131" s="1"/>
  <c r="AI131" i="131"/>
  <c r="AP131" i="131"/>
  <c r="I136" i="131"/>
  <c r="H136" i="131"/>
  <c r="K136" i="131"/>
  <c r="AN132" i="131" l="1"/>
  <c r="AS132" i="131" s="1"/>
  <c r="M132" i="131"/>
  <c r="L132" i="131" s="1"/>
  <c r="Q132" i="131"/>
  <c r="V132" i="131" s="1"/>
  <c r="AB131" i="131"/>
  <c r="AF131" i="131" s="1"/>
  <c r="C137" i="131"/>
  <c r="A136" i="131"/>
  <c r="B137" i="131"/>
  <c r="Z132" i="131" l="1"/>
  <c r="AM132" i="131"/>
  <c r="P132" i="131"/>
  <c r="AG131" i="131"/>
  <c r="AL131" i="131"/>
  <c r="Y132" i="131" s="1"/>
  <c r="E137" i="131"/>
  <c r="J137" i="131" s="1"/>
  <c r="X136" i="131"/>
  <c r="W132" i="131" l="1"/>
  <c r="T132" i="131"/>
  <c r="U132" i="131"/>
  <c r="AJ131" i="131"/>
  <c r="AK131" i="131" s="1"/>
  <c r="AA132" i="131"/>
  <c r="AP132" i="131" s="1"/>
  <c r="AC132" i="131"/>
  <c r="AH132" i="131" s="1"/>
  <c r="D137" i="131"/>
  <c r="AO132" i="131" l="1"/>
  <c r="O133" i="131"/>
  <c r="N133" i="131"/>
  <c r="AU132" i="131"/>
  <c r="AV132" i="131" s="1"/>
  <c r="AT132" i="131"/>
  <c r="AI132" i="131"/>
  <c r="AB132" i="131"/>
  <c r="I137" i="131"/>
  <c r="H137" i="131"/>
  <c r="K137" i="131"/>
  <c r="M133" i="131" l="1"/>
  <c r="L133" i="131" s="1"/>
  <c r="Q133" i="131"/>
  <c r="V133" i="131" s="1"/>
  <c r="AN133" i="131"/>
  <c r="AS133" i="131" s="1"/>
  <c r="AG132" i="131"/>
  <c r="AF132" i="131"/>
  <c r="AL132" i="131"/>
  <c r="C138" i="131"/>
  <c r="A137" i="131"/>
  <c r="B138" i="131"/>
  <c r="P133" i="131" l="1"/>
  <c r="T133" i="131" s="1"/>
  <c r="AM133" i="131"/>
  <c r="Z133" i="131"/>
  <c r="AA133" i="131" s="1"/>
  <c r="Y133" i="131"/>
  <c r="AJ132" i="131"/>
  <c r="AK132" i="131" s="1"/>
  <c r="E138" i="131"/>
  <c r="J138" i="131" s="1"/>
  <c r="X137" i="131"/>
  <c r="W133" i="131" l="1"/>
  <c r="AU133" i="131" s="1"/>
  <c r="AV133" i="131" s="1"/>
  <c r="U133" i="131"/>
  <c r="AI133" i="131"/>
  <c r="AP133" i="131"/>
  <c r="AC133" i="131"/>
  <c r="AH133" i="131" s="1"/>
  <c r="D138" i="131"/>
  <c r="I138" i="131" s="1"/>
  <c r="AT133" i="131" l="1"/>
  <c r="N134" i="131"/>
  <c r="M134" i="131" s="1"/>
  <c r="L134" i="131" s="1"/>
  <c r="AO133" i="131"/>
  <c r="O134" i="131"/>
  <c r="AN134" i="131" s="1"/>
  <c r="AS134" i="131" s="1"/>
  <c r="Q134" i="131"/>
  <c r="V134" i="131" s="1"/>
  <c r="AB133" i="131"/>
  <c r="H138" i="131"/>
  <c r="K138" i="131"/>
  <c r="C139" i="131" s="1"/>
  <c r="P134" i="131" l="1"/>
  <c r="W134" i="131" s="1"/>
  <c r="N135" i="131" s="1"/>
  <c r="Z134" i="131"/>
  <c r="AM134" i="131"/>
  <c r="AG133" i="131"/>
  <c r="AF133" i="131"/>
  <c r="AL133" i="131"/>
  <c r="B139" i="131"/>
  <c r="E139" i="131" s="1"/>
  <c r="J139" i="131" s="1"/>
  <c r="A138" i="131"/>
  <c r="X138" i="131" s="1"/>
  <c r="U134" i="131" l="1"/>
  <c r="AO134" i="131" s="1"/>
  <c r="T134" i="131"/>
  <c r="AT134" i="131"/>
  <c r="O135" i="131"/>
  <c r="AN135" i="131" s="1"/>
  <c r="AS135" i="131" s="1"/>
  <c r="AU134" i="131"/>
  <c r="AV134" i="131" s="1"/>
  <c r="Q135" i="131"/>
  <c r="V135" i="131" s="1"/>
  <c r="M135" i="131"/>
  <c r="L135" i="131" s="1"/>
  <c r="Y134" i="131"/>
  <c r="AA134" i="131"/>
  <c r="AJ133" i="131"/>
  <c r="AK133" i="131" s="1"/>
  <c r="D139" i="131"/>
  <c r="AM135" i="131" l="1"/>
  <c r="Z135" i="131"/>
  <c r="P135" i="131"/>
  <c r="AP134" i="131"/>
  <c r="AI134" i="131"/>
  <c r="AC134" i="131"/>
  <c r="AH134" i="131" s="1"/>
  <c r="I139" i="131"/>
  <c r="H139" i="131"/>
  <c r="K139" i="131"/>
  <c r="T135" i="131" l="1"/>
  <c r="U135" i="131"/>
  <c r="W135" i="131"/>
  <c r="AB134" i="131"/>
  <c r="C140" i="131"/>
  <c r="A139" i="131"/>
  <c r="B140" i="131"/>
  <c r="AO135" i="131" l="1"/>
  <c r="O136" i="131"/>
  <c r="AU135" i="131"/>
  <c r="AV135" i="131" s="1"/>
  <c r="N136" i="131"/>
  <c r="AT135" i="131"/>
  <c r="AG134" i="131"/>
  <c r="AF134" i="131"/>
  <c r="AL134" i="131"/>
  <c r="X139" i="131"/>
  <c r="E140" i="131"/>
  <c r="J140" i="131" s="1"/>
  <c r="M136" i="131" l="1"/>
  <c r="L136" i="131" s="1"/>
  <c r="Q136" i="131"/>
  <c r="V136" i="131" s="1"/>
  <c r="AN136" i="131"/>
  <c r="AS136" i="131" s="1"/>
  <c r="Y135" i="131"/>
  <c r="AA135" i="131"/>
  <c r="AJ134" i="131"/>
  <c r="AK134" i="131" s="1"/>
  <c r="D140" i="131"/>
  <c r="P136" i="131" l="1"/>
  <c r="W136" i="131" s="1"/>
  <c r="Z136" i="131"/>
  <c r="AM136" i="131"/>
  <c r="AI135" i="131"/>
  <c r="AP135" i="131"/>
  <c r="AC135" i="131"/>
  <c r="AH135" i="131" s="1"/>
  <c r="I140" i="131"/>
  <c r="H140" i="131"/>
  <c r="K140" i="131"/>
  <c r="U136" i="131" l="1"/>
  <c r="AO136" i="131" s="1"/>
  <c r="T136" i="131"/>
  <c r="AT136" i="131"/>
  <c r="N137" i="131"/>
  <c r="AU136" i="131"/>
  <c r="AV136" i="131" s="1"/>
  <c r="O137" i="131"/>
  <c r="AN137" i="131" s="1"/>
  <c r="AS137" i="131" s="1"/>
  <c r="AB135" i="131"/>
  <c r="AF135" i="131" s="1"/>
  <c r="C141" i="131"/>
  <c r="A140" i="131"/>
  <c r="B141" i="131"/>
  <c r="M137" i="131" l="1"/>
  <c r="L137" i="131" s="1"/>
  <c r="Q137" i="131"/>
  <c r="V137" i="131" s="1"/>
  <c r="AL135" i="131"/>
  <c r="AJ135" i="131" s="1"/>
  <c r="AK135" i="131" s="1"/>
  <c r="AG135" i="131"/>
  <c r="X140" i="131"/>
  <c r="E141" i="131"/>
  <c r="J141" i="131" s="1"/>
  <c r="AA136" i="131" l="1"/>
  <c r="AI136" i="131" s="1"/>
  <c r="P137" i="131"/>
  <c r="AM137" i="131"/>
  <c r="Z137" i="131"/>
  <c r="Y136" i="131"/>
  <c r="AC136" i="131" s="1"/>
  <c r="AH136" i="131" s="1"/>
  <c r="D141" i="131"/>
  <c r="AP136" i="131" l="1"/>
  <c r="U137" i="131"/>
  <c r="W137" i="131"/>
  <c r="T137" i="131"/>
  <c r="AB136" i="131"/>
  <c r="I141" i="131"/>
  <c r="H141" i="131"/>
  <c r="K141" i="131"/>
  <c r="AO137" i="131" l="1"/>
  <c r="N138" i="131"/>
  <c r="AU137" i="131"/>
  <c r="AV137" i="131" s="1"/>
  <c r="AT137" i="131"/>
  <c r="O138" i="131"/>
  <c r="AN138" i="131" s="1"/>
  <c r="AS138" i="131" s="1"/>
  <c r="AG136" i="131"/>
  <c r="AF136" i="131"/>
  <c r="AL136" i="131"/>
  <c r="C142" i="131"/>
  <c r="A141" i="131"/>
  <c r="B142" i="131"/>
  <c r="Q138" i="131" l="1"/>
  <c r="M138" i="131"/>
  <c r="L138" i="131" s="1"/>
  <c r="Y137" i="131"/>
  <c r="AJ136" i="131"/>
  <c r="AK136" i="131" s="1"/>
  <c r="AA137" i="131"/>
  <c r="E142" i="131"/>
  <c r="J142" i="131" s="1"/>
  <c r="X141" i="131"/>
  <c r="Z138" i="131" l="1"/>
  <c r="AM138" i="131"/>
  <c r="V138" i="131"/>
  <c r="P138" i="131"/>
  <c r="AP137" i="131"/>
  <c r="AI137" i="131"/>
  <c r="AC137" i="131"/>
  <c r="AH137" i="131" s="1"/>
  <c r="D142" i="131"/>
  <c r="U138" i="131" l="1"/>
  <c r="W138" i="131"/>
  <c r="T138" i="131"/>
  <c r="AB137" i="131"/>
  <c r="I142" i="131"/>
  <c r="H142" i="131"/>
  <c r="K142" i="131"/>
  <c r="O139" i="131" l="1"/>
  <c r="AN139" i="131" s="1"/>
  <c r="AS139" i="131" s="1"/>
  <c r="AT138" i="131"/>
  <c r="AU138" i="131"/>
  <c r="AV138" i="131" s="1"/>
  <c r="N139" i="131"/>
  <c r="AO138" i="131"/>
  <c r="AG137" i="131"/>
  <c r="AF137" i="131"/>
  <c r="AL137" i="131"/>
  <c r="C143" i="131"/>
  <c r="A142" i="131"/>
  <c r="B143" i="131"/>
  <c r="M139" i="131" l="1"/>
  <c r="L139" i="131" s="1"/>
  <c r="Q139" i="131"/>
  <c r="AJ137" i="131"/>
  <c r="AK137" i="131" s="1"/>
  <c r="Y138" i="131"/>
  <c r="AA138" i="131"/>
  <c r="E143" i="131"/>
  <c r="J143" i="131" s="1"/>
  <c r="X142" i="131"/>
  <c r="V139" i="131" l="1"/>
  <c r="P139" i="131"/>
  <c r="Z139" i="131"/>
  <c r="AM139" i="131"/>
  <c r="AP138" i="131"/>
  <c r="AI138" i="131"/>
  <c r="AC138" i="131"/>
  <c r="AH138" i="131" s="1"/>
  <c r="D143" i="131"/>
  <c r="U139" i="131" l="1"/>
  <c r="W139" i="131"/>
  <c r="T139" i="131"/>
  <c r="AB138" i="131"/>
  <c r="AF138" i="131" s="1"/>
  <c r="I143" i="131"/>
  <c r="H143" i="131"/>
  <c r="K143" i="131"/>
  <c r="O140" i="131" l="1"/>
  <c r="AN140" i="131" s="1"/>
  <c r="AS140" i="131" s="1"/>
  <c r="AU139" i="131"/>
  <c r="AV139" i="131" s="1"/>
  <c r="AT139" i="131"/>
  <c r="N140" i="131"/>
  <c r="AO139" i="131"/>
  <c r="AL138" i="131"/>
  <c r="AA139" i="131" s="1"/>
  <c r="AG138" i="131"/>
  <c r="C144" i="131"/>
  <c r="A143" i="131"/>
  <c r="B144" i="131"/>
  <c r="M140" i="131" l="1"/>
  <c r="L140" i="131" s="1"/>
  <c r="Q140" i="131"/>
  <c r="AJ138" i="131"/>
  <c r="AK138" i="131" s="1"/>
  <c r="Y139" i="131"/>
  <c r="AC139" i="131" s="1"/>
  <c r="AH139" i="131" s="1"/>
  <c r="AI139" i="131"/>
  <c r="AP139" i="131"/>
  <c r="E144" i="131"/>
  <c r="J144" i="131" s="1"/>
  <c r="X143" i="131"/>
  <c r="V140" i="131" l="1"/>
  <c r="P140" i="131"/>
  <c r="AM140" i="131"/>
  <c r="Z140" i="131"/>
  <c r="AB139" i="131"/>
  <c r="AF139" i="131" s="1"/>
  <c r="D144" i="131"/>
  <c r="K144" i="131" s="1"/>
  <c r="A144" i="131" s="1"/>
  <c r="U140" i="131" l="1"/>
  <c r="W140" i="131"/>
  <c r="T140" i="131"/>
  <c r="AL139" i="131"/>
  <c r="Y140" i="131" s="1"/>
  <c r="AG139" i="131"/>
  <c r="I144" i="131"/>
  <c r="H144" i="131"/>
  <c r="C145" i="131"/>
  <c r="B145" i="131"/>
  <c r="E145" i="131" s="1"/>
  <c r="J145" i="131" s="1"/>
  <c r="X144" i="131"/>
  <c r="AT140" i="131" l="1"/>
  <c r="O141" i="131"/>
  <c r="AU140" i="131"/>
  <c r="AV140" i="131" s="1"/>
  <c r="N141" i="131"/>
  <c r="AO140" i="131"/>
  <c r="AA140" i="131"/>
  <c r="AI140" i="131" s="1"/>
  <c r="AJ139" i="131"/>
  <c r="AK139" i="131" s="1"/>
  <c r="AC140" i="131"/>
  <c r="AH140" i="131" s="1"/>
  <c r="D145" i="131"/>
  <c r="K145" i="131" s="1"/>
  <c r="C146" i="131" s="1"/>
  <c r="AN141" i="131" l="1"/>
  <c r="AS141" i="131" s="1"/>
  <c r="M141" i="131"/>
  <c r="L141" i="131" s="1"/>
  <c r="Q141" i="131"/>
  <c r="V141" i="131" s="1"/>
  <c r="AP140" i="131"/>
  <c r="AB140" i="131"/>
  <c r="B146" i="131"/>
  <c r="E146" i="131" s="1"/>
  <c r="J146" i="131" s="1"/>
  <c r="I145" i="131"/>
  <c r="H145" i="131"/>
  <c r="A145" i="131"/>
  <c r="X145" i="131" s="1"/>
  <c r="AM141" i="131" l="1"/>
  <c r="Z141" i="131"/>
  <c r="P141" i="131"/>
  <c r="AG140" i="131"/>
  <c r="AF140" i="131"/>
  <c r="AL140" i="131"/>
  <c r="D146" i="131"/>
  <c r="T141" i="131" l="1"/>
  <c r="U141" i="131"/>
  <c r="W141" i="131"/>
  <c r="Y141" i="131"/>
  <c r="AJ140" i="131"/>
  <c r="AK140" i="131" s="1"/>
  <c r="AA141" i="131"/>
  <c r="I146" i="131"/>
  <c r="H146" i="131"/>
  <c r="K146" i="131"/>
  <c r="N142" i="131" l="1"/>
  <c r="O142" i="131"/>
  <c r="AU141" i="131"/>
  <c r="AV141" i="131" s="1"/>
  <c r="AT141" i="131"/>
  <c r="AO141" i="131"/>
  <c r="AI141" i="131"/>
  <c r="AP141" i="131"/>
  <c r="AC141" i="131"/>
  <c r="AH141" i="131" s="1"/>
  <c r="C147" i="131"/>
  <c r="A146" i="131"/>
  <c r="B147" i="131"/>
  <c r="AN142" i="131" l="1"/>
  <c r="AS142" i="131" s="1"/>
  <c r="Q142" i="131"/>
  <c r="V142" i="131" s="1"/>
  <c r="M142" i="131"/>
  <c r="L142" i="131" s="1"/>
  <c r="AB141" i="131"/>
  <c r="E147" i="131"/>
  <c r="J147" i="131" s="1"/>
  <c r="X146" i="131"/>
  <c r="P142" i="131" l="1"/>
  <c r="Z142" i="131"/>
  <c r="AM142" i="131"/>
  <c r="AF141" i="131"/>
  <c r="AG141" i="131"/>
  <c r="AL141" i="131"/>
  <c r="D147" i="131"/>
  <c r="H147" i="131" s="1"/>
  <c r="T142" i="131" l="1"/>
  <c r="U142" i="131"/>
  <c r="W142" i="131"/>
  <c r="Y142" i="131"/>
  <c r="AJ141" i="131"/>
  <c r="AK141" i="131" s="1"/>
  <c r="AA142" i="131"/>
  <c r="K147" i="131"/>
  <c r="A147" i="131" s="1"/>
  <c r="I147" i="131"/>
  <c r="N143" i="131" l="1"/>
  <c r="AT142" i="131"/>
  <c r="AO142" i="131"/>
  <c r="AU142" i="131"/>
  <c r="AV142" i="131" s="1"/>
  <c r="O143" i="131"/>
  <c r="AI142" i="131"/>
  <c r="AP142" i="131"/>
  <c r="AC142" i="131"/>
  <c r="AH142" i="131" s="1"/>
  <c r="C148" i="131"/>
  <c r="B148" i="131"/>
  <c r="E148" i="131" s="1"/>
  <c r="J148" i="131" s="1"/>
  <c r="X147" i="131"/>
  <c r="AN143" i="131" l="1"/>
  <c r="AS143" i="131" s="1"/>
  <c r="M143" i="131"/>
  <c r="L143" i="131" s="1"/>
  <c r="Q143" i="131"/>
  <c r="V143" i="131" s="1"/>
  <c r="AB142" i="131"/>
  <c r="AL142" i="131" s="1"/>
  <c r="D148" i="131"/>
  <c r="Z143" i="131" l="1"/>
  <c r="AA143" i="131" s="1"/>
  <c r="AP143" i="131" s="1"/>
  <c r="AM143" i="131"/>
  <c r="P143" i="131"/>
  <c r="AF142" i="131"/>
  <c r="AG142" i="131"/>
  <c r="AJ142" i="131"/>
  <c r="AK142" i="131" s="1"/>
  <c r="Y143" i="131"/>
  <c r="I148" i="131"/>
  <c r="H148" i="131"/>
  <c r="K148" i="131"/>
  <c r="AC143" i="131" l="1"/>
  <c r="AH143" i="131" s="1"/>
  <c r="T143" i="131"/>
  <c r="W143" i="131"/>
  <c r="U143" i="131"/>
  <c r="AI143" i="131"/>
  <c r="C149" i="131"/>
  <c r="A148" i="131"/>
  <c r="B149" i="131"/>
  <c r="AB143" i="131" l="1"/>
  <c r="AG143" i="131" s="1"/>
  <c r="N144" i="131"/>
  <c r="O144" i="131"/>
  <c r="AU143" i="131"/>
  <c r="AV143" i="131" s="1"/>
  <c r="AT143" i="131"/>
  <c r="AO143" i="131"/>
  <c r="E149" i="131"/>
  <c r="J149" i="131" s="1"/>
  <c r="X148" i="131"/>
  <c r="AF143" i="131" l="1"/>
  <c r="AL143" i="131"/>
  <c r="AJ143" i="131" s="1"/>
  <c r="AK143" i="131" s="1"/>
  <c r="AN144" i="131"/>
  <c r="AS144" i="131" s="1"/>
  <c r="M144" i="131"/>
  <c r="L144" i="131" s="1"/>
  <c r="Q144" i="131"/>
  <c r="V144" i="131" s="1"/>
  <c r="D149" i="131"/>
  <c r="Y144" i="131" l="1"/>
  <c r="Z144" i="131"/>
  <c r="AA144" i="131" s="1"/>
  <c r="AM144" i="131"/>
  <c r="P144" i="131"/>
  <c r="I149" i="131"/>
  <c r="H149" i="131"/>
  <c r="K149" i="131"/>
  <c r="AC144" i="131" l="1"/>
  <c r="AH144" i="131" s="1"/>
  <c r="U144" i="131"/>
  <c r="T144" i="131"/>
  <c r="W144" i="131"/>
  <c r="AI144" i="131"/>
  <c r="AP144" i="131"/>
  <c r="C150" i="131"/>
  <c r="A149" i="131"/>
  <c r="B150" i="131"/>
  <c r="AB144" i="131" l="1"/>
  <c r="AL144" i="131" s="1"/>
  <c r="AT144" i="131"/>
  <c r="AO144" i="131"/>
  <c r="AU144" i="131"/>
  <c r="AV144" i="131" s="1"/>
  <c r="O145" i="131"/>
  <c r="N145" i="131"/>
  <c r="X149" i="131"/>
  <c r="E150" i="131"/>
  <c r="J150" i="131" s="1"/>
  <c r="AF144" i="131" l="1"/>
  <c r="AG144" i="131"/>
  <c r="Y145" i="131"/>
  <c r="AN145" i="131"/>
  <c r="AS145" i="131" s="1"/>
  <c r="AJ144" i="131"/>
  <c r="AK144" i="131" s="1"/>
  <c r="M145" i="131"/>
  <c r="L145" i="131" s="1"/>
  <c r="Q145" i="131"/>
  <c r="V145" i="131" s="1"/>
  <c r="D150" i="131"/>
  <c r="K150" i="131" s="1"/>
  <c r="C151" i="131" s="1"/>
  <c r="P145" i="131" l="1"/>
  <c r="Z145" i="131"/>
  <c r="AA145" i="131" s="1"/>
  <c r="AM145" i="131"/>
  <c r="H150" i="131"/>
  <c r="I150" i="131"/>
  <c r="B151" i="131"/>
  <c r="E151" i="131" s="1"/>
  <c r="J151" i="131" s="1"/>
  <c r="A150" i="131"/>
  <c r="X150" i="131" s="1"/>
  <c r="AC145" i="131" l="1"/>
  <c r="AH145" i="131" s="1"/>
  <c r="AP145" i="131"/>
  <c r="AI145" i="131"/>
  <c r="U145" i="131"/>
  <c r="T145" i="131"/>
  <c r="W145" i="131"/>
  <c r="D151" i="131"/>
  <c r="AB145" i="131" l="1"/>
  <c r="AU145" i="131"/>
  <c r="AV145" i="131" s="1"/>
  <c r="AT145" i="131"/>
  <c r="O146" i="131"/>
  <c r="AO145" i="131"/>
  <c r="N146" i="131"/>
  <c r="AL145" i="131"/>
  <c r="AG145" i="131"/>
  <c r="AF145" i="131"/>
  <c r="I151" i="131"/>
  <c r="H151" i="131"/>
  <c r="K151" i="131"/>
  <c r="Q146" i="131" l="1"/>
  <c r="V146" i="131" s="1"/>
  <c r="M146" i="131"/>
  <c r="L146" i="131" s="1"/>
  <c r="AN146" i="131"/>
  <c r="AS146" i="131" s="1"/>
  <c r="Y146" i="131"/>
  <c r="AJ145" i="131"/>
  <c r="AK145" i="131" s="1"/>
  <c r="C152" i="131"/>
  <c r="A151" i="131"/>
  <c r="B152" i="131"/>
  <c r="P146" i="131" l="1"/>
  <c r="T146" i="131" s="1"/>
  <c r="Z146" i="131"/>
  <c r="AA146" i="131" s="1"/>
  <c r="AM146" i="131"/>
  <c r="E152" i="131"/>
  <c r="J152" i="131" s="1"/>
  <c r="X151" i="131"/>
  <c r="W146" i="131" l="1"/>
  <c r="N147" i="131" s="1"/>
  <c r="U146" i="131"/>
  <c r="AC146" i="131"/>
  <c r="AH146" i="131" s="1"/>
  <c r="AI146" i="131"/>
  <c r="AP146" i="131"/>
  <c r="D152" i="131"/>
  <c r="K152" i="131" s="1"/>
  <c r="O147" i="131" l="1"/>
  <c r="AN147" i="131" s="1"/>
  <c r="AS147" i="131" s="1"/>
  <c r="AO146" i="131"/>
  <c r="AU146" i="131"/>
  <c r="AV146" i="131" s="1"/>
  <c r="AT146" i="131"/>
  <c r="AB146" i="131"/>
  <c r="AF146" i="131" s="1"/>
  <c r="M147" i="131"/>
  <c r="L147" i="131" s="1"/>
  <c r="Q147" i="131"/>
  <c r="V147" i="131" s="1"/>
  <c r="H152" i="131"/>
  <c r="I152" i="131"/>
  <c r="C153" i="131"/>
  <c r="A152" i="131"/>
  <c r="B153" i="131"/>
  <c r="AL146" i="131" l="1"/>
  <c r="Y147" i="131" s="1"/>
  <c r="AG146" i="131"/>
  <c r="P147" i="131"/>
  <c r="W147" i="131" s="1"/>
  <c r="N148" i="131" s="1"/>
  <c r="U147" i="131"/>
  <c r="AM147" i="131"/>
  <c r="Z147" i="131"/>
  <c r="AA147" i="131" s="1"/>
  <c r="X152" i="131"/>
  <c r="E153" i="131"/>
  <c r="J153" i="131" s="1"/>
  <c r="AJ146" i="131" l="1"/>
  <c r="AK146" i="131" s="1"/>
  <c r="AO147" i="131"/>
  <c r="T147" i="131"/>
  <c r="AC147" i="131"/>
  <c r="AH147" i="131" s="1"/>
  <c r="AU147" i="131"/>
  <c r="AV147" i="131" s="1"/>
  <c r="AT147" i="131"/>
  <c r="O148" i="131"/>
  <c r="AN148" i="131" s="1"/>
  <c r="AS148" i="131" s="1"/>
  <c r="AI147" i="131"/>
  <c r="AP147" i="131"/>
  <c r="M148" i="131"/>
  <c r="L148" i="131" s="1"/>
  <c r="Q148" i="131"/>
  <c r="D153" i="131"/>
  <c r="AB147" i="131" l="1"/>
  <c r="AL147" i="131" s="1"/>
  <c r="Y148" i="131" s="1"/>
  <c r="Z148" i="131"/>
  <c r="AM148" i="131"/>
  <c r="V148" i="131"/>
  <c r="P148" i="131"/>
  <c r="I153" i="131"/>
  <c r="H153" i="131"/>
  <c r="K153" i="131"/>
  <c r="AJ147" i="131" l="1"/>
  <c r="AK147" i="131" s="1"/>
  <c r="AF147" i="131"/>
  <c r="AG147" i="131"/>
  <c r="AA148" i="131"/>
  <c r="AI148" i="131" s="1"/>
  <c r="AC148" i="131"/>
  <c r="AH148" i="131" s="1"/>
  <c r="T148" i="131"/>
  <c r="U148" i="131"/>
  <c r="W148" i="131"/>
  <c r="B154" i="131"/>
  <c r="C154" i="131"/>
  <c r="A153" i="131"/>
  <c r="AP148" i="131" l="1"/>
  <c r="AB148" i="131"/>
  <c r="N149" i="131"/>
  <c r="AT148" i="131"/>
  <c r="O149" i="131"/>
  <c r="AN149" i="131" s="1"/>
  <c r="AS149" i="131" s="1"/>
  <c r="AO148" i="131"/>
  <c r="AU148" i="131"/>
  <c r="AV148" i="131" s="1"/>
  <c r="AG148" i="131"/>
  <c r="AF148" i="131"/>
  <c r="AL148" i="131"/>
  <c r="X153" i="131"/>
  <c r="E154" i="131"/>
  <c r="J154" i="131" s="1"/>
  <c r="M149" i="131" l="1"/>
  <c r="L149" i="131" s="1"/>
  <c r="Q149" i="131"/>
  <c r="D154" i="131"/>
  <c r="H154" i="131" s="1"/>
  <c r="Y149" i="131"/>
  <c r="AJ148" i="131"/>
  <c r="AK148" i="131" s="1"/>
  <c r="V149" i="131" l="1"/>
  <c r="P149" i="131"/>
  <c r="Z149" i="131"/>
  <c r="AA149" i="131" s="1"/>
  <c r="AI149" i="131" s="1"/>
  <c r="AM149" i="131"/>
  <c r="K154" i="131"/>
  <c r="A154" i="131" s="1"/>
  <c r="I154" i="131"/>
  <c r="AP149" i="131" l="1"/>
  <c r="AC149" i="131"/>
  <c r="AH149" i="131" s="1"/>
  <c r="T149" i="131"/>
  <c r="W149" i="131"/>
  <c r="U149" i="131"/>
  <c r="C155" i="131"/>
  <c r="B155" i="131"/>
  <c r="E155" i="131" s="1"/>
  <c r="J155" i="131" s="1"/>
  <c r="X154" i="131"/>
  <c r="AB149" i="131" l="1"/>
  <c r="AG149" i="131" s="1"/>
  <c r="AO149" i="131"/>
  <c r="N150" i="131"/>
  <c r="AT149" i="131"/>
  <c r="O150" i="131"/>
  <c r="AN150" i="131" s="1"/>
  <c r="AS150" i="131" s="1"/>
  <c r="AU149" i="131"/>
  <c r="AV149" i="131" s="1"/>
  <c r="D155" i="131"/>
  <c r="AL149" i="131" l="1"/>
  <c r="Y150" i="131" s="1"/>
  <c r="AF149" i="131"/>
  <c r="M150" i="131"/>
  <c r="L150" i="131" s="1"/>
  <c r="Q150" i="131"/>
  <c r="H155" i="131"/>
  <c r="I155" i="131"/>
  <c r="K155" i="131"/>
  <c r="AJ149" i="131" l="1"/>
  <c r="AK149" i="131" s="1"/>
  <c r="V150" i="131"/>
  <c r="P150" i="131"/>
  <c r="AM150" i="131"/>
  <c r="Z150" i="131"/>
  <c r="AA150" i="131" s="1"/>
  <c r="AP150" i="131" s="1"/>
  <c r="C156" i="131"/>
  <c r="A155" i="131"/>
  <c r="B156" i="131"/>
  <c r="AI150" i="131" l="1"/>
  <c r="AC150" i="131"/>
  <c r="AH150" i="131" s="1"/>
  <c r="U150" i="131"/>
  <c r="W150" i="131"/>
  <c r="T150" i="131"/>
  <c r="X155" i="131"/>
  <c r="E156" i="131"/>
  <c r="J156" i="131" s="1"/>
  <c r="AB150" i="131" l="1"/>
  <c r="AL150" i="131" s="1"/>
  <c r="AU150" i="131"/>
  <c r="AV150" i="131" s="1"/>
  <c r="AO150" i="131"/>
  <c r="N151" i="131"/>
  <c r="AT150" i="131"/>
  <c r="O151" i="131"/>
  <c r="AN151" i="131" s="1"/>
  <c r="AS151" i="131" s="1"/>
  <c r="D156" i="131"/>
  <c r="AF150" i="131" l="1"/>
  <c r="AG150" i="131"/>
  <c r="Q151" i="131"/>
  <c r="M151" i="131"/>
  <c r="L151" i="131" s="1"/>
  <c r="Y151" i="131"/>
  <c r="AJ150" i="131"/>
  <c r="AK150" i="131" s="1"/>
  <c r="H156" i="131"/>
  <c r="I156" i="131"/>
  <c r="K156" i="131"/>
  <c r="AM151" i="131" l="1"/>
  <c r="Z151" i="131"/>
  <c r="AA151" i="131" s="1"/>
  <c r="AI151" i="131" s="1"/>
  <c r="V151" i="131"/>
  <c r="P151" i="131"/>
  <c r="B157" i="131"/>
  <c r="C157" i="131"/>
  <c r="A156" i="131"/>
  <c r="AC151" i="131" l="1"/>
  <c r="AH151" i="131" s="1"/>
  <c r="AP151" i="131"/>
  <c r="U151" i="131"/>
  <c r="T151" i="131"/>
  <c r="W151" i="131"/>
  <c r="X156" i="131"/>
  <c r="E157" i="131"/>
  <c r="J157" i="131" s="1"/>
  <c r="AB151" i="131" l="1"/>
  <c r="AG151" i="131" s="1"/>
  <c r="AU151" i="131"/>
  <c r="AV151" i="131" s="1"/>
  <c r="AO151" i="131"/>
  <c r="AT151" i="131"/>
  <c r="N152" i="131"/>
  <c r="O152" i="131"/>
  <c r="AN152" i="131" s="1"/>
  <c r="AS152" i="131" s="1"/>
  <c r="D157" i="131"/>
  <c r="AL151" i="131" l="1"/>
  <c r="Y152" i="131" s="1"/>
  <c r="AF151" i="131"/>
  <c r="Q152" i="131"/>
  <c r="V152" i="131" s="1"/>
  <c r="M152" i="131"/>
  <c r="L152" i="131" s="1"/>
  <c r="H157" i="131"/>
  <c r="I157" i="131"/>
  <c r="K157" i="131"/>
  <c r="AJ151" i="131" l="1"/>
  <c r="AK151" i="131" s="1"/>
  <c r="Z152" i="131"/>
  <c r="AA152" i="131" s="1"/>
  <c r="AI152" i="131" s="1"/>
  <c r="AM152" i="131"/>
  <c r="P152" i="131"/>
  <c r="B158" i="131"/>
  <c r="C158" i="131"/>
  <c r="A157" i="131"/>
  <c r="AP152" i="131" l="1"/>
  <c r="AC152" i="131"/>
  <c r="AH152" i="131" s="1"/>
  <c r="T152" i="131"/>
  <c r="W152" i="131"/>
  <c r="U152" i="131"/>
  <c r="X157" i="131"/>
  <c r="E158" i="131"/>
  <c r="J158" i="131" s="1"/>
  <c r="AB152" i="131" l="1"/>
  <c r="AG152" i="131" s="1"/>
  <c r="N153" i="131"/>
  <c r="O153" i="131"/>
  <c r="AN153" i="131" s="1"/>
  <c r="AS153" i="131" s="1"/>
  <c r="AO152" i="131"/>
  <c r="AU152" i="131"/>
  <c r="AV152" i="131" s="1"/>
  <c r="AT152" i="131"/>
  <c r="AL152" i="131"/>
  <c r="D158" i="131"/>
  <c r="AF152" i="131" l="1"/>
  <c r="M153" i="131"/>
  <c r="L153" i="131" s="1"/>
  <c r="Q153" i="131"/>
  <c r="I158" i="131"/>
  <c r="H158" i="131"/>
  <c r="K158" i="131"/>
  <c r="Y153" i="131"/>
  <c r="AJ152" i="131"/>
  <c r="AK152" i="131" s="1"/>
  <c r="V153" i="131" l="1"/>
  <c r="P153" i="131"/>
  <c r="AM153" i="131"/>
  <c r="Z153" i="131"/>
  <c r="AA153" i="131" s="1"/>
  <c r="AI153" i="131" s="1"/>
  <c r="C159" i="131"/>
  <c r="A158" i="131"/>
  <c r="B159" i="131"/>
  <c r="AP153" i="131" l="1"/>
  <c r="T153" i="131"/>
  <c r="U153" i="131"/>
  <c r="W153" i="131"/>
  <c r="AC153" i="131"/>
  <c r="AH153" i="131" s="1"/>
  <c r="E159" i="131"/>
  <c r="J159" i="131" s="1"/>
  <c r="X158" i="131"/>
  <c r="AB153" i="131" l="1"/>
  <c r="AL153" i="131" s="1"/>
  <c r="AO153" i="131"/>
  <c r="N154" i="131"/>
  <c r="O154" i="131"/>
  <c r="AN154" i="131" s="1"/>
  <c r="AS154" i="131" s="1"/>
  <c r="AU153" i="131"/>
  <c r="AV153" i="131" s="1"/>
  <c r="AT153" i="131"/>
  <c r="D159" i="131"/>
  <c r="K159" i="131" s="1"/>
  <c r="C160" i="131" s="1"/>
  <c r="AF153" i="131" l="1"/>
  <c r="AG153" i="131"/>
  <c r="Q154" i="131"/>
  <c r="M154" i="131"/>
  <c r="L154" i="131" s="1"/>
  <c r="H159" i="131"/>
  <c r="I159" i="131"/>
  <c r="B160" i="131"/>
  <c r="E160" i="131" s="1"/>
  <c r="J160" i="131" s="1"/>
  <c r="A159" i="131"/>
  <c r="X159" i="131" s="1"/>
  <c r="Y154" i="131"/>
  <c r="AJ153" i="131"/>
  <c r="AK153" i="131" s="1"/>
  <c r="AM154" i="131" l="1"/>
  <c r="Z154" i="131"/>
  <c r="AA154" i="131" s="1"/>
  <c r="AI154" i="131" s="1"/>
  <c r="V154" i="131"/>
  <c r="P154" i="131"/>
  <c r="D160" i="131"/>
  <c r="H160" i="131" s="1"/>
  <c r="AC154" i="131" l="1"/>
  <c r="AH154" i="131" s="1"/>
  <c r="AP154" i="131"/>
  <c r="T154" i="131"/>
  <c r="U154" i="131"/>
  <c r="W154" i="131"/>
  <c r="K160" i="131"/>
  <c r="B161" i="131" s="1"/>
  <c r="I160" i="131"/>
  <c r="AB154" i="131" l="1"/>
  <c r="AF154" i="131" s="1"/>
  <c r="N155" i="131"/>
  <c r="AO154" i="131"/>
  <c r="AT154" i="131"/>
  <c r="O155" i="131"/>
  <c r="AU154" i="131"/>
  <c r="AV154" i="131" s="1"/>
  <c r="C161" i="131"/>
  <c r="A160" i="131"/>
  <c r="X160" i="131" s="1"/>
  <c r="E161" i="131"/>
  <c r="J161" i="131" s="1"/>
  <c r="AL154" i="131" l="1"/>
  <c r="Y155" i="131" s="1"/>
  <c r="AG154" i="131"/>
  <c r="AN155" i="131"/>
  <c r="AS155" i="131" s="1"/>
  <c r="M155" i="131"/>
  <c r="L155" i="131" s="1"/>
  <c r="Q155" i="131"/>
  <c r="V155" i="131" s="1"/>
  <c r="D161" i="131"/>
  <c r="AJ154" i="131" l="1"/>
  <c r="AK154" i="131" s="1"/>
  <c r="P155" i="131"/>
  <c r="U155" i="131" s="1"/>
  <c r="Z155" i="131"/>
  <c r="AA155" i="131" s="1"/>
  <c r="AI155" i="131" s="1"/>
  <c r="AM155" i="131"/>
  <c r="H161" i="131"/>
  <c r="I161" i="131"/>
  <c r="K161" i="131"/>
  <c r="W155" i="131" l="1"/>
  <c r="AO155" i="131" s="1"/>
  <c r="T155" i="131"/>
  <c r="AC155" i="131"/>
  <c r="AH155" i="131" s="1"/>
  <c r="AP155" i="131"/>
  <c r="B162" i="131"/>
  <c r="A161" i="131"/>
  <c r="C162" i="131"/>
  <c r="AU155" i="131" l="1"/>
  <c r="AV155" i="131" s="1"/>
  <c r="O156" i="131"/>
  <c r="AN156" i="131" s="1"/>
  <c r="AS156" i="131" s="1"/>
  <c r="AT155" i="131"/>
  <c r="N156" i="131"/>
  <c r="M156" i="131" s="1"/>
  <c r="L156" i="131" s="1"/>
  <c r="AB155" i="131"/>
  <c r="AG155" i="131" s="1"/>
  <c r="X161" i="131"/>
  <c r="E162" i="131"/>
  <c r="J162" i="131" s="1"/>
  <c r="Q156" i="131" l="1"/>
  <c r="AF155" i="131"/>
  <c r="AL155" i="131"/>
  <c r="AJ155" i="131" s="1"/>
  <c r="AK155" i="131" s="1"/>
  <c r="V156" i="131"/>
  <c r="P156" i="131"/>
  <c r="Z156" i="131"/>
  <c r="AM156" i="131"/>
  <c r="Y156" i="131"/>
  <c r="D162" i="131"/>
  <c r="AA156" i="131" l="1"/>
  <c r="AP156" i="131" s="1"/>
  <c r="U156" i="131"/>
  <c r="T156" i="131"/>
  <c r="W156" i="131"/>
  <c r="I162" i="131"/>
  <c r="H162" i="131"/>
  <c r="K162" i="131"/>
  <c r="AC156" i="131"/>
  <c r="AH156" i="131" s="1"/>
  <c r="AI156" i="131" l="1"/>
  <c r="AU156" i="131"/>
  <c r="AV156" i="131" s="1"/>
  <c r="AT156" i="131"/>
  <c r="O157" i="131"/>
  <c r="AN157" i="131" s="1"/>
  <c r="AS157" i="131" s="1"/>
  <c r="N157" i="131"/>
  <c r="AO156" i="131"/>
  <c r="AB156" i="131"/>
  <c r="AF156" i="131" s="1"/>
  <c r="C163" i="131"/>
  <c r="A162" i="131"/>
  <c r="B163" i="131"/>
  <c r="M157" i="131" l="1"/>
  <c r="L157" i="131" s="1"/>
  <c r="Q157" i="131"/>
  <c r="AL156" i="131"/>
  <c r="Y157" i="131" s="1"/>
  <c r="AG156" i="131"/>
  <c r="E163" i="131"/>
  <c r="J163" i="131" s="1"/>
  <c r="X162" i="131"/>
  <c r="V157" i="131" l="1"/>
  <c r="P157" i="131"/>
  <c r="AM157" i="131"/>
  <c r="Z157" i="131"/>
  <c r="AA157" i="131" s="1"/>
  <c r="AP157" i="131" s="1"/>
  <c r="AJ156" i="131"/>
  <c r="AK156" i="131" s="1"/>
  <c r="D163" i="131"/>
  <c r="AC157" i="131" l="1"/>
  <c r="AH157" i="131" s="1"/>
  <c r="T157" i="131"/>
  <c r="W157" i="131"/>
  <c r="U157" i="131"/>
  <c r="AI157" i="131"/>
  <c r="I163" i="131"/>
  <c r="H163" i="131"/>
  <c r="K163" i="131"/>
  <c r="AB157" i="131" l="1"/>
  <c r="AF157" i="131" s="1"/>
  <c r="N158" i="131"/>
  <c r="AU157" i="131"/>
  <c r="AV157" i="131" s="1"/>
  <c r="AO157" i="131"/>
  <c r="O158" i="131"/>
  <c r="AN158" i="131" s="1"/>
  <c r="AS158" i="131" s="1"/>
  <c r="AT157" i="131"/>
  <c r="C164" i="131"/>
  <c r="A163" i="131"/>
  <c r="B164" i="131"/>
  <c r="AL157" i="131" l="1"/>
  <c r="Y158" i="131" s="1"/>
  <c r="AG157" i="131"/>
  <c r="M158" i="131"/>
  <c r="L158" i="131" s="1"/>
  <c r="Q158" i="131"/>
  <c r="E164" i="131"/>
  <c r="J164" i="131" s="1"/>
  <c r="X163" i="131"/>
  <c r="AJ157" i="131" l="1"/>
  <c r="AK157" i="131" s="1"/>
  <c r="V158" i="131"/>
  <c r="P158" i="131"/>
  <c r="AM158" i="131"/>
  <c r="Z158" i="131"/>
  <c r="D164" i="131"/>
  <c r="AC158" i="131" l="1"/>
  <c r="AH158" i="131" s="1"/>
  <c r="AA158" i="131"/>
  <c r="U158" i="131"/>
  <c r="W158" i="131"/>
  <c r="T158" i="131"/>
  <c r="H164" i="131"/>
  <c r="I164" i="131"/>
  <c r="K164" i="131"/>
  <c r="AP158" i="131" l="1"/>
  <c r="AB158" i="131"/>
  <c r="AI158" i="131"/>
  <c r="AT158" i="131"/>
  <c r="AO158" i="131"/>
  <c r="AU158" i="131"/>
  <c r="AV158" i="131" s="1"/>
  <c r="O159" i="131"/>
  <c r="AN159" i="131" s="1"/>
  <c r="AS159" i="131" s="1"/>
  <c r="N159" i="131"/>
  <c r="B165" i="131"/>
  <c r="C165" i="131"/>
  <c r="A164" i="131"/>
  <c r="M159" i="131" l="1"/>
  <c r="L159" i="131" s="1"/>
  <c r="Q159" i="131"/>
  <c r="V159" i="131" s="1"/>
  <c r="AL158" i="131"/>
  <c r="AF158" i="131"/>
  <c r="AG158" i="131"/>
  <c r="X164" i="131"/>
  <c r="E165" i="131"/>
  <c r="J165" i="131" s="1"/>
  <c r="Y159" i="131" l="1"/>
  <c r="AJ158" i="131"/>
  <c r="AK158" i="131" s="1"/>
  <c r="P159" i="131"/>
  <c r="Z159" i="131"/>
  <c r="AA159" i="131" s="1"/>
  <c r="AI159" i="131" s="1"/>
  <c r="AM159" i="131"/>
  <c r="D165" i="131"/>
  <c r="W159" i="131" l="1"/>
  <c r="U159" i="131"/>
  <c r="T159" i="131"/>
  <c r="AP159" i="131"/>
  <c r="AC159" i="131"/>
  <c r="AH159" i="131" s="1"/>
  <c r="H165" i="131"/>
  <c r="I165" i="131"/>
  <c r="K165" i="131"/>
  <c r="AO159" i="131" l="1"/>
  <c r="O160" i="131"/>
  <c r="AU159" i="131"/>
  <c r="AV159" i="131" s="1"/>
  <c r="N160" i="131"/>
  <c r="AT159" i="131"/>
  <c r="AB159" i="131"/>
  <c r="B166" i="131"/>
  <c r="C166" i="131"/>
  <c r="A165" i="131"/>
  <c r="AL159" i="131" l="1"/>
  <c r="AF159" i="131"/>
  <c r="AG159" i="131"/>
  <c r="M160" i="131"/>
  <c r="L160" i="131" s="1"/>
  <c r="Q160" i="131"/>
  <c r="V160" i="131" s="1"/>
  <c r="AN160" i="131"/>
  <c r="AS160" i="131" s="1"/>
  <c r="X165" i="131"/>
  <c r="E166" i="131"/>
  <c r="J166" i="131" s="1"/>
  <c r="P160" i="131" l="1"/>
  <c r="AM160" i="131"/>
  <c r="Z160" i="131"/>
  <c r="AA160" i="131" s="1"/>
  <c r="AJ159" i="131"/>
  <c r="AK159" i="131" s="1"/>
  <c r="Y160" i="131"/>
  <c r="AC160" i="131" s="1"/>
  <c r="AH160" i="131" s="1"/>
  <c r="D166" i="131"/>
  <c r="K166" i="131" s="1"/>
  <c r="AP160" i="131" l="1"/>
  <c r="AI160" i="131"/>
  <c r="AB160" i="131"/>
  <c r="AL160" i="131"/>
  <c r="Y161" i="131" s="1"/>
  <c r="T160" i="131"/>
  <c r="W160" i="131"/>
  <c r="AJ160" i="131" s="1"/>
  <c r="AK160" i="131" s="1"/>
  <c r="U160" i="131"/>
  <c r="H166" i="131"/>
  <c r="I166" i="131"/>
  <c r="C167" i="131"/>
  <c r="A166" i="131"/>
  <c r="B167" i="131"/>
  <c r="AF160" i="131" l="1"/>
  <c r="AG160" i="131"/>
  <c r="O161" i="131"/>
  <c r="AU160" i="131"/>
  <c r="AV160" i="131" s="1"/>
  <c r="N161" i="131"/>
  <c r="AT160" i="131"/>
  <c r="AO160" i="131"/>
  <c r="E167" i="131"/>
  <c r="J167" i="131" s="1"/>
  <c r="X166" i="131"/>
  <c r="M161" i="131" l="1"/>
  <c r="L161" i="131" s="1"/>
  <c r="Q161" i="131"/>
  <c r="V161" i="131" s="1"/>
  <c r="AN161" i="131"/>
  <c r="AS161" i="131" s="1"/>
  <c r="D167" i="131"/>
  <c r="P161" i="131" l="1"/>
  <c r="W161" i="131" s="1"/>
  <c r="AU161" i="131" s="1"/>
  <c r="AV161" i="131" s="1"/>
  <c r="Z161" i="131"/>
  <c r="AM161" i="131"/>
  <c r="I167" i="131"/>
  <c r="H167" i="131"/>
  <c r="K167" i="131"/>
  <c r="AT161" i="131" l="1"/>
  <c r="T161" i="131"/>
  <c r="U161" i="131"/>
  <c r="AO161" i="131" s="1"/>
  <c r="O162" i="131"/>
  <c r="AN162" i="131" s="1"/>
  <c r="AS162" i="131" s="1"/>
  <c r="N162" i="131"/>
  <c r="AA161" i="131"/>
  <c r="AC161" i="131"/>
  <c r="AH161" i="131" s="1"/>
  <c r="C168" i="131"/>
  <c r="A167" i="131"/>
  <c r="B168" i="131"/>
  <c r="M162" i="131" l="1"/>
  <c r="L162" i="131" s="1"/>
  <c r="Q162" i="131"/>
  <c r="AB161" i="131"/>
  <c r="AI161" i="131"/>
  <c r="AP161" i="131"/>
  <c r="E168" i="131"/>
  <c r="J168" i="131" s="1"/>
  <c r="X167" i="131"/>
  <c r="V162" i="131" l="1"/>
  <c r="P162" i="131"/>
  <c r="AM162" i="131"/>
  <c r="Z162" i="131"/>
  <c r="AG161" i="131"/>
  <c r="AF161" i="131"/>
  <c r="AL161" i="131"/>
  <c r="D168" i="131"/>
  <c r="U162" i="131" l="1"/>
  <c r="W162" i="131"/>
  <c r="T162" i="131"/>
  <c r="Y162" i="131"/>
  <c r="AC162" i="131" s="1"/>
  <c r="AH162" i="131" s="1"/>
  <c r="AJ161" i="131"/>
  <c r="AK161" i="131" s="1"/>
  <c r="AA162" i="131"/>
  <c r="H168" i="131"/>
  <c r="I168" i="131"/>
  <c r="K168" i="131"/>
  <c r="AU162" i="131" l="1"/>
  <c r="AV162" i="131" s="1"/>
  <c r="AT162" i="131"/>
  <c r="AO162" i="131"/>
  <c r="O163" i="131"/>
  <c r="AN163" i="131" s="1"/>
  <c r="AS163" i="131" s="1"/>
  <c r="N163" i="131"/>
  <c r="AP162" i="131"/>
  <c r="AB162" i="131"/>
  <c r="AI162" i="131"/>
  <c r="B169" i="131"/>
  <c r="A168" i="131"/>
  <c r="C169" i="131"/>
  <c r="Q163" i="131" l="1"/>
  <c r="V163" i="131" s="1"/>
  <c r="M163" i="131"/>
  <c r="L163" i="131" s="1"/>
  <c r="AG162" i="131"/>
  <c r="AF162" i="131"/>
  <c r="AL162" i="131"/>
  <c r="E169" i="131"/>
  <c r="J169" i="131" s="1"/>
  <c r="X168" i="131"/>
  <c r="Z163" i="131" l="1"/>
  <c r="AA163" i="131" s="1"/>
  <c r="AM163" i="131"/>
  <c r="P163" i="131"/>
  <c r="AJ162" i="131"/>
  <c r="AK162" i="131" s="1"/>
  <c r="Y163" i="131"/>
  <c r="D169" i="131"/>
  <c r="AC163" i="131" l="1"/>
  <c r="AH163" i="131" s="1"/>
  <c r="T163" i="131"/>
  <c r="W163" i="131"/>
  <c r="U163" i="131"/>
  <c r="AI163" i="131"/>
  <c r="AP163" i="131"/>
  <c r="H169" i="131"/>
  <c r="I169" i="131"/>
  <c r="K169" i="131"/>
  <c r="AB163" i="131" l="1"/>
  <c r="AF163" i="131" s="1"/>
  <c r="AO163" i="131"/>
  <c r="AU163" i="131"/>
  <c r="AV163" i="131" s="1"/>
  <c r="O164" i="131"/>
  <c r="AN164" i="131" s="1"/>
  <c r="AS164" i="131" s="1"/>
  <c r="AT163" i="131"/>
  <c r="N164" i="131"/>
  <c r="B170" i="131"/>
  <c r="C170" i="131"/>
  <c r="A169" i="131"/>
  <c r="AL163" i="131" l="1"/>
  <c r="AG163" i="131"/>
  <c r="M164" i="131"/>
  <c r="L164" i="131" s="1"/>
  <c r="Q164" i="131"/>
  <c r="X169" i="131"/>
  <c r="E170" i="131"/>
  <c r="J170" i="131" s="1"/>
  <c r="Y164" i="131" l="1"/>
  <c r="AJ163" i="131"/>
  <c r="AK163" i="131" s="1"/>
  <c r="V164" i="131"/>
  <c r="P164" i="131"/>
  <c r="AM164" i="131"/>
  <c r="Z164" i="131"/>
  <c r="D170" i="131"/>
  <c r="AA164" i="131" l="1"/>
  <c r="AC164" i="131"/>
  <c r="AH164" i="131" s="1"/>
  <c r="W164" i="131"/>
  <c r="U164" i="131"/>
  <c r="T164" i="131"/>
  <c r="I170" i="131"/>
  <c r="H170" i="131"/>
  <c r="K170" i="131"/>
  <c r="AO164" i="131" l="1"/>
  <c r="AU164" i="131"/>
  <c r="AV164" i="131" s="1"/>
  <c r="AT164" i="131"/>
  <c r="N165" i="131"/>
  <c r="O165" i="131"/>
  <c r="AB164" i="131"/>
  <c r="AI164" i="131"/>
  <c r="AP164" i="131"/>
  <c r="C171" i="131"/>
  <c r="A170" i="131"/>
  <c r="B171" i="131"/>
  <c r="Q165" i="131" l="1"/>
  <c r="V165" i="131" s="1"/>
  <c r="M165" i="131"/>
  <c r="L165" i="131" s="1"/>
  <c r="AF164" i="131"/>
  <c r="AL164" i="131"/>
  <c r="AG164" i="131"/>
  <c r="AN165" i="131"/>
  <c r="AS165" i="131" s="1"/>
  <c r="E171" i="131"/>
  <c r="J171" i="131" s="1"/>
  <c r="X170" i="131"/>
  <c r="P165" i="131" l="1"/>
  <c r="W165" i="131" s="1"/>
  <c r="N166" i="131" s="1"/>
  <c r="AJ164" i="131"/>
  <c r="AK164" i="131" s="1"/>
  <c r="Y165" i="131"/>
  <c r="AM165" i="131"/>
  <c r="Z165" i="131"/>
  <c r="AA165" i="131" s="1"/>
  <c r="D171" i="131"/>
  <c r="AC165" i="131" l="1"/>
  <c r="AH165" i="131" s="1"/>
  <c r="AU165" i="131"/>
  <c r="AV165" i="131" s="1"/>
  <c r="AT165" i="131"/>
  <c r="U165" i="131"/>
  <c r="AO165" i="131" s="1"/>
  <c r="O166" i="131"/>
  <c r="AN166" i="131" s="1"/>
  <c r="AS166" i="131" s="1"/>
  <c r="T165" i="131"/>
  <c r="AP165" i="131"/>
  <c r="AI165" i="131"/>
  <c r="Q166" i="131"/>
  <c r="M166" i="131"/>
  <c r="L166" i="131" s="1"/>
  <c r="I171" i="131"/>
  <c r="H171" i="131"/>
  <c r="K171" i="131"/>
  <c r="AB165" i="131" l="1"/>
  <c r="AG165" i="131" s="1"/>
  <c r="Z166" i="131"/>
  <c r="AM166" i="131"/>
  <c r="V166" i="131"/>
  <c r="P166" i="131"/>
  <c r="C172" i="131"/>
  <c r="A171" i="131"/>
  <c r="B172" i="131"/>
  <c r="AF165" i="131" l="1"/>
  <c r="AL165" i="131"/>
  <c r="T166" i="131"/>
  <c r="U166" i="131"/>
  <c r="W166" i="131"/>
  <c r="E172" i="131"/>
  <c r="J172" i="131" s="1"/>
  <c r="X171" i="131"/>
  <c r="AA166" i="131" l="1"/>
  <c r="Y166" i="131"/>
  <c r="AC166" i="131" s="1"/>
  <c r="AH166" i="131" s="1"/>
  <c r="AJ165" i="131"/>
  <c r="AK165" i="131" s="1"/>
  <c r="O167" i="131"/>
  <c r="AN167" i="131" s="1"/>
  <c r="AS167" i="131" s="1"/>
  <c r="AT166" i="131"/>
  <c r="AU166" i="131"/>
  <c r="AV166" i="131" s="1"/>
  <c r="N167" i="131"/>
  <c r="AO166" i="131"/>
  <c r="D172" i="131"/>
  <c r="AB166" i="131" l="1"/>
  <c r="AP166" i="131"/>
  <c r="AI166" i="131"/>
  <c r="Q167" i="131"/>
  <c r="M167" i="131"/>
  <c r="L167" i="131" s="1"/>
  <c r="AG166" i="131"/>
  <c r="AF166" i="131"/>
  <c r="AL166" i="131"/>
  <c r="H172" i="131"/>
  <c r="I172" i="131"/>
  <c r="K172" i="131"/>
  <c r="AM167" i="131" l="1"/>
  <c r="Z167" i="131"/>
  <c r="AA167" i="131" s="1"/>
  <c r="V167" i="131"/>
  <c r="P167" i="131"/>
  <c r="AJ166" i="131"/>
  <c r="AK166" i="131" s="1"/>
  <c r="Y167" i="131"/>
  <c r="B173" i="131"/>
  <c r="A172" i="131"/>
  <c r="C173" i="131"/>
  <c r="T167" i="131" l="1"/>
  <c r="W167" i="131"/>
  <c r="U167" i="131"/>
  <c r="AC167" i="131"/>
  <c r="AH167" i="131" s="1"/>
  <c r="AP167" i="131"/>
  <c r="AI167" i="131"/>
  <c r="X172" i="131"/>
  <c r="E173" i="131"/>
  <c r="J173" i="131" s="1"/>
  <c r="O168" i="131" l="1"/>
  <c r="AN168" i="131" s="1"/>
  <c r="AS168" i="131" s="1"/>
  <c r="N168" i="131"/>
  <c r="AT167" i="131"/>
  <c r="AO167" i="131"/>
  <c r="AU167" i="131"/>
  <c r="AV167" i="131" s="1"/>
  <c r="AB167" i="131"/>
  <c r="AG167" i="131" s="1"/>
  <c r="D173" i="131"/>
  <c r="M168" i="131" l="1"/>
  <c r="L168" i="131" s="1"/>
  <c r="Q168" i="131"/>
  <c r="AL167" i="131"/>
  <c r="Y168" i="131" s="1"/>
  <c r="AF167" i="131"/>
  <c r="H173" i="131"/>
  <c r="I173" i="131"/>
  <c r="K173" i="131"/>
  <c r="V168" i="131" l="1"/>
  <c r="P168" i="131"/>
  <c r="AM168" i="131"/>
  <c r="Z168" i="131"/>
  <c r="AC168" i="131" s="1"/>
  <c r="AH168" i="131" s="1"/>
  <c r="AJ167" i="131"/>
  <c r="AK167" i="131" s="1"/>
  <c r="B174" i="131"/>
  <c r="C174" i="131"/>
  <c r="A173" i="131"/>
  <c r="AA168" i="131" l="1"/>
  <c r="AI168" i="131" s="1"/>
  <c r="W168" i="131"/>
  <c r="U168" i="131"/>
  <c r="T168" i="131"/>
  <c r="X173" i="131"/>
  <c r="E174" i="131"/>
  <c r="J174" i="131" s="1"/>
  <c r="AP168" i="131" l="1"/>
  <c r="AB168" i="131"/>
  <c r="AF168" i="131" s="1"/>
  <c r="N169" i="131"/>
  <c r="AT168" i="131"/>
  <c r="AO168" i="131"/>
  <c r="O169" i="131"/>
  <c r="AN169" i="131" s="1"/>
  <c r="AS169" i="131" s="1"/>
  <c r="AU168" i="131"/>
  <c r="AV168" i="131" s="1"/>
  <c r="AG168" i="131"/>
  <c r="D174" i="131"/>
  <c r="AL168" i="131" l="1"/>
  <c r="AJ168" i="131" s="1"/>
  <c r="AK168" i="131" s="1"/>
  <c r="M169" i="131"/>
  <c r="L169" i="131" s="1"/>
  <c r="Q169" i="131"/>
  <c r="I174" i="131"/>
  <c r="H174" i="131"/>
  <c r="K174" i="131"/>
  <c r="Y169" i="131" l="1"/>
  <c r="V169" i="131"/>
  <c r="P169" i="131"/>
  <c r="AM169" i="131"/>
  <c r="Z169" i="131"/>
  <c r="C175" i="131"/>
  <c r="A174" i="131"/>
  <c r="B175" i="131"/>
  <c r="AA169" i="131" l="1"/>
  <c r="AC169" i="131"/>
  <c r="AH169" i="131" s="1"/>
  <c r="U169" i="131"/>
  <c r="T169" i="131"/>
  <c r="W169" i="131"/>
  <c r="E175" i="131"/>
  <c r="J175" i="131" s="1"/>
  <c r="X174" i="131"/>
  <c r="AU169" i="131" l="1"/>
  <c r="AV169" i="131" s="1"/>
  <c r="AO169" i="131"/>
  <c r="N170" i="131"/>
  <c r="O170" i="131"/>
  <c r="AN170" i="131" s="1"/>
  <c r="AS170" i="131" s="1"/>
  <c r="AT169" i="131"/>
  <c r="AI169" i="131"/>
  <c r="AP169" i="131"/>
  <c r="AB169" i="131"/>
  <c r="D175" i="131"/>
  <c r="AG169" i="131" l="1"/>
  <c r="AF169" i="131"/>
  <c r="AL169" i="131"/>
  <c r="M170" i="131"/>
  <c r="L170" i="131" s="1"/>
  <c r="Q170" i="131"/>
  <c r="V170" i="131" s="1"/>
  <c r="I175" i="131"/>
  <c r="H175" i="131"/>
  <c r="K175" i="131"/>
  <c r="P170" i="131" l="1"/>
  <c r="Z170" i="131"/>
  <c r="AA170" i="131" s="1"/>
  <c r="AM170" i="131"/>
  <c r="Y170" i="131"/>
  <c r="AJ169" i="131"/>
  <c r="AK169" i="131" s="1"/>
  <c r="C176" i="131"/>
  <c r="A175" i="131"/>
  <c r="B176" i="131"/>
  <c r="AC170" i="131" l="1"/>
  <c r="AH170" i="131" s="1"/>
  <c r="AI170" i="131"/>
  <c r="AP170" i="131"/>
  <c r="W170" i="131"/>
  <c r="U170" i="131"/>
  <c r="T170" i="131"/>
  <c r="X175" i="131"/>
  <c r="E176" i="131"/>
  <c r="J176" i="131" s="1"/>
  <c r="AB170" i="131" l="1"/>
  <c r="AG170" i="131" s="1"/>
  <c r="AT170" i="131"/>
  <c r="AU170" i="131"/>
  <c r="AV170" i="131" s="1"/>
  <c r="AO170" i="131"/>
  <c r="N171" i="131"/>
  <c r="O171" i="131"/>
  <c r="AN171" i="131" s="1"/>
  <c r="AS171" i="131" s="1"/>
  <c r="D176" i="131"/>
  <c r="H176" i="131" s="1"/>
  <c r="AF170" i="131" l="1"/>
  <c r="AL170" i="131"/>
  <c r="M171" i="131"/>
  <c r="L171" i="131" s="1"/>
  <c r="Q171" i="131"/>
  <c r="V171" i="131" s="1"/>
  <c r="K176" i="131"/>
  <c r="B177" i="131" s="1"/>
  <c r="I176" i="131"/>
  <c r="AJ170" i="131" l="1"/>
  <c r="AK170" i="131" s="1"/>
  <c r="Y171" i="131"/>
  <c r="AM171" i="131"/>
  <c r="Z171" i="131"/>
  <c r="P171" i="131"/>
  <c r="C177" i="131"/>
  <c r="A176" i="131"/>
  <c r="X176" i="131" s="1"/>
  <c r="E177" i="131"/>
  <c r="J177" i="131" s="1"/>
  <c r="T171" i="131" l="1"/>
  <c r="U171" i="131"/>
  <c r="W171" i="131"/>
  <c r="AA171" i="131"/>
  <c r="AC171" i="131"/>
  <c r="AH171" i="131" s="1"/>
  <c r="D177" i="131"/>
  <c r="AP171" i="131" l="1"/>
  <c r="AI171" i="131"/>
  <c r="AB171" i="131"/>
  <c r="AU171" i="131"/>
  <c r="AV171" i="131" s="1"/>
  <c r="N172" i="131"/>
  <c r="O172" i="131"/>
  <c r="AN172" i="131" s="1"/>
  <c r="AS172" i="131" s="1"/>
  <c r="AT171" i="131"/>
  <c r="AO171" i="131"/>
  <c r="H177" i="131"/>
  <c r="I177" i="131"/>
  <c r="K177" i="131"/>
  <c r="M172" i="131" l="1"/>
  <c r="L172" i="131" s="1"/>
  <c r="Q172" i="131"/>
  <c r="V172" i="131" s="1"/>
  <c r="AG171" i="131"/>
  <c r="AF171" i="131"/>
  <c r="AL171" i="131"/>
  <c r="B178" i="131"/>
  <c r="C178" i="131"/>
  <c r="A177" i="131"/>
  <c r="P172" i="131" l="1"/>
  <c r="W172" i="131" s="1"/>
  <c r="AT172" i="131" s="1"/>
  <c r="Y172" i="131"/>
  <c r="AJ171" i="131"/>
  <c r="AK171" i="131" s="1"/>
  <c r="Z172" i="131"/>
  <c r="AA172" i="131" s="1"/>
  <c r="AM172" i="131"/>
  <c r="X177" i="131"/>
  <c r="E178" i="131"/>
  <c r="J178" i="131" s="1"/>
  <c r="O173" i="131" l="1"/>
  <c r="AN173" i="131" s="1"/>
  <c r="AS173" i="131" s="1"/>
  <c r="N173" i="131"/>
  <c r="M173" i="131" s="1"/>
  <c r="L173" i="131" s="1"/>
  <c r="U172" i="131"/>
  <c r="AO172" i="131" s="1"/>
  <c r="T172" i="131"/>
  <c r="AU172" i="131"/>
  <c r="AV172" i="131" s="1"/>
  <c r="AP172" i="131"/>
  <c r="AI172" i="131"/>
  <c r="AC172" i="131"/>
  <c r="AH172" i="131" s="1"/>
  <c r="D178" i="131"/>
  <c r="Q173" i="131" l="1"/>
  <c r="V173" i="131" s="1"/>
  <c r="AB172" i="131"/>
  <c r="Z173" i="131"/>
  <c r="AM173" i="131"/>
  <c r="I178" i="131"/>
  <c r="H178" i="131"/>
  <c r="K178" i="131"/>
  <c r="P173" i="131" l="1"/>
  <c r="AL172" i="131"/>
  <c r="AA173" i="131" s="1"/>
  <c r="AF172" i="131"/>
  <c r="AG172" i="131"/>
  <c r="W173" i="131"/>
  <c r="T173" i="131"/>
  <c r="U173" i="131"/>
  <c r="C179" i="131"/>
  <c r="A178" i="131"/>
  <c r="B179" i="131"/>
  <c r="AJ172" i="131" l="1"/>
  <c r="AK172" i="131" s="1"/>
  <c r="Y173" i="131"/>
  <c r="AC173" i="131" s="1"/>
  <c r="AH173" i="131" s="1"/>
  <c r="N174" i="131"/>
  <c r="O174" i="131"/>
  <c r="AN174" i="131" s="1"/>
  <c r="AS174" i="131" s="1"/>
  <c r="AT173" i="131"/>
  <c r="AO173" i="131"/>
  <c r="AU173" i="131"/>
  <c r="AV173" i="131" s="1"/>
  <c r="AP173" i="131"/>
  <c r="AI173" i="131"/>
  <c r="E179" i="131"/>
  <c r="J179" i="131" s="1"/>
  <c r="X178" i="131"/>
  <c r="AB173" i="131" l="1"/>
  <c r="AL173" i="131" s="1"/>
  <c r="M174" i="131"/>
  <c r="L174" i="131" s="1"/>
  <c r="Q174" i="131"/>
  <c r="D179" i="131"/>
  <c r="I179" i="131" s="1"/>
  <c r="AG173" i="131" l="1"/>
  <c r="AF173" i="131"/>
  <c r="V174" i="131"/>
  <c r="P174" i="131"/>
  <c r="Z174" i="131"/>
  <c r="AA174" i="131" s="1"/>
  <c r="AI174" i="131" s="1"/>
  <c r="AM174" i="131"/>
  <c r="Y174" i="131"/>
  <c r="AJ173" i="131"/>
  <c r="AK173" i="131" s="1"/>
  <c r="K179" i="131"/>
  <c r="A179" i="131" s="1"/>
  <c r="H179" i="131"/>
  <c r="AC174" i="131" l="1"/>
  <c r="AH174" i="131" s="1"/>
  <c r="AP174" i="131"/>
  <c r="W174" i="131"/>
  <c r="T174" i="131"/>
  <c r="U174" i="131"/>
  <c r="C180" i="131"/>
  <c r="B180" i="131"/>
  <c r="E180" i="131" s="1"/>
  <c r="J180" i="131" s="1"/>
  <c r="X179" i="131"/>
  <c r="AO174" i="131" l="1"/>
  <c r="AB174" i="131"/>
  <c r="AU174" i="131"/>
  <c r="AV174" i="131" s="1"/>
  <c r="N175" i="131"/>
  <c r="AT174" i="131"/>
  <c r="O175" i="131"/>
  <c r="D180" i="131"/>
  <c r="AL174" i="131" l="1"/>
  <c r="AF174" i="131"/>
  <c r="AG174" i="131"/>
  <c r="AN175" i="131"/>
  <c r="AS175" i="131" s="1"/>
  <c r="M175" i="131"/>
  <c r="L175" i="131" s="1"/>
  <c r="Q175" i="131"/>
  <c r="V175" i="131" s="1"/>
  <c r="H180" i="131"/>
  <c r="I180" i="131"/>
  <c r="K180" i="131"/>
  <c r="Y175" i="131" l="1"/>
  <c r="AJ174" i="131"/>
  <c r="AK174" i="131" s="1"/>
  <c r="AM175" i="131"/>
  <c r="Z175" i="131"/>
  <c r="P175" i="131"/>
  <c r="B181" i="131"/>
  <c r="A180" i="131"/>
  <c r="C181" i="131"/>
  <c r="U175" i="131" l="1"/>
  <c r="W175" i="131"/>
  <c r="T175" i="131"/>
  <c r="AA175" i="131"/>
  <c r="AC175" i="131"/>
  <c r="AH175" i="131" s="1"/>
  <c r="X180" i="131"/>
  <c r="E181" i="131"/>
  <c r="J181" i="131" s="1"/>
  <c r="AI175" i="131" l="1"/>
  <c r="AP175" i="131"/>
  <c r="AB175" i="131"/>
  <c r="AT175" i="131"/>
  <c r="AO175" i="131"/>
  <c r="AU175" i="131"/>
  <c r="AV175" i="131" s="1"/>
  <c r="O176" i="131"/>
  <c r="N176" i="131"/>
  <c r="D181" i="131"/>
  <c r="M176" i="131" l="1"/>
  <c r="L176" i="131" s="1"/>
  <c r="Q176" i="131"/>
  <c r="V176" i="131" s="1"/>
  <c r="AN176" i="131"/>
  <c r="AS176" i="131" s="1"/>
  <c r="AL175" i="131"/>
  <c r="AG175" i="131"/>
  <c r="AF175" i="131"/>
  <c r="H181" i="131"/>
  <c r="I181" i="131"/>
  <c r="K181" i="131"/>
  <c r="P176" i="131" l="1"/>
  <c r="U176" i="131" s="1"/>
  <c r="AJ175" i="131"/>
  <c r="AK175" i="131" s="1"/>
  <c r="Y176" i="131"/>
  <c r="Z176" i="131"/>
  <c r="AA176" i="131" s="1"/>
  <c r="AM176" i="131"/>
  <c r="B182" i="131"/>
  <c r="C182" i="131"/>
  <c r="A181" i="131"/>
  <c r="W176" i="131" l="1"/>
  <c r="O177" i="131" s="1"/>
  <c r="AN177" i="131" s="1"/>
  <c r="AS177" i="131" s="1"/>
  <c r="T176" i="131"/>
  <c r="AP176" i="131"/>
  <c r="AI176" i="131"/>
  <c r="AC176" i="131"/>
  <c r="AH176" i="131" s="1"/>
  <c r="X181" i="131"/>
  <c r="E182" i="131"/>
  <c r="J182" i="131" s="1"/>
  <c r="AU176" i="131" l="1"/>
  <c r="AV176" i="131" s="1"/>
  <c r="AT176" i="131"/>
  <c r="N177" i="131"/>
  <c r="M177" i="131" s="1"/>
  <c r="L177" i="131" s="1"/>
  <c r="AO176" i="131"/>
  <c r="AB176" i="131"/>
  <c r="D182" i="131"/>
  <c r="Q177" i="131" l="1"/>
  <c r="V177" i="131" s="1"/>
  <c r="AF176" i="131"/>
  <c r="AG176" i="131"/>
  <c r="AL176" i="131"/>
  <c r="Z177" i="131"/>
  <c r="AM177" i="131"/>
  <c r="I182" i="131"/>
  <c r="H182" i="131"/>
  <c r="K182" i="131"/>
  <c r="P177" i="131" l="1"/>
  <c r="W177" i="131" s="1"/>
  <c r="O178" i="131" s="1"/>
  <c r="AN178" i="131" s="1"/>
  <c r="AS178" i="131" s="1"/>
  <c r="AA177" i="131"/>
  <c r="AI177" i="131" s="1"/>
  <c r="Y177" i="131"/>
  <c r="AC177" i="131" s="1"/>
  <c r="AH177" i="131" s="1"/>
  <c r="AJ176" i="131"/>
  <c r="AK176" i="131" s="1"/>
  <c r="C183" i="131"/>
  <c r="A182" i="131"/>
  <c r="B183" i="131"/>
  <c r="AU177" i="131" l="1"/>
  <c r="AV177" i="131" s="1"/>
  <c r="N178" i="131"/>
  <c r="M178" i="131" s="1"/>
  <c r="L178" i="131" s="1"/>
  <c r="Z178" i="131" s="1"/>
  <c r="U177" i="131"/>
  <c r="AO177" i="131" s="1"/>
  <c r="T177" i="131"/>
  <c r="AT177" i="131"/>
  <c r="AP177" i="131"/>
  <c r="AB177" i="131"/>
  <c r="E183" i="131"/>
  <c r="J183" i="131" s="1"/>
  <c r="X182" i="131"/>
  <c r="AM178" i="131" l="1"/>
  <c r="Q178" i="131"/>
  <c r="V178" i="131" s="1"/>
  <c r="AF177" i="131"/>
  <c r="AL177" i="131"/>
  <c r="AA178" i="131" s="1"/>
  <c r="AI178" i="131" s="1"/>
  <c r="AG177" i="131"/>
  <c r="D183" i="131"/>
  <c r="I183" i="131" s="1"/>
  <c r="P178" i="131" l="1"/>
  <c r="U178" i="131" s="1"/>
  <c r="AP178" i="131"/>
  <c r="T178" i="131"/>
  <c r="Y178" i="131"/>
  <c r="AC178" i="131" s="1"/>
  <c r="AH178" i="131" s="1"/>
  <c r="AJ177" i="131"/>
  <c r="AK177" i="131" s="1"/>
  <c r="H183" i="131"/>
  <c r="K183" i="131"/>
  <c r="B184" i="131" s="1"/>
  <c r="W178" i="131" l="1"/>
  <c r="AU178" i="131" s="1"/>
  <c r="AV178" i="131" s="1"/>
  <c r="O179" i="131"/>
  <c r="AN179" i="131" s="1"/>
  <c r="AS179" i="131" s="1"/>
  <c r="AO178" i="131"/>
  <c r="N179" i="131"/>
  <c r="Q179" i="131" s="1"/>
  <c r="V179" i="131" s="1"/>
  <c r="AT178" i="131"/>
  <c r="AB178" i="131"/>
  <c r="AF178" i="131" s="1"/>
  <c r="A183" i="131"/>
  <c r="X183" i="131" s="1"/>
  <c r="C184" i="131"/>
  <c r="E184" i="131"/>
  <c r="J184" i="131" s="1"/>
  <c r="M179" i="131" l="1"/>
  <c r="L179" i="131" s="1"/>
  <c r="AM179" i="131" s="1"/>
  <c r="P179" i="131"/>
  <c r="W179" i="131" s="1"/>
  <c r="AG178" i="131"/>
  <c r="AL178" i="131"/>
  <c r="AJ178" i="131" s="1"/>
  <c r="AK178" i="131" s="1"/>
  <c r="D184" i="131"/>
  <c r="U179" i="131" l="1"/>
  <c r="AO179" i="131" s="1"/>
  <c r="T179" i="131"/>
  <c r="Z179" i="131"/>
  <c r="AA179" i="131" s="1"/>
  <c r="AI179" i="131" s="1"/>
  <c r="Y179" i="131"/>
  <c r="N180" i="131"/>
  <c r="AT179" i="131"/>
  <c r="AU179" i="131"/>
  <c r="AV179" i="131" s="1"/>
  <c r="O180" i="131"/>
  <c r="H184" i="131"/>
  <c r="I184" i="131"/>
  <c r="K184" i="131"/>
  <c r="AC179" i="131" l="1"/>
  <c r="AH179" i="131" s="1"/>
  <c r="AP179" i="131"/>
  <c r="M180" i="131"/>
  <c r="L180" i="131" s="1"/>
  <c r="Q180" i="131"/>
  <c r="V180" i="131" s="1"/>
  <c r="AN180" i="131"/>
  <c r="AS180" i="131" s="1"/>
  <c r="B185" i="131"/>
  <c r="A184" i="131"/>
  <c r="C185" i="131"/>
  <c r="AB179" i="131" l="1"/>
  <c r="AG179" i="131" s="1"/>
  <c r="P180" i="131"/>
  <c r="U180" i="131" s="1"/>
  <c r="Z180" i="131"/>
  <c r="AM180" i="131"/>
  <c r="X184" i="131"/>
  <c r="E185" i="131"/>
  <c r="J185" i="131" s="1"/>
  <c r="AL179" i="131" l="1"/>
  <c r="AF179" i="131"/>
  <c r="W180" i="131"/>
  <c r="O181" i="131" s="1"/>
  <c r="T180" i="131"/>
  <c r="Y180" i="131"/>
  <c r="AA180" i="131"/>
  <c r="AJ179" i="131"/>
  <c r="AK179" i="131" s="1"/>
  <c r="D185" i="131"/>
  <c r="AU180" i="131" l="1"/>
  <c r="AV180" i="131" s="1"/>
  <c r="AT180" i="131"/>
  <c r="AO180" i="131"/>
  <c r="N181" i="131"/>
  <c r="Q181" i="131" s="1"/>
  <c r="V181" i="131" s="1"/>
  <c r="AN181" i="131"/>
  <c r="AS181" i="131" s="1"/>
  <c r="AP180" i="131"/>
  <c r="AI180" i="131"/>
  <c r="AC180" i="131"/>
  <c r="AH180" i="131" s="1"/>
  <c r="H185" i="131"/>
  <c r="I185" i="131"/>
  <c r="K185" i="131"/>
  <c r="M181" i="131" l="1"/>
  <c r="L181" i="131" s="1"/>
  <c r="Z181" i="131" s="1"/>
  <c r="P181" i="131"/>
  <c r="W181" i="131" s="1"/>
  <c r="AU181" i="131" s="1"/>
  <c r="AV181" i="131" s="1"/>
  <c r="AB180" i="131"/>
  <c r="B186" i="131"/>
  <c r="C186" i="131"/>
  <c r="A185" i="131"/>
  <c r="AM181" i="131" l="1"/>
  <c r="U181" i="131"/>
  <c r="AO181" i="131" s="1"/>
  <c r="T181" i="131"/>
  <c r="O182" i="131"/>
  <c r="AN182" i="131" s="1"/>
  <c r="AS182" i="131" s="1"/>
  <c r="AT181" i="131"/>
  <c r="N182" i="131"/>
  <c r="M182" i="131" s="1"/>
  <c r="L182" i="131" s="1"/>
  <c r="AG180" i="131"/>
  <c r="AF180" i="131"/>
  <c r="AL180" i="131"/>
  <c r="X185" i="131"/>
  <c r="E186" i="131"/>
  <c r="J186" i="131" s="1"/>
  <c r="Q182" i="131" l="1"/>
  <c r="V182" i="131" s="1"/>
  <c r="Y181" i="131"/>
  <c r="AA181" i="131"/>
  <c r="AJ180" i="131"/>
  <c r="AK180" i="131" s="1"/>
  <c r="AM182" i="131"/>
  <c r="Z182" i="131"/>
  <c r="D186" i="131"/>
  <c r="P182" i="131" l="1"/>
  <c r="U182" i="131" s="1"/>
  <c r="AI181" i="131"/>
  <c r="AP181" i="131"/>
  <c r="AC181" i="131"/>
  <c r="AH181" i="131" s="1"/>
  <c r="I186" i="131"/>
  <c r="H186" i="131"/>
  <c r="K186" i="131"/>
  <c r="T182" i="131" l="1"/>
  <c r="W182" i="131"/>
  <c r="AT182" i="131" s="1"/>
  <c r="AB181" i="131"/>
  <c r="C187" i="131"/>
  <c r="A186" i="131"/>
  <c r="B187" i="131"/>
  <c r="O183" i="131" l="1"/>
  <c r="AN183" i="131" s="1"/>
  <c r="AS183" i="131" s="1"/>
  <c r="N183" i="131"/>
  <c r="M183" i="131" s="1"/>
  <c r="L183" i="131" s="1"/>
  <c r="AO182" i="131"/>
  <c r="AU182" i="131"/>
  <c r="AV182" i="131" s="1"/>
  <c r="AF181" i="131"/>
  <c r="AG181" i="131"/>
  <c r="AL181" i="131"/>
  <c r="E187" i="131"/>
  <c r="J187" i="131" s="1"/>
  <c r="X186" i="131"/>
  <c r="Q183" i="131" l="1"/>
  <c r="V183" i="131" s="1"/>
  <c r="Z183" i="131"/>
  <c r="AM183" i="131"/>
  <c r="Y182" i="131"/>
  <c r="AA182" i="131"/>
  <c r="AJ181" i="131"/>
  <c r="AK181" i="131" s="1"/>
  <c r="D187" i="131"/>
  <c r="P183" i="131" l="1"/>
  <c r="U183" i="131" s="1"/>
  <c r="AI182" i="131"/>
  <c r="AP182" i="131"/>
  <c r="AC182" i="131"/>
  <c r="AH182" i="131" s="1"/>
  <c r="I187" i="131"/>
  <c r="H187" i="131"/>
  <c r="K187" i="131"/>
  <c r="T183" i="131" l="1"/>
  <c r="W183" i="131"/>
  <c r="N184" i="131" s="1"/>
  <c r="AB182" i="131"/>
  <c r="C188" i="131"/>
  <c r="A187" i="131"/>
  <c r="B188" i="131"/>
  <c r="O184" i="131" l="1"/>
  <c r="AN184" i="131" s="1"/>
  <c r="AS184" i="131" s="1"/>
  <c r="AO183" i="131"/>
  <c r="AU183" i="131"/>
  <c r="AV183" i="131" s="1"/>
  <c r="AT183" i="131"/>
  <c r="AG182" i="131"/>
  <c r="AF182" i="131"/>
  <c r="AL182" i="131"/>
  <c r="M184" i="131"/>
  <c r="L184" i="131" s="1"/>
  <c r="Q184" i="131"/>
  <c r="V184" i="131" s="1"/>
  <c r="E188" i="131"/>
  <c r="J188" i="131" s="1"/>
  <c r="X187" i="131"/>
  <c r="D188" i="131" l="1"/>
  <c r="K188" i="131" s="1"/>
  <c r="AJ182" i="131"/>
  <c r="AK182" i="131" s="1"/>
  <c r="Y183" i="131"/>
  <c r="AA183" i="131"/>
  <c r="P184" i="131"/>
  <c r="Z184" i="131"/>
  <c r="AM184" i="131"/>
  <c r="I188" i="131" l="1"/>
  <c r="H188" i="131"/>
  <c r="U184" i="131"/>
  <c r="T184" i="131"/>
  <c r="W184" i="131"/>
  <c r="AP183" i="131"/>
  <c r="AI183" i="131"/>
  <c r="AC183" i="131"/>
  <c r="AH183" i="131" s="1"/>
  <c r="B189" i="131"/>
  <c r="A188" i="131"/>
  <c r="C189" i="131"/>
  <c r="AB183" i="131" l="1"/>
  <c r="AT184" i="131"/>
  <c r="AO184" i="131"/>
  <c r="AU184" i="131"/>
  <c r="AV184" i="131" s="1"/>
  <c r="N185" i="131"/>
  <c r="O185" i="131"/>
  <c r="X188" i="131"/>
  <c r="E189" i="131"/>
  <c r="J189" i="131" s="1"/>
  <c r="AN185" i="131" l="1"/>
  <c r="AS185" i="131" s="1"/>
  <c r="M185" i="131"/>
  <c r="L185" i="131" s="1"/>
  <c r="Q185" i="131"/>
  <c r="V185" i="131" s="1"/>
  <c r="AG183" i="131"/>
  <c r="AF183" i="131"/>
  <c r="AL183" i="131"/>
  <c r="D189" i="131"/>
  <c r="Y184" i="131" l="1"/>
  <c r="AJ183" i="131"/>
  <c r="AK183" i="131" s="1"/>
  <c r="AA184" i="131"/>
  <c r="Z185" i="131"/>
  <c r="AM185" i="131"/>
  <c r="P185" i="131"/>
  <c r="H189" i="131"/>
  <c r="I189" i="131"/>
  <c r="K189" i="131"/>
  <c r="AP184" i="131" l="1"/>
  <c r="AI184" i="131"/>
  <c r="U185" i="131"/>
  <c r="T185" i="131"/>
  <c r="W185" i="131"/>
  <c r="AC184" i="131"/>
  <c r="AH184" i="131" s="1"/>
  <c r="B190" i="131"/>
  <c r="C190" i="131"/>
  <c r="A189" i="131"/>
  <c r="N186" i="131" l="1"/>
  <c r="AT185" i="131"/>
  <c r="AU185" i="131"/>
  <c r="AV185" i="131" s="1"/>
  <c r="AO185" i="131"/>
  <c r="O186" i="131"/>
  <c r="AB184" i="131"/>
  <c r="X189" i="131"/>
  <c r="E190" i="131"/>
  <c r="J190" i="131" s="1"/>
  <c r="AN186" i="131" l="1"/>
  <c r="AS186" i="131" s="1"/>
  <c r="AF184" i="131"/>
  <c r="AG184" i="131"/>
  <c r="AL184" i="131"/>
  <c r="M186" i="131"/>
  <c r="L186" i="131" s="1"/>
  <c r="Q186" i="131"/>
  <c r="V186" i="131" s="1"/>
  <c r="D190" i="131"/>
  <c r="AA185" i="131" l="1"/>
  <c r="Y185" i="131"/>
  <c r="AJ184" i="131"/>
  <c r="AK184" i="131" s="1"/>
  <c r="Z186" i="131"/>
  <c r="AM186" i="131"/>
  <c r="P186" i="131"/>
  <c r="I190" i="131"/>
  <c r="H190" i="131"/>
  <c r="K190" i="131"/>
  <c r="T186" i="131" l="1"/>
  <c r="U186" i="131"/>
  <c r="W186" i="131"/>
  <c r="AC185" i="131"/>
  <c r="AH185" i="131" s="1"/>
  <c r="AP185" i="131"/>
  <c r="AI185" i="131"/>
  <c r="C191" i="131"/>
  <c r="A190" i="131"/>
  <c r="B191" i="131"/>
  <c r="AB185" i="131" l="1"/>
  <c r="AG185" i="131" s="1"/>
  <c r="AT186" i="131"/>
  <c r="AU186" i="131"/>
  <c r="AV186" i="131" s="1"/>
  <c r="N187" i="131"/>
  <c r="AO186" i="131"/>
  <c r="O187" i="131"/>
  <c r="X190" i="131"/>
  <c r="E191" i="131"/>
  <c r="J191" i="131" s="1"/>
  <c r="AF185" i="131" l="1"/>
  <c r="AL185" i="131"/>
  <c r="AJ185" i="131" s="1"/>
  <c r="AK185" i="131" s="1"/>
  <c r="AN187" i="131"/>
  <c r="AS187" i="131" s="1"/>
  <c r="Q187" i="131"/>
  <c r="V187" i="131" s="1"/>
  <c r="M187" i="131"/>
  <c r="L187" i="131" s="1"/>
  <c r="D191" i="131"/>
  <c r="AA186" i="131" l="1"/>
  <c r="AI186" i="131" s="1"/>
  <c r="Y186" i="131"/>
  <c r="AC186" i="131" s="1"/>
  <c r="AH186" i="131" s="1"/>
  <c r="P187" i="131"/>
  <c r="Z187" i="131"/>
  <c r="AM187" i="131"/>
  <c r="H191" i="131"/>
  <c r="I191" i="131"/>
  <c r="K191" i="131"/>
  <c r="AP186" i="131" l="1"/>
  <c r="T187" i="131"/>
  <c r="U187" i="131"/>
  <c r="W187" i="131"/>
  <c r="AB186" i="131"/>
  <c r="B192" i="131"/>
  <c r="A191" i="131"/>
  <c r="C192" i="131"/>
  <c r="AF186" i="131" l="1"/>
  <c r="AG186" i="131"/>
  <c r="AL186" i="131"/>
  <c r="N188" i="131"/>
  <c r="AO187" i="131"/>
  <c r="AT187" i="131"/>
  <c r="AU187" i="131"/>
  <c r="AV187" i="131" s="1"/>
  <c r="O188" i="131"/>
  <c r="X191" i="131"/>
  <c r="E192" i="131"/>
  <c r="J192" i="131" s="1"/>
  <c r="M188" i="131" l="1"/>
  <c r="L188" i="131" s="1"/>
  <c r="Q188" i="131"/>
  <c r="V188" i="131" s="1"/>
  <c r="AN188" i="131"/>
  <c r="AS188" i="131" s="1"/>
  <c r="Y187" i="131"/>
  <c r="AJ186" i="131"/>
  <c r="AK186" i="131" s="1"/>
  <c r="AA187" i="131"/>
  <c r="D192" i="131"/>
  <c r="P188" i="131" l="1"/>
  <c r="U188" i="131" s="1"/>
  <c r="AI187" i="131"/>
  <c r="AP187" i="131"/>
  <c r="AC187" i="131"/>
  <c r="AH187" i="131" s="1"/>
  <c r="Z188" i="131"/>
  <c r="AM188" i="131"/>
  <c r="H192" i="131"/>
  <c r="I192" i="131"/>
  <c r="K192" i="131"/>
  <c r="W188" i="131" l="1"/>
  <c r="AT188" i="131" s="1"/>
  <c r="T188" i="131"/>
  <c r="AB187" i="131"/>
  <c r="B193" i="131"/>
  <c r="C193" i="131"/>
  <c r="A192" i="131"/>
  <c r="O189" i="131" l="1"/>
  <c r="AO188" i="131"/>
  <c r="AU188" i="131"/>
  <c r="AV188" i="131" s="1"/>
  <c r="N189" i="131"/>
  <c r="AG187" i="131"/>
  <c r="AF187" i="131"/>
  <c r="AL187" i="131"/>
  <c r="AN189" i="131"/>
  <c r="AS189" i="131" s="1"/>
  <c r="Q189" i="131"/>
  <c r="V189" i="131" s="1"/>
  <c r="M189" i="131"/>
  <c r="L189" i="131" s="1"/>
  <c r="X192" i="131"/>
  <c r="E193" i="131"/>
  <c r="J193" i="131" s="1"/>
  <c r="AM189" i="131" l="1"/>
  <c r="Z189" i="131"/>
  <c r="P189" i="131"/>
  <c r="AJ187" i="131"/>
  <c r="AK187" i="131" s="1"/>
  <c r="Y188" i="131"/>
  <c r="AA188" i="131"/>
  <c r="D193" i="131"/>
  <c r="AI188" i="131" l="1"/>
  <c r="AP188" i="131"/>
  <c r="AC188" i="131"/>
  <c r="AH188" i="131" s="1"/>
  <c r="T189" i="131"/>
  <c r="U189" i="131"/>
  <c r="W189" i="131"/>
  <c r="I193" i="131"/>
  <c r="H193" i="131"/>
  <c r="K193" i="131"/>
  <c r="AB188" i="131" l="1"/>
  <c r="N190" i="131"/>
  <c r="AT189" i="131"/>
  <c r="AO189" i="131"/>
  <c r="AU189" i="131"/>
  <c r="AV189" i="131" s="1"/>
  <c r="O190" i="131"/>
  <c r="C194" i="131"/>
  <c r="A193" i="131"/>
  <c r="B194" i="131"/>
  <c r="AN190" i="131" l="1"/>
  <c r="AS190" i="131" s="1"/>
  <c r="Q190" i="131"/>
  <c r="V190" i="131" s="1"/>
  <c r="M190" i="131"/>
  <c r="L190" i="131" s="1"/>
  <c r="AF188" i="131"/>
  <c r="AG188" i="131"/>
  <c r="AL188" i="131"/>
  <c r="X193" i="131"/>
  <c r="E194" i="131"/>
  <c r="J194" i="131" s="1"/>
  <c r="Z190" i="131" l="1"/>
  <c r="AM190" i="131"/>
  <c r="Y189" i="131"/>
  <c r="AA189" i="131"/>
  <c r="AJ188" i="131"/>
  <c r="AK188" i="131" s="1"/>
  <c r="P190" i="131"/>
  <c r="D194" i="131"/>
  <c r="AI189" i="131" l="1"/>
  <c r="AP189" i="131"/>
  <c r="AC189" i="131"/>
  <c r="AH189" i="131" s="1"/>
  <c r="U190" i="131"/>
  <c r="T190" i="131"/>
  <c r="W190" i="131"/>
  <c r="I194" i="131"/>
  <c r="H194" i="131"/>
  <c r="K194" i="131"/>
  <c r="N191" i="131" l="1"/>
  <c r="AT190" i="131"/>
  <c r="AO190" i="131"/>
  <c r="AU190" i="131"/>
  <c r="AV190" i="131" s="1"/>
  <c r="O191" i="131"/>
  <c r="AB189" i="131"/>
  <c r="C195" i="131"/>
  <c r="A194" i="131"/>
  <c r="B195" i="131"/>
  <c r="AN191" i="131" l="1"/>
  <c r="AS191" i="131" s="1"/>
  <c r="AF189" i="131"/>
  <c r="AG189" i="131"/>
  <c r="AL189" i="131"/>
  <c r="M191" i="131"/>
  <c r="L191" i="131" s="1"/>
  <c r="Q191" i="131"/>
  <c r="V191" i="131" s="1"/>
  <c r="E195" i="131"/>
  <c r="J195" i="131" s="1"/>
  <c r="X194" i="131"/>
  <c r="Z191" i="131" l="1"/>
  <c r="AM191" i="131"/>
  <c r="Y190" i="131"/>
  <c r="AA190" i="131"/>
  <c r="AJ189" i="131"/>
  <c r="AK189" i="131" s="1"/>
  <c r="P191" i="131"/>
  <c r="D195" i="131"/>
  <c r="U191" i="131" l="1"/>
  <c r="T191" i="131"/>
  <c r="W191" i="131"/>
  <c r="AP190" i="131"/>
  <c r="AI190" i="131"/>
  <c r="AC190" i="131"/>
  <c r="AH190" i="131" s="1"/>
  <c r="H195" i="131"/>
  <c r="I195" i="131"/>
  <c r="K195" i="131"/>
  <c r="AB190" i="131" l="1"/>
  <c r="AO191" i="131"/>
  <c r="AU191" i="131"/>
  <c r="AV191" i="131" s="1"/>
  <c r="N192" i="131"/>
  <c r="AT191" i="131"/>
  <c r="O192" i="131"/>
  <c r="B196" i="131"/>
  <c r="A195" i="131"/>
  <c r="C196" i="131"/>
  <c r="Q192" i="131" l="1"/>
  <c r="V192" i="131" s="1"/>
  <c r="M192" i="131"/>
  <c r="L192" i="131" s="1"/>
  <c r="AN192" i="131"/>
  <c r="AS192" i="131" s="1"/>
  <c r="AG190" i="131"/>
  <c r="AF190" i="131"/>
  <c r="AL190" i="131"/>
  <c r="E196" i="131"/>
  <c r="J196" i="131" s="1"/>
  <c r="X195" i="131"/>
  <c r="P192" i="131" l="1"/>
  <c r="W192" i="131" s="1"/>
  <c r="AU192" i="131" s="1"/>
  <c r="AV192" i="131" s="1"/>
  <c r="Y191" i="131"/>
  <c r="AA191" i="131"/>
  <c r="AJ190" i="131"/>
  <c r="AK190" i="131" s="1"/>
  <c r="AM192" i="131"/>
  <c r="Z192" i="131"/>
  <c r="D196" i="131"/>
  <c r="O193" i="131" l="1"/>
  <c r="AN193" i="131" s="1"/>
  <c r="AS193" i="131" s="1"/>
  <c r="T192" i="131"/>
  <c r="U192" i="131"/>
  <c r="AO192" i="131" s="1"/>
  <c r="AT192" i="131"/>
  <c r="N193" i="131"/>
  <c r="M193" i="131" s="1"/>
  <c r="L193" i="131" s="1"/>
  <c r="AI191" i="131"/>
  <c r="AP191" i="131"/>
  <c r="AC191" i="131"/>
  <c r="AH191" i="131" s="1"/>
  <c r="H196" i="131"/>
  <c r="I196" i="131"/>
  <c r="K196" i="131"/>
  <c r="Q193" i="131" l="1"/>
  <c r="V193" i="131" s="1"/>
  <c r="AB191" i="131"/>
  <c r="Z193" i="131"/>
  <c r="AM193" i="131"/>
  <c r="B197" i="131"/>
  <c r="A196" i="131"/>
  <c r="C197" i="131"/>
  <c r="P193" i="131" l="1"/>
  <c r="T193" i="131" s="1"/>
  <c r="AG191" i="131"/>
  <c r="AF191" i="131"/>
  <c r="AL191" i="131"/>
  <c r="X196" i="131"/>
  <c r="E197" i="131"/>
  <c r="J197" i="131" s="1"/>
  <c r="U193" i="131" l="1"/>
  <c r="W193" i="131"/>
  <c r="N194" i="131" s="1"/>
  <c r="Y192" i="131"/>
  <c r="AA192" i="131"/>
  <c r="AJ191" i="131"/>
  <c r="AK191" i="131" s="1"/>
  <c r="D197" i="131"/>
  <c r="K197" i="131" s="1"/>
  <c r="C198" i="131" s="1"/>
  <c r="AU193" i="131" l="1"/>
  <c r="AV193" i="131" s="1"/>
  <c r="AT193" i="131"/>
  <c r="AO193" i="131"/>
  <c r="O194" i="131"/>
  <c r="AN194" i="131" s="1"/>
  <c r="AS194" i="131" s="1"/>
  <c r="M194" i="131"/>
  <c r="L194" i="131" s="1"/>
  <c r="Q194" i="131"/>
  <c r="V194" i="131" s="1"/>
  <c r="AI192" i="131"/>
  <c r="AP192" i="131"/>
  <c r="AC192" i="131"/>
  <c r="AH192" i="131" s="1"/>
  <c r="H197" i="131"/>
  <c r="A197" i="131"/>
  <c r="X197" i="131" s="1"/>
  <c r="I197" i="131"/>
  <c r="B198" i="131"/>
  <c r="E198" i="131" s="1"/>
  <c r="J198" i="131" s="1"/>
  <c r="P194" i="131" l="1"/>
  <c r="T194" i="131" s="1"/>
  <c r="AB192" i="131"/>
  <c r="Z194" i="131"/>
  <c r="AM194" i="131"/>
  <c r="D198" i="131"/>
  <c r="U194" i="131" l="1"/>
  <c r="W194" i="131"/>
  <c r="N195" i="131" s="1"/>
  <c r="AG192" i="131"/>
  <c r="AF192" i="131"/>
  <c r="AL192" i="131"/>
  <c r="I198" i="131"/>
  <c r="H198" i="131"/>
  <c r="K198" i="131"/>
  <c r="AU194" i="131" l="1"/>
  <c r="AV194" i="131" s="1"/>
  <c r="AT194" i="131"/>
  <c r="AO194" i="131"/>
  <c r="O195" i="131"/>
  <c r="M195" i="131"/>
  <c r="L195" i="131" s="1"/>
  <c r="Q195" i="131"/>
  <c r="V195" i="131" s="1"/>
  <c r="AJ192" i="131"/>
  <c r="AK192" i="131" s="1"/>
  <c r="AA193" i="131"/>
  <c r="Y193" i="131"/>
  <c r="AN195" i="131"/>
  <c r="AS195" i="131" s="1"/>
  <c r="C199" i="131"/>
  <c r="A198" i="131"/>
  <c r="B199" i="131"/>
  <c r="AP193" i="131" l="1"/>
  <c r="AI193" i="131"/>
  <c r="AC193" i="131"/>
  <c r="AH193" i="131" s="1"/>
  <c r="P195" i="131"/>
  <c r="AM195" i="131"/>
  <c r="Z195" i="131"/>
  <c r="E199" i="131"/>
  <c r="J199" i="131" s="1"/>
  <c r="X198" i="131"/>
  <c r="AB193" i="131" l="1"/>
  <c r="T195" i="131"/>
  <c r="U195" i="131"/>
  <c r="W195" i="131"/>
  <c r="D199" i="131"/>
  <c r="AU195" i="131" l="1"/>
  <c r="AV195" i="131" s="1"/>
  <c r="AT195" i="131"/>
  <c r="AO195" i="131"/>
  <c r="N196" i="131"/>
  <c r="O196" i="131"/>
  <c r="AG193" i="131"/>
  <c r="AF193" i="131"/>
  <c r="AL193" i="131"/>
  <c r="H199" i="131"/>
  <c r="I199" i="131"/>
  <c r="K199" i="131"/>
  <c r="AN196" i="131" l="1"/>
  <c r="AS196" i="131" s="1"/>
  <c r="Y194" i="131"/>
  <c r="AJ193" i="131"/>
  <c r="AK193" i="131" s="1"/>
  <c r="AA194" i="131"/>
  <c r="Q196" i="131"/>
  <c r="V196" i="131" s="1"/>
  <c r="M196" i="131"/>
  <c r="L196" i="131" s="1"/>
  <c r="B200" i="131"/>
  <c r="C200" i="131"/>
  <c r="A199" i="131"/>
  <c r="AI194" i="131" l="1"/>
  <c r="AP194" i="131"/>
  <c r="AC194" i="131"/>
  <c r="AH194" i="131" s="1"/>
  <c r="AM196" i="131"/>
  <c r="Z196" i="131"/>
  <c r="P196" i="131"/>
  <c r="E200" i="131"/>
  <c r="J200" i="131" s="1"/>
  <c r="X199" i="131"/>
  <c r="U196" i="131" l="1"/>
  <c r="T196" i="131"/>
  <c r="W196" i="131"/>
  <c r="AB194" i="131"/>
  <c r="D200" i="131"/>
  <c r="AG194" i="131" l="1"/>
  <c r="AF194" i="131"/>
  <c r="AL194" i="131"/>
  <c r="O197" i="131"/>
  <c r="N197" i="131"/>
  <c r="AT196" i="131"/>
  <c r="AO196" i="131"/>
  <c r="AU196" i="131"/>
  <c r="AV196" i="131" s="1"/>
  <c r="H200" i="131"/>
  <c r="I200" i="131"/>
  <c r="K200" i="131"/>
  <c r="M197" i="131" l="1"/>
  <c r="L197" i="131" s="1"/>
  <c r="Q197" i="131"/>
  <c r="V197" i="131" s="1"/>
  <c r="Y195" i="131"/>
  <c r="AJ194" i="131"/>
  <c r="AK194" i="131" s="1"/>
  <c r="AA195" i="131"/>
  <c r="AN197" i="131"/>
  <c r="AS197" i="131" s="1"/>
  <c r="B201" i="131"/>
  <c r="A200" i="131"/>
  <c r="C201" i="131"/>
  <c r="P197" i="131" l="1"/>
  <c r="U197" i="131" s="1"/>
  <c r="AP195" i="131"/>
  <c r="AI195" i="131"/>
  <c r="AC195" i="131"/>
  <c r="AH195" i="131" s="1"/>
  <c r="AM197" i="131"/>
  <c r="Z197" i="131"/>
  <c r="E201" i="131"/>
  <c r="J201" i="131" s="1"/>
  <c r="X200" i="131"/>
  <c r="W197" i="131" l="1"/>
  <c r="O198" i="131" s="1"/>
  <c r="T197" i="131"/>
  <c r="AB195" i="131"/>
  <c r="D201" i="131"/>
  <c r="N198" i="131" l="1"/>
  <c r="M198" i="131" s="1"/>
  <c r="L198" i="131" s="1"/>
  <c r="AO197" i="131"/>
  <c r="AU197" i="131"/>
  <c r="AV197" i="131" s="1"/>
  <c r="AT197" i="131"/>
  <c r="AG195" i="131"/>
  <c r="AF195" i="131"/>
  <c r="AL195" i="131"/>
  <c r="AN198" i="131"/>
  <c r="AS198" i="131" s="1"/>
  <c r="I201" i="131"/>
  <c r="H201" i="131"/>
  <c r="K201" i="131"/>
  <c r="Q198" i="131" l="1"/>
  <c r="V198" i="131" s="1"/>
  <c r="Z198" i="131"/>
  <c r="AM198" i="131"/>
  <c r="AJ195" i="131"/>
  <c r="AK195" i="131" s="1"/>
  <c r="Y196" i="131"/>
  <c r="AA196" i="131"/>
  <c r="C202" i="131"/>
  <c r="A201" i="131"/>
  <c r="B202" i="131"/>
  <c r="P198" i="131" l="1"/>
  <c r="T198" i="131" s="1"/>
  <c r="W198" i="131"/>
  <c r="AU198" i="131" s="1"/>
  <c r="AV198" i="131" s="1"/>
  <c r="U198" i="131"/>
  <c r="AC196" i="131"/>
  <c r="AH196" i="131" s="1"/>
  <c r="AT198" i="131"/>
  <c r="AP196" i="131"/>
  <c r="AI196" i="131"/>
  <c r="E202" i="131"/>
  <c r="J202" i="131" s="1"/>
  <c r="X201" i="131"/>
  <c r="O199" i="131" l="1"/>
  <c r="AN199" i="131" s="1"/>
  <c r="AS199" i="131" s="1"/>
  <c r="N199" i="131"/>
  <c r="M199" i="131" s="1"/>
  <c r="L199" i="131" s="1"/>
  <c r="AO198" i="131"/>
  <c r="AB196" i="131"/>
  <c r="AL196" i="131" s="1"/>
  <c r="AJ196" i="131" s="1"/>
  <c r="AK196" i="131" s="1"/>
  <c r="Q199" i="131"/>
  <c r="V199" i="131" s="1"/>
  <c r="AF196" i="131"/>
  <c r="D202" i="131"/>
  <c r="K202" i="131" s="1"/>
  <c r="C203" i="131" s="1"/>
  <c r="AG196" i="131" l="1"/>
  <c r="Y197" i="131"/>
  <c r="AC197" i="131" s="1"/>
  <c r="AH197" i="131" s="1"/>
  <c r="AA197" i="131"/>
  <c r="AI197" i="131" s="1"/>
  <c r="AM199" i="131"/>
  <c r="Z199" i="131"/>
  <c r="P199" i="131"/>
  <c r="I202" i="131"/>
  <c r="H202" i="131"/>
  <c r="B203" i="131"/>
  <c r="E203" i="131" s="1"/>
  <c r="J203" i="131" s="1"/>
  <c r="A202" i="131"/>
  <c r="X202" i="131" s="1"/>
  <c r="AP197" i="131" l="1"/>
  <c r="U199" i="131"/>
  <c r="T199" i="131"/>
  <c r="W199" i="131"/>
  <c r="AB197" i="131"/>
  <c r="D203" i="131"/>
  <c r="K203" i="131" s="1"/>
  <c r="O200" i="131" l="1"/>
  <c r="AU199" i="131"/>
  <c r="AV199" i="131" s="1"/>
  <c r="N200" i="131"/>
  <c r="AT199" i="131"/>
  <c r="AO199" i="131"/>
  <c r="I203" i="131"/>
  <c r="H203" i="131"/>
  <c r="AF197" i="131"/>
  <c r="AG197" i="131"/>
  <c r="AL197" i="131"/>
  <c r="B204" i="131"/>
  <c r="C204" i="131"/>
  <c r="A203" i="131"/>
  <c r="M200" i="131" l="1"/>
  <c r="L200" i="131" s="1"/>
  <c r="Q200" i="131"/>
  <c r="V200" i="131" s="1"/>
  <c r="AJ197" i="131"/>
  <c r="AK197" i="131" s="1"/>
  <c r="Y198" i="131"/>
  <c r="AC198" i="131" s="1"/>
  <c r="AH198" i="131" s="1"/>
  <c r="AA198" i="131"/>
  <c r="AN200" i="131"/>
  <c r="AS200" i="131" s="1"/>
  <c r="X203" i="131"/>
  <c r="E204" i="131"/>
  <c r="J204" i="131" s="1"/>
  <c r="P200" i="131" l="1"/>
  <c r="T200" i="131" s="1"/>
  <c r="U200" i="131"/>
  <c r="AP198" i="131"/>
  <c r="AI198" i="131"/>
  <c r="AB198" i="131"/>
  <c r="W200" i="131"/>
  <c r="AM200" i="131"/>
  <c r="Z200" i="131"/>
  <c r="D204" i="131"/>
  <c r="O201" i="131" l="1"/>
  <c r="AU200" i="131"/>
  <c r="AV200" i="131" s="1"/>
  <c r="N201" i="131"/>
  <c r="AT200" i="131"/>
  <c r="AO200" i="131"/>
  <c r="AL198" i="131"/>
  <c r="AG198" i="131"/>
  <c r="AF198" i="131"/>
  <c r="H204" i="131"/>
  <c r="I204" i="131"/>
  <c r="K204" i="131"/>
  <c r="AA199" i="131" l="1"/>
  <c r="AJ198" i="131"/>
  <c r="AK198" i="131" s="1"/>
  <c r="Y199" i="131"/>
  <c r="Q201" i="131"/>
  <c r="V201" i="131" s="1"/>
  <c r="M201" i="131"/>
  <c r="L201" i="131" s="1"/>
  <c r="AN201" i="131"/>
  <c r="AS201" i="131" s="1"/>
  <c r="B205" i="131"/>
  <c r="C205" i="131"/>
  <c r="A204" i="131"/>
  <c r="AC199" i="131" l="1"/>
  <c r="AH199" i="131" s="1"/>
  <c r="Z201" i="131"/>
  <c r="AM201" i="131"/>
  <c r="P201" i="131"/>
  <c r="AI199" i="131"/>
  <c r="AP199" i="131"/>
  <c r="E205" i="131"/>
  <c r="J205" i="131" s="1"/>
  <c r="X204" i="131"/>
  <c r="AB199" i="131" l="1"/>
  <c r="AF199" i="131" s="1"/>
  <c r="W201" i="131"/>
  <c r="U201" i="131"/>
  <c r="T201" i="131"/>
  <c r="D205" i="131"/>
  <c r="K205" i="131" s="1"/>
  <c r="AL199" i="131" l="1"/>
  <c r="AA200" i="131" s="1"/>
  <c r="AG199" i="131"/>
  <c r="AO201" i="131"/>
  <c r="N202" i="131"/>
  <c r="AU201" i="131"/>
  <c r="AV201" i="131" s="1"/>
  <c r="O202" i="131"/>
  <c r="AT201" i="131"/>
  <c r="I205" i="131"/>
  <c r="H205" i="131"/>
  <c r="C206" i="131"/>
  <c r="A205" i="131"/>
  <c r="B206" i="131"/>
  <c r="AJ199" i="131" l="1"/>
  <c r="AK199" i="131" s="1"/>
  <c r="Y200" i="131"/>
  <c r="AC200" i="131" s="1"/>
  <c r="AH200" i="131" s="1"/>
  <c r="M202" i="131"/>
  <c r="L202" i="131" s="1"/>
  <c r="Q202" i="131"/>
  <c r="V202" i="131" s="1"/>
  <c r="AN202" i="131"/>
  <c r="AS202" i="131" s="1"/>
  <c r="AI200" i="131"/>
  <c r="AP200" i="131"/>
  <c r="E206" i="131"/>
  <c r="J206" i="131" s="1"/>
  <c r="X205" i="131"/>
  <c r="P202" i="131" l="1"/>
  <c r="AB200" i="131"/>
  <c r="Z202" i="131"/>
  <c r="AM202" i="131"/>
  <c r="D206" i="131"/>
  <c r="AF200" i="131" l="1"/>
  <c r="AG200" i="131"/>
  <c r="AL200" i="131"/>
  <c r="U202" i="131"/>
  <c r="T202" i="131"/>
  <c r="W202" i="131"/>
  <c r="I206" i="131"/>
  <c r="H206" i="131"/>
  <c r="K206" i="131"/>
  <c r="AT202" i="131" l="1"/>
  <c r="AO202" i="131"/>
  <c r="AU202" i="131"/>
  <c r="AV202" i="131" s="1"/>
  <c r="O203" i="131"/>
  <c r="N203" i="131"/>
  <c r="AA201" i="131"/>
  <c r="AJ200" i="131"/>
  <c r="AK200" i="131" s="1"/>
  <c r="Y201" i="131"/>
  <c r="C207" i="131"/>
  <c r="A206" i="131"/>
  <c r="B207" i="131"/>
  <c r="AP201" i="131" l="1"/>
  <c r="AI201" i="131"/>
  <c r="Q203" i="131"/>
  <c r="V203" i="131" s="1"/>
  <c r="M203" i="131"/>
  <c r="L203" i="131" s="1"/>
  <c r="AC201" i="131"/>
  <c r="AH201" i="131" s="1"/>
  <c r="AN203" i="131"/>
  <c r="AS203" i="131" s="1"/>
  <c r="E207" i="131"/>
  <c r="J207" i="131" s="1"/>
  <c r="X206" i="131"/>
  <c r="Z203" i="131" l="1"/>
  <c r="AM203" i="131"/>
  <c r="AB201" i="131"/>
  <c r="P203" i="131"/>
  <c r="D207" i="131"/>
  <c r="U203" i="131" l="1"/>
  <c r="T203" i="131"/>
  <c r="W203" i="131"/>
  <c r="AG201" i="131"/>
  <c r="AF201" i="131"/>
  <c r="AL201" i="131"/>
  <c r="H207" i="131"/>
  <c r="I207" i="131"/>
  <c r="K207" i="131"/>
  <c r="AJ201" i="131" l="1"/>
  <c r="AK201" i="131" s="1"/>
  <c r="AA202" i="131"/>
  <c r="Y202" i="131"/>
  <c r="AO203" i="131"/>
  <c r="AU203" i="131"/>
  <c r="AV203" i="131" s="1"/>
  <c r="O204" i="131"/>
  <c r="N204" i="131"/>
  <c r="AT203" i="131"/>
  <c r="B208" i="131"/>
  <c r="A207" i="131"/>
  <c r="C208" i="131"/>
  <c r="Q204" i="131" l="1"/>
  <c r="V204" i="131" s="1"/>
  <c r="M204" i="131"/>
  <c r="L204" i="131" s="1"/>
  <c r="AC202" i="131"/>
  <c r="AH202" i="131" s="1"/>
  <c r="AN204" i="131"/>
  <c r="AS204" i="131" s="1"/>
  <c r="AI202" i="131"/>
  <c r="AP202" i="131"/>
  <c r="X207" i="131"/>
  <c r="E208" i="131"/>
  <c r="J208" i="131" s="1"/>
  <c r="P204" i="131" l="1"/>
  <c r="T204" i="131" s="1"/>
  <c r="AB202" i="131"/>
  <c r="AM204" i="131"/>
  <c r="Z204" i="131"/>
  <c r="D208" i="131"/>
  <c r="U204" i="131" l="1"/>
  <c r="W204" i="131"/>
  <c r="AT204" i="131" s="1"/>
  <c r="AF202" i="131"/>
  <c r="AG202" i="131"/>
  <c r="AL202" i="131"/>
  <c r="H208" i="131"/>
  <c r="I208" i="131"/>
  <c r="K208" i="131"/>
  <c r="AU204" i="131" l="1"/>
  <c r="AV204" i="131" s="1"/>
  <c r="N205" i="131"/>
  <c r="Q205" i="131" s="1"/>
  <c r="V205" i="131" s="1"/>
  <c r="AO204" i="131"/>
  <c r="O205" i="131"/>
  <c r="AN205" i="131" s="1"/>
  <c r="AS205" i="131" s="1"/>
  <c r="AJ202" i="131"/>
  <c r="AK202" i="131" s="1"/>
  <c r="Y203" i="131"/>
  <c r="AA203" i="131"/>
  <c r="B209" i="131"/>
  <c r="C209" i="131"/>
  <c r="A208" i="131"/>
  <c r="M205" i="131" l="1"/>
  <c r="L205" i="131" s="1"/>
  <c r="AM205" i="131" s="1"/>
  <c r="AP203" i="131"/>
  <c r="AI203" i="131"/>
  <c r="AC203" i="131"/>
  <c r="AH203" i="131" s="1"/>
  <c r="P205" i="131"/>
  <c r="X208" i="131"/>
  <c r="E209" i="131"/>
  <c r="J209" i="131" s="1"/>
  <c r="Z205" i="131" l="1"/>
  <c r="U205" i="131"/>
  <c r="T205" i="131"/>
  <c r="W205" i="131"/>
  <c r="AB203" i="131"/>
  <c r="D209" i="131"/>
  <c r="I209" i="131" s="1"/>
  <c r="AF203" i="131" l="1"/>
  <c r="AG203" i="131"/>
  <c r="AL203" i="131"/>
  <c r="N206" i="131"/>
  <c r="AT205" i="131"/>
  <c r="AU205" i="131"/>
  <c r="AV205" i="131" s="1"/>
  <c r="O206" i="131"/>
  <c r="AO205" i="131"/>
  <c r="H209" i="131"/>
  <c r="K209" i="131"/>
  <c r="C210" i="131" s="1"/>
  <c r="B210" i="131" l="1"/>
  <c r="E210" i="131" s="1"/>
  <c r="J210" i="131" s="1"/>
  <c r="M206" i="131"/>
  <c r="L206" i="131" s="1"/>
  <c r="Q206" i="131"/>
  <c r="V206" i="131" s="1"/>
  <c r="AN206" i="131"/>
  <c r="AS206" i="131" s="1"/>
  <c r="Y204" i="131"/>
  <c r="AJ203" i="131"/>
  <c r="AK203" i="131" s="1"/>
  <c r="AA204" i="131"/>
  <c r="A209" i="131"/>
  <c r="X209" i="131" s="1"/>
  <c r="P206" i="131" l="1"/>
  <c r="T206" i="131" s="1"/>
  <c r="AC204" i="131"/>
  <c r="AH204" i="131" s="1"/>
  <c r="AI204" i="131"/>
  <c r="AP204" i="131"/>
  <c r="Z206" i="131"/>
  <c r="AM206" i="131"/>
  <c r="D210" i="131"/>
  <c r="AB204" i="131" l="1"/>
  <c r="AL204" i="131" s="1"/>
  <c r="W206" i="131"/>
  <c r="AT206" i="131" s="1"/>
  <c r="U206" i="131"/>
  <c r="I210" i="131"/>
  <c r="H210" i="131"/>
  <c r="K210" i="131"/>
  <c r="N207" i="131" l="1"/>
  <c r="M207" i="131" s="1"/>
  <c r="L207" i="131" s="1"/>
  <c r="O207" i="131"/>
  <c r="AN207" i="131" s="1"/>
  <c r="AS207" i="131" s="1"/>
  <c r="AO206" i="131"/>
  <c r="AF204" i="131"/>
  <c r="AG204" i="131"/>
  <c r="AU206" i="131"/>
  <c r="AV206" i="131" s="1"/>
  <c r="Y205" i="131"/>
  <c r="AJ204" i="131"/>
  <c r="AK204" i="131" s="1"/>
  <c r="AA205" i="131"/>
  <c r="C211" i="131"/>
  <c r="A210" i="131"/>
  <c r="B211" i="131"/>
  <c r="Q207" i="131" l="1"/>
  <c r="V207" i="131" s="1"/>
  <c r="Z207" i="131"/>
  <c r="AM207" i="131"/>
  <c r="AI205" i="131"/>
  <c r="AP205" i="131"/>
  <c r="AC205" i="131"/>
  <c r="AH205" i="131" s="1"/>
  <c r="X210" i="131"/>
  <c r="E211" i="131"/>
  <c r="J211" i="131" s="1"/>
  <c r="P207" i="131" l="1"/>
  <c r="U207" i="131" s="1"/>
  <c r="AB205" i="131"/>
  <c r="D211" i="131"/>
  <c r="W207" i="131" l="1"/>
  <c r="AO207" i="131" s="1"/>
  <c r="T207" i="131"/>
  <c r="AF205" i="131"/>
  <c r="AG205" i="131"/>
  <c r="AL205" i="131"/>
  <c r="H211" i="131"/>
  <c r="I211" i="131"/>
  <c r="K211" i="131"/>
  <c r="AU207" i="131" l="1"/>
  <c r="AV207" i="131" s="1"/>
  <c r="AT207" i="131"/>
  <c r="O208" i="131"/>
  <c r="N208" i="131"/>
  <c r="M208" i="131" s="1"/>
  <c r="L208" i="131" s="1"/>
  <c r="Q208" i="131"/>
  <c r="V208" i="131" s="1"/>
  <c r="AN208" i="131"/>
  <c r="AS208" i="131" s="1"/>
  <c r="Y206" i="131"/>
  <c r="AC206" i="131" s="1"/>
  <c r="AH206" i="131" s="1"/>
  <c r="AA206" i="131"/>
  <c r="AJ205" i="131"/>
  <c r="AK205" i="131" s="1"/>
  <c r="B212" i="131"/>
  <c r="A211" i="131"/>
  <c r="C212" i="131"/>
  <c r="P208" i="131" l="1"/>
  <c r="W208" i="131" s="1"/>
  <c r="AU208" i="131" s="1"/>
  <c r="AV208" i="131" s="1"/>
  <c r="AI206" i="131"/>
  <c r="AP206" i="131"/>
  <c r="AB206" i="131"/>
  <c r="AM208" i="131"/>
  <c r="Z208" i="131"/>
  <c r="X211" i="131"/>
  <c r="E212" i="131"/>
  <c r="J212" i="131" s="1"/>
  <c r="AT208" i="131" l="1"/>
  <c r="N209" i="131"/>
  <c r="Q209" i="131" s="1"/>
  <c r="V209" i="131" s="1"/>
  <c r="O209" i="131"/>
  <c r="AN209" i="131" s="1"/>
  <c r="AS209" i="131" s="1"/>
  <c r="T208" i="131"/>
  <c r="U208" i="131"/>
  <c r="AO208" i="131" s="1"/>
  <c r="AL206" i="131"/>
  <c r="AG206" i="131"/>
  <c r="AF206" i="131"/>
  <c r="D212" i="131"/>
  <c r="M209" i="131" l="1"/>
  <c r="L209" i="131" s="1"/>
  <c r="AM209" i="131" s="1"/>
  <c r="P209" i="131"/>
  <c r="Y207" i="131"/>
  <c r="AA207" i="131"/>
  <c r="AJ206" i="131"/>
  <c r="AK206" i="131" s="1"/>
  <c r="H212" i="131"/>
  <c r="I212" i="131"/>
  <c r="K212" i="131"/>
  <c r="Z209" i="131" l="1"/>
  <c r="AI207" i="131"/>
  <c r="AP207" i="131"/>
  <c r="AC207" i="131"/>
  <c r="AH207" i="131" s="1"/>
  <c r="T209" i="131"/>
  <c r="U209" i="131"/>
  <c r="W209" i="131"/>
  <c r="B213" i="131"/>
  <c r="A212" i="131"/>
  <c r="C213" i="131"/>
  <c r="AT209" i="131" l="1"/>
  <c r="AU209" i="131"/>
  <c r="AV209" i="131" s="1"/>
  <c r="AO209" i="131"/>
  <c r="O210" i="131"/>
  <c r="N210" i="131"/>
  <c r="AB207" i="131"/>
  <c r="X212" i="131"/>
  <c r="E213" i="131"/>
  <c r="J213" i="131" s="1"/>
  <c r="AN210" i="131" l="1"/>
  <c r="AS210" i="131" s="1"/>
  <c r="AF207" i="131"/>
  <c r="AG207" i="131"/>
  <c r="AL207" i="131"/>
  <c r="M210" i="131"/>
  <c r="L210" i="131" s="1"/>
  <c r="Q210" i="131"/>
  <c r="V210" i="131" s="1"/>
  <c r="D213" i="131"/>
  <c r="AM210" i="131" l="1"/>
  <c r="Z210" i="131"/>
  <c r="AJ207" i="131"/>
  <c r="AK207" i="131" s="1"/>
  <c r="Y208" i="131"/>
  <c r="AA208" i="131"/>
  <c r="P210" i="131"/>
  <c r="I213" i="131"/>
  <c r="H213" i="131"/>
  <c r="K213" i="131"/>
  <c r="T210" i="131" l="1"/>
  <c r="U210" i="131"/>
  <c r="W210" i="131"/>
  <c r="AP208" i="131"/>
  <c r="AI208" i="131"/>
  <c r="AC208" i="131"/>
  <c r="AH208" i="131" s="1"/>
  <c r="C214" i="131"/>
  <c r="A213" i="131"/>
  <c r="B214" i="131"/>
  <c r="AB208" i="131" l="1"/>
  <c r="AO210" i="131"/>
  <c r="AU210" i="131"/>
  <c r="AV210" i="131" s="1"/>
  <c r="O211" i="131"/>
  <c r="N211" i="131"/>
  <c r="AT210" i="131"/>
  <c r="X213" i="131"/>
  <c r="E214" i="131"/>
  <c r="J214" i="131" s="1"/>
  <c r="M211" i="131" l="1"/>
  <c r="L211" i="131" s="1"/>
  <c r="Q211" i="131"/>
  <c r="V211" i="131" s="1"/>
  <c r="AN211" i="131"/>
  <c r="AS211" i="131" s="1"/>
  <c r="AF208" i="131"/>
  <c r="AG208" i="131"/>
  <c r="AL208" i="131"/>
  <c r="D214" i="131"/>
  <c r="Y209" i="131" l="1"/>
  <c r="AC209" i="131" s="1"/>
  <c r="AH209" i="131" s="1"/>
  <c r="AJ208" i="131"/>
  <c r="AK208" i="131" s="1"/>
  <c r="AA209" i="131"/>
  <c r="P211" i="131"/>
  <c r="Z211" i="131"/>
  <c r="AM211" i="131"/>
  <c r="I214" i="131"/>
  <c r="H214" i="131"/>
  <c r="K214" i="131"/>
  <c r="W211" i="131" l="1"/>
  <c r="U211" i="131"/>
  <c r="T211" i="131"/>
  <c r="AI209" i="131"/>
  <c r="AP209" i="131"/>
  <c r="AB209" i="131"/>
  <c r="C215" i="131"/>
  <c r="A214" i="131"/>
  <c r="B215" i="131"/>
  <c r="AL209" i="131" l="1"/>
  <c r="AF209" i="131"/>
  <c r="AG209" i="131"/>
  <c r="AO211" i="131"/>
  <c r="AU211" i="131"/>
  <c r="AV211" i="131" s="1"/>
  <c r="O212" i="131"/>
  <c r="AT211" i="131"/>
  <c r="N212" i="131"/>
  <c r="X214" i="131"/>
  <c r="E215" i="131"/>
  <c r="J215" i="131" s="1"/>
  <c r="M212" i="131" l="1"/>
  <c r="L212" i="131" s="1"/>
  <c r="Q212" i="131"/>
  <c r="V212" i="131" s="1"/>
  <c r="AN212" i="131"/>
  <c r="AS212" i="131" s="1"/>
  <c r="Y210" i="131"/>
  <c r="AA210" i="131"/>
  <c r="AJ209" i="131"/>
  <c r="AK209" i="131" s="1"/>
  <c r="D215" i="131"/>
  <c r="I215" i="131" s="1"/>
  <c r="P212" i="131" l="1"/>
  <c r="W212" i="131" s="1"/>
  <c r="N213" i="131" s="1"/>
  <c r="H215" i="131"/>
  <c r="AI210" i="131"/>
  <c r="AP210" i="131"/>
  <c r="AC210" i="131"/>
  <c r="AH210" i="131" s="1"/>
  <c r="AM212" i="131"/>
  <c r="Z212" i="131"/>
  <c r="K215" i="131"/>
  <c r="C216" i="131" s="1"/>
  <c r="T212" i="131" l="1"/>
  <c r="U212" i="131"/>
  <c r="AO212" i="131" s="1"/>
  <c r="O213" i="131"/>
  <c r="AN213" i="131" s="1"/>
  <c r="AS213" i="131" s="1"/>
  <c r="AU212" i="131"/>
  <c r="AV212" i="131" s="1"/>
  <c r="AT212" i="131"/>
  <c r="B216" i="131"/>
  <c r="E216" i="131" s="1"/>
  <c r="J216" i="131" s="1"/>
  <c r="A215" i="131"/>
  <c r="X215" i="131" s="1"/>
  <c r="AB210" i="131"/>
  <c r="M213" i="131"/>
  <c r="L213" i="131" s="1"/>
  <c r="Q213" i="131"/>
  <c r="V213" i="131" s="1"/>
  <c r="P213" i="131" l="1"/>
  <c r="Z213" i="131"/>
  <c r="AM213" i="131"/>
  <c r="AG210" i="131"/>
  <c r="AF210" i="131"/>
  <c r="AL210" i="131"/>
  <c r="D216" i="131"/>
  <c r="AJ210" i="131" l="1"/>
  <c r="AK210" i="131" s="1"/>
  <c r="Y211" i="131"/>
  <c r="AA211" i="131"/>
  <c r="W213" i="131"/>
  <c r="U213" i="131"/>
  <c r="T213" i="131"/>
  <c r="H216" i="131"/>
  <c r="I216" i="131"/>
  <c r="K216" i="131"/>
  <c r="AO213" i="131" l="1"/>
  <c r="O214" i="131"/>
  <c r="AU213" i="131"/>
  <c r="AV213" i="131" s="1"/>
  <c r="N214" i="131"/>
  <c r="AT213" i="131"/>
  <c r="AC211" i="131"/>
  <c r="AH211" i="131" s="1"/>
  <c r="AP211" i="131"/>
  <c r="AI211" i="131"/>
  <c r="B217" i="131"/>
  <c r="A216" i="131"/>
  <c r="C217" i="131"/>
  <c r="M214" i="131" l="1"/>
  <c r="L214" i="131" s="1"/>
  <c r="Q214" i="131"/>
  <c r="V214" i="131" s="1"/>
  <c r="AB211" i="131"/>
  <c r="AN214" i="131"/>
  <c r="AS214" i="131" s="1"/>
  <c r="E217" i="131"/>
  <c r="J217" i="131" s="1"/>
  <c r="X216" i="131"/>
  <c r="P214" i="131" l="1"/>
  <c r="T214" i="131" s="1"/>
  <c r="AG211" i="131"/>
  <c r="AF211" i="131"/>
  <c r="AL211" i="131"/>
  <c r="AM214" i="131"/>
  <c r="Z214" i="131"/>
  <c r="D217" i="131"/>
  <c r="U214" i="131" l="1"/>
  <c r="W214" i="131"/>
  <c r="AT214" i="131" s="1"/>
  <c r="Y212" i="131"/>
  <c r="AC212" i="131" s="1"/>
  <c r="AH212" i="131" s="1"/>
  <c r="AA212" i="131"/>
  <c r="AJ211" i="131"/>
  <c r="AK211" i="131" s="1"/>
  <c r="I217" i="131"/>
  <c r="H217" i="131"/>
  <c r="K217" i="131"/>
  <c r="AU214" i="131" l="1"/>
  <c r="AV214" i="131" s="1"/>
  <c r="N215" i="131"/>
  <c r="M215" i="131" s="1"/>
  <c r="L215" i="131" s="1"/>
  <c r="O215" i="131"/>
  <c r="AN215" i="131" s="1"/>
  <c r="AS215" i="131" s="1"/>
  <c r="AO214" i="131"/>
  <c r="AP212" i="131"/>
  <c r="AB212" i="131"/>
  <c r="AI212" i="131"/>
  <c r="C218" i="131"/>
  <c r="A217" i="131"/>
  <c r="B218" i="131"/>
  <c r="Q215" i="131" l="1"/>
  <c r="V215" i="131" s="1"/>
  <c r="AM215" i="131"/>
  <c r="Z215" i="131"/>
  <c r="AL212" i="131"/>
  <c r="AG212" i="131"/>
  <c r="AF212" i="131"/>
  <c r="E218" i="131"/>
  <c r="J218" i="131" s="1"/>
  <c r="X217" i="131"/>
  <c r="P215" i="131" l="1"/>
  <c r="W215" i="131" s="1"/>
  <c r="Y213" i="131"/>
  <c r="AA213" i="131"/>
  <c r="AJ212" i="131"/>
  <c r="AK212" i="131" s="1"/>
  <c r="D218" i="131"/>
  <c r="I218" i="131" s="1"/>
  <c r="T215" i="131" l="1"/>
  <c r="U215" i="131"/>
  <c r="AO215" i="131" s="1"/>
  <c r="AI213" i="131"/>
  <c r="AP213" i="131"/>
  <c r="O216" i="131"/>
  <c r="AU215" i="131"/>
  <c r="AV215" i="131" s="1"/>
  <c r="N216" i="131"/>
  <c r="AT215" i="131"/>
  <c r="H218" i="131"/>
  <c r="K218" i="131"/>
  <c r="B219" i="131" s="1"/>
  <c r="AC213" i="131"/>
  <c r="AH213" i="131" s="1"/>
  <c r="A218" i="131" l="1"/>
  <c r="X218" i="131" s="1"/>
  <c r="C219" i="131"/>
  <c r="AN216" i="131"/>
  <c r="AS216" i="131" s="1"/>
  <c r="M216" i="131"/>
  <c r="L216" i="131" s="1"/>
  <c r="Q216" i="131"/>
  <c r="V216" i="131" s="1"/>
  <c r="AB213" i="131"/>
  <c r="E219" i="131"/>
  <c r="J219" i="131" s="1"/>
  <c r="AF213" i="131" l="1"/>
  <c r="AG213" i="131"/>
  <c r="AL213" i="131"/>
  <c r="Z216" i="131"/>
  <c r="AM216" i="131"/>
  <c r="P216" i="131"/>
  <c r="D219" i="131"/>
  <c r="T216" i="131" l="1"/>
  <c r="U216" i="131"/>
  <c r="W216" i="131"/>
  <c r="Y214" i="131"/>
  <c r="AJ213" i="131"/>
  <c r="AK213" i="131" s="1"/>
  <c r="AA214" i="131"/>
  <c r="H219" i="131"/>
  <c r="I219" i="131"/>
  <c r="K219" i="131"/>
  <c r="AC214" i="131" l="1"/>
  <c r="AH214" i="131" s="1"/>
  <c r="AP214" i="131"/>
  <c r="AI214" i="131"/>
  <c r="AT216" i="131"/>
  <c r="AO216" i="131"/>
  <c r="AU216" i="131"/>
  <c r="AV216" i="131" s="1"/>
  <c r="N217" i="131"/>
  <c r="O217" i="131"/>
  <c r="B220" i="131"/>
  <c r="C220" i="131"/>
  <c r="A219" i="131"/>
  <c r="AB214" i="131" l="1"/>
  <c r="AN217" i="131"/>
  <c r="AS217" i="131" s="1"/>
  <c r="Q217" i="131"/>
  <c r="V217" i="131" s="1"/>
  <c r="M217" i="131"/>
  <c r="L217" i="131" s="1"/>
  <c r="X219" i="131"/>
  <c r="E220" i="131"/>
  <c r="J220" i="131" s="1"/>
  <c r="Z217" i="131" l="1"/>
  <c r="AM217" i="131"/>
  <c r="P217" i="131"/>
  <c r="AF214" i="131"/>
  <c r="AG214" i="131"/>
  <c r="AL214" i="131"/>
  <c r="D220" i="131"/>
  <c r="H220" i="131" s="1"/>
  <c r="Y215" i="131" l="1"/>
  <c r="AA215" i="131"/>
  <c r="AJ214" i="131"/>
  <c r="AK214" i="131" s="1"/>
  <c r="U217" i="131"/>
  <c r="T217" i="131"/>
  <c r="W217" i="131"/>
  <c r="K220" i="131"/>
  <c r="B221" i="131" s="1"/>
  <c r="I220" i="131"/>
  <c r="N218" i="131" l="1"/>
  <c r="AO217" i="131"/>
  <c r="AT217" i="131"/>
  <c r="O218" i="131"/>
  <c r="AU217" i="131"/>
  <c r="AV217" i="131" s="1"/>
  <c r="AP215" i="131"/>
  <c r="AI215" i="131"/>
  <c r="AC215" i="131"/>
  <c r="AH215" i="131" s="1"/>
  <c r="C221" i="131"/>
  <c r="A220" i="131"/>
  <c r="E221" i="131"/>
  <c r="J221" i="131" s="1"/>
  <c r="AN218" i="131" l="1"/>
  <c r="AS218" i="131" s="1"/>
  <c r="AB215" i="131"/>
  <c r="M218" i="131"/>
  <c r="L218" i="131" s="1"/>
  <c r="Q218" i="131"/>
  <c r="V218" i="131" s="1"/>
  <c r="X220" i="131"/>
  <c r="D221" i="131"/>
  <c r="I221" i="131" s="1"/>
  <c r="Z218" i="131" l="1"/>
  <c r="AM218" i="131"/>
  <c r="H221" i="131"/>
  <c r="AG215" i="131"/>
  <c r="AF215" i="131"/>
  <c r="AL215" i="131"/>
  <c r="P218" i="131"/>
  <c r="K221" i="131"/>
  <c r="A221" i="131" s="1"/>
  <c r="W218" i="131" l="1"/>
  <c r="U218" i="131"/>
  <c r="T218" i="131"/>
  <c r="Y216" i="131"/>
  <c r="AA216" i="131"/>
  <c r="AJ215" i="131"/>
  <c r="AK215" i="131" s="1"/>
  <c r="C222" i="131"/>
  <c r="B222" i="131"/>
  <c r="E222" i="131" s="1"/>
  <c r="J222" i="131" s="1"/>
  <c r="X221" i="131"/>
  <c r="AC216" i="131" l="1"/>
  <c r="AH216" i="131" s="1"/>
  <c r="AO218" i="131"/>
  <c r="AP216" i="131"/>
  <c r="AI216" i="131"/>
  <c r="N219" i="131"/>
  <c r="AU218" i="131"/>
  <c r="AV218" i="131" s="1"/>
  <c r="AT218" i="131"/>
  <c r="O219" i="131"/>
  <c r="D222" i="131"/>
  <c r="AB216" i="131" l="1"/>
  <c r="AF216" i="131" s="1"/>
  <c r="Q219" i="131"/>
  <c r="V219" i="131" s="1"/>
  <c r="M219" i="131"/>
  <c r="L219" i="131" s="1"/>
  <c r="AN219" i="131"/>
  <c r="AS219" i="131" s="1"/>
  <c r="I222" i="131"/>
  <c r="H222" i="131"/>
  <c r="K222" i="131"/>
  <c r="AL216" i="131" l="1"/>
  <c r="AA217" i="131" s="1"/>
  <c r="AG216" i="131"/>
  <c r="P219" i="131"/>
  <c r="Z219" i="131"/>
  <c r="AM219" i="131"/>
  <c r="C223" i="131"/>
  <c r="A222" i="131"/>
  <c r="B223" i="131"/>
  <c r="AJ216" i="131" l="1"/>
  <c r="AK216" i="131" s="1"/>
  <c r="Y217" i="131"/>
  <c r="AC217" i="131" s="1"/>
  <c r="AH217" i="131" s="1"/>
  <c r="U219" i="131"/>
  <c r="T219" i="131"/>
  <c r="W219" i="131"/>
  <c r="AP217" i="131"/>
  <c r="AI217" i="131"/>
  <c r="E223" i="131"/>
  <c r="J223" i="131" s="1"/>
  <c r="X222" i="131"/>
  <c r="AB217" i="131" l="1"/>
  <c r="AL217" i="131" s="1"/>
  <c r="AO219" i="131"/>
  <c r="AU219" i="131"/>
  <c r="AV219" i="131" s="1"/>
  <c r="AT219" i="131"/>
  <c r="N220" i="131"/>
  <c r="O220" i="131"/>
  <c r="D223" i="131"/>
  <c r="AG217" i="131" l="1"/>
  <c r="AF217" i="131"/>
  <c r="AN220" i="131"/>
  <c r="AS220" i="131" s="1"/>
  <c r="M220" i="131"/>
  <c r="L220" i="131" s="1"/>
  <c r="Q220" i="131"/>
  <c r="V220" i="131" s="1"/>
  <c r="AJ217" i="131"/>
  <c r="AK217" i="131" s="1"/>
  <c r="Y218" i="131"/>
  <c r="AA218" i="131"/>
  <c r="H223" i="131"/>
  <c r="I223" i="131"/>
  <c r="K223" i="131"/>
  <c r="AI218" i="131" l="1"/>
  <c r="AP218" i="131"/>
  <c r="AC218" i="131"/>
  <c r="AH218" i="131" s="1"/>
  <c r="Z220" i="131"/>
  <c r="AM220" i="131"/>
  <c r="P220" i="131"/>
  <c r="B224" i="131"/>
  <c r="A223" i="131"/>
  <c r="C224" i="131"/>
  <c r="W220" i="131" l="1"/>
  <c r="U220" i="131"/>
  <c r="T220" i="131"/>
  <c r="AB218" i="131"/>
  <c r="X223" i="131"/>
  <c r="E224" i="131"/>
  <c r="J224" i="131" s="1"/>
  <c r="AO220" i="131" l="1"/>
  <c r="AF218" i="131"/>
  <c r="AG218" i="131"/>
  <c r="AL218" i="131"/>
  <c r="N221" i="131"/>
  <c r="AT220" i="131"/>
  <c r="AU220" i="131"/>
  <c r="AV220" i="131" s="1"/>
  <c r="O221" i="131"/>
  <c r="D224" i="131"/>
  <c r="AN221" i="131" l="1"/>
  <c r="AS221" i="131" s="1"/>
  <c r="Q221" i="131"/>
  <c r="V221" i="131" s="1"/>
  <c r="M221" i="131"/>
  <c r="L221" i="131" s="1"/>
  <c r="Y219" i="131"/>
  <c r="AJ218" i="131"/>
  <c r="AK218" i="131" s="1"/>
  <c r="AA219" i="131"/>
  <c r="H224" i="131"/>
  <c r="I224" i="131"/>
  <c r="K224" i="131"/>
  <c r="Z221" i="131" l="1"/>
  <c r="AM221" i="131"/>
  <c r="AI219" i="131"/>
  <c r="AP219" i="131"/>
  <c r="AC219" i="131"/>
  <c r="AH219" i="131" s="1"/>
  <c r="P221" i="131"/>
  <c r="B225" i="131"/>
  <c r="C225" i="131"/>
  <c r="A224" i="131"/>
  <c r="T221" i="131" l="1"/>
  <c r="U221" i="131"/>
  <c r="W221" i="131"/>
  <c r="AB219" i="131"/>
  <c r="X224" i="131"/>
  <c r="E225" i="131"/>
  <c r="J225" i="131" s="1"/>
  <c r="AF219" i="131" l="1"/>
  <c r="AG219" i="131"/>
  <c r="AL219" i="131"/>
  <c r="AO221" i="131"/>
  <c r="N222" i="131"/>
  <c r="AU221" i="131"/>
  <c r="AV221" i="131" s="1"/>
  <c r="AT221" i="131"/>
  <c r="O222" i="131"/>
  <c r="D225" i="131"/>
  <c r="M222" i="131" l="1"/>
  <c r="L222" i="131" s="1"/>
  <c r="Q222" i="131"/>
  <c r="V222" i="131" s="1"/>
  <c r="AN222" i="131"/>
  <c r="AS222" i="131" s="1"/>
  <c r="Y220" i="131"/>
  <c r="AA220" i="131"/>
  <c r="AJ219" i="131"/>
  <c r="AK219" i="131" s="1"/>
  <c r="I225" i="131"/>
  <c r="H225" i="131"/>
  <c r="K225" i="131"/>
  <c r="P222" i="131" l="1"/>
  <c r="W222" i="131" s="1"/>
  <c r="O223" i="131" s="1"/>
  <c r="AC220" i="131"/>
  <c r="AH220" i="131" s="1"/>
  <c r="AP220" i="131"/>
  <c r="AI220" i="131"/>
  <c r="Z222" i="131"/>
  <c r="AM222" i="131"/>
  <c r="C226" i="131"/>
  <c r="A225" i="131"/>
  <c r="B226" i="131"/>
  <c r="AU222" i="131" l="1"/>
  <c r="AV222" i="131" s="1"/>
  <c r="AT222" i="131"/>
  <c r="N223" i="131"/>
  <c r="U222" i="131"/>
  <c r="AO222" i="131" s="1"/>
  <c r="T222" i="131"/>
  <c r="AB220" i="131"/>
  <c r="AF220" i="131" s="1"/>
  <c r="M223" i="131"/>
  <c r="L223" i="131" s="1"/>
  <c r="Q223" i="131"/>
  <c r="V223" i="131" s="1"/>
  <c r="AN223" i="131"/>
  <c r="AS223" i="131" s="1"/>
  <c r="E226" i="131"/>
  <c r="J226" i="131" s="1"/>
  <c r="X225" i="131"/>
  <c r="AL220" i="131" l="1"/>
  <c r="Y221" i="131" s="1"/>
  <c r="AG220" i="131"/>
  <c r="P223" i="131"/>
  <c r="Z223" i="131"/>
  <c r="AM223" i="131"/>
  <c r="D226" i="131"/>
  <c r="AA221" i="131" l="1"/>
  <c r="AP221" i="131" s="1"/>
  <c r="AJ220" i="131"/>
  <c r="AK220" i="131" s="1"/>
  <c r="AC221" i="131"/>
  <c r="AH221" i="131" s="1"/>
  <c r="U223" i="131"/>
  <c r="T223" i="131"/>
  <c r="W223" i="131"/>
  <c r="I226" i="131"/>
  <c r="H226" i="131"/>
  <c r="K226" i="131"/>
  <c r="AI221" i="131" l="1"/>
  <c r="AB221" i="131"/>
  <c r="AG221" i="131" s="1"/>
  <c r="AU223" i="131"/>
  <c r="AV223" i="131" s="1"/>
  <c r="AT223" i="131"/>
  <c r="N224" i="131"/>
  <c r="AO223" i="131"/>
  <c r="O224" i="131"/>
  <c r="C227" i="131"/>
  <c r="A226" i="131"/>
  <c r="B227" i="131"/>
  <c r="AL221" i="131" l="1"/>
  <c r="Y222" i="131" s="1"/>
  <c r="AF221" i="131"/>
  <c r="AN224" i="131"/>
  <c r="AS224" i="131" s="1"/>
  <c r="Q224" i="131"/>
  <c r="V224" i="131" s="1"/>
  <c r="M224" i="131"/>
  <c r="L224" i="131" s="1"/>
  <c r="E227" i="131"/>
  <c r="J227" i="131" s="1"/>
  <c r="X226" i="131"/>
  <c r="AA222" i="131" l="1"/>
  <c r="AI222" i="131" s="1"/>
  <c r="AJ221" i="131"/>
  <c r="AK221" i="131" s="1"/>
  <c r="AC222" i="131"/>
  <c r="AH222" i="131" s="1"/>
  <c r="AM224" i="131"/>
  <c r="Z224" i="131"/>
  <c r="P224" i="131"/>
  <c r="D227" i="131"/>
  <c r="AP222" i="131" l="1"/>
  <c r="AB222" i="131"/>
  <c r="AG222" i="131" s="1"/>
  <c r="T224" i="131"/>
  <c r="U224" i="131"/>
  <c r="W224" i="131"/>
  <c r="H227" i="131"/>
  <c r="I227" i="131"/>
  <c r="K227" i="131"/>
  <c r="AF222" i="131" l="1"/>
  <c r="AL222" i="131"/>
  <c r="AA223" i="131" s="1"/>
  <c r="N225" i="131"/>
  <c r="AT224" i="131"/>
  <c r="AO224" i="131"/>
  <c r="AU224" i="131"/>
  <c r="AV224" i="131" s="1"/>
  <c r="O225" i="131"/>
  <c r="B228" i="131"/>
  <c r="C228" i="131"/>
  <c r="A227" i="131"/>
  <c r="Y223" i="131" l="1"/>
  <c r="AC223" i="131" s="1"/>
  <c r="AH223" i="131" s="1"/>
  <c r="AJ222" i="131"/>
  <c r="AK222" i="131" s="1"/>
  <c r="AN225" i="131"/>
  <c r="AS225" i="131" s="1"/>
  <c r="AP223" i="131"/>
  <c r="AI223" i="131"/>
  <c r="M225" i="131"/>
  <c r="L225" i="131" s="1"/>
  <c r="Q225" i="131"/>
  <c r="V225" i="131" s="1"/>
  <c r="X227" i="131"/>
  <c r="E228" i="131"/>
  <c r="J228" i="131" s="1"/>
  <c r="AB223" i="131" l="1"/>
  <c r="Z225" i="131"/>
  <c r="AM225" i="131"/>
  <c r="P225" i="131"/>
  <c r="D228" i="131"/>
  <c r="T225" i="131" l="1"/>
  <c r="U225" i="131"/>
  <c r="W225" i="131"/>
  <c r="AF223" i="131"/>
  <c r="AG223" i="131"/>
  <c r="AL223" i="131"/>
  <c r="I228" i="131"/>
  <c r="H228" i="131"/>
  <c r="K228" i="131"/>
  <c r="Y224" i="131" l="1"/>
  <c r="AJ223" i="131"/>
  <c r="AK223" i="131" s="1"/>
  <c r="AA224" i="131"/>
  <c r="AO225" i="131"/>
  <c r="N226" i="131"/>
  <c r="AT225" i="131"/>
  <c r="AU225" i="131"/>
  <c r="AV225" i="131" s="1"/>
  <c r="O226" i="131"/>
  <c r="C229" i="131"/>
  <c r="A228" i="131"/>
  <c r="B229" i="131"/>
  <c r="M226" i="131" l="1"/>
  <c r="L226" i="131" s="1"/>
  <c r="Q226" i="131"/>
  <c r="V226" i="131" s="1"/>
  <c r="AN226" i="131"/>
  <c r="AS226" i="131" s="1"/>
  <c r="AI224" i="131"/>
  <c r="AP224" i="131"/>
  <c r="AC224" i="131"/>
  <c r="AH224" i="131" s="1"/>
  <c r="X228" i="131"/>
  <c r="E229" i="131"/>
  <c r="J229" i="131" s="1"/>
  <c r="AB224" i="131" l="1"/>
  <c r="AG224" i="131" s="1"/>
  <c r="P226" i="131"/>
  <c r="Z226" i="131"/>
  <c r="AM226" i="131"/>
  <c r="D229" i="131"/>
  <c r="I229" i="131" s="1"/>
  <c r="AF224" i="131" l="1"/>
  <c r="AL224" i="131"/>
  <c r="Y225" i="131" s="1"/>
  <c r="T226" i="131"/>
  <c r="U226" i="131"/>
  <c r="W226" i="131"/>
  <c r="K229" i="131"/>
  <c r="C230" i="131" s="1"/>
  <c r="H229" i="131"/>
  <c r="AA225" i="131" l="1"/>
  <c r="AP225" i="131" s="1"/>
  <c r="AJ224" i="131"/>
  <c r="AK224" i="131" s="1"/>
  <c r="N227" i="131"/>
  <c r="AT226" i="131"/>
  <c r="AO226" i="131"/>
  <c r="AU226" i="131"/>
  <c r="AV226" i="131" s="1"/>
  <c r="O227" i="131"/>
  <c r="B230" i="131"/>
  <c r="E230" i="131" s="1"/>
  <c r="J230" i="131" s="1"/>
  <c r="A229" i="131"/>
  <c r="X229" i="131" s="1"/>
  <c r="AC225" i="131"/>
  <c r="AH225" i="131" s="1"/>
  <c r="AI225" i="131" l="1"/>
  <c r="AN227" i="131"/>
  <c r="AS227" i="131" s="1"/>
  <c r="AB225" i="131"/>
  <c r="M227" i="131"/>
  <c r="L227" i="131" s="1"/>
  <c r="Q227" i="131"/>
  <c r="V227" i="131" s="1"/>
  <c r="D230" i="131"/>
  <c r="AM227" i="131" l="1"/>
  <c r="Z227" i="131"/>
  <c r="AG225" i="131"/>
  <c r="AF225" i="131"/>
  <c r="AL225" i="131"/>
  <c r="P227" i="131"/>
  <c r="I230" i="131"/>
  <c r="H230" i="131"/>
  <c r="K230" i="131"/>
  <c r="U227" i="131" l="1"/>
  <c r="T227" i="131"/>
  <c r="W227" i="131"/>
  <c r="AJ225" i="131"/>
  <c r="AK225" i="131" s="1"/>
  <c r="AA226" i="131"/>
  <c r="Y226" i="131"/>
  <c r="C231" i="131"/>
  <c r="A230" i="131"/>
  <c r="B231" i="131"/>
  <c r="AC226" i="131" l="1"/>
  <c r="AH226" i="131" s="1"/>
  <c r="AI226" i="131"/>
  <c r="AP226" i="131"/>
  <c r="AT227" i="131"/>
  <c r="N228" i="131"/>
  <c r="AO227" i="131"/>
  <c r="AU227" i="131"/>
  <c r="AV227" i="131" s="1"/>
  <c r="O228" i="131"/>
  <c r="E231" i="131"/>
  <c r="J231" i="131" s="1"/>
  <c r="X230" i="131"/>
  <c r="AB226" i="131" l="1"/>
  <c r="AG226" i="131" s="1"/>
  <c r="Q228" i="131"/>
  <c r="V228" i="131" s="1"/>
  <c r="M228" i="131"/>
  <c r="L228" i="131" s="1"/>
  <c r="AN228" i="131"/>
  <c r="AS228" i="131" s="1"/>
  <c r="D231" i="131"/>
  <c r="K231" i="131" s="1"/>
  <c r="AL226" i="131" l="1"/>
  <c r="AA227" i="131" s="1"/>
  <c r="AF226" i="131"/>
  <c r="H231" i="131"/>
  <c r="P228" i="131"/>
  <c r="W228" i="131" s="1"/>
  <c r="I231" i="131"/>
  <c r="AM228" i="131"/>
  <c r="Z228" i="131"/>
  <c r="C232" i="131"/>
  <c r="B232" i="131"/>
  <c r="A231" i="131"/>
  <c r="AJ226" i="131" l="1"/>
  <c r="AK226" i="131" s="1"/>
  <c r="Y227" i="131"/>
  <c r="AC227" i="131" s="1"/>
  <c r="AH227" i="131" s="1"/>
  <c r="T228" i="131"/>
  <c r="U228" i="131"/>
  <c r="AO228" i="131" s="1"/>
  <c r="AI227" i="131"/>
  <c r="AP227" i="131"/>
  <c r="AU228" i="131"/>
  <c r="AV228" i="131" s="1"/>
  <c r="N229" i="131"/>
  <c r="AT228" i="131"/>
  <c r="O229" i="131"/>
  <c r="X231" i="131"/>
  <c r="E232" i="131"/>
  <c r="J232" i="131" s="1"/>
  <c r="M229" i="131" l="1"/>
  <c r="L229" i="131" s="1"/>
  <c r="Q229" i="131"/>
  <c r="V229" i="131" s="1"/>
  <c r="AN229" i="131"/>
  <c r="AS229" i="131" s="1"/>
  <c r="AB227" i="131"/>
  <c r="D232" i="131"/>
  <c r="P229" i="131" l="1"/>
  <c r="U229" i="131" s="1"/>
  <c r="AG227" i="131"/>
  <c r="AF227" i="131"/>
  <c r="AL227" i="131"/>
  <c r="AM229" i="131"/>
  <c r="Z229" i="131"/>
  <c r="I232" i="131"/>
  <c r="H232" i="131"/>
  <c r="K232" i="131"/>
  <c r="W229" i="131" l="1"/>
  <c r="N230" i="131" s="1"/>
  <c r="T229" i="131"/>
  <c r="AA228" i="131"/>
  <c r="AJ227" i="131"/>
  <c r="AK227" i="131" s="1"/>
  <c r="Y228" i="131"/>
  <c r="O230" i="131"/>
  <c r="C233" i="131"/>
  <c r="A232" i="131"/>
  <c r="B233" i="131"/>
  <c r="AT229" i="131" l="1"/>
  <c r="AU229" i="131"/>
  <c r="AV229" i="131" s="1"/>
  <c r="AO229" i="131"/>
  <c r="AN230" i="131"/>
  <c r="AS230" i="131" s="1"/>
  <c r="AC228" i="131"/>
  <c r="AH228" i="131" s="1"/>
  <c r="Q230" i="131"/>
  <c r="V230" i="131" s="1"/>
  <c r="M230" i="131"/>
  <c r="L230" i="131" s="1"/>
  <c r="AP228" i="131"/>
  <c r="AI228" i="131"/>
  <c r="X232" i="131"/>
  <c r="E233" i="131"/>
  <c r="J233" i="131" s="1"/>
  <c r="Z230" i="131" l="1"/>
  <c r="AM230" i="131"/>
  <c r="AB228" i="131"/>
  <c r="P230" i="131"/>
  <c r="D233" i="131"/>
  <c r="K233" i="131" s="1"/>
  <c r="C234" i="131" s="1"/>
  <c r="H233" i="131" l="1"/>
  <c r="I233" i="131"/>
  <c r="U230" i="131"/>
  <c r="T230" i="131"/>
  <c r="W230" i="131"/>
  <c r="AF228" i="131"/>
  <c r="AG228" i="131"/>
  <c r="AL228" i="131"/>
  <c r="B234" i="131"/>
  <c r="E234" i="131" s="1"/>
  <c r="J234" i="131" s="1"/>
  <c r="A233" i="131"/>
  <c r="X233" i="131" s="1"/>
  <c r="Y229" i="131" l="1"/>
  <c r="AJ228" i="131"/>
  <c r="AK228" i="131" s="1"/>
  <c r="AA229" i="131"/>
  <c r="O231" i="131"/>
  <c r="AU230" i="131"/>
  <c r="AV230" i="131" s="1"/>
  <c r="N231" i="131"/>
  <c r="AT230" i="131"/>
  <c r="AO230" i="131"/>
  <c r="D234" i="131"/>
  <c r="AI229" i="131" l="1"/>
  <c r="AP229" i="131"/>
  <c r="Q231" i="131"/>
  <c r="V231" i="131" s="1"/>
  <c r="M231" i="131"/>
  <c r="L231" i="131" s="1"/>
  <c r="AN231" i="131"/>
  <c r="AS231" i="131" s="1"/>
  <c r="AC229" i="131"/>
  <c r="AH229" i="131" s="1"/>
  <c r="I234" i="131"/>
  <c r="H234" i="131"/>
  <c r="K234" i="131"/>
  <c r="P231" i="131" l="1"/>
  <c r="U231" i="131" s="1"/>
  <c r="AB229" i="131"/>
  <c r="AG229" i="131" s="1"/>
  <c r="Z231" i="131"/>
  <c r="AM231" i="131"/>
  <c r="C235" i="131"/>
  <c r="A234" i="131"/>
  <c r="B235" i="131"/>
  <c r="T231" i="131" l="1"/>
  <c r="W231" i="131"/>
  <c r="O232" i="131" s="1"/>
  <c r="AF229" i="131"/>
  <c r="AL229" i="131"/>
  <c r="Y230" i="131" s="1"/>
  <c r="X234" i="131"/>
  <c r="E235" i="131"/>
  <c r="J235" i="131" s="1"/>
  <c r="AT231" i="131" l="1"/>
  <c r="AO231" i="131"/>
  <c r="AJ229" i="131"/>
  <c r="AK229" i="131" s="1"/>
  <c r="AA230" i="131"/>
  <c r="AP230" i="131" s="1"/>
  <c r="N232" i="131"/>
  <c r="M232" i="131" s="1"/>
  <c r="L232" i="131" s="1"/>
  <c r="AU231" i="131"/>
  <c r="AV231" i="131" s="1"/>
  <c r="AN232" i="131"/>
  <c r="AS232" i="131" s="1"/>
  <c r="AC230" i="131"/>
  <c r="AH230" i="131" s="1"/>
  <c r="D235" i="131"/>
  <c r="Q232" i="131" l="1"/>
  <c r="V232" i="131" s="1"/>
  <c r="AI230" i="131"/>
  <c r="AB230" i="131"/>
  <c r="AG230" i="131" s="1"/>
  <c r="AM232" i="131"/>
  <c r="Z232" i="131"/>
  <c r="I235" i="131"/>
  <c r="H235" i="131"/>
  <c r="K235" i="131"/>
  <c r="P232" i="131" l="1"/>
  <c r="U232" i="131" s="1"/>
  <c r="AL230" i="131"/>
  <c r="AJ230" i="131" s="1"/>
  <c r="AK230" i="131" s="1"/>
  <c r="AF230" i="131"/>
  <c r="C236" i="131"/>
  <c r="A235" i="131"/>
  <c r="B236" i="131"/>
  <c r="W232" i="131" l="1"/>
  <c r="AT232" i="131" s="1"/>
  <c r="T232" i="131"/>
  <c r="Y231" i="131"/>
  <c r="AC231" i="131" s="1"/>
  <c r="AH231" i="131" s="1"/>
  <c r="AA231" i="131"/>
  <c r="AP231" i="131" s="1"/>
  <c r="E236" i="131"/>
  <c r="J236" i="131" s="1"/>
  <c r="X235" i="131"/>
  <c r="N233" i="131" l="1"/>
  <c r="O233" i="131"/>
  <c r="AN233" i="131" s="1"/>
  <c r="AS233" i="131" s="1"/>
  <c r="AU232" i="131"/>
  <c r="AV232" i="131" s="1"/>
  <c r="AO232" i="131"/>
  <c r="AB231" i="131"/>
  <c r="AG231" i="131" s="1"/>
  <c r="AI231" i="131"/>
  <c r="D236" i="131"/>
  <c r="Q233" i="131" l="1"/>
  <c r="M233" i="131"/>
  <c r="L233" i="131" s="1"/>
  <c r="AF231" i="131"/>
  <c r="AL231" i="131"/>
  <c r="AA232" i="131" s="1"/>
  <c r="I236" i="131"/>
  <c r="H236" i="131"/>
  <c r="K236" i="131"/>
  <c r="AM233" i="131" l="1"/>
  <c r="Z233" i="131"/>
  <c r="V233" i="131"/>
  <c r="P233" i="131"/>
  <c r="Y232" i="131"/>
  <c r="AC232" i="131" s="1"/>
  <c r="AH232" i="131" s="1"/>
  <c r="AJ231" i="131"/>
  <c r="AK231" i="131" s="1"/>
  <c r="AI232" i="131"/>
  <c r="AP232" i="131"/>
  <c r="C237" i="131"/>
  <c r="A236" i="131"/>
  <c r="B237" i="131"/>
  <c r="T233" i="131" l="1"/>
  <c r="W233" i="131"/>
  <c r="U233" i="131"/>
  <c r="AB232" i="131"/>
  <c r="AG232" i="131" s="1"/>
  <c r="X236" i="131"/>
  <c r="E237" i="131"/>
  <c r="J237" i="131" s="1"/>
  <c r="AF232" i="131" l="1"/>
  <c r="AT233" i="131"/>
  <c r="N234" i="131"/>
  <c r="O234" i="131"/>
  <c r="AO233" i="131"/>
  <c r="AU233" i="131"/>
  <c r="AV233" i="131" s="1"/>
  <c r="AL232" i="131"/>
  <c r="AA233" i="131" s="1"/>
  <c r="AP233" i="131" s="1"/>
  <c r="D237" i="131"/>
  <c r="I237" i="131" s="1"/>
  <c r="AJ232" i="131" l="1"/>
  <c r="AK232" i="131" s="1"/>
  <c r="AI233" i="131"/>
  <c r="AN234" i="131"/>
  <c r="AS234" i="131" s="1"/>
  <c r="Q234" i="131"/>
  <c r="V234" i="131" s="1"/>
  <c r="M234" i="131"/>
  <c r="L234" i="131" s="1"/>
  <c r="Y233" i="131"/>
  <c r="AC233" i="131" s="1"/>
  <c r="AH233" i="131" s="1"/>
  <c r="K237" i="131"/>
  <c r="C238" i="131" s="1"/>
  <c r="H237" i="131"/>
  <c r="AM234" i="131" l="1"/>
  <c r="Z234" i="131"/>
  <c r="P234" i="131"/>
  <c r="AB233" i="131"/>
  <c r="AF233" i="131" s="1"/>
  <c r="B238" i="131"/>
  <c r="E238" i="131" s="1"/>
  <c r="J238" i="131" s="1"/>
  <c r="A237" i="131"/>
  <c r="X237" i="131" s="1"/>
  <c r="AL233" i="131"/>
  <c r="T234" i="131" l="1"/>
  <c r="W234" i="131"/>
  <c r="U234" i="131"/>
  <c r="AG233" i="131"/>
  <c r="Y234" i="131"/>
  <c r="AA234" i="131"/>
  <c r="AJ233" i="131"/>
  <c r="AK233" i="131" s="1"/>
  <c r="D238" i="131"/>
  <c r="N235" i="131" l="1"/>
  <c r="AO234" i="131"/>
  <c r="AT234" i="131"/>
  <c r="O235" i="131"/>
  <c r="AU234" i="131"/>
  <c r="AV234" i="131" s="1"/>
  <c r="I238" i="131"/>
  <c r="H238" i="131"/>
  <c r="K238" i="131"/>
  <c r="AI234" i="131"/>
  <c r="AP234" i="131"/>
  <c r="AC234" i="131"/>
  <c r="AH234" i="131" s="1"/>
  <c r="AN235" i="131" l="1"/>
  <c r="AS235" i="131" s="1"/>
  <c r="M235" i="131"/>
  <c r="L235" i="131" s="1"/>
  <c r="Q235" i="131"/>
  <c r="V235" i="131" s="1"/>
  <c r="AB234" i="131"/>
  <c r="C239" i="131"/>
  <c r="A238" i="131"/>
  <c r="B239" i="131"/>
  <c r="P235" i="131" l="1"/>
  <c r="AM235" i="131"/>
  <c r="Z235" i="131"/>
  <c r="E239" i="131"/>
  <c r="J239" i="131" s="1"/>
  <c r="X238" i="131"/>
  <c r="AG234" i="131"/>
  <c r="AF234" i="131"/>
  <c r="AL234" i="131"/>
  <c r="T235" i="131" l="1"/>
  <c r="U235" i="131"/>
  <c r="W235" i="131"/>
  <c r="Y235" i="131"/>
  <c r="AA235" i="131"/>
  <c r="AJ234" i="131"/>
  <c r="AK234" i="131" s="1"/>
  <c r="D239" i="131"/>
  <c r="AO235" i="131" l="1"/>
  <c r="AT235" i="131"/>
  <c r="O236" i="131"/>
  <c r="AU235" i="131"/>
  <c r="AV235" i="131" s="1"/>
  <c r="N236" i="131"/>
  <c r="I239" i="131"/>
  <c r="H239" i="131"/>
  <c r="K239" i="131"/>
  <c r="AI235" i="131"/>
  <c r="AP235" i="131"/>
  <c r="AC235" i="131"/>
  <c r="AH235" i="131" s="1"/>
  <c r="AN236" i="131" l="1"/>
  <c r="AS236" i="131" s="1"/>
  <c r="Q236" i="131"/>
  <c r="V236" i="131" s="1"/>
  <c r="M236" i="131"/>
  <c r="L236" i="131" s="1"/>
  <c r="AB235" i="131"/>
  <c r="B240" i="131"/>
  <c r="A239" i="131"/>
  <c r="C240" i="131"/>
  <c r="AM236" i="131" l="1"/>
  <c r="Z236" i="131"/>
  <c r="P236" i="131"/>
  <c r="X239" i="131"/>
  <c r="E240" i="131"/>
  <c r="J240" i="131" s="1"/>
  <c r="AG235" i="131"/>
  <c r="AF235" i="131"/>
  <c r="AL235" i="131"/>
  <c r="U236" i="131" l="1"/>
  <c r="T236" i="131"/>
  <c r="W236" i="131"/>
  <c r="D240" i="131"/>
  <c r="Y236" i="131"/>
  <c r="AA236" i="131"/>
  <c r="AJ235" i="131"/>
  <c r="AK235" i="131" s="1"/>
  <c r="N237" i="131" l="1"/>
  <c r="AU236" i="131"/>
  <c r="AV236" i="131" s="1"/>
  <c r="AO236" i="131"/>
  <c r="AT236" i="131"/>
  <c r="O237" i="131"/>
  <c r="AI236" i="131"/>
  <c r="AP236" i="131"/>
  <c r="AC236" i="131"/>
  <c r="AH236" i="131" s="1"/>
  <c r="I240" i="131"/>
  <c r="H240" i="131"/>
  <c r="K240" i="131"/>
  <c r="AN237" i="131" l="1"/>
  <c r="AS237" i="131" s="1"/>
  <c r="Q237" i="131"/>
  <c r="V237" i="131" s="1"/>
  <c r="M237" i="131"/>
  <c r="L237" i="131" s="1"/>
  <c r="C241" i="131"/>
  <c r="A240" i="131"/>
  <c r="B241" i="131"/>
  <c r="AB236" i="131"/>
  <c r="AM237" i="131" l="1"/>
  <c r="Z237" i="131"/>
  <c r="P237" i="131"/>
  <c r="E241" i="131"/>
  <c r="J241" i="131" s="1"/>
  <c r="AG236" i="131"/>
  <c r="AF236" i="131"/>
  <c r="AL236" i="131"/>
  <c r="X240" i="131"/>
  <c r="T237" i="131" l="1"/>
  <c r="W237" i="131"/>
  <c r="U237" i="131"/>
  <c r="D241" i="131"/>
  <c r="K241" i="131" s="1"/>
  <c r="A241" i="131" s="1"/>
  <c r="Y237" i="131"/>
  <c r="AA237" i="131"/>
  <c r="AJ236" i="131"/>
  <c r="AK236" i="131" s="1"/>
  <c r="AO237" i="131" l="1"/>
  <c r="N238" i="131"/>
  <c r="AU237" i="131"/>
  <c r="AV237" i="131" s="1"/>
  <c r="AT237" i="131"/>
  <c r="O238" i="131"/>
  <c r="I241" i="131"/>
  <c r="H241" i="131"/>
  <c r="B242" i="131"/>
  <c r="E242" i="131" s="1"/>
  <c r="J242" i="131" s="1"/>
  <c r="C242" i="131"/>
  <c r="X241" i="131"/>
  <c r="AI237" i="131"/>
  <c r="AP237" i="131"/>
  <c r="AC237" i="131"/>
  <c r="AH237" i="131" s="1"/>
  <c r="AN238" i="131" l="1"/>
  <c r="AS238" i="131" s="1"/>
  <c r="M238" i="131"/>
  <c r="L238" i="131" s="1"/>
  <c r="Q238" i="131"/>
  <c r="V238" i="131" s="1"/>
  <c r="D242" i="131"/>
  <c r="I242" i="131" s="1"/>
  <c r="AB237" i="131"/>
  <c r="AL237" i="131" s="1"/>
  <c r="AM238" i="131" l="1"/>
  <c r="Z238" i="131"/>
  <c r="AA238" i="131" s="1"/>
  <c r="P238" i="131"/>
  <c r="K242" i="131"/>
  <c r="A242" i="131" s="1"/>
  <c r="H242" i="131"/>
  <c r="AF237" i="131"/>
  <c r="AG237" i="131"/>
  <c r="Y238" i="131"/>
  <c r="AJ237" i="131"/>
  <c r="AK237" i="131" s="1"/>
  <c r="U238" i="131" l="1"/>
  <c r="T238" i="131"/>
  <c r="W238" i="131"/>
  <c r="C243" i="131"/>
  <c r="B243" i="131"/>
  <c r="E243" i="131" s="1"/>
  <c r="J243" i="131" s="1"/>
  <c r="AI238" i="131"/>
  <c r="AP238" i="131"/>
  <c r="AC238" i="131"/>
  <c r="AH238" i="131" s="1"/>
  <c r="X242" i="131"/>
  <c r="AU238" i="131" l="1"/>
  <c r="AV238" i="131" s="1"/>
  <c r="N239" i="131"/>
  <c r="AT238" i="131"/>
  <c r="AO238" i="131"/>
  <c r="O239" i="131"/>
  <c r="D243" i="131"/>
  <c r="AB238" i="131"/>
  <c r="M239" i="131" l="1"/>
  <c r="L239" i="131" s="1"/>
  <c r="Q239" i="131"/>
  <c r="V239" i="131" s="1"/>
  <c r="AN239" i="131"/>
  <c r="AS239" i="131" s="1"/>
  <c r="AG238" i="131"/>
  <c r="AF238" i="131"/>
  <c r="AL238" i="131"/>
  <c r="I243" i="131"/>
  <c r="H243" i="131"/>
  <c r="K243" i="131"/>
  <c r="P239" i="131" l="1"/>
  <c r="T239" i="131" s="1"/>
  <c r="AM239" i="131"/>
  <c r="Z239" i="131"/>
  <c r="AA239" i="131" s="1"/>
  <c r="Y239" i="131"/>
  <c r="AJ238" i="131"/>
  <c r="AK238" i="131" s="1"/>
  <c r="C244" i="131"/>
  <c r="B244" i="131"/>
  <c r="A243" i="131"/>
  <c r="U239" i="131" l="1"/>
  <c r="W239" i="131"/>
  <c r="O240" i="131" s="1"/>
  <c r="AN240" i="131" s="1"/>
  <c r="AS240" i="131" s="1"/>
  <c r="X243" i="131"/>
  <c r="AP239" i="131"/>
  <c r="AI239" i="131"/>
  <c r="AC239" i="131"/>
  <c r="AH239" i="131" s="1"/>
  <c r="E244" i="131"/>
  <c r="J244" i="131" s="1"/>
  <c r="N240" i="131" l="1"/>
  <c r="Q240" i="131" s="1"/>
  <c r="AU239" i="131"/>
  <c r="AV239" i="131" s="1"/>
  <c r="AO239" i="131"/>
  <c r="AT239" i="131"/>
  <c r="AB239" i="131"/>
  <c r="D244" i="131"/>
  <c r="M240" i="131" l="1"/>
  <c r="L240" i="131" s="1"/>
  <c r="AM240" i="131" s="1"/>
  <c r="V240" i="131"/>
  <c r="P240" i="131"/>
  <c r="I244" i="131"/>
  <c r="H244" i="131"/>
  <c r="K244" i="131"/>
  <c r="AF239" i="131"/>
  <c r="AG239" i="131"/>
  <c r="AL239" i="131"/>
  <c r="Z240" i="131" l="1"/>
  <c r="AA240" i="131" s="1"/>
  <c r="T240" i="131"/>
  <c r="U240" i="131"/>
  <c r="W240" i="131"/>
  <c r="Y240" i="131"/>
  <c r="AJ239" i="131"/>
  <c r="AK239" i="131" s="1"/>
  <c r="C245" i="131"/>
  <c r="A244" i="131"/>
  <c r="B245" i="131"/>
  <c r="AT240" i="131" l="1"/>
  <c r="AO240" i="131"/>
  <c r="AU240" i="131"/>
  <c r="AV240" i="131" s="1"/>
  <c r="O241" i="131"/>
  <c r="AN241" i="131" s="1"/>
  <c r="AS241" i="131" s="1"/>
  <c r="N241" i="131"/>
  <c r="X244" i="131"/>
  <c r="AC240" i="131"/>
  <c r="AH240" i="131" s="1"/>
  <c r="E245" i="131"/>
  <c r="J245" i="131" s="1"/>
  <c r="AP240" i="131"/>
  <c r="AI240" i="131"/>
  <c r="M241" i="131" l="1"/>
  <c r="L241" i="131" s="1"/>
  <c r="Q241" i="131"/>
  <c r="D245" i="131"/>
  <c r="K245" i="131" s="1"/>
  <c r="C246" i="131" s="1"/>
  <c r="AB240" i="131"/>
  <c r="V241" i="131" l="1"/>
  <c r="P241" i="131"/>
  <c r="Z241" i="131"/>
  <c r="AM241" i="131"/>
  <c r="H245" i="131"/>
  <c r="I245" i="131"/>
  <c r="B246" i="131"/>
  <c r="E246" i="131" s="1"/>
  <c r="J246" i="131" s="1"/>
  <c r="A245" i="131"/>
  <c r="X245" i="131" s="1"/>
  <c r="AG240" i="131"/>
  <c r="AF240" i="131"/>
  <c r="AL240" i="131"/>
  <c r="T241" i="131" l="1"/>
  <c r="U241" i="131"/>
  <c r="W241" i="131"/>
  <c r="D246" i="131"/>
  <c r="I246" i="131" s="1"/>
  <c r="Y241" i="131"/>
  <c r="AA241" i="131"/>
  <c r="AJ240" i="131"/>
  <c r="AK240" i="131" s="1"/>
  <c r="O242" i="131" l="1"/>
  <c r="AN242" i="131" s="1"/>
  <c r="AS242" i="131" s="1"/>
  <c r="AU241" i="131"/>
  <c r="AV241" i="131" s="1"/>
  <c r="AO241" i="131"/>
  <c r="AT241" i="131"/>
  <c r="N242" i="131"/>
  <c r="H246" i="131"/>
  <c r="K246" i="131"/>
  <c r="A246" i="131" s="1"/>
  <c r="AI241" i="131"/>
  <c r="AP241" i="131"/>
  <c r="AC241" i="131"/>
  <c r="AH241" i="131" s="1"/>
  <c r="C247" i="131" l="1"/>
  <c r="M242" i="131"/>
  <c r="L242" i="131" s="1"/>
  <c r="Q242" i="131"/>
  <c r="V242" i="131" s="1"/>
  <c r="B247" i="131"/>
  <c r="E247" i="131" s="1"/>
  <c r="J247" i="131" s="1"/>
  <c r="AB241" i="131"/>
  <c r="X246" i="131"/>
  <c r="P242" i="131" l="1"/>
  <c r="Z242" i="131"/>
  <c r="AM242" i="131"/>
  <c r="D247" i="131"/>
  <c r="AG241" i="131"/>
  <c r="AF241" i="131"/>
  <c r="AL241" i="131"/>
  <c r="T242" i="131" l="1"/>
  <c r="U242" i="131"/>
  <c r="W242" i="131"/>
  <c r="Y242" i="131"/>
  <c r="AA242" i="131"/>
  <c r="AJ241" i="131"/>
  <c r="AK241" i="131" s="1"/>
  <c r="I247" i="131"/>
  <c r="H247" i="131"/>
  <c r="K247" i="131"/>
  <c r="O243" i="131" l="1"/>
  <c r="AN243" i="131" s="1"/>
  <c r="AS243" i="131" s="1"/>
  <c r="AO242" i="131"/>
  <c r="AU242" i="131"/>
  <c r="AV242" i="131" s="1"/>
  <c r="N243" i="131"/>
  <c r="AT242" i="131"/>
  <c r="AI242" i="131"/>
  <c r="AP242" i="131"/>
  <c r="B248" i="131"/>
  <c r="C248" i="131"/>
  <c r="A247" i="131"/>
  <c r="AC242" i="131"/>
  <c r="AH242" i="131" s="1"/>
  <c r="M243" i="131" l="1"/>
  <c r="L243" i="131" s="1"/>
  <c r="Q243" i="131"/>
  <c r="AB242" i="131"/>
  <c r="AG242" i="131" s="1"/>
  <c r="E248" i="131"/>
  <c r="J248" i="131" s="1"/>
  <c r="X247" i="131"/>
  <c r="AM243" i="131" l="1"/>
  <c r="Z243" i="131"/>
  <c r="V243" i="131"/>
  <c r="P243" i="131"/>
  <c r="AL242" i="131"/>
  <c r="AJ242" i="131" s="1"/>
  <c r="AK242" i="131" s="1"/>
  <c r="AF242" i="131"/>
  <c r="D248" i="131"/>
  <c r="K248" i="131" s="1"/>
  <c r="A248" i="131" s="1"/>
  <c r="U243" i="131" l="1"/>
  <c r="W243" i="131"/>
  <c r="T243" i="131"/>
  <c r="Y243" i="131"/>
  <c r="AC243" i="131" s="1"/>
  <c r="AH243" i="131" s="1"/>
  <c r="AA243" i="131"/>
  <c r="AI243" i="131" s="1"/>
  <c r="H248" i="131"/>
  <c r="C249" i="131"/>
  <c r="B249" i="131"/>
  <c r="E249" i="131" s="1"/>
  <c r="J249" i="131" s="1"/>
  <c r="I248" i="131"/>
  <c r="X248" i="131"/>
  <c r="AU243" i="131" l="1"/>
  <c r="AV243" i="131" s="1"/>
  <c r="N244" i="131"/>
  <c r="AT243" i="131"/>
  <c r="AO243" i="131"/>
  <c r="O244" i="131"/>
  <c r="AP243" i="131"/>
  <c r="AB243" i="131"/>
  <c r="D249" i="131"/>
  <c r="AN244" i="131" l="1"/>
  <c r="AS244" i="131" s="1"/>
  <c r="M244" i="131"/>
  <c r="L244" i="131" s="1"/>
  <c r="Q244" i="131"/>
  <c r="V244" i="131" s="1"/>
  <c r="AG243" i="131"/>
  <c r="AF243" i="131"/>
  <c r="AL243" i="131"/>
  <c r="I249" i="131"/>
  <c r="H249" i="131"/>
  <c r="K249" i="131"/>
  <c r="P244" i="131" l="1"/>
  <c r="AM244" i="131"/>
  <c r="Z244" i="131"/>
  <c r="AA244" i="131" s="1"/>
  <c r="C250" i="131"/>
  <c r="A249" i="131"/>
  <c r="B250" i="131"/>
  <c r="Y244" i="131"/>
  <c r="AJ243" i="131"/>
  <c r="AK243" i="131" s="1"/>
  <c r="T244" i="131" l="1"/>
  <c r="U244" i="131"/>
  <c r="W244" i="131"/>
  <c r="AC244" i="131"/>
  <c r="AH244" i="131" s="1"/>
  <c r="AP244" i="131"/>
  <c r="AI244" i="131"/>
  <c r="E250" i="131"/>
  <c r="J250" i="131" s="1"/>
  <c r="X249" i="131"/>
  <c r="AO244" i="131" l="1"/>
  <c r="O245" i="131"/>
  <c r="AU244" i="131"/>
  <c r="AV244" i="131" s="1"/>
  <c r="N245" i="131"/>
  <c r="AT244" i="131"/>
  <c r="D250" i="131"/>
  <c r="H250" i="131" s="1"/>
  <c r="AB244" i="131"/>
  <c r="M245" i="131" l="1"/>
  <c r="L245" i="131" s="1"/>
  <c r="Q245" i="131"/>
  <c r="V245" i="131" s="1"/>
  <c r="AN245" i="131"/>
  <c r="AS245" i="131" s="1"/>
  <c r="K250" i="131"/>
  <c r="A250" i="131" s="1"/>
  <c r="I250" i="131"/>
  <c r="AG244" i="131"/>
  <c r="AF244" i="131"/>
  <c r="AL244" i="131"/>
  <c r="P245" i="131" l="1"/>
  <c r="T245" i="131" s="1"/>
  <c r="AM245" i="131"/>
  <c r="Z245" i="131"/>
  <c r="AA245" i="131" s="1"/>
  <c r="C251" i="131"/>
  <c r="B251" i="131"/>
  <c r="E251" i="131" s="1"/>
  <c r="J251" i="131" s="1"/>
  <c r="X250" i="131"/>
  <c r="Y245" i="131"/>
  <c r="AJ244" i="131"/>
  <c r="AK244" i="131" s="1"/>
  <c r="W245" i="131" l="1"/>
  <c r="N246" i="131" s="1"/>
  <c r="U245" i="131"/>
  <c r="AC245" i="131"/>
  <c r="AH245" i="131" s="1"/>
  <c r="D251" i="131"/>
  <c r="AI245" i="131"/>
  <c r="AP245" i="131"/>
  <c r="O246" i="131" l="1"/>
  <c r="AN246" i="131" s="1"/>
  <c r="AS246" i="131" s="1"/>
  <c r="AT245" i="131"/>
  <c r="AU245" i="131"/>
  <c r="AV245" i="131" s="1"/>
  <c r="AO245" i="131"/>
  <c r="M246" i="131"/>
  <c r="L246" i="131" s="1"/>
  <c r="Q246" i="131"/>
  <c r="V246" i="131" s="1"/>
  <c r="AB245" i="131"/>
  <c r="H251" i="131"/>
  <c r="I251" i="131"/>
  <c r="K251" i="131"/>
  <c r="AM246" i="131" l="1"/>
  <c r="Z246" i="131"/>
  <c r="P246" i="131"/>
  <c r="AG245" i="131"/>
  <c r="AF245" i="131"/>
  <c r="AL245" i="131"/>
  <c r="C252" i="131"/>
  <c r="B252" i="131"/>
  <c r="A251" i="131"/>
  <c r="U246" i="131" l="1"/>
  <c r="W246" i="131"/>
  <c r="T246" i="131"/>
  <c r="E252" i="131"/>
  <c r="J252" i="131" s="1"/>
  <c r="Y246" i="131"/>
  <c r="AA246" i="131"/>
  <c r="AJ245" i="131"/>
  <c r="AK245" i="131" s="1"/>
  <c r="X251" i="131"/>
  <c r="AU246" i="131" l="1"/>
  <c r="AV246" i="131" s="1"/>
  <c r="N247" i="131"/>
  <c r="O247" i="131"/>
  <c r="AT246" i="131"/>
  <c r="AO246" i="131"/>
  <c r="D252" i="131"/>
  <c r="K252" i="131" s="1"/>
  <c r="C253" i="131" s="1"/>
  <c r="AI246" i="131"/>
  <c r="AP246" i="131"/>
  <c r="AC246" i="131"/>
  <c r="AH246" i="131" s="1"/>
  <c r="AN247" i="131" l="1"/>
  <c r="AS247" i="131" s="1"/>
  <c r="Q247" i="131"/>
  <c r="V247" i="131" s="1"/>
  <c r="M247" i="131"/>
  <c r="L247" i="131" s="1"/>
  <c r="H252" i="131"/>
  <c r="B253" i="131"/>
  <c r="E253" i="131" s="1"/>
  <c r="J253" i="131" s="1"/>
  <c r="I252" i="131"/>
  <c r="A252" i="131"/>
  <c r="X252" i="131" s="1"/>
  <c r="AB246" i="131"/>
  <c r="P247" i="131" l="1"/>
  <c r="Z247" i="131"/>
  <c r="AM247" i="131"/>
  <c r="D253" i="131"/>
  <c r="AG246" i="131"/>
  <c r="AF246" i="131"/>
  <c r="AL246" i="131"/>
  <c r="W247" i="131" l="1"/>
  <c r="U247" i="131"/>
  <c r="T247" i="131"/>
  <c r="Y247" i="131"/>
  <c r="AA247" i="131"/>
  <c r="AJ246" i="131"/>
  <c r="AK246" i="131" s="1"/>
  <c r="I253" i="131"/>
  <c r="H253" i="131"/>
  <c r="K253" i="131"/>
  <c r="AO247" i="131" l="1"/>
  <c r="O248" i="131"/>
  <c r="AT247" i="131"/>
  <c r="AU247" i="131"/>
  <c r="AV247" i="131" s="1"/>
  <c r="N248" i="131"/>
  <c r="AC247" i="131"/>
  <c r="AH247" i="131" s="1"/>
  <c r="C254" i="131"/>
  <c r="A253" i="131"/>
  <c r="B254" i="131"/>
  <c r="AI247" i="131"/>
  <c r="AP247" i="131"/>
  <c r="M248" i="131" l="1"/>
  <c r="L248" i="131" s="1"/>
  <c r="Q248" i="131"/>
  <c r="V248" i="131" s="1"/>
  <c r="AN248" i="131"/>
  <c r="AS248" i="131" s="1"/>
  <c r="AB247" i="131"/>
  <c r="AG247" i="131" s="1"/>
  <c r="E254" i="131"/>
  <c r="J254" i="131" s="1"/>
  <c r="X253" i="131"/>
  <c r="P248" i="131" l="1"/>
  <c r="Z248" i="131"/>
  <c r="AM248" i="131"/>
  <c r="AL247" i="131"/>
  <c r="AF247" i="131"/>
  <c r="D254" i="131"/>
  <c r="AA248" i="131" l="1"/>
  <c r="AP248" i="131" s="1"/>
  <c r="U248" i="131"/>
  <c r="T248" i="131"/>
  <c r="W248" i="131"/>
  <c r="Y248" i="131"/>
  <c r="AC248" i="131" s="1"/>
  <c r="AH248" i="131" s="1"/>
  <c r="AJ247" i="131"/>
  <c r="AK247" i="131" s="1"/>
  <c r="I254" i="131"/>
  <c r="H254" i="131"/>
  <c r="K254" i="131"/>
  <c r="AI248" i="131" l="1"/>
  <c r="AO248" i="131"/>
  <c r="AT248" i="131"/>
  <c r="N249" i="131"/>
  <c r="O249" i="131"/>
  <c r="AU248" i="131"/>
  <c r="AV248" i="131" s="1"/>
  <c r="C255" i="131"/>
  <c r="A254" i="131"/>
  <c r="B255" i="131"/>
  <c r="AB248" i="131"/>
  <c r="AN249" i="131" l="1"/>
  <c r="AS249" i="131" s="1"/>
  <c r="Q249" i="131"/>
  <c r="V249" i="131" s="1"/>
  <c r="M249" i="131"/>
  <c r="L249" i="131" s="1"/>
  <c r="AG248" i="131"/>
  <c r="AF248" i="131"/>
  <c r="AL248" i="131"/>
  <c r="E255" i="131"/>
  <c r="J255" i="131" s="1"/>
  <c r="X254" i="131"/>
  <c r="Z249" i="131" l="1"/>
  <c r="AA249" i="131" s="1"/>
  <c r="AM249" i="131"/>
  <c r="P249" i="131"/>
  <c r="Y249" i="131"/>
  <c r="AJ248" i="131"/>
  <c r="AK248" i="131" s="1"/>
  <c r="D255" i="131"/>
  <c r="T249" i="131" l="1"/>
  <c r="U249" i="131"/>
  <c r="W249" i="131"/>
  <c r="I255" i="131"/>
  <c r="H255" i="131"/>
  <c r="K255" i="131"/>
  <c r="AI249" i="131"/>
  <c r="AP249" i="131"/>
  <c r="AC249" i="131"/>
  <c r="AH249" i="131" s="1"/>
  <c r="AT249" i="131" l="1"/>
  <c r="AU249" i="131"/>
  <c r="AV249" i="131" s="1"/>
  <c r="O250" i="131"/>
  <c r="N250" i="131"/>
  <c r="AO249" i="131"/>
  <c r="AB249" i="131"/>
  <c r="AG249" i="131" s="1"/>
  <c r="C256" i="131"/>
  <c r="B256" i="131"/>
  <c r="A255" i="131"/>
  <c r="Q250" i="131" l="1"/>
  <c r="V250" i="131" s="1"/>
  <c r="M250" i="131"/>
  <c r="L250" i="131" s="1"/>
  <c r="AN250" i="131"/>
  <c r="AS250" i="131" s="1"/>
  <c r="AL249" i="131"/>
  <c r="Y250" i="131" s="1"/>
  <c r="AF249" i="131"/>
  <c r="X255" i="131"/>
  <c r="E256" i="131"/>
  <c r="J256" i="131" s="1"/>
  <c r="P250" i="131" l="1"/>
  <c r="W250" i="131" s="1"/>
  <c r="O251" i="131" s="1"/>
  <c r="Z250" i="131"/>
  <c r="AC250" i="131" s="1"/>
  <c r="AH250" i="131" s="1"/>
  <c r="AM250" i="131"/>
  <c r="AJ249" i="131"/>
  <c r="AK249" i="131" s="1"/>
  <c r="D256" i="131"/>
  <c r="T250" i="131" l="1"/>
  <c r="U250" i="131"/>
  <c r="AO250" i="131" s="1"/>
  <c r="AT250" i="131"/>
  <c r="N251" i="131"/>
  <c r="AU250" i="131"/>
  <c r="AV250" i="131" s="1"/>
  <c r="AA250" i="131"/>
  <c r="AP250" i="131" s="1"/>
  <c r="M251" i="131"/>
  <c r="L251" i="131" s="1"/>
  <c r="Q251" i="131"/>
  <c r="V251" i="131" s="1"/>
  <c r="AN251" i="131"/>
  <c r="AS251" i="131" s="1"/>
  <c r="I256" i="131"/>
  <c r="H256" i="131"/>
  <c r="K256" i="131"/>
  <c r="AB250" i="131" l="1"/>
  <c r="AG250" i="131" s="1"/>
  <c r="AI250" i="131"/>
  <c r="P251" i="131"/>
  <c r="T251" i="131" s="1"/>
  <c r="Z251" i="131"/>
  <c r="AM251" i="131"/>
  <c r="C257" i="131"/>
  <c r="A256" i="131"/>
  <c r="B257" i="131"/>
  <c r="AL250" i="131" l="1"/>
  <c r="Y251" i="131" s="1"/>
  <c r="AF250" i="131"/>
  <c r="W251" i="131"/>
  <c r="AT251" i="131" s="1"/>
  <c r="U251" i="131"/>
  <c r="X256" i="131"/>
  <c r="E257" i="131"/>
  <c r="J257" i="131" s="1"/>
  <c r="AJ250" i="131" l="1"/>
  <c r="AK250" i="131" s="1"/>
  <c r="AA251" i="131"/>
  <c r="AP251" i="131" s="1"/>
  <c r="N252" i="131"/>
  <c r="O252" i="131"/>
  <c r="AU251" i="131"/>
  <c r="AV251" i="131" s="1"/>
  <c r="AO251" i="131"/>
  <c r="Q252" i="131"/>
  <c r="V252" i="131" s="1"/>
  <c r="M252" i="131"/>
  <c r="L252" i="131" s="1"/>
  <c r="AN252" i="131"/>
  <c r="AS252" i="131" s="1"/>
  <c r="D257" i="131"/>
  <c r="I257" i="131" s="1"/>
  <c r="AC251" i="131"/>
  <c r="AH251" i="131" s="1"/>
  <c r="AI251" i="131"/>
  <c r="P252" i="131" l="1"/>
  <c r="U252" i="131" s="1"/>
  <c r="AM252" i="131"/>
  <c r="Z252" i="131"/>
  <c r="H257" i="131"/>
  <c r="K257" i="131"/>
  <c r="B258" i="131" s="1"/>
  <c r="AB251" i="131"/>
  <c r="W252" i="131" l="1"/>
  <c r="O253" i="131" s="1"/>
  <c r="AN253" i="131" s="1"/>
  <c r="AS253" i="131" s="1"/>
  <c r="T252" i="131"/>
  <c r="A257" i="131"/>
  <c r="X257" i="131" s="1"/>
  <c r="C258" i="131"/>
  <c r="AG251" i="131"/>
  <c r="AF251" i="131"/>
  <c r="AL251" i="131"/>
  <c r="E258" i="131"/>
  <c r="J258" i="131" s="1"/>
  <c r="AO252" i="131" l="1"/>
  <c r="AU252" i="131"/>
  <c r="AV252" i="131" s="1"/>
  <c r="N253" i="131"/>
  <c r="AT252" i="131"/>
  <c r="M253" i="131"/>
  <c r="L253" i="131" s="1"/>
  <c r="Q253" i="131"/>
  <c r="Y252" i="131"/>
  <c r="AA252" i="131"/>
  <c r="AJ251" i="131"/>
  <c r="AK251" i="131" s="1"/>
  <c r="D258" i="131"/>
  <c r="V253" i="131" l="1"/>
  <c r="P253" i="131"/>
  <c r="Z253" i="131"/>
  <c r="AM253" i="131"/>
  <c r="AP252" i="131"/>
  <c r="AI252" i="131"/>
  <c r="AC252" i="131"/>
  <c r="AH252" i="131" s="1"/>
  <c r="I258" i="131"/>
  <c r="H258" i="131"/>
  <c r="K258" i="131"/>
  <c r="U253" i="131" l="1"/>
  <c r="W253" i="131"/>
  <c r="T253" i="131"/>
  <c r="C259" i="131"/>
  <c r="A258" i="131"/>
  <c r="B259" i="131"/>
  <c r="AB252" i="131"/>
  <c r="AO253" i="131" l="1"/>
  <c r="AT253" i="131"/>
  <c r="N254" i="131"/>
  <c r="AU253" i="131"/>
  <c r="AV253" i="131" s="1"/>
  <c r="O254" i="131"/>
  <c r="AN254" i="131" s="1"/>
  <c r="AS254" i="131" s="1"/>
  <c r="AG252" i="131"/>
  <c r="AF252" i="131"/>
  <c r="AL252" i="131"/>
  <c r="E259" i="131"/>
  <c r="J259" i="131" s="1"/>
  <c r="X258" i="131"/>
  <c r="M254" i="131" l="1"/>
  <c r="L254" i="131" s="1"/>
  <c r="Q254" i="131"/>
  <c r="D259" i="131"/>
  <c r="H259" i="131" s="1"/>
  <c r="Y253" i="131"/>
  <c r="AA253" i="131"/>
  <c r="AJ252" i="131"/>
  <c r="AK252" i="131" s="1"/>
  <c r="V254" i="131" l="1"/>
  <c r="P254" i="131"/>
  <c r="Z254" i="131"/>
  <c r="AM254" i="131"/>
  <c r="K259" i="131"/>
  <c r="A259" i="131" s="1"/>
  <c r="I259" i="131"/>
  <c r="AI253" i="131"/>
  <c r="AP253" i="131"/>
  <c r="AC253" i="131"/>
  <c r="AH253" i="131" s="1"/>
  <c r="T254" i="131" l="1"/>
  <c r="U254" i="131"/>
  <c r="W254" i="131"/>
  <c r="C260" i="131"/>
  <c r="B260" i="131"/>
  <c r="E260" i="131" s="1"/>
  <c r="J260" i="131" s="1"/>
  <c r="X259" i="131"/>
  <c r="AB253" i="131"/>
  <c r="O255" i="131" l="1"/>
  <c r="AN255" i="131" s="1"/>
  <c r="AS255" i="131" s="1"/>
  <c r="AO254" i="131"/>
  <c r="AU254" i="131"/>
  <c r="AV254" i="131" s="1"/>
  <c r="AT254" i="131"/>
  <c r="N255" i="131"/>
  <c r="AG253" i="131"/>
  <c r="AF253" i="131"/>
  <c r="AL253" i="131"/>
  <c r="D260" i="131"/>
  <c r="Q255" i="131" l="1"/>
  <c r="M255" i="131"/>
  <c r="L255" i="131" s="1"/>
  <c r="I260" i="131"/>
  <c r="H260" i="131"/>
  <c r="K260" i="131"/>
  <c r="Y254" i="131"/>
  <c r="AA254" i="131"/>
  <c r="AJ253" i="131"/>
  <c r="AK253" i="131" s="1"/>
  <c r="AM255" i="131" l="1"/>
  <c r="Z255" i="131"/>
  <c r="V255" i="131"/>
  <c r="P255" i="131"/>
  <c r="AC254" i="131"/>
  <c r="AH254" i="131" s="1"/>
  <c r="C261" i="131"/>
  <c r="A260" i="131"/>
  <c r="B261" i="131"/>
  <c r="AI254" i="131"/>
  <c r="AP254" i="131"/>
  <c r="T255" i="131" l="1"/>
  <c r="W255" i="131"/>
  <c r="U255" i="131"/>
  <c r="AB254" i="131"/>
  <c r="AF254" i="131" s="1"/>
  <c r="X260" i="131"/>
  <c r="E261" i="131"/>
  <c r="J261" i="131" s="1"/>
  <c r="AT255" i="131" l="1"/>
  <c r="O256" i="131"/>
  <c r="AN256" i="131" s="1"/>
  <c r="AS256" i="131" s="1"/>
  <c r="N256" i="131"/>
  <c r="AO255" i="131"/>
  <c r="AU255" i="131"/>
  <c r="AV255" i="131" s="1"/>
  <c r="AG254" i="131"/>
  <c r="AL254" i="131"/>
  <c r="Y255" i="131" s="1"/>
  <c r="D261" i="131"/>
  <c r="Q256" i="131" l="1"/>
  <c r="M256" i="131"/>
  <c r="L256" i="131" s="1"/>
  <c r="AA255" i="131"/>
  <c r="AI255" i="131" s="1"/>
  <c r="AJ254" i="131"/>
  <c r="AK254" i="131" s="1"/>
  <c r="AC255" i="131"/>
  <c r="AH255" i="131" s="1"/>
  <c r="I261" i="131"/>
  <c r="H261" i="131"/>
  <c r="K261" i="131"/>
  <c r="Z256" i="131" l="1"/>
  <c r="AM256" i="131"/>
  <c r="V256" i="131"/>
  <c r="P256" i="131"/>
  <c r="AP255" i="131"/>
  <c r="C262" i="131"/>
  <c r="A261" i="131"/>
  <c r="B262" i="131"/>
  <c r="AB255" i="131"/>
  <c r="U256" i="131" l="1"/>
  <c r="T256" i="131"/>
  <c r="W256" i="131"/>
  <c r="E262" i="131"/>
  <c r="J262" i="131" s="1"/>
  <c r="X261" i="131"/>
  <c r="AG255" i="131"/>
  <c r="AF255" i="131"/>
  <c r="AL255" i="131"/>
  <c r="O257" i="131" l="1"/>
  <c r="AN257" i="131" s="1"/>
  <c r="AS257" i="131" s="1"/>
  <c r="AU256" i="131"/>
  <c r="AV256" i="131" s="1"/>
  <c r="AT256" i="131"/>
  <c r="N257" i="131"/>
  <c r="AO256" i="131"/>
  <c r="D262" i="131"/>
  <c r="H262" i="131" s="1"/>
  <c r="Y256" i="131"/>
  <c r="AA256" i="131"/>
  <c r="AJ255" i="131"/>
  <c r="AK255" i="131" s="1"/>
  <c r="I262" i="131" l="1"/>
  <c r="M257" i="131"/>
  <c r="L257" i="131" s="1"/>
  <c r="Q257" i="131"/>
  <c r="K262" i="131"/>
  <c r="A262" i="131" s="1"/>
  <c r="AI256" i="131"/>
  <c r="AP256" i="131"/>
  <c r="AC256" i="131"/>
  <c r="AH256" i="131" s="1"/>
  <c r="V257" i="131" l="1"/>
  <c r="P257" i="131"/>
  <c r="AM257" i="131"/>
  <c r="Z257" i="131"/>
  <c r="B263" i="131"/>
  <c r="E263" i="131" s="1"/>
  <c r="J263" i="131" s="1"/>
  <c r="C263" i="131"/>
  <c r="AB256" i="131"/>
  <c r="X262" i="131"/>
  <c r="W257" i="131" l="1"/>
  <c r="U257" i="131"/>
  <c r="T257" i="131"/>
  <c r="D263" i="131"/>
  <c r="I263" i="131" s="1"/>
  <c r="AG256" i="131"/>
  <c r="AF256" i="131"/>
  <c r="AL256" i="131"/>
  <c r="N258" i="131" l="1"/>
  <c r="O258" i="131"/>
  <c r="AN258" i="131" s="1"/>
  <c r="AS258" i="131" s="1"/>
  <c r="AO257" i="131"/>
  <c r="AU257" i="131"/>
  <c r="AV257" i="131" s="1"/>
  <c r="AT257" i="131"/>
  <c r="K263" i="131"/>
  <c r="B264" i="131" s="1"/>
  <c r="H263" i="131"/>
  <c r="Y257" i="131"/>
  <c r="AA257" i="131"/>
  <c r="AJ256" i="131"/>
  <c r="AK256" i="131" s="1"/>
  <c r="M258" i="131" l="1"/>
  <c r="L258" i="131" s="1"/>
  <c r="Q258" i="131"/>
  <c r="C264" i="131"/>
  <c r="A263" i="131"/>
  <c r="X263" i="131" s="1"/>
  <c r="AI257" i="131"/>
  <c r="AP257" i="131"/>
  <c r="E264" i="131"/>
  <c r="J264" i="131" s="1"/>
  <c r="AC257" i="131"/>
  <c r="AH257" i="131" s="1"/>
  <c r="V258" i="131" l="1"/>
  <c r="P258" i="131"/>
  <c r="AM258" i="131"/>
  <c r="Z258" i="131"/>
  <c r="AB257" i="131"/>
  <c r="D264" i="131"/>
  <c r="U258" i="131" l="1"/>
  <c r="T258" i="131"/>
  <c r="W258" i="131"/>
  <c r="AG257" i="131"/>
  <c r="AF257" i="131"/>
  <c r="AL257" i="131"/>
  <c r="I264" i="131"/>
  <c r="H264" i="131"/>
  <c r="K264" i="131"/>
  <c r="N259" i="131" l="1"/>
  <c r="O259" i="131"/>
  <c r="AN259" i="131" s="1"/>
  <c r="AS259" i="131" s="1"/>
  <c r="AU258" i="131"/>
  <c r="AV258" i="131" s="1"/>
  <c r="AO258" i="131"/>
  <c r="AT258" i="131"/>
  <c r="C265" i="131"/>
  <c r="A264" i="131"/>
  <c r="B265" i="131"/>
  <c r="Y258" i="131"/>
  <c r="AA258" i="131"/>
  <c r="AJ257" i="131"/>
  <c r="AK257" i="131" s="1"/>
  <c r="M259" i="131" l="1"/>
  <c r="L259" i="131" s="1"/>
  <c r="Q259" i="131"/>
  <c r="AI258" i="131"/>
  <c r="AP258" i="131"/>
  <c r="E265" i="131"/>
  <c r="J265" i="131" s="1"/>
  <c r="AC258" i="131"/>
  <c r="AH258" i="131" s="1"/>
  <c r="X264" i="131"/>
  <c r="V259" i="131" l="1"/>
  <c r="P259" i="131"/>
  <c r="AM259" i="131"/>
  <c r="Z259" i="131"/>
  <c r="D265" i="131"/>
  <c r="I265" i="131" s="1"/>
  <c r="AB258" i="131"/>
  <c r="W259" i="131" l="1"/>
  <c r="U259" i="131"/>
  <c r="T259" i="131"/>
  <c r="K265" i="131"/>
  <c r="B266" i="131" s="1"/>
  <c r="H265" i="131"/>
  <c r="AG258" i="131"/>
  <c r="AF258" i="131"/>
  <c r="AL258" i="131"/>
  <c r="AO259" i="131" l="1"/>
  <c r="AT259" i="131"/>
  <c r="O260" i="131"/>
  <c r="N260" i="131"/>
  <c r="AU259" i="131"/>
  <c r="AV259" i="131" s="1"/>
  <c r="A265" i="131"/>
  <c r="X265" i="131" s="1"/>
  <c r="C266" i="131"/>
  <c r="Y259" i="131"/>
  <c r="AA259" i="131"/>
  <c r="AJ258" i="131"/>
  <c r="AK258" i="131" s="1"/>
  <c r="E266" i="131"/>
  <c r="J266" i="131" s="1"/>
  <c r="Q260" i="131" l="1"/>
  <c r="V260" i="131" s="1"/>
  <c r="M260" i="131"/>
  <c r="L260" i="131" s="1"/>
  <c r="AN260" i="131"/>
  <c r="AS260" i="131" s="1"/>
  <c r="AI259" i="131"/>
  <c r="AP259" i="131"/>
  <c r="AC259" i="131"/>
  <c r="AH259" i="131" s="1"/>
  <c r="D266" i="131"/>
  <c r="P260" i="131" l="1"/>
  <c r="W260" i="131" s="1"/>
  <c r="AM260" i="131"/>
  <c r="Z260" i="131"/>
  <c r="I266" i="131"/>
  <c r="H266" i="131"/>
  <c r="K266" i="131"/>
  <c r="AB259" i="131"/>
  <c r="T260" i="131" l="1"/>
  <c r="U260" i="131"/>
  <c r="N261" i="131"/>
  <c r="O261" i="131"/>
  <c r="AN261" i="131" s="1"/>
  <c r="AS261" i="131" s="1"/>
  <c r="AU260" i="131"/>
  <c r="AV260" i="131" s="1"/>
  <c r="AT260" i="131"/>
  <c r="AO260" i="131"/>
  <c r="AG259" i="131"/>
  <c r="AF259" i="131"/>
  <c r="AL259" i="131"/>
  <c r="C267" i="131"/>
  <c r="A266" i="131"/>
  <c r="B267" i="131"/>
  <c r="Q261" i="131" l="1"/>
  <c r="M261" i="131"/>
  <c r="L261" i="131" s="1"/>
  <c r="E267" i="131"/>
  <c r="J267" i="131" s="1"/>
  <c r="X266" i="131"/>
  <c r="Y260" i="131"/>
  <c r="AA260" i="131"/>
  <c r="AJ259" i="131"/>
  <c r="AK259" i="131" s="1"/>
  <c r="AM261" i="131" l="1"/>
  <c r="Z261" i="131"/>
  <c r="V261" i="131"/>
  <c r="P261" i="131"/>
  <c r="D267" i="131"/>
  <c r="K267" i="131" s="1"/>
  <c r="C268" i="131" s="1"/>
  <c r="AP260" i="131"/>
  <c r="AI260" i="131"/>
  <c r="AC260" i="131"/>
  <c r="AH260" i="131" s="1"/>
  <c r="U261" i="131" l="1"/>
  <c r="T261" i="131"/>
  <c r="W261" i="131"/>
  <c r="H267" i="131"/>
  <c r="I267" i="131"/>
  <c r="B268" i="131"/>
  <c r="E268" i="131" s="1"/>
  <c r="J268" i="131" s="1"/>
  <c r="A267" i="131"/>
  <c r="X267" i="131" s="1"/>
  <c r="AB260" i="131"/>
  <c r="AT261" i="131" l="1"/>
  <c r="AU261" i="131"/>
  <c r="AV261" i="131" s="1"/>
  <c r="O262" i="131"/>
  <c r="AN262" i="131" s="1"/>
  <c r="AS262" i="131" s="1"/>
  <c r="AO261" i="131"/>
  <c r="N262" i="131"/>
  <c r="D268" i="131"/>
  <c r="K268" i="131" s="1"/>
  <c r="C269" i="131" s="1"/>
  <c r="AG260" i="131"/>
  <c r="AF260" i="131"/>
  <c r="AL260" i="131"/>
  <c r="M262" i="131" l="1"/>
  <c r="L262" i="131" s="1"/>
  <c r="Q262" i="131"/>
  <c r="I268" i="131"/>
  <c r="H268" i="131"/>
  <c r="B269" i="131"/>
  <c r="E269" i="131" s="1"/>
  <c r="J269" i="131" s="1"/>
  <c r="A268" i="131"/>
  <c r="X268" i="131" s="1"/>
  <c r="Y261" i="131"/>
  <c r="AA261" i="131"/>
  <c r="AJ260" i="131"/>
  <c r="AK260" i="131" s="1"/>
  <c r="V262" i="131" l="1"/>
  <c r="P262" i="131"/>
  <c r="Z262" i="131"/>
  <c r="AM262" i="131"/>
  <c r="D269" i="131"/>
  <c r="I269" i="131" s="1"/>
  <c r="AC261" i="131"/>
  <c r="AH261" i="131" s="1"/>
  <c r="AI261" i="131"/>
  <c r="AP261" i="131"/>
  <c r="W262" i="131" l="1"/>
  <c r="U262" i="131"/>
  <c r="T262" i="131"/>
  <c r="K269" i="131"/>
  <c r="C270" i="131" s="1"/>
  <c r="H269" i="131"/>
  <c r="AB261" i="131"/>
  <c r="AO262" i="131" l="1"/>
  <c r="O263" i="131"/>
  <c r="AT262" i="131"/>
  <c r="N263" i="131"/>
  <c r="AU262" i="131"/>
  <c r="AV262" i="131" s="1"/>
  <c r="B270" i="131"/>
  <c r="E270" i="131" s="1"/>
  <c r="J270" i="131" s="1"/>
  <c r="A269" i="131"/>
  <c r="X269" i="131" s="1"/>
  <c r="AG261" i="131"/>
  <c r="AF261" i="131"/>
  <c r="AL261" i="131"/>
  <c r="M263" i="131" l="1"/>
  <c r="L263" i="131" s="1"/>
  <c r="Q263" i="131"/>
  <c r="V263" i="131" s="1"/>
  <c r="AN263" i="131"/>
  <c r="AS263" i="131" s="1"/>
  <c r="D270" i="131"/>
  <c r="Y262" i="131"/>
  <c r="AA262" i="131"/>
  <c r="AJ261" i="131"/>
  <c r="AK261" i="131" s="1"/>
  <c r="P263" i="131" l="1"/>
  <c r="W263" i="131" s="1"/>
  <c r="N264" i="131" s="1"/>
  <c r="AM263" i="131"/>
  <c r="Z263" i="131"/>
  <c r="AI262" i="131"/>
  <c r="AP262" i="131"/>
  <c r="AC262" i="131"/>
  <c r="AH262" i="131" s="1"/>
  <c r="I270" i="131"/>
  <c r="H270" i="131"/>
  <c r="K270" i="131"/>
  <c r="T263" i="131" l="1"/>
  <c r="U263" i="131"/>
  <c r="AO263" i="131" s="1"/>
  <c r="AU263" i="131"/>
  <c r="AV263" i="131" s="1"/>
  <c r="AT263" i="131"/>
  <c r="O264" i="131"/>
  <c r="AN264" i="131" s="1"/>
  <c r="AS264" i="131" s="1"/>
  <c r="Q264" i="131"/>
  <c r="V264" i="131" s="1"/>
  <c r="M264" i="131"/>
  <c r="L264" i="131" s="1"/>
  <c r="AB262" i="131"/>
  <c r="C271" i="131"/>
  <c r="A270" i="131"/>
  <c r="B271" i="131"/>
  <c r="AM264" i="131" l="1"/>
  <c r="Z264" i="131"/>
  <c r="P264" i="131"/>
  <c r="E271" i="131"/>
  <c r="J271" i="131" s="1"/>
  <c r="X270" i="131"/>
  <c r="AG262" i="131"/>
  <c r="AF262" i="131"/>
  <c r="AL262" i="131"/>
  <c r="T264" i="131" l="1"/>
  <c r="U264" i="131"/>
  <c r="W264" i="131"/>
  <c r="D271" i="131"/>
  <c r="H271" i="131" s="1"/>
  <c r="Y263" i="131"/>
  <c r="AA263" i="131"/>
  <c r="AJ262" i="131"/>
  <c r="AK262" i="131" s="1"/>
  <c r="AT264" i="131" l="1"/>
  <c r="O265" i="131"/>
  <c r="N265" i="131"/>
  <c r="AO264" i="131"/>
  <c r="AU264" i="131"/>
  <c r="AV264" i="131" s="1"/>
  <c r="K271" i="131"/>
  <c r="C272" i="131" s="1"/>
  <c r="I271" i="131"/>
  <c r="AI263" i="131"/>
  <c r="AP263" i="131"/>
  <c r="AC263" i="131"/>
  <c r="AH263" i="131" s="1"/>
  <c r="M265" i="131" l="1"/>
  <c r="L265" i="131" s="1"/>
  <c r="Q265" i="131"/>
  <c r="V265" i="131" s="1"/>
  <c r="AN265" i="131"/>
  <c r="AS265" i="131" s="1"/>
  <c r="A271" i="131"/>
  <c r="X271" i="131" s="1"/>
  <c r="B272" i="131"/>
  <c r="E272" i="131" s="1"/>
  <c r="J272" i="131" s="1"/>
  <c r="AB263" i="131"/>
  <c r="P265" i="131" l="1"/>
  <c r="U265" i="131" s="1"/>
  <c r="AM265" i="131"/>
  <c r="Z265" i="131"/>
  <c r="D272" i="131"/>
  <c r="K272" i="131" s="1"/>
  <c r="C273" i="131" s="1"/>
  <c r="AF263" i="131"/>
  <c r="AG263" i="131"/>
  <c r="AL263" i="131"/>
  <c r="T265" i="131" l="1"/>
  <c r="W265" i="131"/>
  <c r="N266" i="131" s="1"/>
  <c r="H272" i="131"/>
  <c r="I272" i="131"/>
  <c r="B273" i="131"/>
  <c r="E273" i="131" s="1"/>
  <c r="J273" i="131" s="1"/>
  <c r="A272" i="131"/>
  <c r="X272" i="131" s="1"/>
  <c r="Y264" i="131"/>
  <c r="AA264" i="131"/>
  <c r="AJ263" i="131"/>
  <c r="AK263" i="131" s="1"/>
  <c r="O266" i="131" l="1"/>
  <c r="AN266" i="131" s="1"/>
  <c r="AS266" i="131" s="1"/>
  <c r="AO265" i="131"/>
  <c r="AT265" i="131"/>
  <c r="AU265" i="131"/>
  <c r="AV265" i="131" s="1"/>
  <c r="M266" i="131"/>
  <c r="L266" i="131" s="1"/>
  <c r="Q266" i="131"/>
  <c r="V266" i="131" s="1"/>
  <c r="AP264" i="131"/>
  <c r="AI264" i="131"/>
  <c r="AC264" i="131"/>
  <c r="AH264" i="131" s="1"/>
  <c r="D273" i="131"/>
  <c r="Z266" i="131" l="1"/>
  <c r="AM266" i="131"/>
  <c r="P266" i="131"/>
  <c r="AB264" i="131"/>
  <c r="AG264" i="131" s="1"/>
  <c r="I273" i="131"/>
  <c r="H273" i="131"/>
  <c r="K273" i="131"/>
  <c r="W266" i="131" l="1"/>
  <c r="U266" i="131"/>
  <c r="T266" i="131"/>
  <c r="AL264" i="131"/>
  <c r="Y265" i="131" s="1"/>
  <c r="AF264" i="131"/>
  <c r="C274" i="131"/>
  <c r="A273" i="131"/>
  <c r="B274" i="131"/>
  <c r="AA265" i="131" l="1"/>
  <c r="AI265" i="131" s="1"/>
  <c r="AJ264" i="131"/>
  <c r="AK264" i="131" s="1"/>
  <c r="AO266" i="131"/>
  <c r="O267" i="131"/>
  <c r="AU266" i="131"/>
  <c r="AV266" i="131" s="1"/>
  <c r="N267" i="131"/>
  <c r="AT266" i="131"/>
  <c r="E274" i="131"/>
  <c r="J274" i="131" s="1"/>
  <c r="AC265" i="131"/>
  <c r="AH265" i="131" s="1"/>
  <c r="X273" i="131"/>
  <c r="AP265" i="131" l="1"/>
  <c r="M267" i="131"/>
  <c r="L267" i="131" s="1"/>
  <c r="Q267" i="131"/>
  <c r="V267" i="131" s="1"/>
  <c r="AN267" i="131"/>
  <c r="AS267" i="131" s="1"/>
  <c r="AB265" i="131"/>
  <c r="D274" i="131"/>
  <c r="P267" i="131" l="1"/>
  <c r="W267" i="131" s="1"/>
  <c r="AT267" i="131" s="1"/>
  <c r="Z267" i="131"/>
  <c r="AM267" i="131"/>
  <c r="I274" i="131"/>
  <c r="H274" i="131"/>
  <c r="K274" i="131"/>
  <c r="AG265" i="131"/>
  <c r="AF265" i="131"/>
  <c r="AL265" i="131"/>
  <c r="U267" i="131" l="1"/>
  <c r="AO267" i="131" s="1"/>
  <c r="T267" i="131"/>
  <c r="N268" i="131"/>
  <c r="M268" i="131" s="1"/>
  <c r="L268" i="131" s="1"/>
  <c r="Z268" i="131" s="1"/>
  <c r="O268" i="131"/>
  <c r="AN268" i="131" s="1"/>
  <c r="AS268" i="131" s="1"/>
  <c r="AU267" i="131"/>
  <c r="AV267" i="131" s="1"/>
  <c r="C275" i="131"/>
  <c r="A274" i="131"/>
  <c r="B275" i="131"/>
  <c r="Y266" i="131"/>
  <c r="AA266" i="131"/>
  <c r="AJ265" i="131"/>
  <c r="AK265" i="131" s="1"/>
  <c r="AM268" i="131" l="1"/>
  <c r="Q268" i="131"/>
  <c r="V268" i="131" s="1"/>
  <c r="AC266" i="131"/>
  <c r="AH266" i="131" s="1"/>
  <c r="X274" i="131"/>
  <c r="E275" i="131"/>
  <c r="J275" i="131" s="1"/>
  <c r="AP266" i="131"/>
  <c r="AI266" i="131"/>
  <c r="P268" i="131" l="1"/>
  <c r="T268" i="131" s="1"/>
  <c r="AB266" i="131"/>
  <c r="AG266" i="131" s="1"/>
  <c r="D275" i="131"/>
  <c r="U268" i="131" l="1"/>
  <c r="W268" i="131"/>
  <c r="O269" i="131" s="1"/>
  <c r="AN269" i="131" s="1"/>
  <c r="AS269" i="131" s="1"/>
  <c r="AU268" i="131"/>
  <c r="AV268" i="131" s="1"/>
  <c r="N269" i="131"/>
  <c r="Q269" i="131" s="1"/>
  <c r="V269" i="131" s="1"/>
  <c r="AF266" i="131"/>
  <c r="AL266" i="131"/>
  <c r="AA267" i="131" s="1"/>
  <c r="I275" i="131"/>
  <c r="H275" i="131"/>
  <c r="K275" i="131"/>
  <c r="AO268" i="131" l="1"/>
  <c r="M269" i="131"/>
  <c r="L269" i="131" s="1"/>
  <c r="Z269" i="131" s="1"/>
  <c r="AT268" i="131"/>
  <c r="AJ266" i="131"/>
  <c r="AK266" i="131" s="1"/>
  <c r="Y267" i="131"/>
  <c r="AC267" i="131" s="1"/>
  <c r="AH267" i="131" s="1"/>
  <c r="P269" i="131"/>
  <c r="W269" i="131" s="1"/>
  <c r="AU269" i="131" s="1"/>
  <c r="AV269" i="131" s="1"/>
  <c r="AP267" i="131"/>
  <c r="AI267" i="131"/>
  <c r="C276" i="131"/>
  <c r="A275" i="131"/>
  <c r="B276" i="131"/>
  <c r="AM269" i="131" l="1"/>
  <c r="U269" i="131"/>
  <c r="AO269" i="131" s="1"/>
  <c r="O270" i="131"/>
  <c r="AN270" i="131" s="1"/>
  <c r="AS270" i="131" s="1"/>
  <c r="AT269" i="131"/>
  <c r="T269" i="131"/>
  <c r="N270" i="131"/>
  <c r="M270" i="131" s="1"/>
  <c r="L270" i="131" s="1"/>
  <c r="E276" i="131"/>
  <c r="J276" i="131" s="1"/>
  <c r="X275" i="131"/>
  <c r="AB267" i="131"/>
  <c r="Q270" i="131" l="1"/>
  <c r="V270" i="131" s="1"/>
  <c r="Z270" i="131"/>
  <c r="AM270" i="131"/>
  <c r="AG267" i="131"/>
  <c r="AF267" i="131"/>
  <c r="AL267" i="131"/>
  <c r="D276" i="131"/>
  <c r="P270" i="131" l="1"/>
  <c r="U270" i="131" s="1"/>
  <c r="I276" i="131"/>
  <c r="H276" i="131"/>
  <c r="K276" i="131"/>
  <c r="Y268" i="131"/>
  <c r="AA268" i="131"/>
  <c r="AJ267" i="131"/>
  <c r="AK267" i="131" s="1"/>
  <c r="W270" i="131" l="1"/>
  <c r="AT270" i="131" s="1"/>
  <c r="T270" i="131"/>
  <c r="AC268" i="131"/>
  <c r="AH268" i="131" s="1"/>
  <c r="B277" i="131"/>
  <c r="A276" i="131"/>
  <c r="C277" i="131"/>
  <c r="AI268" i="131"/>
  <c r="AP268" i="131"/>
  <c r="AU270" i="131" l="1"/>
  <c r="AV270" i="131" s="1"/>
  <c r="N271" i="131"/>
  <c r="M271" i="131" s="1"/>
  <c r="L271" i="131" s="1"/>
  <c r="O271" i="131"/>
  <c r="AN271" i="131" s="1"/>
  <c r="AS271" i="131" s="1"/>
  <c r="AO270" i="131"/>
  <c r="AB268" i="131"/>
  <c r="AF268" i="131" s="1"/>
  <c r="E277" i="131"/>
  <c r="J277" i="131" s="1"/>
  <c r="X276" i="131"/>
  <c r="Q271" i="131" l="1"/>
  <c r="V271" i="131" s="1"/>
  <c r="AG268" i="131"/>
  <c r="AM271" i="131"/>
  <c r="Z271" i="131"/>
  <c r="AL268" i="131"/>
  <c r="Y269" i="131" s="1"/>
  <c r="D277" i="131"/>
  <c r="K277" i="131" s="1"/>
  <c r="C278" i="131" s="1"/>
  <c r="P271" i="131" l="1"/>
  <c r="U271" i="131" s="1"/>
  <c r="T271" i="131"/>
  <c r="AJ268" i="131"/>
  <c r="AK268" i="131" s="1"/>
  <c r="AA269" i="131"/>
  <c r="AI269" i="131" s="1"/>
  <c r="H277" i="131"/>
  <c r="B278" i="131"/>
  <c r="E278" i="131" s="1"/>
  <c r="J278" i="131" s="1"/>
  <c r="I277" i="131"/>
  <c r="A277" i="131"/>
  <c r="X277" i="131" s="1"/>
  <c r="AC269" i="131"/>
  <c r="AH269" i="131" s="1"/>
  <c r="W271" i="131" l="1"/>
  <c r="O272" i="131" s="1"/>
  <c r="AN272" i="131" s="1"/>
  <c r="AS272" i="131" s="1"/>
  <c r="AP269" i="131"/>
  <c r="AB269" i="131"/>
  <c r="AF269" i="131" s="1"/>
  <c r="D278" i="131"/>
  <c r="AU271" i="131" l="1"/>
  <c r="AV271" i="131" s="1"/>
  <c r="N272" i="131"/>
  <c r="Q272" i="131" s="1"/>
  <c r="V272" i="131" s="1"/>
  <c r="AO271" i="131"/>
  <c r="AT271" i="131"/>
  <c r="AL269" i="131"/>
  <c r="Y270" i="131" s="1"/>
  <c r="AG269" i="131"/>
  <c r="I278" i="131"/>
  <c r="H278" i="131"/>
  <c r="K278" i="131"/>
  <c r="M272" i="131" l="1"/>
  <c r="L272" i="131" s="1"/>
  <c r="AM272" i="131" s="1"/>
  <c r="P272" i="131"/>
  <c r="U272" i="131" s="1"/>
  <c r="Z272" i="131"/>
  <c r="W272" i="131"/>
  <c r="AU272" i="131" s="1"/>
  <c r="AV272" i="131" s="1"/>
  <c r="AJ269" i="131"/>
  <c r="AK269" i="131" s="1"/>
  <c r="AA270" i="131"/>
  <c r="AI270" i="131" s="1"/>
  <c r="AC270" i="131"/>
  <c r="AH270" i="131" s="1"/>
  <c r="C279" i="131"/>
  <c r="A278" i="131"/>
  <c r="B279" i="131"/>
  <c r="T272" i="131" l="1"/>
  <c r="N273" i="131"/>
  <c r="M273" i="131" s="1"/>
  <c r="L273" i="131" s="1"/>
  <c r="AO272" i="131"/>
  <c r="O273" i="131"/>
  <c r="AN273" i="131" s="1"/>
  <c r="AS273" i="131" s="1"/>
  <c r="AT272" i="131"/>
  <c r="AP270" i="131"/>
  <c r="AB270" i="131"/>
  <c r="E279" i="131"/>
  <c r="J279" i="131" s="1"/>
  <c r="X278" i="131"/>
  <c r="Q273" i="131" l="1"/>
  <c r="V273" i="131" s="1"/>
  <c r="Z273" i="131"/>
  <c r="AM273" i="131"/>
  <c r="D279" i="131"/>
  <c r="AG270" i="131"/>
  <c r="AF270" i="131"/>
  <c r="AL270" i="131"/>
  <c r="P273" i="131" l="1"/>
  <c r="U273" i="131" s="1"/>
  <c r="W273" i="131"/>
  <c r="AO273" i="131" s="1"/>
  <c r="T273" i="131"/>
  <c r="Y271" i="131"/>
  <c r="AA271" i="131"/>
  <c r="AJ270" i="131"/>
  <c r="AK270" i="131" s="1"/>
  <c r="I279" i="131"/>
  <c r="H279" i="131"/>
  <c r="K279" i="131"/>
  <c r="O274" i="131" l="1"/>
  <c r="AN274" i="131" s="1"/>
  <c r="AS274" i="131" s="1"/>
  <c r="AT273" i="131"/>
  <c r="N274" i="131"/>
  <c r="M274" i="131" s="1"/>
  <c r="L274" i="131" s="1"/>
  <c r="AU273" i="131"/>
  <c r="AV273" i="131" s="1"/>
  <c r="C280" i="131"/>
  <c r="A279" i="131"/>
  <c r="B280" i="131"/>
  <c r="AI271" i="131"/>
  <c r="AP271" i="131"/>
  <c r="AC271" i="131"/>
  <c r="AH271" i="131" s="1"/>
  <c r="Q274" i="131" l="1"/>
  <c r="V274" i="131" s="1"/>
  <c r="Z274" i="131"/>
  <c r="AM274" i="131"/>
  <c r="AB271" i="131"/>
  <c r="AL271" i="131" s="1"/>
  <c r="AA272" i="131" s="1"/>
  <c r="E280" i="131"/>
  <c r="J280" i="131" s="1"/>
  <c r="X279" i="131"/>
  <c r="P274" i="131" l="1"/>
  <c r="AG271" i="131"/>
  <c r="AJ271" i="131"/>
  <c r="AK271" i="131" s="1"/>
  <c r="U274" i="131"/>
  <c r="T274" i="131"/>
  <c r="W274" i="131"/>
  <c r="AF271" i="131"/>
  <c r="Y272" i="131"/>
  <c r="AC272" i="131" s="1"/>
  <c r="AH272" i="131" s="1"/>
  <c r="D280" i="131"/>
  <c r="AP272" i="131"/>
  <c r="AI272" i="131"/>
  <c r="AU274" i="131" l="1"/>
  <c r="AV274" i="131" s="1"/>
  <c r="AO274" i="131"/>
  <c r="O275" i="131"/>
  <c r="N275" i="131"/>
  <c r="AT274" i="131"/>
  <c r="AB272" i="131"/>
  <c r="H280" i="131"/>
  <c r="I280" i="131"/>
  <c r="K280" i="131"/>
  <c r="Q275" i="131" l="1"/>
  <c r="V275" i="131" s="1"/>
  <c r="M275" i="131"/>
  <c r="L275" i="131" s="1"/>
  <c r="AN275" i="131"/>
  <c r="AS275" i="131" s="1"/>
  <c r="B281" i="131"/>
  <c r="A280" i="131"/>
  <c r="C281" i="131"/>
  <c r="AG272" i="131"/>
  <c r="AF272" i="131"/>
  <c r="AL272" i="131"/>
  <c r="P275" i="131" l="1"/>
  <c r="AM275" i="131"/>
  <c r="Z275" i="131"/>
  <c r="Y273" i="131"/>
  <c r="AA273" i="131"/>
  <c r="AJ272" i="131"/>
  <c r="AK272" i="131" s="1"/>
  <c r="X280" i="131"/>
  <c r="E281" i="131"/>
  <c r="J281" i="131" s="1"/>
  <c r="T275" i="131" l="1"/>
  <c r="U275" i="131"/>
  <c r="W275" i="131"/>
  <c r="D281" i="131"/>
  <c r="H281" i="131" s="1"/>
  <c r="AI273" i="131"/>
  <c r="AP273" i="131"/>
  <c r="AC273" i="131"/>
  <c r="AH273" i="131" s="1"/>
  <c r="AU275" i="131" l="1"/>
  <c r="AV275" i="131" s="1"/>
  <c r="N276" i="131"/>
  <c r="AT275" i="131"/>
  <c r="AO275" i="131"/>
  <c r="O276" i="131"/>
  <c r="I281" i="131"/>
  <c r="K281" i="131"/>
  <c r="B282" i="131" s="1"/>
  <c r="AB273" i="131"/>
  <c r="AN276" i="131" l="1"/>
  <c r="AS276" i="131" s="1"/>
  <c r="M276" i="131"/>
  <c r="L276" i="131" s="1"/>
  <c r="Q276" i="131"/>
  <c r="V276" i="131" s="1"/>
  <c r="C282" i="131"/>
  <c r="A281" i="131"/>
  <c r="X281" i="131" s="1"/>
  <c r="AG273" i="131"/>
  <c r="AF273" i="131"/>
  <c r="AL273" i="131"/>
  <c r="E282" i="131"/>
  <c r="J282" i="131" s="1"/>
  <c r="P276" i="131" l="1"/>
  <c r="W276" i="131" s="1"/>
  <c r="AU276" i="131" s="1"/>
  <c r="AV276" i="131" s="1"/>
  <c r="Z276" i="131"/>
  <c r="AM276" i="131"/>
  <c r="Y274" i="131"/>
  <c r="AA274" i="131"/>
  <c r="AJ273" i="131"/>
  <c r="AK273" i="131" s="1"/>
  <c r="D282" i="131"/>
  <c r="T276" i="131" l="1"/>
  <c r="O277" i="131"/>
  <c r="AN277" i="131" s="1"/>
  <c r="AS277" i="131" s="1"/>
  <c r="AT276" i="131"/>
  <c r="N277" i="131"/>
  <c r="Q277" i="131" s="1"/>
  <c r="V277" i="131" s="1"/>
  <c r="U276" i="131"/>
  <c r="AO276" i="131" s="1"/>
  <c r="AI274" i="131"/>
  <c r="AP274" i="131"/>
  <c r="AC274" i="131"/>
  <c r="AH274" i="131" s="1"/>
  <c r="I282" i="131"/>
  <c r="H282" i="131"/>
  <c r="K282" i="131"/>
  <c r="M277" i="131" l="1"/>
  <c r="L277" i="131" s="1"/>
  <c r="AM277" i="131" s="1"/>
  <c r="P277" i="131"/>
  <c r="C283" i="131"/>
  <c r="A282" i="131"/>
  <c r="B283" i="131"/>
  <c r="AB274" i="131"/>
  <c r="Z277" i="131" l="1"/>
  <c r="T277" i="131"/>
  <c r="U277" i="131"/>
  <c r="W277" i="131"/>
  <c r="E283" i="131"/>
  <c r="J283" i="131" s="1"/>
  <c r="AG274" i="131"/>
  <c r="AF274" i="131"/>
  <c r="AL274" i="131"/>
  <c r="X282" i="131"/>
  <c r="N278" i="131" l="1"/>
  <c r="AU277" i="131"/>
  <c r="AV277" i="131" s="1"/>
  <c r="AT277" i="131"/>
  <c r="O278" i="131"/>
  <c r="AO277" i="131"/>
  <c r="Y275" i="131"/>
  <c r="AA275" i="131"/>
  <c r="AJ274" i="131"/>
  <c r="AK274" i="131" s="1"/>
  <c r="D283" i="131"/>
  <c r="AN278" i="131" l="1"/>
  <c r="AS278" i="131" s="1"/>
  <c r="Q278" i="131"/>
  <c r="V278" i="131" s="1"/>
  <c r="M278" i="131"/>
  <c r="L278" i="131" s="1"/>
  <c r="I283" i="131"/>
  <c r="H283" i="131"/>
  <c r="K283" i="131"/>
  <c r="AI275" i="131"/>
  <c r="AP275" i="131"/>
  <c r="AC275" i="131"/>
  <c r="AH275" i="131" s="1"/>
  <c r="AM278" i="131" l="1"/>
  <c r="Z278" i="131"/>
  <c r="P278" i="131"/>
  <c r="AB275" i="131"/>
  <c r="C284" i="131"/>
  <c r="A283" i="131"/>
  <c r="B284" i="131"/>
  <c r="T278" i="131" l="1"/>
  <c r="U278" i="131"/>
  <c r="W278" i="131"/>
  <c r="X283" i="131"/>
  <c r="E284" i="131"/>
  <c r="J284" i="131" s="1"/>
  <c r="AG275" i="131"/>
  <c r="AF275" i="131"/>
  <c r="AL275" i="131"/>
  <c r="AO278" i="131" l="1"/>
  <c r="AU278" i="131"/>
  <c r="AV278" i="131" s="1"/>
  <c r="N279" i="131"/>
  <c r="AT278" i="131"/>
  <c r="O279" i="131"/>
  <c r="D284" i="131"/>
  <c r="H284" i="131" s="1"/>
  <c r="Y276" i="131"/>
  <c r="AA276" i="131"/>
  <c r="AJ275" i="131"/>
  <c r="AK275" i="131" s="1"/>
  <c r="AN279" i="131" l="1"/>
  <c r="AS279" i="131" s="1"/>
  <c r="M279" i="131"/>
  <c r="L279" i="131" s="1"/>
  <c r="Q279" i="131"/>
  <c r="V279" i="131" s="1"/>
  <c r="K284" i="131"/>
  <c r="C285" i="131" s="1"/>
  <c r="I284" i="131"/>
  <c r="AI276" i="131"/>
  <c r="AP276" i="131"/>
  <c r="AC276" i="131"/>
  <c r="AH276" i="131" s="1"/>
  <c r="B285" i="131" l="1"/>
  <c r="E285" i="131" s="1"/>
  <c r="J285" i="131" s="1"/>
  <c r="P279" i="131"/>
  <c r="AM279" i="131"/>
  <c r="Z279" i="131"/>
  <c r="A284" i="131"/>
  <c r="X284" i="131" s="1"/>
  <c r="AB276" i="131"/>
  <c r="U279" i="131" l="1"/>
  <c r="T279" i="131"/>
  <c r="W279" i="131"/>
  <c r="AF276" i="131"/>
  <c r="AG276" i="131"/>
  <c r="AL276" i="131"/>
  <c r="D285" i="131"/>
  <c r="AT279" i="131" l="1"/>
  <c r="N280" i="131"/>
  <c r="O280" i="131"/>
  <c r="AO279" i="131"/>
  <c r="AU279" i="131"/>
  <c r="AV279" i="131" s="1"/>
  <c r="I285" i="131"/>
  <c r="H285" i="131"/>
  <c r="K285" i="131"/>
  <c r="Y277" i="131"/>
  <c r="AA277" i="131"/>
  <c r="AJ276" i="131"/>
  <c r="AK276" i="131" s="1"/>
  <c r="AN280" i="131" l="1"/>
  <c r="AS280" i="131" s="1"/>
  <c r="M280" i="131"/>
  <c r="L280" i="131" s="1"/>
  <c r="Q280" i="131"/>
  <c r="V280" i="131" s="1"/>
  <c r="AP277" i="131"/>
  <c r="AI277" i="131"/>
  <c r="AC277" i="131"/>
  <c r="AH277" i="131" s="1"/>
  <c r="C286" i="131"/>
  <c r="B286" i="131"/>
  <c r="A285" i="131"/>
  <c r="AM280" i="131" l="1"/>
  <c r="Z280" i="131"/>
  <c r="P280" i="131"/>
  <c r="AB277" i="131"/>
  <c r="AL277" i="131" s="1"/>
  <c r="AA278" i="131" s="1"/>
  <c r="X285" i="131"/>
  <c r="E286" i="131"/>
  <c r="J286" i="131" s="1"/>
  <c r="T280" i="131" l="1"/>
  <c r="U280" i="131"/>
  <c r="W280" i="131"/>
  <c r="AJ277" i="131"/>
  <c r="AK277" i="131" s="1"/>
  <c r="Y278" i="131"/>
  <c r="AC278" i="131" s="1"/>
  <c r="AH278" i="131" s="1"/>
  <c r="AF277" i="131"/>
  <c r="AG277" i="131"/>
  <c r="D286" i="131"/>
  <c r="AI278" i="131"/>
  <c r="AP278" i="131"/>
  <c r="AU280" i="131" l="1"/>
  <c r="AV280" i="131" s="1"/>
  <c r="AT280" i="131"/>
  <c r="N281" i="131"/>
  <c r="AO280" i="131"/>
  <c r="O281" i="131"/>
  <c r="I286" i="131"/>
  <c r="H286" i="131"/>
  <c r="K286" i="131"/>
  <c r="AB278" i="131"/>
  <c r="AN281" i="131" l="1"/>
  <c r="AS281" i="131" s="1"/>
  <c r="M281" i="131"/>
  <c r="L281" i="131" s="1"/>
  <c r="Q281" i="131"/>
  <c r="V281" i="131" s="1"/>
  <c r="AG278" i="131"/>
  <c r="AF278" i="131"/>
  <c r="AL278" i="131"/>
  <c r="C287" i="131"/>
  <c r="A286" i="131"/>
  <c r="B287" i="131"/>
  <c r="Z281" i="131" l="1"/>
  <c r="AM281" i="131"/>
  <c r="P281" i="131"/>
  <c r="X286" i="131"/>
  <c r="E287" i="131"/>
  <c r="J287" i="131" s="1"/>
  <c r="Y279" i="131"/>
  <c r="AA279" i="131"/>
  <c r="AJ278" i="131"/>
  <c r="AK278" i="131" s="1"/>
  <c r="W281" i="131" l="1"/>
  <c r="U281" i="131"/>
  <c r="T281" i="131"/>
  <c r="D287" i="131"/>
  <c r="AP279" i="131"/>
  <c r="AI279" i="131"/>
  <c r="AC279" i="131"/>
  <c r="AH279" i="131" s="1"/>
  <c r="AO281" i="131" l="1"/>
  <c r="AU281" i="131"/>
  <c r="AV281" i="131" s="1"/>
  <c r="N282" i="131"/>
  <c r="O282" i="131"/>
  <c r="AT281" i="131"/>
  <c r="AB279" i="131"/>
  <c r="AL279" i="131" s="1"/>
  <c r="Y280" i="131" s="1"/>
  <c r="I287" i="131"/>
  <c r="H287" i="131"/>
  <c r="K287" i="131"/>
  <c r="AN282" i="131" l="1"/>
  <c r="AS282" i="131" s="1"/>
  <c r="M282" i="131"/>
  <c r="L282" i="131" s="1"/>
  <c r="Q282" i="131"/>
  <c r="V282" i="131" s="1"/>
  <c r="AJ279" i="131"/>
  <c r="AK279" i="131" s="1"/>
  <c r="AA280" i="131"/>
  <c r="AI280" i="131" s="1"/>
  <c r="AF279" i="131"/>
  <c r="AG279" i="131"/>
  <c r="C288" i="131"/>
  <c r="B288" i="131"/>
  <c r="A287" i="131"/>
  <c r="AC280" i="131"/>
  <c r="AH280" i="131" s="1"/>
  <c r="AP280" i="131" l="1"/>
  <c r="AM282" i="131"/>
  <c r="Z282" i="131"/>
  <c r="P282" i="131"/>
  <c r="AB280" i="131"/>
  <c r="X287" i="131"/>
  <c r="E288" i="131"/>
  <c r="J288" i="131" s="1"/>
  <c r="W282" i="131" l="1"/>
  <c r="U282" i="131"/>
  <c r="T282" i="131"/>
  <c r="D288" i="131"/>
  <c r="AF280" i="131"/>
  <c r="AG280" i="131"/>
  <c r="AL280" i="131"/>
  <c r="AO282" i="131" l="1"/>
  <c r="AU282" i="131"/>
  <c r="AV282" i="131" s="1"/>
  <c r="O283" i="131"/>
  <c r="AT282" i="131"/>
  <c r="N283" i="131"/>
  <c r="Y281" i="131"/>
  <c r="AA281" i="131"/>
  <c r="AJ280" i="131"/>
  <c r="AK280" i="131" s="1"/>
  <c r="I288" i="131"/>
  <c r="H288" i="131"/>
  <c r="K288" i="131"/>
  <c r="Q283" i="131" l="1"/>
  <c r="V283" i="131" s="1"/>
  <c r="M283" i="131"/>
  <c r="L283" i="131" s="1"/>
  <c r="AN283" i="131"/>
  <c r="AS283" i="131" s="1"/>
  <c r="AP281" i="131"/>
  <c r="AI281" i="131"/>
  <c r="A288" i="131"/>
  <c r="B289" i="131"/>
  <c r="C289" i="131"/>
  <c r="AC281" i="131"/>
  <c r="AH281" i="131" s="1"/>
  <c r="P283" i="131" l="1"/>
  <c r="Z283" i="131"/>
  <c r="AM283" i="131"/>
  <c r="E289" i="131"/>
  <c r="J289" i="131" s="1"/>
  <c r="X288" i="131"/>
  <c r="AB281" i="131"/>
  <c r="W283" i="131" l="1"/>
  <c r="T283" i="131"/>
  <c r="U283" i="131"/>
  <c r="D289" i="131"/>
  <c r="AG281" i="131"/>
  <c r="AF281" i="131"/>
  <c r="AL281" i="131"/>
  <c r="AO283" i="131" l="1"/>
  <c r="AU283" i="131"/>
  <c r="AV283" i="131" s="1"/>
  <c r="O284" i="131"/>
  <c r="N284" i="131"/>
  <c r="AT283" i="131"/>
  <c r="Y282" i="131"/>
  <c r="AA282" i="131"/>
  <c r="AJ281" i="131"/>
  <c r="AK281" i="131" s="1"/>
  <c r="H289" i="131"/>
  <c r="I289" i="131"/>
  <c r="K289" i="131"/>
  <c r="Q284" i="131" l="1"/>
  <c r="V284" i="131" s="1"/>
  <c r="M284" i="131"/>
  <c r="L284" i="131" s="1"/>
  <c r="AN284" i="131"/>
  <c r="AS284" i="131" s="1"/>
  <c r="AC282" i="131"/>
  <c r="AH282" i="131" s="1"/>
  <c r="C290" i="131"/>
  <c r="A289" i="131"/>
  <c r="B290" i="131"/>
  <c r="AP282" i="131"/>
  <c r="AI282" i="131"/>
  <c r="AM284" i="131" l="1"/>
  <c r="Z284" i="131"/>
  <c r="P284" i="131"/>
  <c r="AB282" i="131"/>
  <c r="AL282" i="131" s="1"/>
  <c r="X289" i="131"/>
  <c r="E290" i="131"/>
  <c r="J290" i="131" s="1"/>
  <c r="AF282" i="131"/>
  <c r="AG282" i="131" l="1"/>
  <c r="T284" i="131"/>
  <c r="U284" i="131"/>
  <c r="W284" i="131"/>
  <c r="D290" i="131"/>
  <c r="Y283" i="131"/>
  <c r="AA283" i="131"/>
  <c r="AJ282" i="131"/>
  <c r="AK282" i="131" s="1"/>
  <c r="N285" i="131" l="1"/>
  <c r="AT284" i="131"/>
  <c r="AO284" i="131"/>
  <c r="O285" i="131"/>
  <c r="AU284" i="131"/>
  <c r="AV284" i="131" s="1"/>
  <c r="AI283" i="131"/>
  <c r="AP283" i="131"/>
  <c r="AC283" i="131"/>
  <c r="AH283" i="131" s="1"/>
  <c r="I290" i="131"/>
  <c r="H290" i="131"/>
  <c r="K290" i="131"/>
  <c r="AN285" i="131" l="1"/>
  <c r="AS285" i="131" s="1"/>
  <c r="M285" i="131"/>
  <c r="L285" i="131" s="1"/>
  <c r="Q285" i="131"/>
  <c r="V285" i="131" s="1"/>
  <c r="C291" i="131"/>
  <c r="A290" i="131"/>
  <c r="B291" i="131"/>
  <c r="AB283" i="131"/>
  <c r="Z285" i="131" l="1"/>
  <c r="AM285" i="131"/>
  <c r="P285" i="131"/>
  <c r="AG283" i="131"/>
  <c r="AF283" i="131"/>
  <c r="AL283" i="131"/>
  <c r="E291" i="131"/>
  <c r="J291" i="131" s="1"/>
  <c r="X290" i="131"/>
  <c r="U285" i="131" l="1"/>
  <c r="T285" i="131"/>
  <c r="W285" i="131"/>
  <c r="D291" i="131"/>
  <c r="Y284" i="131"/>
  <c r="AA284" i="131"/>
  <c r="AJ283" i="131"/>
  <c r="AK283" i="131" s="1"/>
  <c r="AT285" i="131" l="1"/>
  <c r="AO285" i="131"/>
  <c r="O286" i="131"/>
  <c r="AU285" i="131"/>
  <c r="AV285" i="131" s="1"/>
  <c r="N286" i="131"/>
  <c r="I291" i="131"/>
  <c r="H291" i="131"/>
  <c r="K291" i="131"/>
  <c r="AI284" i="131"/>
  <c r="AP284" i="131"/>
  <c r="AC284" i="131"/>
  <c r="AH284" i="131" s="1"/>
  <c r="AN286" i="131" l="1"/>
  <c r="AS286" i="131" s="1"/>
  <c r="M286" i="131"/>
  <c r="L286" i="131" s="1"/>
  <c r="Q286" i="131"/>
  <c r="V286" i="131" s="1"/>
  <c r="AB284" i="131"/>
  <c r="C292" i="131"/>
  <c r="A291" i="131"/>
  <c r="B292" i="131"/>
  <c r="AM286" i="131" l="1"/>
  <c r="Z286" i="131"/>
  <c r="P286" i="131"/>
  <c r="X291" i="131"/>
  <c r="E292" i="131"/>
  <c r="J292" i="131" s="1"/>
  <c r="AF284" i="131"/>
  <c r="AG284" i="131"/>
  <c r="AL284" i="131"/>
  <c r="T286" i="131" l="1"/>
  <c r="U286" i="131"/>
  <c r="W286" i="131"/>
  <c r="Y285" i="131"/>
  <c r="AA285" i="131"/>
  <c r="AJ284" i="131"/>
  <c r="AK284" i="131" s="1"/>
  <c r="D292" i="131"/>
  <c r="AT286" i="131" l="1"/>
  <c r="AU286" i="131"/>
  <c r="AV286" i="131" s="1"/>
  <c r="O287" i="131"/>
  <c r="N287" i="131"/>
  <c r="AO286" i="131"/>
  <c r="AC285" i="131"/>
  <c r="AH285" i="131" s="1"/>
  <c r="I292" i="131"/>
  <c r="H292" i="131"/>
  <c r="K292" i="131"/>
  <c r="AP285" i="131"/>
  <c r="AI285" i="131"/>
  <c r="AN287" i="131" l="1"/>
  <c r="AS287" i="131" s="1"/>
  <c r="M287" i="131"/>
  <c r="L287" i="131" s="1"/>
  <c r="Q287" i="131"/>
  <c r="V287" i="131" s="1"/>
  <c r="AB285" i="131"/>
  <c r="C293" i="131"/>
  <c r="A292" i="131"/>
  <c r="B293" i="131"/>
  <c r="Z287" i="131" l="1"/>
  <c r="AM287" i="131"/>
  <c r="P287" i="131"/>
  <c r="E293" i="131"/>
  <c r="J293" i="131" s="1"/>
  <c r="X292" i="131"/>
  <c r="AF285" i="131"/>
  <c r="AG285" i="131"/>
  <c r="AL285" i="131"/>
  <c r="T287" i="131" l="1"/>
  <c r="U287" i="131"/>
  <c r="W287" i="131"/>
  <c r="D293" i="131"/>
  <c r="H293" i="131" s="1"/>
  <c r="Y286" i="131"/>
  <c r="AA286" i="131"/>
  <c r="AJ285" i="131"/>
  <c r="AK285" i="131" s="1"/>
  <c r="K293" i="131" l="1"/>
  <c r="C294" i="131" s="1"/>
  <c r="N288" i="131"/>
  <c r="AU287" i="131"/>
  <c r="AV287" i="131" s="1"/>
  <c r="AT287" i="131"/>
  <c r="AO287" i="131"/>
  <c r="O288" i="131"/>
  <c r="I293" i="131"/>
  <c r="AP286" i="131"/>
  <c r="AI286" i="131"/>
  <c r="AC286" i="131"/>
  <c r="AH286" i="131" s="1"/>
  <c r="A293" i="131" l="1"/>
  <c r="B294" i="131"/>
  <c r="AB286" i="131"/>
  <c r="AF286" i="131" s="1"/>
  <c r="AN288" i="131"/>
  <c r="AS288" i="131" s="1"/>
  <c r="Q288" i="131"/>
  <c r="V288" i="131" s="1"/>
  <c r="M288" i="131"/>
  <c r="L288" i="131" s="1"/>
  <c r="X293" i="131"/>
  <c r="AL286" i="131"/>
  <c r="E294" i="131"/>
  <c r="J294" i="131" s="1"/>
  <c r="AG286" i="131" l="1"/>
  <c r="Z288" i="131"/>
  <c r="AM288" i="131"/>
  <c r="P288" i="131"/>
  <c r="Y287" i="131"/>
  <c r="AA287" i="131"/>
  <c r="AJ286" i="131"/>
  <c r="AK286" i="131" s="1"/>
  <c r="D294" i="131"/>
  <c r="U288" i="131" l="1"/>
  <c r="T288" i="131"/>
  <c r="W288" i="131"/>
  <c r="I294" i="131"/>
  <c r="H294" i="131"/>
  <c r="K294" i="131"/>
  <c r="AP287" i="131"/>
  <c r="AI287" i="131"/>
  <c r="AC287" i="131"/>
  <c r="AH287" i="131" s="1"/>
  <c r="AO288" i="131" l="1"/>
  <c r="AU288" i="131"/>
  <c r="AV288" i="131" s="1"/>
  <c r="AT288" i="131"/>
  <c r="O289" i="131"/>
  <c r="N289" i="131"/>
  <c r="AB287" i="131"/>
  <c r="C295" i="131"/>
  <c r="A294" i="131"/>
  <c r="B295" i="131"/>
  <c r="Q289" i="131" l="1"/>
  <c r="V289" i="131" s="1"/>
  <c r="M289" i="131"/>
  <c r="L289" i="131" s="1"/>
  <c r="AN289" i="131"/>
  <c r="AS289" i="131" s="1"/>
  <c r="X294" i="131"/>
  <c r="AG287" i="131"/>
  <c r="AF287" i="131"/>
  <c r="AL287" i="131"/>
  <c r="E295" i="131"/>
  <c r="J295" i="131" s="1"/>
  <c r="P289" i="131" l="1"/>
  <c r="AM289" i="131"/>
  <c r="Z289" i="131"/>
  <c r="D295" i="131"/>
  <c r="K295" i="131" s="1"/>
  <c r="C296" i="131" s="1"/>
  <c r="Y288" i="131"/>
  <c r="AA288" i="131"/>
  <c r="AJ287" i="131"/>
  <c r="AK287" i="131" s="1"/>
  <c r="U289" i="131" l="1"/>
  <c r="T289" i="131"/>
  <c r="W289" i="131"/>
  <c r="A295" i="131"/>
  <c r="X295" i="131" s="1"/>
  <c r="B296" i="131"/>
  <c r="E296" i="131" s="1"/>
  <c r="J296" i="131" s="1"/>
  <c r="H295" i="131"/>
  <c r="I295" i="131"/>
  <c r="AI288" i="131"/>
  <c r="AP288" i="131"/>
  <c r="AC288" i="131"/>
  <c r="AH288" i="131" s="1"/>
  <c r="O290" i="131" l="1"/>
  <c r="N290" i="131"/>
  <c r="AT289" i="131"/>
  <c r="AO289" i="131"/>
  <c r="AU289" i="131"/>
  <c r="AV289" i="131" s="1"/>
  <c r="D296" i="131"/>
  <c r="AB288" i="131"/>
  <c r="M290" i="131" l="1"/>
  <c r="L290" i="131" s="1"/>
  <c r="Q290" i="131"/>
  <c r="V290" i="131" s="1"/>
  <c r="AN290" i="131"/>
  <c r="AS290" i="131" s="1"/>
  <c r="AG288" i="131"/>
  <c r="AF288" i="131"/>
  <c r="AL288" i="131"/>
  <c r="I296" i="131"/>
  <c r="H296" i="131"/>
  <c r="K296" i="131"/>
  <c r="AM290" i="131" l="1"/>
  <c r="Z290" i="131"/>
  <c r="P290" i="131"/>
  <c r="Y289" i="131"/>
  <c r="AA289" i="131"/>
  <c r="AJ288" i="131"/>
  <c r="AK288" i="131" s="1"/>
  <c r="C297" i="131"/>
  <c r="A296" i="131"/>
  <c r="B297" i="131"/>
  <c r="U290" i="131" l="1"/>
  <c r="T290" i="131"/>
  <c r="W290" i="131"/>
  <c r="AC289" i="131"/>
  <c r="AH289" i="131" s="1"/>
  <c r="E297" i="131"/>
  <c r="J297" i="131" s="1"/>
  <c r="X296" i="131"/>
  <c r="AP289" i="131"/>
  <c r="AI289" i="131"/>
  <c r="N291" i="131" l="1"/>
  <c r="AT290" i="131"/>
  <c r="O291" i="131"/>
  <c r="AO290" i="131"/>
  <c r="AU290" i="131"/>
  <c r="AV290" i="131" s="1"/>
  <c r="AB289" i="131"/>
  <c r="D297" i="131"/>
  <c r="AN291" i="131" l="1"/>
  <c r="AS291" i="131" s="1"/>
  <c r="M291" i="131"/>
  <c r="L291" i="131" s="1"/>
  <c r="Q291" i="131"/>
  <c r="V291" i="131" s="1"/>
  <c r="I297" i="131"/>
  <c r="H297" i="131"/>
  <c r="K297" i="131"/>
  <c r="AG289" i="131"/>
  <c r="AF289" i="131"/>
  <c r="AL289" i="131"/>
  <c r="Z291" i="131" l="1"/>
  <c r="AM291" i="131"/>
  <c r="P291" i="131"/>
  <c r="Y290" i="131"/>
  <c r="AA290" i="131"/>
  <c r="AJ289" i="131"/>
  <c r="AK289" i="131" s="1"/>
  <c r="C298" i="131"/>
  <c r="A297" i="131"/>
  <c r="B298" i="131"/>
  <c r="W291" i="131" l="1"/>
  <c r="U291" i="131"/>
  <c r="T291" i="131"/>
  <c r="X297" i="131"/>
  <c r="AI290" i="131"/>
  <c r="AP290" i="131"/>
  <c r="E298" i="131"/>
  <c r="J298" i="131" s="1"/>
  <c r="AC290" i="131"/>
  <c r="AH290" i="131" s="1"/>
  <c r="AO291" i="131" l="1"/>
  <c r="N292" i="131"/>
  <c r="AT291" i="131"/>
  <c r="AU291" i="131"/>
  <c r="AV291" i="131" s="1"/>
  <c r="O292" i="131"/>
  <c r="AB290" i="131"/>
  <c r="AL290" i="131" s="1"/>
  <c r="AJ290" i="131" s="1"/>
  <c r="AK290" i="131" s="1"/>
  <c r="D298" i="131"/>
  <c r="AN292" i="131" l="1"/>
  <c r="AS292" i="131" s="1"/>
  <c r="AA291" i="131"/>
  <c r="AI291" i="131" s="1"/>
  <c r="Y291" i="131"/>
  <c r="M292" i="131"/>
  <c r="L292" i="131" s="1"/>
  <c r="Q292" i="131"/>
  <c r="V292" i="131" s="1"/>
  <c r="AF290" i="131"/>
  <c r="AG290" i="131"/>
  <c r="AC291" i="131"/>
  <c r="AH291" i="131" s="1"/>
  <c r="I298" i="131"/>
  <c r="H298" i="131"/>
  <c r="K298" i="131"/>
  <c r="AM292" i="131" l="1"/>
  <c r="Z292" i="131"/>
  <c r="AP291" i="131"/>
  <c r="P292" i="131"/>
  <c r="C299" i="131"/>
  <c r="A298" i="131"/>
  <c r="B299" i="131"/>
  <c r="AB291" i="131"/>
  <c r="U292" i="131" l="1"/>
  <c r="T292" i="131"/>
  <c r="W292" i="131"/>
  <c r="AG291" i="131"/>
  <c r="AF291" i="131"/>
  <c r="AL291" i="131"/>
  <c r="E299" i="131"/>
  <c r="J299" i="131" s="1"/>
  <c r="X298" i="131"/>
  <c r="AO292" i="131" l="1"/>
  <c r="AU292" i="131"/>
  <c r="AV292" i="131" s="1"/>
  <c r="AT292" i="131"/>
  <c r="O293" i="131"/>
  <c r="N293" i="131"/>
  <c r="D299" i="131"/>
  <c r="Y292" i="131"/>
  <c r="AA292" i="131"/>
  <c r="AJ291" i="131"/>
  <c r="AK291" i="131" s="1"/>
  <c r="M293" i="131" l="1"/>
  <c r="L293" i="131" s="1"/>
  <c r="Q293" i="131"/>
  <c r="V293" i="131" s="1"/>
  <c r="AN293" i="131"/>
  <c r="AS293" i="131" s="1"/>
  <c r="AP292" i="131"/>
  <c r="AI292" i="131"/>
  <c r="AC292" i="131"/>
  <c r="AH292" i="131" s="1"/>
  <c r="I299" i="131"/>
  <c r="H299" i="131"/>
  <c r="K299" i="131"/>
  <c r="P293" i="131" l="1"/>
  <c r="U293" i="131" s="1"/>
  <c r="Z293" i="131"/>
  <c r="AM293" i="131"/>
  <c r="C300" i="131"/>
  <c r="A299" i="131"/>
  <c r="B300" i="131"/>
  <c r="AB292" i="131"/>
  <c r="W293" i="131" l="1"/>
  <c r="O294" i="131" s="1"/>
  <c r="T293" i="131"/>
  <c r="E300" i="131"/>
  <c r="J300" i="131" s="1"/>
  <c r="X299" i="131"/>
  <c r="AG292" i="131"/>
  <c r="AF292" i="131"/>
  <c r="AL292" i="131"/>
  <c r="N294" i="131" l="1"/>
  <c r="Q294" i="131" s="1"/>
  <c r="V294" i="131" s="1"/>
  <c r="AO293" i="131"/>
  <c r="AT293" i="131"/>
  <c r="AU293" i="131"/>
  <c r="AV293" i="131" s="1"/>
  <c r="AN294" i="131"/>
  <c r="AS294" i="131" s="1"/>
  <c r="D300" i="131"/>
  <c r="K300" i="131" s="1"/>
  <c r="C301" i="131" s="1"/>
  <c r="Y293" i="131"/>
  <c r="AA293" i="131"/>
  <c r="AJ292" i="131"/>
  <c r="AK292" i="131" s="1"/>
  <c r="M294" i="131" l="1"/>
  <c r="L294" i="131" s="1"/>
  <c r="Z294" i="131" s="1"/>
  <c r="P294" i="131"/>
  <c r="H300" i="131"/>
  <c r="I300" i="131"/>
  <c r="B301" i="131"/>
  <c r="E301" i="131" s="1"/>
  <c r="J301" i="131" s="1"/>
  <c r="A300" i="131"/>
  <c r="X300" i="131" s="1"/>
  <c r="AI293" i="131"/>
  <c r="AP293" i="131"/>
  <c r="AC293" i="131"/>
  <c r="AH293" i="131" s="1"/>
  <c r="AM294" i="131" l="1"/>
  <c r="U294" i="131"/>
  <c r="T294" i="131"/>
  <c r="W294" i="131"/>
  <c r="D301" i="131"/>
  <c r="AB293" i="131"/>
  <c r="O295" i="131" l="1"/>
  <c r="AU294" i="131"/>
  <c r="AV294" i="131" s="1"/>
  <c r="N295" i="131"/>
  <c r="AO294" i="131"/>
  <c r="AT294" i="131"/>
  <c r="I301" i="131"/>
  <c r="H301" i="131"/>
  <c r="K301" i="131"/>
  <c r="AG293" i="131"/>
  <c r="AF293" i="131"/>
  <c r="AL293" i="131"/>
  <c r="M295" i="131" l="1"/>
  <c r="L295" i="131" s="1"/>
  <c r="Q295" i="131"/>
  <c r="V295" i="131" s="1"/>
  <c r="AN295" i="131"/>
  <c r="AS295" i="131" s="1"/>
  <c r="Y294" i="131"/>
  <c r="AA294" i="131"/>
  <c r="AJ293" i="131"/>
  <c r="AK293" i="131" s="1"/>
  <c r="A301" i="131"/>
  <c r="C302" i="131"/>
  <c r="B302" i="131"/>
  <c r="P295" i="131" l="1"/>
  <c r="AM295" i="131"/>
  <c r="Z295" i="131"/>
  <c r="E302" i="131"/>
  <c r="J302" i="131" s="1"/>
  <c r="AP294" i="131"/>
  <c r="AI294" i="131"/>
  <c r="X301" i="131"/>
  <c r="AC294" i="131"/>
  <c r="AH294" i="131" s="1"/>
  <c r="U295" i="131" l="1"/>
  <c r="T295" i="131"/>
  <c r="W295" i="131"/>
  <c r="AB294" i="131"/>
  <c r="AF294" i="131" s="1"/>
  <c r="D302" i="131"/>
  <c r="AG294" i="131" l="1"/>
  <c r="AT295" i="131"/>
  <c r="N296" i="131"/>
  <c r="AU295" i="131"/>
  <c r="AV295" i="131" s="1"/>
  <c r="O296" i="131"/>
  <c r="AO295" i="131"/>
  <c r="AL294" i="131"/>
  <c r="AJ294" i="131" s="1"/>
  <c r="AK294" i="131" s="1"/>
  <c r="I302" i="131"/>
  <c r="H302" i="131"/>
  <c r="K302" i="131"/>
  <c r="AN296" i="131" l="1"/>
  <c r="AS296" i="131" s="1"/>
  <c r="M296" i="131"/>
  <c r="L296" i="131" s="1"/>
  <c r="Q296" i="131"/>
  <c r="V296" i="131" s="1"/>
  <c r="AA295" i="131"/>
  <c r="AI295" i="131" s="1"/>
  <c r="Y295" i="131"/>
  <c r="AC295" i="131" s="1"/>
  <c r="AH295" i="131" s="1"/>
  <c r="C303" i="131"/>
  <c r="A302" i="131"/>
  <c r="B303" i="131"/>
  <c r="AP295" i="131" l="1"/>
  <c r="Z296" i="131"/>
  <c r="AM296" i="131"/>
  <c r="P296" i="131"/>
  <c r="AB295" i="131"/>
  <c r="AL295" i="131" s="1"/>
  <c r="Y296" i="131" s="1"/>
  <c r="E303" i="131"/>
  <c r="J303" i="131" s="1"/>
  <c r="X302" i="131"/>
  <c r="U296" i="131" l="1"/>
  <c r="T296" i="131"/>
  <c r="W296" i="131"/>
  <c r="AJ295" i="131"/>
  <c r="AK295" i="131" s="1"/>
  <c r="AF295" i="131"/>
  <c r="AA296" i="131"/>
  <c r="AI296" i="131" s="1"/>
  <c r="AG295" i="131"/>
  <c r="D303" i="131"/>
  <c r="AC296" i="131"/>
  <c r="AH296" i="131" s="1"/>
  <c r="O297" i="131" l="1"/>
  <c r="AU296" i="131"/>
  <c r="AV296" i="131" s="1"/>
  <c r="N297" i="131"/>
  <c r="AT296" i="131"/>
  <c r="AO296" i="131"/>
  <c r="AP296" i="131"/>
  <c r="AB296" i="131"/>
  <c r="AG296" i="131" s="1"/>
  <c r="I303" i="131"/>
  <c r="H303" i="131"/>
  <c r="K303" i="131"/>
  <c r="M297" i="131" l="1"/>
  <c r="L297" i="131" s="1"/>
  <c r="Q297" i="131"/>
  <c r="V297" i="131" s="1"/>
  <c r="AN297" i="131"/>
  <c r="AS297" i="131" s="1"/>
  <c r="AF296" i="131"/>
  <c r="AL296" i="131"/>
  <c r="AJ296" i="131" s="1"/>
  <c r="AK296" i="131" s="1"/>
  <c r="C304" i="131"/>
  <c r="A303" i="131"/>
  <c r="B304" i="131"/>
  <c r="AM297" i="131" l="1"/>
  <c r="Z297" i="131"/>
  <c r="AA297" i="131" s="1"/>
  <c r="AI297" i="131" s="1"/>
  <c r="Y297" i="131"/>
  <c r="P297" i="131"/>
  <c r="E304" i="131"/>
  <c r="J304" i="131" s="1"/>
  <c r="X303" i="131"/>
  <c r="AC297" i="131" l="1"/>
  <c r="AH297" i="131" s="1"/>
  <c r="U297" i="131"/>
  <c r="T297" i="131"/>
  <c r="W297" i="131"/>
  <c r="AP297" i="131"/>
  <c r="D304" i="131"/>
  <c r="AB297" i="131" l="1"/>
  <c r="AG297" i="131" s="1"/>
  <c r="AO297" i="131"/>
  <c r="O298" i="131"/>
  <c r="AU297" i="131"/>
  <c r="AV297" i="131" s="1"/>
  <c r="N298" i="131"/>
  <c r="AT297" i="131"/>
  <c r="I304" i="131"/>
  <c r="H304" i="131"/>
  <c r="K304" i="131"/>
  <c r="AL297" i="131" l="1"/>
  <c r="AJ297" i="131" s="1"/>
  <c r="AK297" i="131" s="1"/>
  <c r="AF297" i="131"/>
  <c r="M298" i="131"/>
  <c r="L298" i="131" s="1"/>
  <c r="Q298" i="131"/>
  <c r="V298" i="131" s="1"/>
  <c r="AN298" i="131"/>
  <c r="AS298" i="131" s="1"/>
  <c r="C305" i="131"/>
  <c r="A304" i="131"/>
  <c r="B305" i="131"/>
  <c r="Y298" i="131" l="1"/>
  <c r="P298" i="131"/>
  <c r="W298" i="131" s="1"/>
  <c r="Z298" i="131"/>
  <c r="AA298" i="131" s="1"/>
  <c r="AI298" i="131" s="1"/>
  <c r="AM298" i="131"/>
  <c r="E305" i="131"/>
  <c r="J305" i="131" s="1"/>
  <c r="X304" i="131"/>
  <c r="AC298" i="131" l="1"/>
  <c r="AH298" i="131" s="1"/>
  <c r="U298" i="131"/>
  <c r="AO298" i="131" s="1"/>
  <c r="T298" i="131"/>
  <c r="AP298" i="131"/>
  <c r="AU298" i="131"/>
  <c r="AV298" i="131" s="1"/>
  <c r="O299" i="131"/>
  <c r="N299" i="131"/>
  <c r="AT298" i="131"/>
  <c r="D305" i="131"/>
  <c r="AB298" i="131" l="1"/>
  <c r="AF298" i="131" s="1"/>
  <c r="M299" i="131"/>
  <c r="L299" i="131" s="1"/>
  <c r="Q299" i="131"/>
  <c r="V299" i="131" s="1"/>
  <c r="AN299" i="131"/>
  <c r="AS299" i="131" s="1"/>
  <c r="I305" i="131"/>
  <c r="H305" i="131"/>
  <c r="K305" i="131"/>
  <c r="AG298" i="131" l="1"/>
  <c r="AL298" i="131"/>
  <c r="AJ298" i="131" s="1"/>
  <c r="AK298" i="131" s="1"/>
  <c r="P299" i="131"/>
  <c r="W299" i="131" s="1"/>
  <c r="AM299" i="131"/>
  <c r="Z299" i="131"/>
  <c r="C306" i="131"/>
  <c r="B306" i="131"/>
  <c r="A305" i="131"/>
  <c r="Y299" i="131" l="1"/>
  <c r="AC299" i="131" s="1"/>
  <c r="AH299" i="131" s="1"/>
  <c r="T299" i="131"/>
  <c r="U299" i="131"/>
  <c r="AO299" i="131" s="1"/>
  <c r="AA299" i="131"/>
  <c r="AP299" i="131" s="1"/>
  <c r="AU299" i="131"/>
  <c r="AV299" i="131" s="1"/>
  <c r="AT299" i="131"/>
  <c r="N300" i="131"/>
  <c r="O300" i="131"/>
  <c r="X305" i="131"/>
  <c r="E306" i="131"/>
  <c r="J306" i="131" s="1"/>
  <c r="AB299" i="131" l="1"/>
  <c r="AF299" i="131" s="1"/>
  <c r="AI299" i="131"/>
  <c r="AN300" i="131"/>
  <c r="AS300" i="131" s="1"/>
  <c r="M300" i="131"/>
  <c r="L300" i="131" s="1"/>
  <c r="Q300" i="131"/>
  <c r="V300" i="131" s="1"/>
  <c r="D306" i="131"/>
  <c r="AL299" i="131" l="1"/>
  <c r="AJ299" i="131" s="1"/>
  <c r="AK299" i="131" s="1"/>
  <c r="AG299" i="131"/>
  <c r="Z300" i="131"/>
  <c r="AM300" i="131"/>
  <c r="P300" i="131"/>
  <c r="I306" i="131"/>
  <c r="H306" i="131"/>
  <c r="K306" i="131"/>
  <c r="Y300" i="131" l="1"/>
  <c r="AC300" i="131" s="1"/>
  <c r="AH300" i="131" s="1"/>
  <c r="AA300" i="131"/>
  <c r="AI300" i="131" s="1"/>
  <c r="W300" i="131"/>
  <c r="U300" i="131"/>
  <c r="T300" i="131"/>
  <c r="C307" i="131"/>
  <c r="A306" i="131"/>
  <c r="B307" i="131"/>
  <c r="AP300" i="131" l="1"/>
  <c r="O301" i="131"/>
  <c r="AU300" i="131"/>
  <c r="AV300" i="131" s="1"/>
  <c r="N301" i="131"/>
  <c r="AT300" i="131"/>
  <c r="AO300" i="131"/>
  <c r="AB300" i="131"/>
  <c r="E307" i="131"/>
  <c r="J307" i="131" s="1"/>
  <c r="X306" i="131"/>
  <c r="M301" i="131" l="1"/>
  <c r="L301" i="131" s="1"/>
  <c r="Q301" i="131"/>
  <c r="V301" i="131" s="1"/>
  <c r="AN301" i="131"/>
  <c r="AS301" i="131" s="1"/>
  <c r="AG300" i="131"/>
  <c r="AF300" i="131"/>
  <c r="AL300" i="131"/>
  <c r="D307" i="131"/>
  <c r="P301" i="131" l="1"/>
  <c r="Z301" i="131"/>
  <c r="AA301" i="131" s="1"/>
  <c r="AM301" i="131"/>
  <c r="I307" i="131"/>
  <c r="H307" i="131"/>
  <c r="K307" i="131"/>
  <c r="Y301" i="131"/>
  <c r="AJ300" i="131"/>
  <c r="AK300" i="131" s="1"/>
  <c r="U301" i="131" l="1"/>
  <c r="T301" i="131"/>
  <c r="W301" i="131"/>
  <c r="AI301" i="131"/>
  <c r="AP301" i="131"/>
  <c r="AC301" i="131"/>
  <c r="AH301" i="131" s="1"/>
  <c r="C308" i="131"/>
  <c r="A307" i="131"/>
  <c r="B308" i="131"/>
  <c r="O302" i="131" l="1"/>
  <c r="AO301" i="131"/>
  <c r="AT301" i="131"/>
  <c r="AU301" i="131"/>
  <c r="AV301" i="131" s="1"/>
  <c r="N302" i="131"/>
  <c r="E308" i="131"/>
  <c r="J308" i="131" s="1"/>
  <c r="X307" i="131"/>
  <c r="AB301" i="131"/>
  <c r="Q302" i="131" l="1"/>
  <c r="V302" i="131" s="1"/>
  <c r="M302" i="131"/>
  <c r="L302" i="131" s="1"/>
  <c r="AN302" i="131"/>
  <c r="AS302" i="131" s="1"/>
  <c r="D308" i="131"/>
  <c r="K308" i="131" s="1"/>
  <c r="C309" i="131" s="1"/>
  <c r="AF301" i="131"/>
  <c r="AG301" i="131"/>
  <c r="AL301" i="131"/>
  <c r="P302" i="131" l="1"/>
  <c r="AM302" i="131"/>
  <c r="Z302" i="131"/>
  <c r="AA302" i="131" s="1"/>
  <c r="H308" i="131"/>
  <c r="I308" i="131"/>
  <c r="B309" i="131"/>
  <c r="E309" i="131" s="1"/>
  <c r="J309" i="131" s="1"/>
  <c r="A308" i="131"/>
  <c r="X308" i="131" s="1"/>
  <c r="Y302" i="131"/>
  <c r="AJ301" i="131"/>
  <c r="AK301" i="131" s="1"/>
  <c r="U302" i="131" l="1"/>
  <c r="T302" i="131"/>
  <c r="W302" i="131"/>
  <c r="D309" i="131"/>
  <c r="K309" i="131" s="1"/>
  <c r="AC302" i="131"/>
  <c r="AH302" i="131" s="1"/>
  <c r="AP302" i="131"/>
  <c r="AI302" i="131"/>
  <c r="AT302" i="131" l="1"/>
  <c r="AO302" i="131"/>
  <c r="AU302" i="131"/>
  <c r="AV302" i="131" s="1"/>
  <c r="N303" i="131"/>
  <c r="O303" i="131"/>
  <c r="H309" i="131"/>
  <c r="I309" i="131"/>
  <c r="AB302" i="131"/>
  <c r="B310" i="131"/>
  <c r="A309" i="131"/>
  <c r="C310" i="131"/>
  <c r="AN303" i="131" l="1"/>
  <c r="AS303" i="131" s="1"/>
  <c r="M303" i="131"/>
  <c r="L303" i="131" s="1"/>
  <c r="Q303" i="131"/>
  <c r="V303" i="131" s="1"/>
  <c r="X309" i="131"/>
  <c r="E310" i="131"/>
  <c r="J310" i="131" s="1"/>
  <c r="AG302" i="131"/>
  <c r="AF302" i="131"/>
  <c r="AL302" i="131"/>
  <c r="Z303" i="131" l="1"/>
  <c r="AA303" i="131" s="1"/>
  <c r="AM303" i="131"/>
  <c r="P303" i="131"/>
  <c r="D310" i="131"/>
  <c r="K310" i="131" s="1"/>
  <c r="C311" i="131" s="1"/>
  <c r="Y303" i="131"/>
  <c r="AJ302" i="131"/>
  <c r="AK302" i="131" s="1"/>
  <c r="U303" i="131" l="1"/>
  <c r="T303" i="131"/>
  <c r="W303" i="131"/>
  <c r="H310" i="131"/>
  <c r="I310" i="131"/>
  <c r="B311" i="131"/>
  <c r="E311" i="131" s="1"/>
  <c r="J311" i="131" s="1"/>
  <c r="A310" i="131"/>
  <c r="X310" i="131" s="1"/>
  <c r="AI303" i="131"/>
  <c r="AP303" i="131"/>
  <c r="AC303" i="131"/>
  <c r="AH303" i="131" s="1"/>
  <c r="AO303" i="131" l="1"/>
  <c r="N304" i="131"/>
  <c r="O304" i="131"/>
  <c r="AT303" i="131"/>
  <c r="AU303" i="131"/>
  <c r="AV303" i="131" s="1"/>
  <c r="D311" i="131"/>
  <c r="AB303" i="131"/>
  <c r="AN304" i="131" l="1"/>
  <c r="AS304" i="131" s="1"/>
  <c r="M304" i="131"/>
  <c r="L304" i="131" s="1"/>
  <c r="Q304" i="131"/>
  <c r="V304" i="131" s="1"/>
  <c r="AG303" i="131"/>
  <c r="AF303" i="131"/>
  <c r="AL303" i="131"/>
  <c r="I311" i="131"/>
  <c r="H311" i="131"/>
  <c r="K311" i="131"/>
  <c r="P304" i="131" l="1"/>
  <c r="AM304" i="131"/>
  <c r="Z304" i="131"/>
  <c r="AA304" i="131" s="1"/>
  <c r="C312" i="131"/>
  <c r="A311" i="131"/>
  <c r="B312" i="131"/>
  <c r="Y304" i="131"/>
  <c r="AJ303" i="131"/>
  <c r="AK303" i="131" s="1"/>
  <c r="W304" i="131" l="1"/>
  <c r="T304" i="131"/>
  <c r="U304" i="131"/>
  <c r="X311" i="131"/>
  <c r="AC304" i="131"/>
  <c r="AH304" i="131" s="1"/>
  <c r="E312" i="131"/>
  <c r="J312" i="131" s="1"/>
  <c r="AI304" i="131"/>
  <c r="AP304" i="131"/>
  <c r="AO304" i="131" l="1"/>
  <c r="AU304" i="131"/>
  <c r="AV304" i="131" s="1"/>
  <c r="N305" i="131"/>
  <c r="O305" i="131"/>
  <c r="AT304" i="131"/>
  <c r="AB304" i="131"/>
  <c r="AL304" i="131" s="1"/>
  <c r="Y305" i="131" s="1"/>
  <c r="D312" i="131"/>
  <c r="K312" i="131" s="1"/>
  <c r="AN305" i="131" l="1"/>
  <c r="AS305" i="131" s="1"/>
  <c r="M305" i="131"/>
  <c r="L305" i="131" s="1"/>
  <c r="Q305" i="131"/>
  <c r="V305" i="131" s="1"/>
  <c r="H312" i="131"/>
  <c r="I312" i="131"/>
  <c r="AF304" i="131"/>
  <c r="AG304" i="131"/>
  <c r="AJ304" i="131"/>
  <c r="AK304" i="131" s="1"/>
  <c r="C313" i="131"/>
  <c r="A312" i="131"/>
  <c r="B313" i="131"/>
  <c r="P305" i="131" l="1"/>
  <c r="AM305" i="131"/>
  <c r="Z305" i="131"/>
  <c r="E313" i="131"/>
  <c r="J313" i="131" s="1"/>
  <c r="X312" i="131"/>
  <c r="AC305" i="131" l="1"/>
  <c r="AH305" i="131" s="1"/>
  <c r="AA305" i="131"/>
  <c r="U305" i="131"/>
  <c r="T305" i="131"/>
  <c r="W305" i="131"/>
  <c r="D313" i="131"/>
  <c r="AT305" i="131" l="1"/>
  <c r="AU305" i="131"/>
  <c r="AV305" i="131" s="1"/>
  <c r="N306" i="131"/>
  <c r="AO305" i="131"/>
  <c r="O306" i="131"/>
  <c r="AI305" i="131"/>
  <c r="AP305" i="131"/>
  <c r="AB305" i="131"/>
  <c r="I313" i="131"/>
  <c r="H313" i="131"/>
  <c r="K313" i="131"/>
  <c r="AF305" i="131" l="1"/>
  <c r="AG305" i="131"/>
  <c r="AL305" i="131"/>
  <c r="M306" i="131"/>
  <c r="L306" i="131" s="1"/>
  <c r="Q306" i="131"/>
  <c r="V306" i="131" s="1"/>
  <c r="AN306" i="131"/>
  <c r="AS306" i="131" s="1"/>
  <c r="B314" i="131"/>
  <c r="A313" i="131"/>
  <c r="C314" i="131"/>
  <c r="P306" i="131" l="1"/>
  <c r="W306" i="131" s="1"/>
  <c r="N307" i="131" s="1"/>
  <c r="AJ305" i="131"/>
  <c r="AK305" i="131" s="1"/>
  <c r="Y306" i="131"/>
  <c r="Z306" i="131"/>
  <c r="AA306" i="131" s="1"/>
  <c r="AM306" i="131"/>
  <c r="E314" i="131"/>
  <c r="J314" i="131" s="1"/>
  <c r="X313" i="131"/>
  <c r="AU306" i="131" l="1"/>
  <c r="AV306" i="131" s="1"/>
  <c r="T306" i="131"/>
  <c r="U306" i="131"/>
  <c r="AO306" i="131" s="1"/>
  <c r="AT306" i="131"/>
  <c r="O307" i="131"/>
  <c r="AN307" i="131" s="1"/>
  <c r="AS307" i="131" s="1"/>
  <c r="AP306" i="131"/>
  <c r="AI306" i="131"/>
  <c r="AC306" i="131"/>
  <c r="AH306" i="131" s="1"/>
  <c r="M307" i="131"/>
  <c r="L307" i="131" s="1"/>
  <c r="Q307" i="131"/>
  <c r="V307" i="131" s="1"/>
  <c r="D314" i="131"/>
  <c r="K314" i="131" s="1"/>
  <c r="C315" i="131" s="1"/>
  <c r="B315" i="131" l="1"/>
  <c r="E315" i="131" s="1"/>
  <c r="J315" i="131" s="1"/>
  <c r="Z307" i="131"/>
  <c r="AM307" i="131"/>
  <c r="P307" i="131"/>
  <c r="A314" i="131"/>
  <c r="X314" i="131" s="1"/>
  <c r="AB306" i="131"/>
  <c r="H314" i="131"/>
  <c r="I314" i="131"/>
  <c r="AL306" i="131" l="1"/>
  <c r="AF306" i="131"/>
  <c r="AG306" i="131"/>
  <c r="U307" i="131"/>
  <c r="T307" i="131"/>
  <c r="W307" i="131"/>
  <c r="D315" i="131"/>
  <c r="K315" i="131" s="1"/>
  <c r="AO307" i="131" l="1"/>
  <c r="AU307" i="131"/>
  <c r="AV307" i="131" s="1"/>
  <c r="AT307" i="131"/>
  <c r="O308" i="131"/>
  <c r="N308" i="131"/>
  <c r="AA307" i="131"/>
  <c r="AJ306" i="131"/>
  <c r="AK306" i="131" s="1"/>
  <c r="Y307" i="131"/>
  <c r="AC307" i="131" s="1"/>
  <c r="AH307" i="131" s="1"/>
  <c r="I315" i="131"/>
  <c r="H315" i="131"/>
  <c r="C316" i="131"/>
  <c r="A315" i="131"/>
  <c r="B316" i="131"/>
  <c r="Q308" i="131" l="1"/>
  <c r="V308" i="131" s="1"/>
  <c r="M308" i="131"/>
  <c r="L308" i="131" s="1"/>
  <c r="AI307" i="131"/>
  <c r="AP307" i="131"/>
  <c r="AB307" i="131"/>
  <c r="AL307" i="131" s="1"/>
  <c r="AJ307" i="131" s="1"/>
  <c r="AN308" i="131"/>
  <c r="AS308" i="131" s="1"/>
  <c r="E316" i="131"/>
  <c r="J316" i="131" s="1"/>
  <c r="X315" i="131"/>
  <c r="AF307" i="131" l="1"/>
  <c r="P308" i="131"/>
  <c r="W308" i="131" s="1"/>
  <c r="AK307" i="131"/>
  <c r="AG307" i="131"/>
  <c r="AM308" i="131"/>
  <c r="Z308" i="131"/>
  <c r="AA308" i="131" s="1"/>
  <c r="AI308" i="131" s="1"/>
  <c r="Y308" i="131"/>
  <c r="D316" i="131"/>
  <c r="U308" i="131" l="1"/>
  <c r="AO308" i="131" s="1"/>
  <c r="T308" i="131"/>
  <c r="AC308" i="131"/>
  <c r="AH308" i="131" s="1"/>
  <c r="AU308" i="131"/>
  <c r="AV308" i="131" s="1"/>
  <c r="AT308" i="131"/>
  <c r="O309" i="131"/>
  <c r="N309" i="131"/>
  <c r="AP308" i="131"/>
  <c r="I316" i="131"/>
  <c r="H316" i="131"/>
  <c r="K316" i="131"/>
  <c r="AB308" i="131" l="1"/>
  <c r="AF308" i="131" s="1"/>
  <c r="M309" i="131"/>
  <c r="L309" i="131" s="1"/>
  <c r="Q309" i="131"/>
  <c r="V309" i="131" s="1"/>
  <c r="AN309" i="131"/>
  <c r="AS309" i="131" s="1"/>
  <c r="C317" i="131"/>
  <c r="A316" i="131"/>
  <c r="B317" i="131"/>
  <c r="P309" i="131" l="1"/>
  <c r="U309" i="131" s="1"/>
  <c r="AG308" i="131"/>
  <c r="AL308" i="131"/>
  <c r="AM309" i="131"/>
  <c r="Z309" i="131"/>
  <c r="AA309" i="131" s="1"/>
  <c r="AP309" i="131" s="1"/>
  <c r="X316" i="131"/>
  <c r="E317" i="131"/>
  <c r="J317" i="131" s="1"/>
  <c r="W309" i="131" l="1"/>
  <c r="AO309" i="131" s="1"/>
  <c r="T309" i="131"/>
  <c r="AJ308" i="131"/>
  <c r="AK308" i="131" s="1"/>
  <c r="Y309" i="131"/>
  <c r="AC309" i="131" s="1"/>
  <c r="AH309" i="131" s="1"/>
  <c r="AI309" i="131"/>
  <c r="D317" i="131"/>
  <c r="N310" i="131" l="1"/>
  <c r="Q310" i="131" s="1"/>
  <c r="V310" i="131" s="1"/>
  <c r="AU309" i="131"/>
  <c r="AV309" i="131" s="1"/>
  <c r="O310" i="131"/>
  <c r="AN310" i="131" s="1"/>
  <c r="AS310" i="131" s="1"/>
  <c r="AT309" i="131"/>
  <c r="AB309" i="131"/>
  <c r="AL309" i="131" s="1"/>
  <c r="AJ309" i="131" s="1"/>
  <c r="AK309" i="131" s="1"/>
  <c r="I317" i="131"/>
  <c r="H317" i="131"/>
  <c r="K317" i="131"/>
  <c r="M310" i="131" l="1"/>
  <c r="L310" i="131" s="1"/>
  <c r="AM310" i="131" s="1"/>
  <c r="AG309" i="131"/>
  <c r="Y310" i="131"/>
  <c r="AF309" i="131"/>
  <c r="P310" i="131"/>
  <c r="C318" i="131"/>
  <c r="B318" i="131"/>
  <c r="A317" i="131"/>
  <c r="Z310" i="131" l="1"/>
  <c r="AA310" i="131" s="1"/>
  <c r="AP310" i="131" s="1"/>
  <c r="AC310" i="131"/>
  <c r="AH310" i="131" s="1"/>
  <c r="U310" i="131"/>
  <c r="T310" i="131"/>
  <c r="W310" i="131"/>
  <c r="X317" i="131"/>
  <c r="E318" i="131"/>
  <c r="J318" i="131" s="1"/>
  <c r="AI310" i="131" l="1"/>
  <c r="AB310" i="131"/>
  <c r="AG310" i="131" s="1"/>
  <c r="N311" i="131"/>
  <c r="AO310" i="131"/>
  <c r="O311" i="131"/>
  <c r="AT310" i="131"/>
  <c r="AU310" i="131"/>
  <c r="AV310" i="131" s="1"/>
  <c r="D318" i="131"/>
  <c r="AF310" i="131" l="1"/>
  <c r="AL310" i="131"/>
  <c r="AN311" i="131"/>
  <c r="AS311" i="131" s="1"/>
  <c r="M311" i="131"/>
  <c r="L311" i="131" s="1"/>
  <c r="Q311" i="131"/>
  <c r="V311" i="131" s="1"/>
  <c r="I318" i="131"/>
  <c r="H318" i="131"/>
  <c r="K318" i="131"/>
  <c r="Y311" i="131" l="1"/>
  <c r="AJ310" i="131"/>
  <c r="AK310" i="131" s="1"/>
  <c r="Z311" i="131"/>
  <c r="AM311" i="131"/>
  <c r="P311" i="131"/>
  <c r="C319" i="131"/>
  <c r="A318" i="131"/>
  <c r="B319" i="131"/>
  <c r="W311" i="131" l="1"/>
  <c r="U311" i="131"/>
  <c r="T311" i="131"/>
  <c r="AA311" i="131"/>
  <c r="AC311" i="131"/>
  <c r="AH311" i="131" s="1"/>
  <c r="E319" i="131"/>
  <c r="J319" i="131" s="1"/>
  <c r="X318" i="131"/>
  <c r="AO311" i="131" l="1"/>
  <c r="AB311" i="131"/>
  <c r="AI311" i="131"/>
  <c r="AP311" i="131"/>
  <c r="AU311" i="131"/>
  <c r="AV311" i="131" s="1"/>
  <c r="AT311" i="131"/>
  <c r="O312" i="131"/>
  <c r="N312" i="131"/>
  <c r="D319" i="131"/>
  <c r="AG311" i="131" l="1"/>
  <c r="AF311" i="131"/>
  <c r="AL311" i="131"/>
  <c r="AN312" i="131"/>
  <c r="AS312" i="131" s="1"/>
  <c r="Q312" i="131"/>
  <c r="V312" i="131" s="1"/>
  <c r="M312" i="131"/>
  <c r="L312" i="131" s="1"/>
  <c r="I319" i="131"/>
  <c r="H319" i="131"/>
  <c r="K319" i="131"/>
  <c r="P312" i="131" l="1"/>
  <c r="Y312" i="131"/>
  <c r="AJ311" i="131"/>
  <c r="AK311" i="131" s="1"/>
  <c r="Z312" i="131"/>
  <c r="AA312" i="131" s="1"/>
  <c r="AM312" i="131"/>
  <c r="C320" i="131"/>
  <c r="A319" i="131"/>
  <c r="B320" i="131"/>
  <c r="AP312" i="131" l="1"/>
  <c r="AI312" i="131"/>
  <c r="AC312" i="131"/>
  <c r="AH312" i="131" s="1"/>
  <c r="U312" i="131"/>
  <c r="T312" i="131"/>
  <c r="W312" i="131"/>
  <c r="E320" i="131"/>
  <c r="J320" i="131" s="1"/>
  <c r="X319" i="131"/>
  <c r="N313" i="131" l="1"/>
  <c r="AT312" i="131"/>
  <c r="AO312" i="131"/>
  <c r="O313" i="131"/>
  <c r="AU312" i="131"/>
  <c r="AV312" i="131" s="1"/>
  <c r="AB312" i="131"/>
  <c r="D320" i="131"/>
  <c r="AG312" i="131" l="1"/>
  <c r="AF312" i="131"/>
  <c r="AL312" i="131"/>
  <c r="AN313" i="131"/>
  <c r="AS313" i="131" s="1"/>
  <c r="M313" i="131"/>
  <c r="L313" i="131" s="1"/>
  <c r="Q313" i="131"/>
  <c r="V313" i="131" s="1"/>
  <c r="I320" i="131"/>
  <c r="H320" i="131"/>
  <c r="K320" i="131"/>
  <c r="P313" i="131" l="1"/>
  <c r="W313" i="131" s="1"/>
  <c r="Z313" i="131"/>
  <c r="AA313" i="131" s="1"/>
  <c r="AM313" i="131"/>
  <c r="Y313" i="131"/>
  <c r="AJ312" i="131"/>
  <c r="AK312" i="131" s="1"/>
  <c r="C321" i="131"/>
  <c r="A320" i="131"/>
  <c r="B321" i="131"/>
  <c r="U313" i="131" l="1"/>
  <c r="AO313" i="131" s="1"/>
  <c r="T313" i="131"/>
  <c r="AP313" i="131"/>
  <c r="AI313" i="131"/>
  <c r="AC313" i="131"/>
  <c r="AH313" i="131" s="1"/>
  <c r="O314" i="131"/>
  <c r="AU313" i="131"/>
  <c r="AV313" i="131" s="1"/>
  <c r="AT313" i="131"/>
  <c r="N314" i="131"/>
  <c r="E321" i="131"/>
  <c r="J321" i="131" s="1"/>
  <c r="X320" i="131"/>
  <c r="AN314" i="131" l="1"/>
  <c r="AS314" i="131" s="1"/>
  <c r="M314" i="131"/>
  <c r="L314" i="131" s="1"/>
  <c r="Q314" i="131"/>
  <c r="V314" i="131" s="1"/>
  <c r="AB313" i="131"/>
  <c r="D321" i="131"/>
  <c r="P314" i="131" l="1"/>
  <c r="W314" i="131" s="1"/>
  <c r="AT314" i="131" s="1"/>
  <c r="AG313" i="131"/>
  <c r="AF313" i="131"/>
  <c r="AL313" i="131"/>
  <c r="Z314" i="131"/>
  <c r="AM314" i="131"/>
  <c r="I321" i="131"/>
  <c r="H321" i="131"/>
  <c r="K321" i="131"/>
  <c r="U314" i="131" l="1"/>
  <c r="AO314" i="131" s="1"/>
  <c r="N315" i="131"/>
  <c r="M315" i="131" s="1"/>
  <c r="L315" i="131" s="1"/>
  <c r="O315" i="131"/>
  <c r="AN315" i="131" s="1"/>
  <c r="AS315" i="131" s="1"/>
  <c r="AU314" i="131"/>
  <c r="AV314" i="131" s="1"/>
  <c r="T314" i="131"/>
  <c r="Y314" i="131"/>
  <c r="AA314" i="131"/>
  <c r="AJ313" i="131"/>
  <c r="AK313" i="131" s="1"/>
  <c r="C322" i="131"/>
  <c r="A321" i="131"/>
  <c r="B322" i="131"/>
  <c r="Q315" i="131" l="1"/>
  <c r="V315" i="131" s="1"/>
  <c r="AC314" i="131"/>
  <c r="AH314" i="131" s="1"/>
  <c r="AP314" i="131"/>
  <c r="AI314" i="131"/>
  <c r="Z315" i="131"/>
  <c r="AM315" i="131"/>
  <c r="E322" i="131"/>
  <c r="J322" i="131" s="1"/>
  <c r="X321" i="131"/>
  <c r="P315" i="131" l="1"/>
  <c r="U315" i="131" s="1"/>
  <c r="AB314" i="131"/>
  <c r="AG314" i="131" s="1"/>
  <c r="D322" i="131"/>
  <c r="T315" i="131" l="1"/>
  <c r="W315" i="131"/>
  <c r="O316" i="131" s="1"/>
  <c r="AL314" i="131"/>
  <c r="AJ314" i="131" s="1"/>
  <c r="AK314" i="131" s="1"/>
  <c r="AF314" i="131"/>
  <c r="AT315" i="131"/>
  <c r="I322" i="131"/>
  <c r="H322" i="131"/>
  <c r="K322" i="131"/>
  <c r="AO315" i="131" l="1"/>
  <c r="N316" i="131"/>
  <c r="M316" i="131" s="1"/>
  <c r="L316" i="131" s="1"/>
  <c r="AU315" i="131"/>
  <c r="AV315" i="131" s="1"/>
  <c r="AA315" i="131"/>
  <c r="AP315" i="131" s="1"/>
  <c r="Y315" i="131"/>
  <c r="AC315" i="131" s="1"/>
  <c r="AH315" i="131" s="1"/>
  <c r="AN316" i="131"/>
  <c r="AS316" i="131" s="1"/>
  <c r="C323" i="131"/>
  <c r="A322" i="131"/>
  <c r="B323" i="131"/>
  <c r="Q316" i="131" l="1"/>
  <c r="V316" i="131" s="1"/>
  <c r="AI315" i="131"/>
  <c r="Z316" i="131"/>
  <c r="AM316" i="131"/>
  <c r="AB315" i="131"/>
  <c r="P316" i="131"/>
  <c r="X322" i="131"/>
  <c r="E323" i="131"/>
  <c r="J323" i="131" s="1"/>
  <c r="T316" i="131" l="1"/>
  <c r="U316" i="131"/>
  <c r="W316" i="131"/>
  <c r="AF315" i="131"/>
  <c r="AG315" i="131"/>
  <c r="AL315" i="131"/>
  <c r="D323" i="131"/>
  <c r="O317" i="131" l="1"/>
  <c r="N317" i="131"/>
  <c r="AT316" i="131"/>
  <c r="AO316" i="131"/>
  <c r="AU316" i="131"/>
  <c r="AV316" i="131" s="1"/>
  <c r="AA316" i="131"/>
  <c r="Y316" i="131"/>
  <c r="AJ315" i="131"/>
  <c r="AK315" i="131" s="1"/>
  <c r="I323" i="131"/>
  <c r="H323" i="131"/>
  <c r="K323" i="131"/>
  <c r="AC316" i="131" l="1"/>
  <c r="AH316" i="131" s="1"/>
  <c r="M317" i="131"/>
  <c r="L317" i="131" s="1"/>
  <c r="Q317" i="131"/>
  <c r="V317" i="131" s="1"/>
  <c r="AP316" i="131"/>
  <c r="AI316" i="131"/>
  <c r="AN317" i="131"/>
  <c r="AS317" i="131" s="1"/>
  <c r="C324" i="131"/>
  <c r="A323" i="131"/>
  <c r="B324" i="131"/>
  <c r="AB316" i="131" l="1"/>
  <c r="AG316" i="131" s="1"/>
  <c r="AM317" i="131"/>
  <c r="Z317" i="131"/>
  <c r="P317" i="131"/>
  <c r="E324" i="131"/>
  <c r="J324" i="131" s="1"/>
  <c r="X323" i="131"/>
  <c r="AL316" i="131" l="1"/>
  <c r="AJ316" i="131" s="1"/>
  <c r="AK316" i="131" s="1"/>
  <c r="AF316" i="131"/>
  <c r="U317" i="131"/>
  <c r="T317" i="131"/>
  <c r="W317" i="131"/>
  <c r="D324" i="131"/>
  <c r="AA317" i="131" l="1"/>
  <c r="AI317" i="131" s="1"/>
  <c r="Y317" i="131"/>
  <c r="AC317" i="131" s="1"/>
  <c r="AH317" i="131" s="1"/>
  <c r="N318" i="131"/>
  <c r="AT317" i="131"/>
  <c r="AO317" i="131"/>
  <c r="O318" i="131"/>
  <c r="AU317" i="131"/>
  <c r="AV317" i="131" s="1"/>
  <c r="I324" i="131"/>
  <c r="H324" i="131"/>
  <c r="K324" i="131"/>
  <c r="AP317" i="131" l="1"/>
  <c r="Q318" i="131"/>
  <c r="V318" i="131" s="1"/>
  <c r="M318" i="131"/>
  <c r="L318" i="131" s="1"/>
  <c r="AB317" i="131"/>
  <c r="AN318" i="131"/>
  <c r="AS318" i="131" s="1"/>
  <c r="C325" i="131"/>
  <c r="A324" i="131"/>
  <c r="B325" i="131"/>
  <c r="P318" i="131" l="1"/>
  <c r="W318" i="131" s="1"/>
  <c r="AF317" i="131"/>
  <c r="AG317" i="131"/>
  <c r="AL317" i="131"/>
  <c r="T318" i="131"/>
  <c r="AM318" i="131"/>
  <c r="Z318" i="131"/>
  <c r="O319" i="131"/>
  <c r="AU318" i="131"/>
  <c r="AV318" i="131" s="1"/>
  <c r="AT318" i="131"/>
  <c r="N319" i="131"/>
  <c r="E325" i="131"/>
  <c r="J325" i="131" s="1"/>
  <c r="X324" i="131"/>
  <c r="U318" i="131" l="1"/>
  <c r="AO318" i="131"/>
  <c r="AN319" i="131"/>
  <c r="AS319" i="131" s="1"/>
  <c r="M319" i="131"/>
  <c r="L319" i="131" s="1"/>
  <c r="Q319" i="131"/>
  <c r="V319" i="131" s="1"/>
  <c r="Y318" i="131"/>
  <c r="AA318" i="131"/>
  <c r="AJ317" i="131"/>
  <c r="AK317" i="131" s="1"/>
  <c r="D325" i="131"/>
  <c r="AI318" i="131" l="1"/>
  <c r="AP318" i="131"/>
  <c r="AC318" i="131"/>
  <c r="AH318" i="131" s="1"/>
  <c r="Z319" i="131"/>
  <c r="AM319" i="131"/>
  <c r="P319" i="131"/>
  <c r="I325" i="131"/>
  <c r="H325" i="131"/>
  <c r="K325" i="131"/>
  <c r="W319" i="131" l="1"/>
  <c r="T319" i="131"/>
  <c r="U319" i="131"/>
  <c r="AB318" i="131"/>
  <c r="C326" i="131"/>
  <c r="A325" i="131"/>
  <c r="B326" i="131"/>
  <c r="AO319" i="131" l="1"/>
  <c r="AG318" i="131"/>
  <c r="AF318" i="131"/>
  <c r="AL318" i="131"/>
  <c r="AU319" i="131"/>
  <c r="AV319" i="131" s="1"/>
  <c r="AT319" i="131"/>
  <c r="O320" i="131"/>
  <c r="N320" i="131"/>
  <c r="X325" i="131"/>
  <c r="E326" i="131"/>
  <c r="J326" i="131" s="1"/>
  <c r="M320" i="131" l="1"/>
  <c r="L320" i="131" s="1"/>
  <c r="Q320" i="131"/>
  <c r="V320" i="131" s="1"/>
  <c r="AN320" i="131"/>
  <c r="AS320" i="131" s="1"/>
  <c r="Y319" i="131"/>
  <c r="AC319" i="131" s="1"/>
  <c r="AH319" i="131" s="1"/>
  <c r="AA319" i="131"/>
  <c r="AJ318" i="131"/>
  <c r="AK318" i="131" s="1"/>
  <c r="D326" i="131"/>
  <c r="P320" i="131" l="1"/>
  <c r="T320" i="131" s="1"/>
  <c r="AI319" i="131"/>
  <c r="AP319" i="131"/>
  <c r="AB319" i="131"/>
  <c r="Z320" i="131"/>
  <c r="AM320" i="131"/>
  <c r="I326" i="131"/>
  <c r="H326" i="131"/>
  <c r="K326" i="131"/>
  <c r="W320" i="131" l="1"/>
  <c r="N321" i="131" s="1"/>
  <c r="U320" i="131"/>
  <c r="AL319" i="131"/>
  <c r="AG319" i="131"/>
  <c r="AF319" i="131"/>
  <c r="C327" i="131"/>
  <c r="A326" i="131"/>
  <c r="B327" i="131"/>
  <c r="AU320" i="131" l="1"/>
  <c r="AV320" i="131" s="1"/>
  <c r="O321" i="131"/>
  <c r="AN321" i="131" s="1"/>
  <c r="AS321" i="131" s="1"/>
  <c r="AT320" i="131"/>
  <c r="AO320" i="131"/>
  <c r="AJ319" i="131"/>
  <c r="AK319" i="131" s="1"/>
  <c r="AA320" i="131"/>
  <c r="Y320" i="131"/>
  <c r="M321" i="131"/>
  <c r="L321" i="131" s="1"/>
  <c r="Q321" i="131"/>
  <c r="V321" i="131" s="1"/>
  <c r="E327" i="131"/>
  <c r="J327" i="131" s="1"/>
  <c r="X326" i="131"/>
  <c r="P321" i="131" l="1"/>
  <c r="AC320" i="131"/>
  <c r="AH320" i="131" s="1"/>
  <c r="AM321" i="131"/>
  <c r="Z321" i="131"/>
  <c r="AI320" i="131"/>
  <c r="AP320" i="131"/>
  <c r="D327" i="131"/>
  <c r="H327" i="131" s="1"/>
  <c r="AB320" i="131" l="1"/>
  <c r="AF320" i="131" s="1"/>
  <c r="K327" i="131"/>
  <c r="A327" i="131" s="1"/>
  <c r="W321" i="131"/>
  <c r="U321" i="131"/>
  <c r="T321" i="131"/>
  <c r="I327" i="131"/>
  <c r="AG320" i="131" l="1"/>
  <c r="B328" i="131"/>
  <c r="E328" i="131" s="1"/>
  <c r="J328" i="131" s="1"/>
  <c r="AL320" i="131"/>
  <c r="AJ320" i="131" s="1"/>
  <c r="AK320" i="131" s="1"/>
  <c r="C328" i="131"/>
  <c r="AU321" i="131"/>
  <c r="AV321" i="131" s="1"/>
  <c r="N322" i="131"/>
  <c r="AO321" i="131"/>
  <c r="AT321" i="131"/>
  <c r="O322" i="131"/>
  <c r="X327" i="131"/>
  <c r="AA321" i="131" l="1"/>
  <c r="AP321" i="131" s="1"/>
  <c r="Y321" i="131"/>
  <c r="AC321" i="131" s="1"/>
  <c r="AH321" i="131" s="1"/>
  <c r="M322" i="131"/>
  <c r="L322" i="131" s="1"/>
  <c r="Q322" i="131"/>
  <c r="V322" i="131" s="1"/>
  <c r="AN322" i="131"/>
  <c r="AS322" i="131" s="1"/>
  <c r="D328" i="131"/>
  <c r="AI321" i="131" l="1"/>
  <c r="AM322" i="131"/>
  <c r="Z322" i="131"/>
  <c r="AB321" i="131"/>
  <c r="P322" i="131"/>
  <c r="I328" i="131"/>
  <c r="H328" i="131"/>
  <c r="K328" i="131"/>
  <c r="U322" i="131" l="1"/>
  <c r="T322" i="131"/>
  <c r="W322" i="131"/>
  <c r="AG321" i="131"/>
  <c r="AF321" i="131"/>
  <c r="AL321" i="131"/>
  <c r="C329" i="131"/>
  <c r="A328" i="131"/>
  <c r="B329" i="131"/>
  <c r="AA322" i="131" l="1"/>
  <c r="Y322" i="131"/>
  <c r="AJ321" i="131"/>
  <c r="AK321" i="131" s="1"/>
  <c r="AU322" i="131"/>
  <c r="AV322" i="131" s="1"/>
  <c r="N323" i="131"/>
  <c r="AT322" i="131"/>
  <c r="AO322" i="131"/>
  <c r="O323" i="131"/>
  <c r="E329" i="131"/>
  <c r="J329" i="131" s="1"/>
  <c r="X328" i="131"/>
  <c r="M323" i="131" l="1"/>
  <c r="L323" i="131" s="1"/>
  <c r="Q323" i="131"/>
  <c r="V323" i="131" s="1"/>
  <c r="AN323" i="131"/>
  <c r="AS323" i="131" s="1"/>
  <c r="AC322" i="131"/>
  <c r="AH322" i="131" s="1"/>
  <c r="AP322" i="131"/>
  <c r="AI322" i="131"/>
  <c r="D329" i="131"/>
  <c r="K329" i="131" s="1"/>
  <c r="P323" i="131" l="1"/>
  <c r="W323" i="131" s="1"/>
  <c r="I329" i="131"/>
  <c r="AB322" i="131"/>
  <c r="H329" i="131"/>
  <c r="Z323" i="131"/>
  <c r="AM323" i="131"/>
  <c r="C330" i="131"/>
  <c r="A329" i="131"/>
  <c r="B330" i="131"/>
  <c r="T323" i="131" l="1"/>
  <c r="U323" i="131"/>
  <c r="AO323" i="131" s="1"/>
  <c r="AG322" i="131"/>
  <c r="AF322" i="131"/>
  <c r="AL322" i="131"/>
  <c r="N324" i="131"/>
  <c r="AT323" i="131"/>
  <c r="O324" i="131"/>
  <c r="AU323" i="131"/>
  <c r="AV323" i="131" s="1"/>
  <c r="E330" i="131"/>
  <c r="J330" i="131" s="1"/>
  <c r="X329" i="131"/>
  <c r="AN324" i="131" l="1"/>
  <c r="AS324" i="131" s="1"/>
  <c r="Q324" i="131"/>
  <c r="V324" i="131" s="1"/>
  <c r="M324" i="131"/>
  <c r="L324" i="131" s="1"/>
  <c r="AA323" i="131"/>
  <c r="AJ322" i="131"/>
  <c r="AK322" i="131" s="1"/>
  <c r="Y323" i="131"/>
  <c r="D330" i="131"/>
  <c r="AI323" i="131" l="1"/>
  <c r="AP323" i="131"/>
  <c r="AC323" i="131"/>
  <c r="AH323" i="131" s="1"/>
  <c r="Z324" i="131"/>
  <c r="AM324" i="131"/>
  <c r="P324" i="131"/>
  <c r="I330" i="131"/>
  <c r="H330" i="131"/>
  <c r="K330" i="131"/>
  <c r="W324" i="131" l="1"/>
  <c r="T324" i="131"/>
  <c r="U324" i="131"/>
  <c r="AB323" i="131"/>
  <c r="C331" i="131"/>
  <c r="A330" i="131"/>
  <c r="B331" i="131"/>
  <c r="AO324" i="131" l="1"/>
  <c r="AG323" i="131"/>
  <c r="AF323" i="131"/>
  <c r="AL323" i="131"/>
  <c r="N325" i="131"/>
  <c r="AT324" i="131"/>
  <c r="AU324" i="131"/>
  <c r="AV324" i="131" s="1"/>
  <c r="O325" i="131"/>
  <c r="E331" i="131"/>
  <c r="J331" i="131" s="1"/>
  <c r="X330" i="131"/>
  <c r="AN325" i="131" l="1"/>
  <c r="AS325" i="131" s="1"/>
  <c r="M325" i="131"/>
  <c r="L325" i="131" s="1"/>
  <c r="Q325" i="131"/>
  <c r="V325" i="131" s="1"/>
  <c r="Y324" i="131"/>
  <c r="AA324" i="131"/>
  <c r="AJ323" i="131"/>
  <c r="AK323" i="131" s="1"/>
  <c r="D331" i="131"/>
  <c r="AP324" i="131" l="1"/>
  <c r="AI324" i="131"/>
  <c r="AC324" i="131"/>
  <c r="AH324" i="131" s="1"/>
  <c r="AM325" i="131"/>
  <c r="Z325" i="131"/>
  <c r="P325" i="131"/>
  <c r="I331" i="131"/>
  <c r="H331" i="131"/>
  <c r="K331" i="131"/>
  <c r="AB324" i="131" l="1"/>
  <c r="T325" i="131"/>
  <c r="U325" i="131"/>
  <c r="W325" i="131"/>
  <c r="C332" i="131"/>
  <c r="A331" i="131"/>
  <c r="B332" i="131"/>
  <c r="O326" i="131" l="1"/>
  <c r="AT325" i="131"/>
  <c r="AO325" i="131"/>
  <c r="AU325" i="131"/>
  <c r="AV325" i="131" s="1"/>
  <c r="N326" i="131"/>
  <c r="AG324" i="131"/>
  <c r="AF324" i="131"/>
  <c r="AL324" i="131"/>
  <c r="E332" i="131"/>
  <c r="J332" i="131" s="1"/>
  <c r="X331" i="131"/>
  <c r="M326" i="131" l="1"/>
  <c r="L326" i="131" s="1"/>
  <c r="Q326" i="131"/>
  <c r="V326" i="131" s="1"/>
  <c r="AN326" i="131"/>
  <c r="AS326" i="131" s="1"/>
  <c r="AA325" i="131"/>
  <c r="AJ324" i="131"/>
  <c r="AK324" i="131" s="1"/>
  <c r="Y325" i="131"/>
  <c r="AC325" i="131" s="1"/>
  <c r="AH325" i="131" s="1"/>
  <c r="D332" i="131"/>
  <c r="AP325" i="131" l="1"/>
  <c r="AI325" i="131"/>
  <c r="AB325" i="131"/>
  <c r="P326" i="131"/>
  <c r="AM326" i="131"/>
  <c r="Z326" i="131"/>
  <c r="I332" i="131"/>
  <c r="H332" i="131"/>
  <c r="K332" i="131"/>
  <c r="U326" i="131" l="1"/>
  <c r="T326" i="131"/>
  <c r="W326" i="131"/>
  <c r="AL325" i="131"/>
  <c r="AG325" i="131"/>
  <c r="AF325" i="131"/>
  <c r="C333" i="131"/>
  <c r="A332" i="131"/>
  <c r="B333" i="131"/>
  <c r="Y326" i="131" l="1"/>
  <c r="AA326" i="131"/>
  <c r="AJ325" i="131"/>
  <c r="AK325" i="131" s="1"/>
  <c r="O327" i="131"/>
  <c r="AO326" i="131"/>
  <c r="AU326" i="131"/>
  <c r="AV326" i="131" s="1"/>
  <c r="AT326" i="131"/>
  <c r="N327" i="131"/>
  <c r="E333" i="131"/>
  <c r="J333" i="131" s="1"/>
  <c r="X332" i="131"/>
  <c r="M327" i="131" l="1"/>
  <c r="L327" i="131" s="1"/>
  <c r="Q327" i="131"/>
  <c r="V327" i="131" s="1"/>
  <c r="AN327" i="131"/>
  <c r="AS327" i="131" s="1"/>
  <c r="AI326" i="131"/>
  <c r="AP326" i="131"/>
  <c r="AC326" i="131"/>
  <c r="AH326" i="131" s="1"/>
  <c r="D333" i="131"/>
  <c r="K333" i="131" s="1"/>
  <c r="C334" i="131" s="1"/>
  <c r="P327" i="131" l="1"/>
  <c r="U327" i="131" s="1"/>
  <c r="AM327" i="131"/>
  <c r="Z327" i="131"/>
  <c r="H333" i="131"/>
  <c r="AB326" i="131"/>
  <c r="I333" i="131"/>
  <c r="B334" i="131"/>
  <c r="E334" i="131" s="1"/>
  <c r="J334" i="131" s="1"/>
  <c r="A333" i="131"/>
  <c r="T327" i="131" l="1"/>
  <c r="W327" i="131"/>
  <c r="AO327" i="131" s="1"/>
  <c r="O328" i="131"/>
  <c r="AT327" i="131"/>
  <c r="N328" i="131"/>
  <c r="AG326" i="131"/>
  <c r="AF326" i="131"/>
  <c r="AL326" i="131"/>
  <c r="X333" i="131"/>
  <c r="D334" i="131"/>
  <c r="AU327" i="131" l="1"/>
  <c r="AV327" i="131" s="1"/>
  <c r="Y327" i="131"/>
  <c r="AA327" i="131"/>
  <c r="AJ326" i="131"/>
  <c r="AK326" i="131" s="1"/>
  <c r="M328" i="131"/>
  <c r="L328" i="131" s="1"/>
  <c r="Q328" i="131"/>
  <c r="V328" i="131" s="1"/>
  <c r="AN328" i="131"/>
  <c r="AS328" i="131" s="1"/>
  <c r="I334" i="131"/>
  <c r="H334" i="131"/>
  <c r="K334" i="131"/>
  <c r="P328" i="131" l="1"/>
  <c r="U328" i="131" s="1"/>
  <c r="Z328" i="131"/>
  <c r="AM328" i="131"/>
  <c r="AP327" i="131"/>
  <c r="AI327" i="131"/>
  <c r="AC327" i="131"/>
  <c r="AH327" i="131" s="1"/>
  <c r="C335" i="131"/>
  <c r="A334" i="131"/>
  <c r="B335" i="131"/>
  <c r="AB327" i="131" l="1"/>
  <c r="AG327" i="131" s="1"/>
  <c r="W328" i="131"/>
  <c r="AT328" i="131" s="1"/>
  <c r="T328" i="131"/>
  <c r="O329" i="131"/>
  <c r="E335" i="131"/>
  <c r="J335" i="131" s="1"/>
  <c r="X334" i="131"/>
  <c r="N329" i="131" l="1"/>
  <c r="M329" i="131" s="1"/>
  <c r="L329" i="131" s="1"/>
  <c r="AU328" i="131"/>
  <c r="AV328" i="131" s="1"/>
  <c r="AL327" i="131"/>
  <c r="Y328" i="131" s="1"/>
  <c r="AF327" i="131"/>
  <c r="AO328" i="131"/>
  <c r="AN329" i="131"/>
  <c r="AS329" i="131" s="1"/>
  <c r="D335" i="131"/>
  <c r="I335" i="131" s="1"/>
  <c r="AA328" i="131" l="1"/>
  <c r="AP328" i="131" s="1"/>
  <c r="AJ327" i="131"/>
  <c r="AK327" i="131" s="1"/>
  <c r="Q329" i="131"/>
  <c r="V329" i="131" s="1"/>
  <c r="AM329" i="131"/>
  <c r="Z329" i="131"/>
  <c r="AC328" i="131"/>
  <c r="AH328" i="131" s="1"/>
  <c r="K335" i="131"/>
  <c r="C336" i="131" s="1"/>
  <c r="H335" i="131"/>
  <c r="AI328" i="131" l="1"/>
  <c r="P329" i="131"/>
  <c r="U329" i="131" s="1"/>
  <c r="AB328" i="131"/>
  <c r="B336" i="131"/>
  <c r="E336" i="131" s="1"/>
  <c r="J336" i="131" s="1"/>
  <c r="A335" i="131"/>
  <c r="X335" i="131" s="1"/>
  <c r="W329" i="131" l="1"/>
  <c r="AU329" i="131" s="1"/>
  <c r="AV329" i="131" s="1"/>
  <c r="T329" i="131"/>
  <c r="AF328" i="131"/>
  <c r="AG328" i="131"/>
  <c r="AL328" i="131"/>
  <c r="O330" i="131"/>
  <c r="D336" i="131"/>
  <c r="K336" i="131" s="1"/>
  <c r="A336" i="131" s="1"/>
  <c r="AO329" i="131" l="1"/>
  <c r="AT329" i="131"/>
  <c r="N330" i="131"/>
  <c r="M330" i="131" s="1"/>
  <c r="L330" i="131" s="1"/>
  <c r="H336" i="131"/>
  <c r="AN330" i="131"/>
  <c r="AS330" i="131" s="1"/>
  <c r="Q330" i="131"/>
  <c r="V330" i="131" s="1"/>
  <c r="Y329" i="131"/>
  <c r="AC329" i="131" s="1"/>
  <c r="AH329" i="131" s="1"/>
  <c r="AA329" i="131"/>
  <c r="AJ328" i="131"/>
  <c r="AK328" i="131" s="1"/>
  <c r="I336" i="131"/>
  <c r="B337" i="131"/>
  <c r="E337" i="131" s="1"/>
  <c r="J337" i="131" s="1"/>
  <c r="C337" i="131"/>
  <c r="X336" i="131"/>
  <c r="AP329" i="131" l="1"/>
  <c r="AI329" i="131"/>
  <c r="AB329" i="131"/>
  <c r="Z330" i="131"/>
  <c r="AM330" i="131"/>
  <c r="P330" i="131"/>
  <c r="D337" i="131"/>
  <c r="AL329" i="131" l="1"/>
  <c r="AF329" i="131"/>
  <c r="AG329" i="131"/>
  <c r="W330" i="131"/>
  <c r="T330" i="131"/>
  <c r="U330" i="131"/>
  <c r="I337" i="131"/>
  <c r="H337" i="131"/>
  <c r="K337" i="131"/>
  <c r="AO330" i="131" l="1"/>
  <c r="N331" i="131"/>
  <c r="AT330" i="131"/>
  <c r="AU330" i="131"/>
  <c r="AV330" i="131" s="1"/>
  <c r="O331" i="131"/>
  <c r="Y330" i="131"/>
  <c r="AA330" i="131"/>
  <c r="AJ329" i="131"/>
  <c r="AK329" i="131" s="1"/>
  <c r="C338" i="131"/>
  <c r="A337" i="131"/>
  <c r="B338" i="131"/>
  <c r="AI330" i="131" l="1"/>
  <c r="AP330" i="131"/>
  <c r="AC330" i="131"/>
  <c r="AH330" i="131" s="1"/>
  <c r="AN331" i="131"/>
  <c r="AS331" i="131" s="1"/>
  <c r="Q331" i="131"/>
  <c r="V331" i="131" s="1"/>
  <c r="M331" i="131"/>
  <c r="L331" i="131" s="1"/>
  <c r="E338" i="131"/>
  <c r="J338" i="131" s="1"/>
  <c r="X337" i="131"/>
  <c r="P331" i="131" l="1"/>
  <c r="T331" i="131" s="1"/>
  <c r="Z331" i="131"/>
  <c r="AM331" i="131"/>
  <c r="AB330" i="131"/>
  <c r="D338" i="131"/>
  <c r="I338" i="131" s="1"/>
  <c r="U331" i="131" l="1"/>
  <c r="W331" i="131"/>
  <c r="AU331" i="131" s="1"/>
  <c r="AV331" i="131" s="1"/>
  <c r="AG330" i="131"/>
  <c r="AF330" i="131"/>
  <c r="AL330" i="131"/>
  <c r="H338" i="131"/>
  <c r="K338" i="131"/>
  <c r="B339" i="131" s="1"/>
  <c r="N332" i="131" l="1"/>
  <c r="Q332" i="131" s="1"/>
  <c r="V332" i="131" s="1"/>
  <c r="AO331" i="131"/>
  <c r="AT331" i="131"/>
  <c r="O332" i="131"/>
  <c r="AN332" i="131" s="1"/>
  <c r="AS332" i="131" s="1"/>
  <c r="C339" i="131"/>
  <c r="A338" i="131"/>
  <c r="X338" i="131" s="1"/>
  <c r="AA331" i="131"/>
  <c r="Y331" i="131"/>
  <c r="AJ330" i="131"/>
  <c r="AK330" i="131" s="1"/>
  <c r="E339" i="131"/>
  <c r="J339" i="131" s="1"/>
  <c r="M332" i="131" l="1"/>
  <c r="L332" i="131" s="1"/>
  <c r="AM332" i="131" s="1"/>
  <c r="P332" i="131"/>
  <c r="W332" i="131" s="1"/>
  <c r="N333" i="131" s="1"/>
  <c r="AC331" i="131"/>
  <c r="AH331" i="131" s="1"/>
  <c r="AI331" i="131"/>
  <c r="AP331" i="131"/>
  <c r="D339" i="131"/>
  <c r="U332" i="131" l="1"/>
  <c r="AO332" i="131" s="1"/>
  <c r="O333" i="131"/>
  <c r="AN333" i="131" s="1"/>
  <c r="AS333" i="131" s="1"/>
  <c r="AU332" i="131"/>
  <c r="AV332" i="131" s="1"/>
  <c r="Z332" i="131"/>
  <c r="AT332" i="131"/>
  <c r="AB331" i="131"/>
  <c r="AG331" i="131" s="1"/>
  <c r="T332" i="131"/>
  <c r="M333" i="131"/>
  <c r="L333" i="131" s="1"/>
  <c r="Q333" i="131"/>
  <c r="V333" i="131" s="1"/>
  <c r="I339" i="131"/>
  <c r="H339" i="131"/>
  <c r="K339" i="131"/>
  <c r="AL331" i="131" l="1"/>
  <c r="AA332" i="131" s="1"/>
  <c r="AF331" i="131"/>
  <c r="Z333" i="131"/>
  <c r="AM333" i="131"/>
  <c r="P333" i="131"/>
  <c r="C340" i="131"/>
  <c r="A339" i="131"/>
  <c r="B340" i="131"/>
  <c r="AJ331" i="131" l="1"/>
  <c r="AK331" i="131" s="1"/>
  <c r="Y332" i="131"/>
  <c r="AC332" i="131" s="1"/>
  <c r="AH332" i="131" s="1"/>
  <c r="U333" i="131"/>
  <c r="T333" i="131"/>
  <c r="W333" i="131"/>
  <c r="AI332" i="131"/>
  <c r="AP332" i="131"/>
  <c r="E340" i="131"/>
  <c r="J340" i="131" s="1"/>
  <c r="X339" i="131"/>
  <c r="AB332" i="131" l="1"/>
  <c r="O334" i="131"/>
  <c r="AO333" i="131"/>
  <c r="N334" i="131"/>
  <c r="AT333" i="131"/>
  <c r="AU333" i="131"/>
  <c r="AV333" i="131" s="1"/>
  <c r="D340" i="131"/>
  <c r="M334" i="131" l="1"/>
  <c r="L334" i="131" s="1"/>
  <c r="Q334" i="131"/>
  <c r="V334" i="131" s="1"/>
  <c r="AN334" i="131"/>
  <c r="AS334" i="131" s="1"/>
  <c r="AG332" i="131"/>
  <c r="AF332" i="131"/>
  <c r="AL332" i="131"/>
  <c r="I340" i="131"/>
  <c r="H340" i="131"/>
  <c r="K340" i="131"/>
  <c r="P334" i="131" l="1"/>
  <c r="W334" i="131" s="1"/>
  <c r="N335" i="131" s="1"/>
  <c r="AA333" i="131"/>
  <c r="Y333" i="131"/>
  <c r="AJ332" i="131"/>
  <c r="AK332" i="131" s="1"/>
  <c r="Z334" i="131"/>
  <c r="AM334" i="131"/>
  <c r="C341" i="131"/>
  <c r="B341" i="131"/>
  <c r="A340" i="131"/>
  <c r="T334" i="131" l="1"/>
  <c r="U334" i="131"/>
  <c r="AO334" i="131" s="1"/>
  <c r="AU334" i="131"/>
  <c r="AV334" i="131" s="1"/>
  <c r="O335" i="131"/>
  <c r="AN335" i="131" s="1"/>
  <c r="AS335" i="131" s="1"/>
  <c r="AT334" i="131"/>
  <c r="AI333" i="131"/>
  <c r="AP333" i="131"/>
  <c r="AC333" i="131"/>
  <c r="AH333" i="131" s="1"/>
  <c r="M335" i="131"/>
  <c r="L335" i="131" s="1"/>
  <c r="Q335" i="131"/>
  <c r="V335" i="131" s="1"/>
  <c r="X340" i="131"/>
  <c r="E341" i="131"/>
  <c r="J341" i="131" s="1"/>
  <c r="P335" i="131" l="1"/>
  <c r="Z335" i="131"/>
  <c r="AM335" i="131"/>
  <c r="AB333" i="131"/>
  <c r="D341" i="131"/>
  <c r="I341" i="131" s="1"/>
  <c r="AG333" i="131" l="1"/>
  <c r="AF333" i="131"/>
  <c r="AL333" i="131"/>
  <c r="U335" i="131"/>
  <c r="T335" i="131"/>
  <c r="W335" i="131"/>
  <c r="H341" i="131"/>
  <c r="K341" i="131"/>
  <c r="C342" i="131" s="1"/>
  <c r="AT335" i="131" l="1"/>
  <c r="AO335" i="131"/>
  <c r="O336" i="131"/>
  <c r="AU335" i="131"/>
  <c r="AV335" i="131" s="1"/>
  <c r="N336" i="131"/>
  <c r="Y334" i="131"/>
  <c r="AJ333" i="131"/>
  <c r="AK333" i="131" s="1"/>
  <c r="AA334" i="131"/>
  <c r="B342" i="131"/>
  <c r="E342" i="131" s="1"/>
  <c r="J342" i="131" s="1"/>
  <c r="A341" i="131"/>
  <c r="X341" i="131" s="1"/>
  <c r="AN336" i="131" l="1"/>
  <c r="AS336" i="131" s="1"/>
  <c r="AC334" i="131"/>
  <c r="AH334" i="131" s="1"/>
  <c r="M336" i="131"/>
  <c r="L336" i="131" s="1"/>
  <c r="Q336" i="131"/>
  <c r="V336" i="131" s="1"/>
  <c r="AI334" i="131"/>
  <c r="AP334" i="131"/>
  <c r="D342" i="131"/>
  <c r="H342" i="131" s="1"/>
  <c r="I342" i="131" l="1"/>
  <c r="AM336" i="131"/>
  <c r="Z336" i="131"/>
  <c r="P336" i="131"/>
  <c r="K342" i="131"/>
  <c r="B343" i="131" s="1"/>
  <c r="AB334" i="131"/>
  <c r="A342" i="131" l="1"/>
  <c r="X342" i="131" s="1"/>
  <c r="C343" i="131"/>
  <c r="AG334" i="131"/>
  <c r="AF334" i="131"/>
  <c r="AL334" i="131"/>
  <c r="U336" i="131"/>
  <c r="T336" i="131"/>
  <c r="W336" i="131"/>
  <c r="E343" i="131"/>
  <c r="J343" i="131" s="1"/>
  <c r="AU336" i="131" l="1"/>
  <c r="AV336" i="131" s="1"/>
  <c r="AT336" i="131"/>
  <c r="AO336" i="131"/>
  <c r="N337" i="131"/>
  <c r="O337" i="131"/>
  <c r="AA335" i="131"/>
  <c r="AJ334" i="131"/>
  <c r="AK334" i="131" s="1"/>
  <c r="Y335" i="131"/>
  <c r="D343" i="131"/>
  <c r="AI335" i="131" l="1"/>
  <c r="AP335" i="131"/>
  <c r="AN337" i="131"/>
  <c r="AS337" i="131" s="1"/>
  <c r="M337" i="131"/>
  <c r="L337" i="131" s="1"/>
  <c r="Q337" i="131"/>
  <c r="V337" i="131" s="1"/>
  <c r="AC335" i="131"/>
  <c r="AH335" i="131" s="1"/>
  <c r="I343" i="131"/>
  <c r="H343" i="131"/>
  <c r="K343" i="131"/>
  <c r="AB335" i="131" l="1"/>
  <c r="AG335" i="131" s="1"/>
  <c r="Z337" i="131"/>
  <c r="AM337" i="131"/>
  <c r="P337" i="131"/>
  <c r="C344" i="131"/>
  <c r="A343" i="131"/>
  <c r="B344" i="131"/>
  <c r="AL335" i="131" l="1"/>
  <c r="AA336" i="131" s="1"/>
  <c r="AF335" i="131"/>
  <c r="U337" i="131"/>
  <c r="T337" i="131"/>
  <c r="W337" i="131"/>
  <c r="E344" i="131"/>
  <c r="J344" i="131" s="1"/>
  <c r="X343" i="131"/>
  <c r="Y336" i="131" l="1"/>
  <c r="AC336" i="131" s="1"/>
  <c r="AH336" i="131" s="1"/>
  <c r="AJ335" i="131"/>
  <c r="AK335" i="131" s="1"/>
  <c r="AO337" i="131"/>
  <c r="AU337" i="131"/>
  <c r="AV337" i="131" s="1"/>
  <c r="N338" i="131"/>
  <c r="AT337" i="131"/>
  <c r="O338" i="131"/>
  <c r="AI336" i="131"/>
  <c r="AP336" i="131"/>
  <c r="D344" i="131"/>
  <c r="AB336" i="131" l="1"/>
  <c r="AL336" i="131" s="1"/>
  <c r="AN338" i="131"/>
  <c r="AS338" i="131" s="1"/>
  <c r="Q338" i="131"/>
  <c r="V338" i="131" s="1"/>
  <c r="M338" i="131"/>
  <c r="L338" i="131" s="1"/>
  <c r="H344" i="131"/>
  <c r="I344" i="131"/>
  <c r="K344" i="131"/>
  <c r="AF336" i="131" l="1"/>
  <c r="AG336" i="131"/>
  <c r="Y337" i="131"/>
  <c r="AA337" i="131"/>
  <c r="AJ336" i="131"/>
  <c r="AK336" i="131" s="1"/>
  <c r="P338" i="131"/>
  <c r="Z338" i="131"/>
  <c r="AM338" i="131"/>
  <c r="A344" i="131"/>
  <c r="C345" i="131"/>
  <c r="B345" i="131"/>
  <c r="AI337" i="131" l="1"/>
  <c r="AP337" i="131"/>
  <c r="AC337" i="131"/>
  <c r="AH337" i="131" s="1"/>
  <c r="U338" i="131"/>
  <c r="T338" i="131"/>
  <c r="W338" i="131"/>
  <c r="X344" i="131"/>
  <c r="E345" i="131"/>
  <c r="J345" i="131" s="1"/>
  <c r="AO338" i="131" l="1"/>
  <c r="N339" i="131"/>
  <c r="AT338" i="131"/>
  <c r="AU338" i="131"/>
  <c r="AV338" i="131" s="1"/>
  <c r="O339" i="131"/>
  <c r="AB337" i="131"/>
  <c r="D345" i="131"/>
  <c r="AG337" i="131" l="1"/>
  <c r="AF337" i="131"/>
  <c r="AL337" i="131"/>
  <c r="AN339" i="131"/>
  <c r="AS339" i="131" s="1"/>
  <c r="M339" i="131"/>
  <c r="L339" i="131" s="1"/>
  <c r="Q339" i="131"/>
  <c r="V339" i="131" s="1"/>
  <c r="I345" i="131"/>
  <c r="H345" i="131"/>
  <c r="K345" i="131"/>
  <c r="Z339" i="131" l="1"/>
  <c r="AM339" i="131"/>
  <c r="P339" i="131"/>
  <c r="Y338" i="131"/>
  <c r="AJ337" i="131"/>
  <c r="AK337" i="131" s="1"/>
  <c r="AA338" i="131"/>
  <c r="C346" i="131"/>
  <c r="A345" i="131"/>
  <c r="B346" i="131"/>
  <c r="U339" i="131" l="1"/>
  <c r="T339" i="131"/>
  <c r="W339" i="131"/>
  <c r="AI338" i="131"/>
  <c r="AP338" i="131"/>
  <c r="AC338" i="131"/>
  <c r="AH338" i="131" s="1"/>
  <c r="E346" i="131"/>
  <c r="J346" i="131" s="1"/>
  <c r="X345" i="131"/>
  <c r="AB338" i="131" l="1"/>
  <c r="AT339" i="131"/>
  <c r="AO339" i="131"/>
  <c r="O340" i="131"/>
  <c r="AU339" i="131"/>
  <c r="AV339" i="131" s="1"/>
  <c r="N340" i="131"/>
  <c r="D346" i="131"/>
  <c r="K346" i="131" s="1"/>
  <c r="B347" i="131" s="1"/>
  <c r="Q340" i="131" l="1"/>
  <c r="V340" i="131" s="1"/>
  <c r="M340" i="131"/>
  <c r="L340" i="131" s="1"/>
  <c r="AN340" i="131"/>
  <c r="AS340" i="131" s="1"/>
  <c r="AG338" i="131"/>
  <c r="AF338" i="131"/>
  <c r="AL338" i="131"/>
  <c r="A346" i="131"/>
  <c r="X346" i="131" s="1"/>
  <c r="C347" i="131"/>
  <c r="H346" i="131"/>
  <c r="I346" i="131"/>
  <c r="E347" i="131"/>
  <c r="J347" i="131" s="1"/>
  <c r="AJ338" i="131" l="1"/>
  <c r="AK338" i="131" s="1"/>
  <c r="Y339" i="131"/>
  <c r="AC339" i="131" s="1"/>
  <c r="AH339" i="131" s="1"/>
  <c r="AA339" i="131"/>
  <c r="P340" i="131"/>
  <c r="AM340" i="131"/>
  <c r="Z340" i="131"/>
  <c r="D347" i="131"/>
  <c r="W340" i="131" l="1"/>
  <c r="U340" i="131"/>
  <c r="T340" i="131"/>
  <c r="AI339" i="131"/>
  <c r="AP339" i="131"/>
  <c r="AB339" i="131"/>
  <c r="I347" i="131"/>
  <c r="H347" i="131"/>
  <c r="K347" i="131"/>
  <c r="AO340" i="131" l="1"/>
  <c r="AU340" i="131"/>
  <c r="AV340" i="131" s="1"/>
  <c r="O341" i="131"/>
  <c r="AT340" i="131"/>
  <c r="N341" i="131"/>
  <c r="AL339" i="131"/>
  <c r="AG339" i="131"/>
  <c r="AF339" i="131"/>
  <c r="C348" i="131"/>
  <c r="A347" i="131"/>
  <c r="B348" i="131"/>
  <c r="AA340" i="131" l="1"/>
  <c r="AJ339" i="131"/>
  <c r="AK339" i="131" s="1"/>
  <c r="Y340" i="131"/>
  <c r="M341" i="131"/>
  <c r="L341" i="131" s="1"/>
  <c r="Q341" i="131"/>
  <c r="V341" i="131" s="1"/>
  <c r="AN341" i="131"/>
  <c r="AS341" i="131" s="1"/>
  <c r="E348" i="131"/>
  <c r="J348" i="131" s="1"/>
  <c r="X347" i="131"/>
  <c r="P341" i="131" l="1"/>
  <c r="U341" i="131" s="1"/>
  <c r="AP340" i="131"/>
  <c r="AI340" i="131"/>
  <c r="AM341" i="131"/>
  <c r="Z341" i="131"/>
  <c r="AC340" i="131"/>
  <c r="AH340" i="131" s="1"/>
  <c r="D348" i="131"/>
  <c r="W341" i="131" l="1"/>
  <c r="AT341" i="131" s="1"/>
  <c r="T341" i="131"/>
  <c r="AB340" i="131"/>
  <c r="AF340" i="131" s="1"/>
  <c r="I348" i="131"/>
  <c r="H348" i="131"/>
  <c r="K348" i="131"/>
  <c r="O342" i="131" l="1"/>
  <c r="AN342" i="131" s="1"/>
  <c r="AS342" i="131" s="1"/>
  <c r="AO341" i="131"/>
  <c r="AU341" i="131"/>
  <c r="AV341" i="131" s="1"/>
  <c r="N342" i="131"/>
  <c r="Q342" i="131" s="1"/>
  <c r="V342" i="131" s="1"/>
  <c r="AL340" i="131"/>
  <c r="AA341" i="131" s="1"/>
  <c r="AG340" i="131"/>
  <c r="C349" i="131"/>
  <c r="B349" i="131"/>
  <c r="A348" i="131"/>
  <c r="M342" i="131" l="1"/>
  <c r="L342" i="131" s="1"/>
  <c r="AM342" i="131" s="1"/>
  <c r="Y341" i="131"/>
  <c r="AC341" i="131" s="1"/>
  <c r="AH341" i="131" s="1"/>
  <c r="AJ340" i="131"/>
  <c r="AK340" i="131" s="1"/>
  <c r="AI341" i="131"/>
  <c r="AP341" i="131"/>
  <c r="P342" i="131"/>
  <c r="X348" i="131"/>
  <c r="E349" i="131"/>
  <c r="J349" i="131" s="1"/>
  <c r="Z342" i="131" l="1"/>
  <c r="U342" i="131"/>
  <c r="T342" i="131"/>
  <c r="W342" i="131"/>
  <c r="AB341" i="131"/>
  <c r="D349" i="131"/>
  <c r="I349" i="131" s="1"/>
  <c r="AG341" i="131" l="1"/>
  <c r="AF341" i="131"/>
  <c r="AL341" i="131"/>
  <c r="AO342" i="131"/>
  <c r="AU342" i="131"/>
  <c r="AV342" i="131" s="1"/>
  <c r="AT342" i="131"/>
  <c r="N343" i="131"/>
  <c r="O343" i="131"/>
  <c r="K349" i="131"/>
  <c r="B350" i="131" s="1"/>
  <c r="H349" i="131"/>
  <c r="AN343" i="131" l="1"/>
  <c r="AS343" i="131" s="1"/>
  <c r="M343" i="131"/>
  <c r="L343" i="131" s="1"/>
  <c r="Q343" i="131"/>
  <c r="V343" i="131" s="1"/>
  <c r="AJ341" i="131"/>
  <c r="AK341" i="131" s="1"/>
  <c r="AA342" i="131"/>
  <c r="Y342" i="131"/>
  <c r="A349" i="131"/>
  <c r="X349" i="131" s="1"/>
  <c r="C350" i="131"/>
  <c r="E350" i="131"/>
  <c r="J350" i="131" s="1"/>
  <c r="AM343" i="131" l="1"/>
  <c r="Z343" i="131"/>
  <c r="AC342" i="131"/>
  <c r="AH342" i="131" s="1"/>
  <c r="P343" i="131"/>
  <c r="AI342" i="131"/>
  <c r="AP342" i="131"/>
  <c r="D350" i="131"/>
  <c r="AB342" i="131" l="1"/>
  <c r="U343" i="131"/>
  <c r="T343" i="131"/>
  <c r="W343" i="131"/>
  <c r="I350" i="131"/>
  <c r="H350" i="131"/>
  <c r="K350" i="131"/>
  <c r="O344" i="131" l="1"/>
  <c r="AT343" i="131"/>
  <c r="AO343" i="131"/>
  <c r="AU343" i="131"/>
  <c r="AV343" i="131" s="1"/>
  <c r="N344" i="131"/>
  <c r="AG342" i="131"/>
  <c r="AF342" i="131"/>
  <c r="AL342" i="131"/>
  <c r="C351" i="131"/>
  <c r="A350" i="131"/>
  <c r="B351" i="131"/>
  <c r="M344" i="131" l="1"/>
  <c r="L344" i="131" s="1"/>
  <c r="Q344" i="131"/>
  <c r="V344" i="131" s="1"/>
  <c r="Y343" i="131"/>
  <c r="AC343" i="131" s="1"/>
  <c r="AH343" i="131" s="1"/>
  <c r="AJ342" i="131"/>
  <c r="AK342" i="131" s="1"/>
  <c r="AA343" i="131"/>
  <c r="AN344" i="131"/>
  <c r="AS344" i="131" s="1"/>
  <c r="X350" i="131"/>
  <c r="E351" i="131"/>
  <c r="J351" i="131" s="1"/>
  <c r="P344" i="131" l="1"/>
  <c r="W344" i="131" s="1"/>
  <c r="AB343" i="131"/>
  <c r="AP343" i="131"/>
  <c r="AI343" i="131"/>
  <c r="AM344" i="131"/>
  <c r="Z344" i="131"/>
  <c r="D351" i="131"/>
  <c r="T344" i="131" l="1"/>
  <c r="U344" i="131"/>
  <c r="AO344" i="131" s="1"/>
  <c r="AL343" i="131"/>
  <c r="AF343" i="131"/>
  <c r="AG343" i="131"/>
  <c r="AU344" i="131"/>
  <c r="AV344" i="131" s="1"/>
  <c r="AT344" i="131"/>
  <c r="N345" i="131"/>
  <c r="O345" i="131"/>
  <c r="I351" i="131"/>
  <c r="H351" i="131"/>
  <c r="K351" i="131"/>
  <c r="M345" i="131" l="1"/>
  <c r="L345" i="131" s="1"/>
  <c r="Q345" i="131"/>
  <c r="V345" i="131" s="1"/>
  <c r="AN345" i="131"/>
  <c r="AS345" i="131" s="1"/>
  <c r="Y344" i="131"/>
  <c r="AA344" i="131"/>
  <c r="AJ343" i="131"/>
  <c r="AK343" i="131" s="1"/>
  <c r="C352" i="131"/>
  <c r="A351" i="131"/>
  <c r="B352" i="131"/>
  <c r="AC344" i="131" l="1"/>
  <c r="AH344" i="131" s="1"/>
  <c r="P345" i="131"/>
  <c r="AP344" i="131"/>
  <c r="AI344" i="131"/>
  <c r="AM345" i="131"/>
  <c r="Z345" i="131"/>
  <c r="E352" i="131"/>
  <c r="J352" i="131" s="1"/>
  <c r="X351" i="131"/>
  <c r="AB344" i="131" l="1"/>
  <c r="AF344" i="131" s="1"/>
  <c r="U345" i="131"/>
  <c r="T345" i="131"/>
  <c r="W345" i="131"/>
  <c r="D352" i="131"/>
  <c r="K352" i="131" s="1"/>
  <c r="A352" i="131" s="1"/>
  <c r="AL344" i="131" l="1"/>
  <c r="Y345" i="131" s="1"/>
  <c r="AG344" i="131"/>
  <c r="O346" i="131"/>
  <c r="AO345" i="131"/>
  <c r="AU345" i="131"/>
  <c r="AV345" i="131" s="1"/>
  <c r="N346" i="131"/>
  <c r="AT345" i="131"/>
  <c r="H352" i="131"/>
  <c r="I352" i="131"/>
  <c r="C353" i="131"/>
  <c r="B353" i="131"/>
  <c r="E353" i="131" s="1"/>
  <c r="X352" i="131"/>
  <c r="AJ344" i="131" l="1"/>
  <c r="AK344" i="131" s="1"/>
  <c r="AA345" i="131"/>
  <c r="M346" i="131"/>
  <c r="L346" i="131" s="1"/>
  <c r="Q346" i="131"/>
  <c r="V346" i="131" s="1"/>
  <c r="AN346" i="131"/>
  <c r="AS346" i="131" s="1"/>
  <c r="AC345" i="131"/>
  <c r="AH345" i="131" s="1"/>
  <c r="AP345" i="131"/>
  <c r="AI345" i="131"/>
  <c r="J353" i="131"/>
  <c r="D353" i="131"/>
  <c r="I353" i="131" s="1"/>
  <c r="P346" i="131" l="1"/>
  <c r="U346" i="131" s="1"/>
  <c r="K353" i="131"/>
  <c r="A353" i="131" s="1"/>
  <c r="AB345" i="131"/>
  <c r="AM346" i="131"/>
  <c r="Z346" i="131"/>
  <c r="H353" i="131"/>
  <c r="W346" i="131" l="1"/>
  <c r="AT346" i="131" s="1"/>
  <c r="T346" i="131"/>
  <c r="C354" i="131"/>
  <c r="B354" i="131"/>
  <c r="E354" i="131" s="1"/>
  <c r="J354" i="131" s="1"/>
  <c r="AG345" i="131"/>
  <c r="AF345" i="131"/>
  <c r="AL345" i="131"/>
  <c r="O347" i="131"/>
  <c r="X353" i="131"/>
  <c r="AU346" i="131" l="1"/>
  <c r="AV346" i="131" s="1"/>
  <c r="N347" i="131"/>
  <c r="M347" i="131" s="1"/>
  <c r="L347" i="131" s="1"/>
  <c r="AO346" i="131"/>
  <c r="AN347" i="131"/>
  <c r="AS347" i="131" s="1"/>
  <c r="AA346" i="131"/>
  <c r="Y346" i="131"/>
  <c r="AJ345" i="131"/>
  <c r="AK345" i="131" s="1"/>
  <c r="D354" i="131"/>
  <c r="Q347" i="131" l="1"/>
  <c r="V347" i="131" s="1"/>
  <c r="AP346" i="131"/>
  <c r="AI346" i="131"/>
  <c r="AC346" i="131"/>
  <c r="AH346" i="131" s="1"/>
  <c r="Z347" i="131"/>
  <c r="AM347" i="131"/>
  <c r="I354" i="131"/>
  <c r="H354" i="131"/>
  <c r="K354" i="131"/>
  <c r="P347" i="131" l="1"/>
  <c r="U347" i="131" s="1"/>
  <c r="AB346" i="131"/>
  <c r="C355" i="131"/>
  <c r="A354" i="131"/>
  <c r="B355" i="131"/>
  <c r="W347" i="131" l="1"/>
  <c r="AU347" i="131" s="1"/>
  <c r="AV347" i="131" s="1"/>
  <c r="T347" i="131"/>
  <c r="AF346" i="131"/>
  <c r="AG346" i="131"/>
  <c r="AL346" i="131"/>
  <c r="E355" i="131"/>
  <c r="J355" i="131" s="1"/>
  <c r="X354" i="131"/>
  <c r="N348" i="131" l="1"/>
  <c r="M348" i="131" s="1"/>
  <c r="L348" i="131" s="1"/>
  <c r="AT347" i="131"/>
  <c r="O348" i="131"/>
  <c r="AN348" i="131" s="1"/>
  <c r="AS348" i="131" s="1"/>
  <c r="AO347" i="131"/>
  <c r="Y347" i="131"/>
  <c r="AC347" i="131" s="1"/>
  <c r="AH347" i="131" s="1"/>
  <c r="AA347" i="131"/>
  <c r="AJ346" i="131"/>
  <c r="AK346" i="131" s="1"/>
  <c r="D355" i="131"/>
  <c r="Q348" i="131" l="1"/>
  <c r="V348" i="131" s="1"/>
  <c r="AM348" i="131"/>
  <c r="Z348" i="131"/>
  <c r="AP347" i="131"/>
  <c r="AI347" i="131"/>
  <c r="AB347" i="131"/>
  <c r="I355" i="131"/>
  <c r="H355" i="131"/>
  <c r="K355" i="131"/>
  <c r="P348" i="131" l="1"/>
  <c r="U348" i="131" s="1"/>
  <c r="AL347" i="131"/>
  <c r="AF347" i="131"/>
  <c r="AG347" i="131"/>
  <c r="A355" i="131"/>
  <c r="C356" i="131"/>
  <c r="B356" i="131"/>
  <c r="T348" i="131" l="1"/>
  <c r="W348" i="131"/>
  <c r="N349" i="131" s="1"/>
  <c r="AU348" i="131"/>
  <c r="AV348" i="131" s="1"/>
  <c r="Y348" i="131"/>
  <c r="AA348" i="131"/>
  <c r="AJ347" i="131"/>
  <c r="AK347" i="131" s="1"/>
  <c r="Q349" i="131"/>
  <c r="V349" i="131" s="1"/>
  <c r="M349" i="131"/>
  <c r="L349" i="131" s="1"/>
  <c r="E356" i="131"/>
  <c r="J356" i="131" s="1"/>
  <c r="X355" i="131"/>
  <c r="AT348" i="131" l="1"/>
  <c r="AO348" i="131"/>
  <c r="O349" i="131"/>
  <c r="AN349" i="131" s="1"/>
  <c r="AS349" i="131" s="1"/>
  <c r="AM349" i="131"/>
  <c r="Z349" i="131"/>
  <c r="AI348" i="131"/>
  <c r="AP348" i="131"/>
  <c r="AC348" i="131"/>
  <c r="AH348" i="131" s="1"/>
  <c r="P349" i="131"/>
  <c r="D356" i="131"/>
  <c r="U349" i="131" l="1"/>
  <c r="T349" i="131"/>
  <c r="W349" i="131"/>
  <c r="AB348" i="131"/>
  <c r="I356" i="131"/>
  <c r="H356" i="131"/>
  <c r="K356" i="131"/>
  <c r="AF348" i="131" l="1"/>
  <c r="AG348" i="131"/>
  <c r="AL348" i="131"/>
  <c r="N350" i="131"/>
  <c r="AO349" i="131"/>
  <c r="AU349" i="131"/>
  <c r="AV349" i="131" s="1"/>
  <c r="AT349" i="131"/>
  <c r="O350" i="131"/>
  <c r="C357" i="131"/>
  <c r="A356" i="131"/>
  <c r="B357" i="131"/>
  <c r="Q350" i="131" l="1"/>
  <c r="V350" i="131" s="1"/>
  <c r="M350" i="131"/>
  <c r="L350" i="131" s="1"/>
  <c r="Y349" i="131"/>
  <c r="AJ348" i="131"/>
  <c r="AK348" i="131" s="1"/>
  <c r="AA349" i="131"/>
  <c r="AN350" i="131"/>
  <c r="AS350" i="131" s="1"/>
  <c r="X356" i="131"/>
  <c r="E357" i="131"/>
  <c r="J357" i="131" s="1"/>
  <c r="P350" i="131" l="1"/>
  <c r="W350" i="131" s="1"/>
  <c r="AP349" i="131"/>
  <c r="AI349" i="131"/>
  <c r="Z350" i="131"/>
  <c r="AM350" i="131"/>
  <c r="AC349" i="131"/>
  <c r="AH349" i="131" s="1"/>
  <c r="D357" i="131"/>
  <c r="U350" i="131" l="1"/>
  <c r="AO350" i="131" s="1"/>
  <c r="T350" i="131"/>
  <c r="AB349" i="131"/>
  <c r="AG349" i="131" s="1"/>
  <c r="O351" i="131"/>
  <c r="AU350" i="131"/>
  <c r="AV350" i="131" s="1"/>
  <c r="N351" i="131"/>
  <c r="AT350" i="131"/>
  <c r="I357" i="131"/>
  <c r="H357" i="131"/>
  <c r="K357" i="131"/>
  <c r="AL349" i="131" l="1"/>
  <c r="AA350" i="131" s="1"/>
  <c r="AF349" i="131"/>
  <c r="Q351" i="131"/>
  <c r="V351" i="131" s="1"/>
  <c r="M351" i="131"/>
  <c r="L351" i="131" s="1"/>
  <c r="AN351" i="131"/>
  <c r="AS351" i="131" s="1"/>
  <c r="C358" i="131"/>
  <c r="A357" i="131"/>
  <c r="B358" i="131"/>
  <c r="AJ349" i="131" l="1"/>
  <c r="AK349" i="131" s="1"/>
  <c r="Y350" i="131"/>
  <c r="AC350" i="131" s="1"/>
  <c r="AH350" i="131" s="1"/>
  <c r="P351" i="131"/>
  <c r="T351" i="131" s="1"/>
  <c r="Z351" i="131"/>
  <c r="AM351" i="131"/>
  <c r="AP350" i="131"/>
  <c r="AI350" i="131"/>
  <c r="X357" i="131"/>
  <c r="E358" i="131"/>
  <c r="J358" i="131" s="1"/>
  <c r="AB350" i="131" l="1"/>
  <c r="AL350" i="131" s="1"/>
  <c r="W351" i="131"/>
  <c r="AU351" i="131" s="1"/>
  <c r="AV351" i="131" s="1"/>
  <c r="U351" i="131"/>
  <c r="D358" i="131"/>
  <c r="AG350" i="131" l="1"/>
  <c r="AF350" i="131"/>
  <c r="AO351" i="131"/>
  <c r="O352" i="131"/>
  <c r="AT351" i="131"/>
  <c r="N352" i="131"/>
  <c r="M352" i="131" s="1"/>
  <c r="L352" i="131" s="1"/>
  <c r="Y351" i="131"/>
  <c r="AA351" i="131"/>
  <c r="AJ350" i="131"/>
  <c r="AK350" i="131" s="1"/>
  <c r="AN352" i="131"/>
  <c r="AS352" i="131" s="1"/>
  <c r="I358" i="131"/>
  <c r="H358" i="131"/>
  <c r="K358" i="131"/>
  <c r="Q352" i="131" l="1"/>
  <c r="V352" i="131" s="1"/>
  <c r="AM352" i="131"/>
  <c r="Z352" i="131"/>
  <c r="AI351" i="131"/>
  <c r="AP351" i="131"/>
  <c r="AC351" i="131"/>
  <c r="AH351" i="131" s="1"/>
  <c r="C359" i="131"/>
  <c r="A358" i="131"/>
  <c r="B359" i="131"/>
  <c r="P352" i="131" l="1"/>
  <c r="U352" i="131" s="1"/>
  <c r="AB351" i="131"/>
  <c r="AL351" i="131" s="1"/>
  <c r="E359" i="131"/>
  <c r="J359" i="131" s="1"/>
  <c r="X358" i="131"/>
  <c r="T352" i="131" l="1"/>
  <c r="W352" i="131"/>
  <c r="AG351" i="131"/>
  <c r="AF351" i="131"/>
  <c r="D359" i="131"/>
  <c r="K359" i="131" s="1"/>
  <c r="Y352" i="131"/>
  <c r="AA352" i="131"/>
  <c r="AJ351" i="131"/>
  <c r="AK351" i="131" s="1"/>
  <c r="O353" i="131" l="1"/>
  <c r="AN353" i="131" s="1"/>
  <c r="AS353" i="131" s="1"/>
  <c r="AU352" i="131"/>
  <c r="AV352" i="131" s="1"/>
  <c r="AT352" i="131"/>
  <c r="AO352" i="131"/>
  <c r="N353" i="131"/>
  <c r="H359" i="131"/>
  <c r="I359" i="131"/>
  <c r="AI352" i="131"/>
  <c r="AP352" i="131"/>
  <c r="AC352" i="131"/>
  <c r="AH352" i="131" s="1"/>
  <c r="C360" i="131"/>
  <c r="A359" i="131"/>
  <c r="B360" i="131"/>
  <c r="Q353" i="131" l="1"/>
  <c r="M353" i="131"/>
  <c r="L353" i="131" s="1"/>
  <c r="AB352" i="131"/>
  <c r="E360" i="131"/>
  <c r="J360" i="131" s="1"/>
  <c r="X359" i="131"/>
  <c r="Z353" i="131" l="1"/>
  <c r="AM353" i="131"/>
  <c r="V353" i="131"/>
  <c r="P353" i="131"/>
  <c r="AG352" i="131"/>
  <c r="AF352" i="131"/>
  <c r="AL352" i="131"/>
  <c r="D360" i="131"/>
  <c r="U353" i="131" l="1"/>
  <c r="T353" i="131"/>
  <c r="W353" i="131"/>
  <c r="Y353" i="131"/>
  <c r="AA353" i="131"/>
  <c r="AJ352" i="131"/>
  <c r="AK352" i="131" s="1"/>
  <c r="I360" i="131"/>
  <c r="H360" i="131"/>
  <c r="K360" i="131"/>
  <c r="AO353" i="131" l="1"/>
  <c r="O354" i="131"/>
  <c r="AT353" i="131"/>
  <c r="N354" i="131"/>
  <c r="AU353" i="131"/>
  <c r="AV353" i="131" s="1"/>
  <c r="AI353" i="131"/>
  <c r="AP353" i="131"/>
  <c r="AC353" i="131"/>
  <c r="AH353" i="131" s="1"/>
  <c r="C361" i="131"/>
  <c r="A360" i="131"/>
  <c r="B361" i="131"/>
  <c r="AN354" i="131" l="1"/>
  <c r="AS354" i="131" s="1"/>
  <c r="M354" i="131"/>
  <c r="L354" i="131" s="1"/>
  <c r="Q354" i="131"/>
  <c r="V354" i="131" s="1"/>
  <c r="AB353" i="131"/>
  <c r="E361" i="131"/>
  <c r="J361" i="131" s="1"/>
  <c r="X360" i="131"/>
  <c r="P354" i="131" l="1"/>
  <c r="Z354" i="131"/>
  <c r="AM354" i="131"/>
  <c r="AG353" i="131"/>
  <c r="AF353" i="131"/>
  <c r="AL353" i="131"/>
  <c r="D361" i="131"/>
  <c r="T354" i="131" l="1"/>
  <c r="U354" i="131"/>
  <c r="W354" i="131"/>
  <c r="Y354" i="131"/>
  <c r="AA354" i="131"/>
  <c r="AJ353" i="131"/>
  <c r="AK353" i="131" s="1"/>
  <c r="I361" i="131"/>
  <c r="H361" i="131"/>
  <c r="K361" i="131"/>
  <c r="O355" i="131" l="1"/>
  <c r="N355" i="131"/>
  <c r="AO354" i="131"/>
  <c r="AU354" i="131"/>
  <c r="AV354" i="131" s="1"/>
  <c r="AT354" i="131"/>
  <c r="AI354" i="131"/>
  <c r="AP354" i="131"/>
  <c r="AC354" i="131"/>
  <c r="AH354" i="131" s="1"/>
  <c r="C362" i="131"/>
  <c r="A361" i="131"/>
  <c r="B362" i="131"/>
  <c r="Q355" i="131" l="1"/>
  <c r="V355" i="131" s="1"/>
  <c r="M355" i="131"/>
  <c r="L355" i="131" s="1"/>
  <c r="AN355" i="131"/>
  <c r="AS355" i="131" s="1"/>
  <c r="AB354" i="131"/>
  <c r="AG354" i="131" s="1"/>
  <c r="E362" i="131"/>
  <c r="J362" i="131" s="1"/>
  <c r="X361" i="131"/>
  <c r="P355" i="131" l="1"/>
  <c r="W355" i="131" s="1"/>
  <c r="T355" i="131"/>
  <c r="Z355" i="131"/>
  <c r="AM355" i="131"/>
  <c r="AL354" i="131"/>
  <c r="Y355" i="131" s="1"/>
  <c r="AF354" i="131"/>
  <c r="D362" i="131"/>
  <c r="U355" i="131" l="1"/>
  <c r="AA355" i="131"/>
  <c r="AI355" i="131" s="1"/>
  <c r="AU355" i="131"/>
  <c r="AV355" i="131" s="1"/>
  <c r="AT355" i="131"/>
  <c r="N356" i="131"/>
  <c r="O356" i="131"/>
  <c r="AO355" i="131"/>
  <c r="AJ354" i="131"/>
  <c r="AK354" i="131" s="1"/>
  <c r="AP355" i="131"/>
  <c r="AC355" i="131"/>
  <c r="AH355" i="131" s="1"/>
  <c r="I362" i="131"/>
  <c r="H362" i="131"/>
  <c r="K362" i="131"/>
  <c r="AN356" i="131" l="1"/>
  <c r="AS356" i="131" s="1"/>
  <c r="Q356" i="131"/>
  <c r="V356" i="131" s="1"/>
  <c r="M356" i="131"/>
  <c r="L356" i="131" s="1"/>
  <c r="AB355" i="131"/>
  <c r="C363" i="131"/>
  <c r="A362" i="131"/>
  <c r="B363" i="131"/>
  <c r="AM356" i="131" l="1"/>
  <c r="Z356" i="131"/>
  <c r="P356" i="131"/>
  <c r="AG355" i="131"/>
  <c r="AF355" i="131"/>
  <c r="AL355" i="131"/>
  <c r="X362" i="131"/>
  <c r="E363" i="131"/>
  <c r="J363" i="131" s="1"/>
  <c r="U356" i="131" l="1"/>
  <c r="T356" i="131"/>
  <c r="W356" i="131"/>
  <c r="Y356" i="131"/>
  <c r="AA356" i="131"/>
  <c r="AJ355" i="131"/>
  <c r="AK355" i="131" s="1"/>
  <c r="D363" i="131"/>
  <c r="N357" i="131" l="1"/>
  <c r="AT356" i="131"/>
  <c r="AO356" i="131"/>
  <c r="O357" i="131"/>
  <c r="AU356" i="131"/>
  <c r="AV356" i="131" s="1"/>
  <c r="AI356" i="131"/>
  <c r="AP356" i="131"/>
  <c r="AC356" i="131"/>
  <c r="AH356" i="131" s="1"/>
  <c r="I363" i="131"/>
  <c r="H363" i="131"/>
  <c r="K363" i="131"/>
  <c r="AN357" i="131" l="1"/>
  <c r="AS357" i="131" s="1"/>
  <c r="Q357" i="131"/>
  <c r="V357" i="131" s="1"/>
  <c r="M357" i="131"/>
  <c r="L357" i="131" s="1"/>
  <c r="AB356" i="131"/>
  <c r="C364" i="131"/>
  <c r="A363" i="131"/>
  <c r="B364" i="131"/>
  <c r="Z357" i="131" l="1"/>
  <c r="AM357" i="131"/>
  <c r="P357" i="131"/>
  <c r="AG356" i="131"/>
  <c r="AF356" i="131"/>
  <c r="AL356" i="131"/>
  <c r="X363" i="131"/>
  <c r="E364" i="131"/>
  <c r="J364" i="131" s="1"/>
  <c r="T357" i="131" l="1"/>
  <c r="W357" i="131"/>
  <c r="U357" i="131"/>
  <c r="Y357" i="131"/>
  <c r="AA357" i="131"/>
  <c r="AJ356" i="131"/>
  <c r="AK356" i="131" s="1"/>
  <c r="D364" i="131"/>
  <c r="AO357" i="131" l="1"/>
  <c r="N358" i="131"/>
  <c r="AT357" i="131"/>
  <c r="AU357" i="131"/>
  <c r="AV357" i="131" s="1"/>
  <c r="O358" i="131"/>
  <c r="AI357" i="131"/>
  <c r="AP357" i="131"/>
  <c r="AC357" i="131"/>
  <c r="AH357" i="131" s="1"/>
  <c r="I364" i="131"/>
  <c r="H364" i="131"/>
  <c r="K364" i="131"/>
  <c r="AN358" i="131" l="1"/>
  <c r="AS358" i="131" s="1"/>
  <c r="M358" i="131"/>
  <c r="L358" i="131" s="1"/>
  <c r="Q358" i="131"/>
  <c r="V358" i="131" s="1"/>
  <c r="AB357" i="131"/>
  <c r="C365" i="131"/>
  <c r="A364" i="131"/>
  <c r="B365" i="131"/>
  <c r="AM358" i="131" l="1"/>
  <c r="Z358" i="131"/>
  <c r="P358" i="131"/>
  <c r="AG357" i="131"/>
  <c r="AF357" i="131"/>
  <c r="AL357" i="131"/>
  <c r="E365" i="131"/>
  <c r="J365" i="131" s="1"/>
  <c r="X364" i="131"/>
  <c r="T358" i="131" l="1"/>
  <c r="U358" i="131"/>
  <c r="W358" i="131"/>
  <c r="AA358" i="131"/>
  <c r="AJ357" i="131"/>
  <c r="AK357" i="131" s="1"/>
  <c r="Y358" i="131"/>
  <c r="D365" i="131"/>
  <c r="AT358" i="131" l="1"/>
  <c r="AU358" i="131"/>
  <c r="AV358" i="131" s="1"/>
  <c r="O359" i="131"/>
  <c r="N359" i="131"/>
  <c r="AO358" i="131"/>
  <c r="AC358" i="131"/>
  <c r="AH358" i="131" s="1"/>
  <c r="AI358" i="131"/>
  <c r="AP358" i="131"/>
  <c r="I365" i="131"/>
  <c r="H365" i="131"/>
  <c r="K365" i="131"/>
  <c r="M359" i="131" l="1"/>
  <c r="L359" i="131" s="1"/>
  <c r="Q359" i="131"/>
  <c r="V359" i="131" s="1"/>
  <c r="AN359" i="131"/>
  <c r="AS359" i="131" s="1"/>
  <c r="AB358" i="131"/>
  <c r="C366" i="131"/>
  <c r="B366" i="131"/>
  <c r="A365" i="131"/>
  <c r="P359" i="131" l="1"/>
  <c r="T359" i="131" s="1"/>
  <c r="Z359" i="131"/>
  <c r="AM359" i="131"/>
  <c r="AG358" i="131"/>
  <c r="AF358" i="131"/>
  <c r="AL358" i="131"/>
  <c r="E366" i="131"/>
  <c r="J366" i="131" s="1"/>
  <c r="X365" i="131"/>
  <c r="U359" i="131" l="1"/>
  <c r="W359" i="131"/>
  <c r="AU359" i="131" s="1"/>
  <c r="AV359" i="131" s="1"/>
  <c r="N360" i="131"/>
  <c r="O360" i="131"/>
  <c r="AT359" i="131"/>
  <c r="AJ358" i="131"/>
  <c r="AK358" i="131" s="1"/>
  <c r="AA359" i="131"/>
  <c r="Y359" i="131"/>
  <c r="D366" i="131"/>
  <c r="I366" i="131" s="1"/>
  <c r="AO359" i="131" l="1"/>
  <c r="AN360" i="131"/>
  <c r="AS360" i="131" s="1"/>
  <c r="M360" i="131"/>
  <c r="L360" i="131" s="1"/>
  <c r="Q360" i="131"/>
  <c r="V360" i="131" s="1"/>
  <c r="AC359" i="131"/>
  <c r="AH359" i="131" s="1"/>
  <c r="AI359" i="131"/>
  <c r="AP359" i="131"/>
  <c r="K366" i="131"/>
  <c r="B367" i="131" s="1"/>
  <c r="H366" i="131"/>
  <c r="AM360" i="131" l="1"/>
  <c r="Z360" i="131"/>
  <c r="P360" i="131"/>
  <c r="A366" i="131"/>
  <c r="X366" i="131" s="1"/>
  <c r="C367" i="131"/>
  <c r="AB359" i="131"/>
  <c r="E367" i="131"/>
  <c r="J367" i="131" s="1"/>
  <c r="T360" i="131" l="1"/>
  <c r="U360" i="131"/>
  <c r="W360" i="131"/>
  <c r="AG359" i="131"/>
  <c r="AF359" i="131"/>
  <c r="AL359" i="131"/>
  <c r="D367" i="131"/>
  <c r="AU360" i="131" l="1"/>
  <c r="AV360" i="131" s="1"/>
  <c r="N361" i="131"/>
  <c r="AO360" i="131"/>
  <c r="O361" i="131"/>
  <c r="AT360" i="131"/>
  <c r="Y360" i="131"/>
  <c r="AA360" i="131"/>
  <c r="AJ359" i="131"/>
  <c r="AK359" i="131" s="1"/>
  <c r="I367" i="131"/>
  <c r="H367" i="131"/>
  <c r="K367" i="131"/>
  <c r="AN361" i="131" l="1"/>
  <c r="AS361" i="131" s="1"/>
  <c r="Q361" i="131"/>
  <c r="V361" i="131" s="1"/>
  <c r="M361" i="131"/>
  <c r="L361" i="131" s="1"/>
  <c r="AP360" i="131"/>
  <c r="AI360" i="131"/>
  <c r="AC360" i="131"/>
  <c r="AH360" i="131" s="1"/>
  <c r="C368" i="131"/>
  <c r="A367" i="131"/>
  <c r="B368" i="131"/>
  <c r="P361" i="131" l="1"/>
  <c r="AM361" i="131"/>
  <c r="Z361" i="131"/>
  <c r="AB360" i="131"/>
  <c r="E368" i="131"/>
  <c r="J368" i="131" s="1"/>
  <c r="X367" i="131"/>
  <c r="T361" i="131" l="1"/>
  <c r="U361" i="131"/>
  <c r="W361" i="131"/>
  <c r="AG360" i="131"/>
  <c r="AF360" i="131"/>
  <c r="AL360" i="131"/>
  <c r="D368" i="131"/>
  <c r="AT361" i="131" l="1"/>
  <c r="O362" i="131"/>
  <c r="AO361" i="131"/>
  <c r="AU361" i="131"/>
  <c r="AV361" i="131" s="1"/>
  <c r="N362" i="131"/>
  <c r="AA361" i="131"/>
  <c r="Y361" i="131"/>
  <c r="AJ360" i="131"/>
  <c r="AK360" i="131" s="1"/>
  <c r="I368" i="131"/>
  <c r="H368" i="131"/>
  <c r="K368" i="131"/>
  <c r="M362" i="131" l="1"/>
  <c r="L362" i="131" s="1"/>
  <c r="Q362" i="131"/>
  <c r="V362" i="131" s="1"/>
  <c r="AN362" i="131"/>
  <c r="AS362" i="131" s="1"/>
  <c r="AC361" i="131"/>
  <c r="AH361" i="131" s="1"/>
  <c r="AI361" i="131"/>
  <c r="AP361" i="131"/>
  <c r="C369" i="131"/>
  <c r="A368" i="131"/>
  <c r="B369" i="131"/>
  <c r="P362" i="131" l="1"/>
  <c r="U362" i="131" s="1"/>
  <c r="T362" i="131"/>
  <c r="W362" i="131"/>
  <c r="AM362" i="131"/>
  <c r="Z362" i="131"/>
  <c r="AB361" i="131"/>
  <c r="E369" i="131"/>
  <c r="J369" i="131" s="1"/>
  <c r="X368" i="131"/>
  <c r="AU362" i="131" l="1"/>
  <c r="AV362" i="131" s="1"/>
  <c r="AO362" i="131"/>
  <c r="N363" i="131"/>
  <c r="AT362" i="131"/>
  <c r="O363" i="131"/>
  <c r="AG361" i="131"/>
  <c r="AF361" i="131"/>
  <c r="AL361" i="131"/>
  <c r="D369" i="131"/>
  <c r="K369" i="131" s="1"/>
  <c r="A369" i="131" s="1"/>
  <c r="AN363" i="131" l="1"/>
  <c r="AS363" i="131" s="1"/>
  <c r="M363" i="131"/>
  <c r="L363" i="131" s="1"/>
  <c r="Q363" i="131"/>
  <c r="V363" i="131" s="1"/>
  <c r="AA362" i="131"/>
  <c r="Y362" i="131"/>
  <c r="AJ361" i="131"/>
  <c r="AK361" i="131" s="1"/>
  <c r="I369" i="131"/>
  <c r="H369" i="131"/>
  <c r="B370" i="131"/>
  <c r="E370" i="131" s="1"/>
  <c r="J370" i="131" s="1"/>
  <c r="C370" i="131"/>
  <c r="X369" i="131"/>
  <c r="Z363" i="131" l="1"/>
  <c r="AM363" i="131"/>
  <c r="P363" i="131"/>
  <c r="AC362" i="131"/>
  <c r="AH362" i="131" s="1"/>
  <c r="AP362" i="131"/>
  <c r="AI362" i="131"/>
  <c r="D370" i="131"/>
  <c r="U363" i="131" l="1"/>
  <c r="T363" i="131"/>
  <c r="W363" i="131"/>
  <c r="AB362" i="131"/>
  <c r="AG362" i="131" s="1"/>
  <c r="I370" i="131"/>
  <c r="H370" i="131"/>
  <c r="K370" i="131"/>
  <c r="AO363" i="131" l="1"/>
  <c r="O364" i="131"/>
  <c r="AT363" i="131"/>
  <c r="AU363" i="131"/>
  <c r="AV363" i="131" s="1"/>
  <c r="N364" i="131"/>
  <c r="AL362" i="131"/>
  <c r="Y363" i="131" s="1"/>
  <c r="AC363" i="131" s="1"/>
  <c r="AH363" i="131" s="1"/>
  <c r="AF362" i="131"/>
  <c r="C371" i="131"/>
  <c r="A370" i="131"/>
  <c r="B371" i="131"/>
  <c r="M364" i="131" l="1"/>
  <c r="L364" i="131" s="1"/>
  <c r="Q364" i="131"/>
  <c r="V364" i="131" s="1"/>
  <c r="AJ362" i="131"/>
  <c r="AK362" i="131" s="1"/>
  <c r="AN364" i="131"/>
  <c r="AS364" i="131" s="1"/>
  <c r="AA363" i="131"/>
  <c r="AI363" i="131" s="1"/>
  <c r="E371" i="131"/>
  <c r="J371" i="131" s="1"/>
  <c r="X370" i="131"/>
  <c r="P364" i="131" l="1"/>
  <c r="U364" i="131" s="1"/>
  <c r="AB363" i="131"/>
  <c r="AF363" i="131" s="1"/>
  <c r="AP363" i="131"/>
  <c r="Z364" i="131"/>
  <c r="AM364" i="131"/>
  <c r="D371" i="131"/>
  <c r="W364" i="131" l="1"/>
  <c r="AU364" i="131" s="1"/>
  <c r="AV364" i="131" s="1"/>
  <c r="T364" i="131"/>
  <c r="AL363" i="131"/>
  <c r="AA364" i="131" s="1"/>
  <c r="AG363" i="131"/>
  <c r="Y364" i="131"/>
  <c r="I371" i="131"/>
  <c r="H371" i="131"/>
  <c r="K371" i="131"/>
  <c r="AJ363" i="131" l="1"/>
  <c r="AK363" i="131" s="1"/>
  <c r="N365" i="131"/>
  <c r="Q365" i="131" s="1"/>
  <c r="V365" i="131" s="1"/>
  <c r="AT364" i="131"/>
  <c r="O365" i="131"/>
  <c r="AO364" i="131"/>
  <c r="AN365" i="131"/>
  <c r="AS365" i="131" s="1"/>
  <c r="AC364" i="131"/>
  <c r="AH364" i="131" s="1"/>
  <c r="AI364" i="131"/>
  <c r="AP364" i="131"/>
  <c r="C372" i="131"/>
  <c r="A371" i="131"/>
  <c r="B372" i="131"/>
  <c r="M365" i="131" l="1"/>
  <c r="L365" i="131" s="1"/>
  <c r="AM365" i="131" s="1"/>
  <c r="P365" i="131"/>
  <c r="AB364" i="131"/>
  <c r="AF364" i="131" s="1"/>
  <c r="E372" i="131"/>
  <c r="J372" i="131" s="1"/>
  <c r="X371" i="131"/>
  <c r="Z365" i="131" l="1"/>
  <c r="T365" i="131"/>
  <c r="U365" i="131"/>
  <c r="W365" i="131"/>
  <c r="AL364" i="131"/>
  <c r="AA365" i="131" s="1"/>
  <c r="AG364" i="131"/>
  <c r="D372" i="131"/>
  <c r="N366" i="131" l="1"/>
  <c r="AO365" i="131"/>
  <c r="AU365" i="131"/>
  <c r="AV365" i="131" s="1"/>
  <c r="AT365" i="131"/>
  <c r="O366" i="131"/>
  <c r="Y365" i="131"/>
  <c r="AC365" i="131" s="1"/>
  <c r="AH365" i="131" s="1"/>
  <c r="AJ364" i="131"/>
  <c r="AK364" i="131" s="1"/>
  <c r="AI365" i="131"/>
  <c r="AP365" i="131"/>
  <c r="I372" i="131"/>
  <c r="H372" i="131"/>
  <c r="K372" i="131"/>
  <c r="AN366" i="131" l="1"/>
  <c r="AS366" i="131" s="1"/>
  <c r="Q366" i="131"/>
  <c r="V366" i="131" s="1"/>
  <c r="M366" i="131"/>
  <c r="L366" i="131" s="1"/>
  <c r="AB365" i="131"/>
  <c r="C373" i="131"/>
  <c r="A372" i="131"/>
  <c r="B373" i="131"/>
  <c r="AM366" i="131" l="1"/>
  <c r="Z366" i="131"/>
  <c r="P366" i="131"/>
  <c r="AF365" i="131"/>
  <c r="AG365" i="131"/>
  <c r="AL365" i="131"/>
  <c r="E373" i="131"/>
  <c r="J373" i="131" s="1"/>
  <c r="X372" i="131"/>
  <c r="T366" i="131" l="1"/>
  <c r="U366" i="131"/>
  <c r="W366" i="131"/>
  <c r="AA366" i="131"/>
  <c r="Y366" i="131"/>
  <c r="AJ365" i="131"/>
  <c r="AK365" i="131" s="1"/>
  <c r="D373" i="131"/>
  <c r="AU366" i="131" l="1"/>
  <c r="AV366" i="131" s="1"/>
  <c r="N367" i="131"/>
  <c r="AO366" i="131"/>
  <c r="O367" i="131"/>
  <c r="AT366" i="131"/>
  <c r="AC366" i="131"/>
  <c r="AH366" i="131" s="1"/>
  <c r="AP366" i="131"/>
  <c r="AI366" i="131"/>
  <c r="I373" i="131"/>
  <c r="H373" i="131"/>
  <c r="K373" i="131"/>
  <c r="AN367" i="131" l="1"/>
  <c r="AS367" i="131" s="1"/>
  <c r="Q367" i="131"/>
  <c r="V367" i="131" s="1"/>
  <c r="M367" i="131"/>
  <c r="L367" i="131" s="1"/>
  <c r="AB366" i="131"/>
  <c r="AG366" i="131" s="1"/>
  <c r="B374" i="131"/>
  <c r="A373" i="131"/>
  <c r="C374" i="131"/>
  <c r="AM367" i="131" l="1"/>
  <c r="Z367" i="131"/>
  <c r="P367" i="131"/>
  <c r="AL366" i="131"/>
  <c r="AJ366" i="131" s="1"/>
  <c r="AK366" i="131" s="1"/>
  <c r="AF366" i="131"/>
  <c r="X373" i="131"/>
  <c r="E374" i="131"/>
  <c r="J374" i="131" s="1"/>
  <c r="U367" i="131" l="1"/>
  <c r="T367" i="131"/>
  <c r="W367" i="131"/>
  <c r="AA367" i="131"/>
  <c r="AI367" i="131" s="1"/>
  <c r="Y367" i="131"/>
  <c r="AC367" i="131" s="1"/>
  <c r="AH367" i="131" s="1"/>
  <c r="D374" i="131"/>
  <c r="I374" i="131" s="1"/>
  <c r="AP367" i="131" l="1"/>
  <c r="N368" i="131"/>
  <c r="AT367" i="131"/>
  <c r="O368" i="131"/>
  <c r="AO367" i="131"/>
  <c r="AU367" i="131"/>
  <c r="AV367" i="131" s="1"/>
  <c r="H374" i="131"/>
  <c r="K374" i="131"/>
  <c r="B375" i="131" s="1"/>
  <c r="AB367" i="131"/>
  <c r="Q368" i="131" l="1"/>
  <c r="V368" i="131" s="1"/>
  <c r="M368" i="131"/>
  <c r="L368" i="131" s="1"/>
  <c r="AN368" i="131"/>
  <c r="AS368" i="131" s="1"/>
  <c r="A374" i="131"/>
  <c r="X374" i="131" s="1"/>
  <c r="C375" i="131"/>
  <c r="AG367" i="131"/>
  <c r="AF367" i="131"/>
  <c r="AL367" i="131"/>
  <c r="E375" i="131"/>
  <c r="J375" i="131" s="1"/>
  <c r="P368" i="131" l="1"/>
  <c r="U368" i="131" s="1"/>
  <c r="T368" i="131"/>
  <c r="Z368" i="131"/>
  <c r="AA368" i="131" s="1"/>
  <c r="AM368" i="131"/>
  <c r="Y368" i="131"/>
  <c r="AJ367" i="131"/>
  <c r="AK367" i="131" s="1"/>
  <c r="D375" i="131"/>
  <c r="W368" i="131" l="1"/>
  <c r="AT368" i="131"/>
  <c r="O369" i="131"/>
  <c r="AO368" i="131"/>
  <c r="N369" i="131"/>
  <c r="AU368" i="131"/>
  <c r="AV368" i="131" s="1"/>
  <c r="AP368" i="131"/>
  <c r="AI368" i="131"/>
  <c r="AC368" i="131"/>
  <c r="AH368" i="131" s="1"/>
  <c r="I375" i="131"/>
  <c r="H375" i="131"/>
  <c r="K375" i="131"/>
  <c r="AN369" i="131" l="1"/>
  <c r="AS369" i="131" s="1"/>
  <c r="M369" i="131"/>
  <c r="L369" i="131" s="1"/>
  <c r="Q369" i="131"/>
  <c r="V369" i="131" s="1"/>
  <c r="AB368" i="131"/>
  <c r="AG368" i="131" s="1"/>
  <c r="A375" i="131"/>
  <c r="C376" i="131"/>
  <c r="B376" i="131"/>
  <c r="Z369" i="131" l="1"/>
  <c r="AM369" i="131"/>
  <c r="P369" i="131"/>
  <c r="AL368" i="131"/>
  <c r="AJ368" i="131" s="1"/>
  <c r="AK368" i="131" s="1"/>
  <c r="AF368" i="131"/>
  <c r="X375" i="131"/>
  <c r="E376" i="131"/>
  <c r="J376" i="131" s="1"/>
  <c r="U369" i="131" l="1"/>
  <c r="T369" i="131"/>
  <c r="W369" i="131"/>
  <c r="AA369" i="131"/>
  <c r="AP369" i="131" s="1"/>
  <c r="Y369" i="131"/>
  <c r="AC369" i="131" s="1"/>
  <c r="AH369" i="131" s="1"/>
  <c r="D376" i="131"/>
  <c r="K376" i="131" s="1"/>
  <c r="C377" i="131" s="1"/>
  <c r="AT369" i="131" l="1"/>
  <c r="AO369" i="131"/>
  <c r="O370" i="131"/>
  <c r="N370" i="131"/>
  <c r="AU369" i="131"/>
  <c r="AV369" i="131" s="1"/>
  <c r="AI369" i="131"/>
  <c r="AB369" i="131"/>
  <c r="AL369" i="131" s="1"/>
  <c r="Y370" i="131" s="1"/>
  <c r="H376" i="131"/>
  <c r="I376" i="131"/>
  <c r="B377" i="131"/>
  <c r="E377" i="131" s="1"/>
  <c r="J377" i="131" s="1"/>
  <c r="A376" i="131"/>
  <c r="X376" i="131" s="1"/>
  <c r="Q370" i="131" l="1"/>
  <c r="V370" i="131" s="1"/>
  <c r="M370" i="131"/>
  <c r="L370" i="131" s="1"/>
  <c r="AN370" i="131"/>
  <c r="AS370" i="131" s="1"/>
  <c r="AF369" i="131"/>
  <c r="AG369" i="131"/>
  <c r="AJ369" i="131"/>
  <c r="AK369" i="131" s="1"/>
  <c r="D377" i="131"/>
  <c r="P370" i="131" l="1"/>
  <c r="W370" i="131" s="1"/>
  <c r="AT370" i="131" s="1"/>
  <c r="Z370" i="131"/>
  <c r="AM370" i="131"/>
  <c r="I377" i="131"/>
  <c r="H377" i="131"/>
  <c r="K377" i="131"/>
  <c r="T370" i="131" l="1"/>
  <c r="U370" i="131"/>
  <c r="AO370" i="131" s="1"/>
  <c r="O371" i="131"/>
  <c r="AN371" i="131" s="1"/>
  <c r="AS371" i="131" s="1"/>
  <c r="N371" i="131"/>
  <c r="Q371" i="131" s="1"/>
  <c r="V371" i="131" s="1"/>
  <c r="AU370" i="131"/>
  <c r="AV370" i="131" s="1"/>
  <c r="AC370" i="131"/>
  <c r="AH370" i="131" s="1"/>
  <c r="AA370" i="131"/>
  <c r="M371" i="131"/>
  <c r="L371" i="131" s="1"/>
  <c r="C378" i="131"/>
  <c r="A377" i="131"/>
  <c r="B378" i="131"/>
  <c r="AP370" i="131" l="1"/>
  <c r="AI370" i="131"/>
  <c r="AB370" i="131"/>
  <c r="Z371" i="131"/>
  <c r="AM371" i="131"/>
  <c r="P371" i="131"/>
  <c r="E378" i="131"/>
  <c r="J378" i="131" s="1"/>
  <c r="X377" i="131"/>
  <c r="U371" i="131" l="1"/>
  <c r="W371" i="131"/>
  <c r="T371" i="131"/>
  <c r="AL370" i="131"/>
  <c r="AG370" i="131"/>
  <c r="AF370" i="131"/>
  <c r="D378" i="131"/>
  <c r="AJ370" i="131" l="1"/>
  <c r="AK370" i="131" s="1"/>
  <c r="AA371" i="131"/>
  <c r="Y371" i="131"/>
  <c r="AU371" i="131"/>
  <c r="AV371" i="131" s="1"/>
  <c r="O372" i="131"/>
  <c r="AO371" i="131"/>
  <c r="AT371" i="131"/>
  <c r="N372" i="131"/>
  <c r="I378" i="131"/>
  <c r="H378" i="131"/>
  <c r="K378" i="131"/>
  <c r="AC371" i="131" l="1"/>
  <c r="AH371" i="131" s="1"/>
  <c r="M372" i="131"/>
  <c r="L372" i="131" s="1"/>
  <c r="Q372" i="131"/>
  <c r="V372" i="131" s="1"/>
  <c r="AN372" i="131"/>
  <c r="AS372" i="131" s="1"/>
  <c r="AP371" i="131"/>
  <c r="AI371" i="131"/>
  <c r="C379" i="131"/>
  <c r="A378" i="131"/>
  <c r="B379" i="131"/>
  <c r="AB371" i="131" l="1"/>
  <c r="AL371" i="131" s="1"/>
  <c r="AJ371" i="131" s="1"/>
  <c r="AK371" i="131" s="1"/>
  <c r="P372" i="131"/>
  <c r="W372" i="131" s="1"/>
  <c r="AU372" i="131" s="1"/>
  <c r="AV372" i="131" s="1"/>
  <c r="O373" i="131"/>
  <c r="AN373" i="131" s="1"/>
  <c r="AS373" i="131" s="1"/>
  <c r="Z372" i="131"/>
  <c r="AM372" i="131"/>
  <c r="T372" i="131"/>
  <c r="U372" i="131"/>
  <c r="AO372" i="131" s="1"/>
  <c r="AF371" i="131"/>
  <c r="AG371" i="131"/>
  <c r="X378" i="131"/>
  <c r="E379" i="131"/>
  <c r="J379" i="131" s="1"/>
  <c r="AA372" i="131" l="1"/>
  <c r="Y372" i="131"/>
  <c r="AC372" i="131" s="1"/>
  <c r="AH372" i="131" s="1"/>
  <c r="N373" i="131"/>
  <c r="M373" i="131" s="1"/>
  <c r="L373" i="131" s="1"/>
  <c r="AT372" i="131"/>
  <c r="AP372" i="131"/>
  <c r="AI372" i="131"/>
  <c r="D379" i="131"/>
  <c r="K379" i="131" s="1"/>
  <c r="C380" i="131" s="1"/>
  <c r="Q373" i="131" l="1"/>
  <c r="V373" i="131" s="1"/>
  <c r="AB372" i="131"/>
  <c r="AL372" i="131" s="1"/>
  <c r="Z373" i="131"/>
  <c r="AM373" i="131"/>
  <c r="I379" i="131"/>
  <c r="H379" i="131"/>
  <c r="B380" i="131"/>
  <c r="E380" i="131" s="1"/>
  <c r="J380" i="131" s="1"/>
  <c r="A379" i="131"/>
  <c r="X379" i="131" s="1"/>
  <c r="P373" i="131" l="1"/>
  <c r="AF372" i="131"/>
  <c r="AG372" i="131"/>
  <c r="AJ372" i="131"/>
  <c r="AK372" i="131" s="1"/>
  <c r="Y373" i="131"/>
  <c r="AC373" i="131" s="1"/>
  <c r="AH373" i="131" s="1"/>
  <c r="AA373" i="131"/>
  <c r="W373" i="131"/>
  <c r="U373" i="131"/>
  <c r="T373" i="131"/>
  <c r="D380" i="131"/>
  <c r="AO373" i="131" l="1"/>
  <c r="AT373" i="131"/>
  <c r="AU373" i="131"/>
  <c r="AV373" i="131" s="1"/>
  <c r="O374" i="131"/>
  <c r="AN374" i="131" s="1"/>
  <c r="AS374" i="131" s="1"/>
  <c r="N374" i="131"/>
  <c r="AB373" i="131"/>
  <c r="AI373" i="131"/>
  <c r="AP373" i="131"/>
  <c r="I380" i="131"/>
  <c r="H380" i="131"/>
  <c r="K380" i="131"/>
  <c r="M374" i="131" l="1"/>
  <c r="L374" i="131" s="1"/>
  <c r="Q374" i="131"/>
  <c r="V374" i="131" s="1"/>
  <c r="AF373" i="131"/>
  <c r="AL373" i="131"/>
  <c r="AG373" i="131"/>
  <c r="C381" i="131"/>
  <c r="B381" i="131"/>
  <c r="A380" i="131"/>
  <c r="P374" i="131" l="1"/>
  <c r="W374" i="131" s="1"/>
  <c r="N375" i="131" s="1"/>
  <c r="Q375" i="131" s="1"/>
  <c r="V375" i="131" s="1"/>
  <c r="Y374" i="131"/>
  <c r="AJ373" i="131"/>
  <c r="AK373" i="131" s="1"/>
  <c r="AM374" i="131"/>
  <c r="Z374" i="131"/>
  <c r="AA374" i="131" s="1"/>
  <c r="X380" i="131"/>
  <c r="E381" i="131"/>
  <c r="J381" i="131" s="1"/>
  <c r="T374" i="131" l="1"/>
  <c r="O375" i="131"/>
  <c r="AN375" i="131" s="1"/>
  <c r="AS375" i="131" s="1"/>
  <c r="U374" i="131"/>
  <c r="AO374" i="131" s="1"/>
  <c r="M375" i="131"/>
  <c r="L375" i="131" s="1"/>
  <c r="Z375" i="131" s="1"/>
  <c r="AT374" i="131"/>
  <c r="AU374" i="131"/>
  <c r="AV374" i="131" s="1"/>
  <c r="AI374" i="131"/>
  <c r="AP374" i="131"/>
  <c r="AC374" i="131"/>
  <c r="AH374" i="131" s="1"/>
  <c r="D381" i="131"/>
  <c r="P375" i="131" l="1"/>
  <c r="U375" i="131" s="1"/>
  <c r="AM375" i="131"/>
  <c r="AB374" i="131"/>
  <c r="I381" i="131"/>
  <c r="H381" i="131"/>
  <c r="K381" i="131"/>
  <c r="W375" i="131" l="1"/>
  <c r="T375" i="131"/>
  <c r="AL374" i="131"/>
  <c r="AF374" i="131"/>
  <c r="AG374" i="131"/>
  <c r="C382" i="131"/>
  <c r="A381" i="131"/>
  <c r="B382" i="131"/>
  <c r="O376" i="131" l="1"/>
  <c r="AN376" i="131" s="1"/>
  <c r="AS376" i="131" s="1"/>
  <c r="N376" i="131"/>
  <c r="AU375" i="131"/>
  <c r="AV375" i="131" s="1"/>
  <c r="AT375" i="131"/>
  <c r="AO375" i="131"/>
  <c r="Y375" i="131"/>
  <c r="AA375" i="131"/>
  <c r="AJ374" i="131"/>
  <c r="AK374" i="131" s="1"/>
  <c r="E382" i="131"/>
  <c r="J382" i="131" s="1"/>
  <c r="X381" i="131"/>
  <c r="Q376" i="131" l="1"/>
  <c r="M376" i="131"/>
  <c r="L376" i="131" s="1"/>
  <c r="AI375" i="131"/>
  <c r="AP375" i="131"/>
  <c r="AC375" i="131"/>
  <c r="AH375" i="131" s="1"/>
  <c r="D382" i="131"/>
  <c r="AM376" i="131" l="1"/>
  <c r="Z376" i="131"/>
  <c r="V376" i="131"/>
  <c r="P376" i="131"/>
  <c r="AB375" i="131"/>
  <c r="I382" i="131"/>
  <c r="H382" i="131"/>
  <c r="K382" i="131"/>
  <c r="U376" i="131" l="1"/>
  <c r="W376" i="131"/>
  <c r="T376" i="131"/>
  <c r="AG375" i="131"/>
  <c r="AF375" i="131"/>
  <c r="AL375" i="131"/>
  <c r="C383" i="131"/>
  <c r="A382" i="131"/>
  <c r="B383" i="131"/>
  <c r="AT376" i="131" l="1"/>
  <c r="O377" i="131"/>
  <c r="AN377" i="131" s="1"/>
  <c r="AS377" i="131" s="1"/>
  <c r="AO376" i="131"/>
  <c r="AU376" i="131"/>
  <c r="AV376" i="131" s="1"/>
  <c r="N377" i="131"/>
  <c r="Y376" i="131"/>
  <c r="AJ375" i="131"/>
  <c r="AK375" i="131" s="1"/>
  <c r="AA376" i="131"/>
  <c r="AP377" i="131"/>
  <c r="E383" i="131"/>
  <c r="J383" i="131" s="1"/>
  <c r="X382" i="131"/>
  <c r="M377" i="131" l="1"/>
  <c r="L377" i="131" s="1"/>
  <c r="Q377" i="131"/>
  <c r="V377" i="131" s="1"/>
  <c r="AP376" i="131"/>
  <c r="AI376" i="131"/>
  <c r="AC376" i="131"/>
  <c r="AH376" i="131" s="1"/>
  <c r="D383" i="131"/>
  <c r="I383" i="131" s="1"/>
  <c r="Z377" i="131" l="1"/>
  <c r="AM377" i="131"/>
  <c r="P377" i="131"/>
  <c r="AB376" i="131"/>
  <c r="K383" i="131"/>
  <c r="C384" i="131" s="1"/>
  <c r="H383" i="131"/>
  <c r="U377" i="131" l="1"/>
  <c r="W377" i="131"/>
  <c r="T377" i="131"/>
  <c r="AG376" i="131"/>
  <c r="AF376" i="131"/>
  <c r="AL376" i="131"/>
  <c r="B384" i="131"/>
  <c r="E384" i="131" s="1"/>
  <c r="J384" i="131" s="1"/>
  <c r="A383" i="131"/>
  <c r="X383" i="131" s="1"/>
  <c r="AO377" i="131" l="1"/>
  <c r="N378" i="131"/>
  <c r="O378" i="131"/>
  <c r="AT377" i="131"/>
  <c r="AU377" i="131"/>
  <c r="AV377" i="131" s="1"/>
  <c r="AA377" i="131"/>
  <c r="Y377" i="131"/>
  <c r="AJ376" i="131"/>
  <c r="AK376" i="131" s="1"/>
  <c r="AP378" i="131"/>
  <c r="D384" i="131"/>
  <c r="AN378" i="131" l="1"/>
  <c r="AS378" i="131" s="1"/>
  <c r="M378" i="131"/>
  <c r="L378" i="131" s="1"/>
  <c r="Q378" i="131"/>
  <c r="V378" i="131" s="1"/>
  <c r="AC377" i="131"/>
  <c r="AH377" i="131" s="1"/>
  <c r="AI377" i="131"/>
  <c r="I384" i="131"/>
  <c r="H384" i="131"/>
  <c r="K384" i="131"/>
  <c r="Z378" i="131" l="1"/>
  <c r="AM378" i="131"/>
  <c r="P378" i="131"/>
  <c r="AB377" i="131"/>
  <c r="AF377" i="131" s="1"/>
  <c r="B385" i="131"/>
  <c r="C385" i="131"/>
  <c r="A384" i="131"/>
  <c r="U378" i="131" l="1"/>
  <c r="W378" i="131"/>
  <c r="T378" i="131"/>
  <c r="AL377" i="131"/>
  <c r="Y378" i="131" s="1"/>
  <c r="AG377" i="131"/>
  <c r="AJ377" i="131"/>
  <c r="AK377" i="131" s="1"/>
  <c r="AA378" i="131"/>
  <c r="X384" i="131"/>
  <c r="E385" i="131"/>
  <c r="J385" i="131" s="1"/>
  <c r="AV378" i="131" l="1"/>
  <c r="AT378" i="131"/>
  <c r="N379" i="131"/>
  <c r="AU378" i="131"/>
  <c r="O379" i="131"/>
  <c r="AO378" i="131"/>
  <c r="AI378" i="131"/>
  <c r="AC378" i="131"/>
  <c r="AH378" i="131" s="1"/>
  <c r="D385" i="131"/>
  <c r="AN379" i="131" l="1"/>
  <c r="AS379" i="131" s="1"/>
  <c r="M379" i="131"/>
  <c r="L379" i="131" s="1"/>
  <c r="Q379" i="131"/>
  <c r="V379" i="131" s="1"/>
  <c r="AP379" i="131"/>
  <c r="AB378" i="131"/>
  <c r="I385" i="131"/>
  <c r="H385" i="131"/>
  <c r="K385" i="131"/>
  <c r="Z379" i="131" l="1"/>
  <c r="AM379" i="131"/>
  <c r="P379" i="131"/>
  <c r="AG378" i="131"/>
  <c r="AF378" i="131"/>
  <c r="AL378" i="131"/>
  <c r="C386" i="131"/>
  <c r="A385" i="131"/>
  <c r="B386" i="131"/>
  <c r="T379" i="131" l="1"/>
  <c r="U379" i="131"/>
  <c r="W379" i="131"/>
  <c r="AA379" i="131"/>
  <c r="AJ378" i="131"/>
  <c r="AK378" i="131" s="1"/>
  <c r="Y379" i="131"/>
  <c r="E386" i="131"/>
  <c r="J386" i="131" s="1"/>
  <c r="X385" i="131"/>
  <c r="AU379" i="131" l="1"/>
  <c r="AV379" i="131" s="1"/>
  <c r="N380" i="131"/>
  <c r="AO379" i="131"/>
  <c r="AT379" i="131"/>
  <c r="O380" i="131"/>
  <c r="AC379" i="131"/>
  <c r="AH379" i="131" s="1"/>
  <c r="AI379" i="131"/>
  <c r="D386" i="131"/>
  <c r="K386" i="131" s="1"/>
  <c r="B387" i="131" s="1"/>
  <c r="AN380" i="131" l="1"/>
  <c r="AS380" i="131" s="1"/>
  <c r="M380" i="131"/>
  <c r="L380" i="131" s="1"/>
  <c r="Q380" i="131"/>
  <c r="V380" i="131" s="1"/>
  <c r="AP380" i="131"/>
  <c r="AB379" i="131"/>
  <c r="AL379" i="131" s="1"/>
  <c r="Y380" i="131" s="1"/>
  <c r="I386" i="131"/>
  <c r="A386" i="131"/>
  <c r="X386" i="131" s="1"/>
  <c r="C387" i="131"/>
  <c r="H386" i="131"/>
  <c r="E387" i="131"/>
  <c r="J387" i="131" s="1"/>
  <c r="AG379" i="131" l="1"/>
  <c r="AF379" i="131"/>
  <c r="AA380" i="131"/>
  <c r="AI380" i="131" s="1"/>
  <c r="Z380" i="131"/>
  <c r="AC380" i="131" s="1"/>
  <c r="AM380" i="131"/>
  <c r="P380" i="131"/>
  <c r="AJ379" i="131"/>
  <c r="AK379" i="131" s="1"/>
  <c r="D387" i="131"/>
  <c r="AH380" i="131" l="1"/>
  <c r="AB380" i="131"/>
  <c r="U380" i="131"/>
  <c r="T380" i="131"/>
  <c r="W380" i="131"/>
  <c r="I387" i="131"/>
  <c r="H387" i="131"/>
  <c r="K387" i="131"/>
  <c r="AT380" i="131" l="1"/>
  <c r="AO380" i="131"/>
  <c r="AU380" i="131"/>
  <c r="AV380" i="131" s="1"/>
  <c r="O381" i="131"/>
  <c r="N381" i="131"/>
  <c r="AL380" i="131"/>
  <c r="AG380" i="131"/>
  <c r="AF380" i="131"/>
  <c r="C388" i="131"/>
  <c r="A387" i="131"/>
  <c r="B388" i="131"/>
  <c r="AJ380" i="131" l="1"/>
  <c r="AK380" i="131" s="1"/>
  <c r="Y381" i="131"/>
  <c r="AA381" i="131"/>
  <c r="M381" i="131"/>
  <c r="L381" i="131" s="1"/>
  <c r="Q381" i="131"/>
  <c r="V381" i="131" s="1"/>
  <c r="AN381" i="131"/>
  <c r="AS381" i="131" s="1"/>
  <c r="AI381" i="131"/>
  <c r="AP381" i="131"/>
  <c r="E388" i="131"/>
  <c r="J388" i="131" s="1"/>
  <c r="X387" i="131"/>
  <c r="P381" i="131" l="1"/>
  <c r="W381" i="131" s="1"/>
  <c r="AU381" i="131" s="1"/>
  <c r="AV381" i="131" s="1"/>
  <c r="Z381" i="131"/>
  <c r="AM381" i="131"/>
  <c r="AC381" i="131"/>
  <c r="AH381" i="131" s="1"/>
  <c r="D388" i="131"/>
  <c r="H388" i="131" s="1"/>
  <c r="AO381" i="131" l="1"/>
  <c r="N382" i="131"/>
  <c r="M382" i="131" s="1"/>
  <c r="L382" i="131" s="1"/>
  <c r="O382" i="131"/>
  <c r="AN382" i="131" s="1"/>
  <c r="AS382" i="131" s="1"/>
  <c r="AT381" i="131"/>
  <c r="T381" i="131"/>
  <c r="U381" i="131"/>
  <c r="AB381" i="131"/>
  <c r="K388" i="131"/>
  <c r="B389" i="131" s="1"/>
  <c r="I388" i="131"/>
  <c r="AP382" i="131" l="1"/>
  <c r="Q382" i="131"/>
  <c r="V382" i="131" s="1"/>
  <c r="P382" i="131"/>
  <c r="AM382" i="131"/>
  <c r="Z382" i="131"/>
  <c r="AG381" i="131"/>
  <c r="AF381" i="131"/>
  <c r="AL381" i="131"/>
  <c r="A388" i="131"/>
  <c r="X388" i="131" s="1"/>
  <c r="C389" i="131"/>
  <c r="E389" i="131"/>
  <c r="J389" i="131" s="1"/>
  <c r="U382" i="131" l="1"/>
  <c r="W382" i="131"/>
  <c r="T382" i="131"/>
  <c r="Y382" i="131"/>
  <c r="AC382" i="131" s="1"/>
  <c r="AH382" i="131" s="1"/>
  <c r="AA382" i="131"/>
  <c r="AJ381" i="131"/>
  <c r="AK381" i="131" s="1"/>
  <c r="D389" i="131"/>
  <c r="N383" i="131" l="1"/>
  <c r="AU382" i="131"/>
  <c r="AV382" i="131" s="1"/>
  <c r="AO382" i="131"/>
  <c r="O383" i="131"/>
  <c r="AT382" i="131"/>
  <c r="AI382" i="131"/>
  <c r="AB382" i="131"/>
  <c r="I389" i="131"/>
  <c r="H389" i="131"/>
  <c r="K389" i="131"/>
  <c r="AG382" i="131" l="1"/>
  <c r="AL382" i="131"/>
  <c r="AF382" i="131"/>
  <c r="AN383" i="131"/>
  <c r="AS383" i="131" s="1"/>
  <c r="M383" i="131"/>
  <c r="L383" i="131" s="1"/>
  <c r="Q383" i="131"/>
  <c r="V383" i="131" s="1"/>
  <c r="C390" i="131"/>
  <c r="A389" i="131"/>
  <c r="B390" i="131"/>
  <c r="AP383" i="131"/>
  <c r="Z383" i="131" l="1"/>
  <c r="AM383" i="131"/>
  <c r="AJ382" i="131"/>
  <c r="AK382" i="131" s="1"/>
  <c r="Y383" i="131"/>
  <c r="AA383" i="131"/>
  <c r="AI383" i="131" s="1"/>
  <c r="P383" i="131"/>
  <c r="E390" i="131"/>
  <c r="J390" i="131" s="1"/>
  <c r="X389" i="131"/>
  <c r="AC383" i="131" l="1"/>
  <c r="AH383" i="131" s="1"/>
  <c r="T383" i="131"/>
  <c r="W383" i="131"/>
  <c r="U383" i="131"/>
  <c r="D390" i="131"/>
  <c r="I390" i="131" s="1"/>
  <c r="AB383" i="131" l="1"/>
  <c r="AL383" i="131" s="1"/>
  <c r="AF383" i="131"/>
  <c r="AG383" i="131"/>
  <c r="N384" i="131"/>
  <c r="AT383" i="131"/>
  <c r="AU383" i="131"/>
  <c r="AV383" i="131"/>
  <c r="O384" i="131"/>
  <c r="AO383" i="131"/>
  <c r="K390" i="131"/>
  <c r="C391" i="131" s="1"/>
  <c r="H390" i="131"/>
  <c r="Y384" i="131"/>
  <c r="AA384" i="131"/>
  <c r="AJ383" i="131"/>
  <c r="AK383" i="131" s="1"/>
  <c r="AN384" i="131" l="1"/>
  <c r="AS384" i="131" s="1"/>
  <c r="M384" i="131"/>
  <c r="L384" i="131" s="1"/>
  <c r="Q384" i="131"/>
  <c r="V384" i="131" s="1"/>
  <c r="B391" i="131"/>
  <c r="E391" i="131" s="1"/>
  <c r="J391" i="131" s="1"/>
  <c r="A390" i="131"/>
  <c r="X390" i="131" s="1"/>
  <c r="AI384" i="131"/>
  <c r="AP384" i="131"/>
  <c r="P384" i="131" l="1"/>
  <c r="AM384" i="131"/>
  <c r="Z384" i="131"/>
  <c r="AC384" i="131" s="1"/>
  <c r="AH384" i="131" s="1"/>
  <c r="D391" i="131"/>
  <c r="K391" i="131" s="1"/>
  <c r="AB384" i="131" l="1"/>
  <c r="AL384" i="131" s="1"/>
  <c r="T384" i="131"/>
  <c r="W384" i="131"/>
  <c r="AJ384" i="131" s="1"/>
  <c r="AK384" i="131" s="1"/>
  <c r="U384" i="131"/>
  <c r="I391" i="131"/>
  <c r="AF384" i="131"/>
  <c r="AG384" i="131"/>
  <c r="H391" i="131"/>
  <c r="C392" i="131"/>
  <c r="A391" i="131"/>
  <c r="B392" i="131"/>
  <c r="Y385" i="131"/>
  <c r="AA385" i="131"/>
  <c r="N385" i="131" l="1"/>
  <c r="AT384" i="131"/>
  <c r="O385" i="131"/>
  <c r="AU384" i="131"/>
  <c r="AV384" i="131" s="1"/>
  <c r="AO384" i="131"/>
  <c r="X391" i="131"/>
  <c r="AI385" i="131"/>
  <c r="AP385" i="131"/>
  <c r="E392" i="131"/>
  <c r="J392" i="131" s="1"/>
  <c r="AN385" i="131" l="1"/>
  <c r="AS385" i="131" s="1"/>
  <c r="M385" i="131"/>
  <c r="L385" i="131" s="1"/>
  <c r="Q385" i="131"/>
  <c r="V385" i="131" s="1"/>
  <c r="D392" i="131"/>
  <c r="AM385" i="131" l="1"/>
  <c r="Z385" i="131"/>
  <c r="AC385" i="131" s="1"/>
  <c r="P385" i="131"/>
  <c r="I392" i="131"/>
  <c r="H392" i="131"/>
  <c r="K392" i="131"/>
  <c r="U385" i="131" l="1"/>
  <c r="T385" i="131"/>
  <c r="W385" i="131"/>
  <c r="AH385" i="131"/>
  <c r="AB385" i="131"/>
  <c r="C393" i="131"/>
  <c r="A392" i="131"/>
  <c r="B393" i="131"/>
  <c r="AL385" i="131" l="1"/>
  <c r="AJ385" i="131" s="1"/>
  <c r="AK385" i="131" s="1"/>
  <c r="AG385" i="131"/>
  <c r="AF385" i="131"/>
  <c r="N386" i="131"/>
  <c r="O386" i="131"/>
  <c r="AP386" i="131" s="1"/>
  <c r="AT385" i="131"/>
  <c r="AO385" i="131"/>
  <c r="AU385" i="131"/>
  <c r="AV385" i="131" s="1"/>
  <c r="E393" i="131"/>
  <c r="J393" i="131" s="1"/>
  <c r="X392" i="131"/>
  <c r="AN386" i="131" l="1"/>
  <c r="AS386" i="131" s="1"/>
  <c r="Q386" i="131"/>
  <c r="V386" i="131" s="1"/>
  <c r="M386" i="131"/>
  <c r="L386" i="131" s="1"/>
  <c r="AA386" i="131"/>
  <c r="AI386" i="131" s="1"/>
  <c r="Y386" i="131"/>
  <c r="D393" i="131"/>
  <c r="K393" i="131" s="1"/>
  <c r="C394" i="131" s="1"/>
  <c r="AM386" i="131" l="1"/>
  <c r="Z386" i="131"/>
  <c r="AC386" i="131" s="1"/>
  <c r="P386" i="131"/>
  <c r="B394" i="131"/>
  <c r="E394" i="131" s="1"/>
  <c r="J394" i="131" s="1"/>
  <c r="H393" i="131"/>
  <c r="I393" i="131"/>
  <c r="A393" i="131"/>
  <c r="X393" i="131" s="1"/>
  <c r="AH386" i="131" l="1"/>
  <c r="AB386" i="131"/>
  <c r="T386" i="131"/>
  <c r="U386" i="131"/>
  <c r="W386" i="131"/>
  <c r="D394" i="131"/>
  <c r="K394" i="131" s="1"/>
  <c r="B395" i="131" s="1"/>
  <c r="AT386" i="131" l="1"/>
  <c r="O387" i="131"/>
  <c r="AP387" i="131" s="1"/>
  <c r="N387" i="131"/>
  <c r="AO386" i="131"/>
  <c r="AU386" i="131"/>
  <c r="AV386" i="131" s="1"/>
  <c r="AG386" i="131"/>
  <c r="AF386" i="131"/>
  <c r="AL386" i="131"/>
  <c r="A394" i="131"/>
  <c r="X394" i="131" s="1"/>
  <c r="C395" i="131"/>
  <c r="I394" i="131"/>
  <c r="H394" i="131"/>
  <c r="E395" i="131"/>
  <c r="J395" i="131" s="1"/>
  <c r="AA387" i="131" l="1"/>
  <c r="AI387" i="131" s="1"/>
  <c r="AJ386" i="131"/>
  <c r="AK386" i="131" s="1"/>
  <c r="Y387" i="131"/>
  <c r="Q387" i="131"/>
  <c r="V387" i="131" s="1"/>
  <c r="M387" i="131"/>
  <c r="L387" i="131" s="1"/>
  <c r="AN387" i="131"/>
  <c r="AS387" i="131" s="1"/>
  <c r="D395" i="131"/>
  <c r="K395" i="131" s="1"/>
  <c r="C396" i="131" s="1"/>
  <c r="P387" i="131" l="1"/>
  <c r="AM387" i="131"/>
  <c r="Z387" i="131"/>
  <c r="AC387" i="131" s="1"/>
  <c r="H395" i="131"/>
  <c r="I395" i="131"/>
  <c r="B396" i="131"/>
  <c r="E396" i="131" s="1"/>
  <c r="J396" i="131" s="1"/>
  <c r="A395" i="131"/>
  <c r="X395" i="131" s="1"/>
  <c r="AH387" i="131" l="1"/>
  <c r="AB387" i="131"/>
  <c r="U387" i="131"/>
  <c r="T387" i="131"/>
  <c r="W387" i="131"/>
  <c r="D396" i="131"/>
  <c r="AL387" i="131" l="1"/>
  <c r="AJ387" i="131" s="1"/>
  <c r="AK387" i="131" s="1"/>
  <c r="AF387" i="131"/>
  <c r="AG387" i="131"/>
  <c r="AO387" i="131"/>
  <c r="O388" i="131"/>
  <c r="AT387" i="131"/>
  <c r="N388" i="131"/>
  <c r="AV387" i="131"/>
  <c r="AU387" i="131"/>
  <c r="I396" i="131"/>
  <c r="H396" i="131"/>
  <c r="K396" i="131"/>
  <c r="AP388" i="131" l="1"/>
  <c r="AN388" i="131"/>
  <c r="AS388" i="131" s="1"/>
  <c r="Q388" i="131"/>
  <c r="V388" i="131" s="1"/>
  <c r="M388" i="131"/>
  <c r="L388" i="131" s="1"/>
  <c r="Y388" i="131"/>
  <c r="AA388" i="131"/>
  <c r="C397" i="131"/>
  <c r="A396" i="131"/>
  <c r="B397" i="131"/>
  <c r="P388" i="131" l="1"/>
  <c r="AM388" i="131"/>
  <c r="Z388" i="131"/>
  <c r="AC388" i="131" s="1"/>
  <c r="AI388" i="131"/>
  <c r="X396" i="131"/>
  <c r="E397" i="131"/>
  <c r="J397" i="131" s="1"/>
  <c r="AH388" i="131" l="1"/>
  <c r="AB388" i="131"/>
  <c r="U388" i="131"/>
  <c r="T388" i="131"/>
  <c r="W388" i="131"/>
  <c r="D397" i="131"/>
  <c r="AG388" i="131" l="1"/>
  <c r="AF388" i="131"/>
  <c r="AL388" i="131"/>
  <c r="AJ388" i="131" s="1"/>
  <c r="AK388" i="131" s="1"/>
  <c r="N389" i="131"/>
  <c r="AV388" i="131"/>
  <c r="AU388" i="131"/>
  <c r="O389" i="131"/>
  <c r="AO388" i="131"/>
  <c r="AT388" i="131"/>
  <c r="I397" i="131"/>
  <c r="H397" i="131"/>
  <c r="K397" i="131"/>
  <c r="M389" i="131" l="1"/>
  <c r="L389" i="131" s="1"/>
  <c r="Q389" i="131"/>
  <c r="V389" i="131" s="1"/>
  <c r="AN389" i="131"/>
  <c r="AS389" i="131" s="1"/>
  <c r="AP389" i="131"/>
  <c r="AA389" i="131"/>
  <c r="Y389" i="131"/>
  <c r="C398" i="131"/>
  <c r="A397" i="131"/>
  <c r="B398" i="131"/>
  <c r="AI389" i="131" l="1"/>
  <c r="P389" i="131"/>
  <c r="Z389" i="131"/>
  <c r="AC389" i="131" s="1"/>
  <c r="AM389" i="131"/>
  <c r="E398" i="131"/>
  <c r="J398" i="131" s="1"/>
  <c r="X397" i="131"/>
  <c r="AH389" i="131" l="1"/>
  <c r="AB389" i="131"/>
  <c r="U389" i="131"/>
  <c r="T389" i="131"/>
  <c r="W389" i="131"/>
  <c r="D398" i="131"/>
  <c r="AU389" i="131" l="1"/>
  <c r="AO389" i="131"/>
  <c r="AV389" i="131"/>
  <c r="N390" i="131"/>
  <c r="AT389" i="131"/>
  <c r="O390" i="131"/>
  <c r="AG389" i="131"/>
  <c r="AF389" i="131"/>
  <c r="AL389" i="131"/>
  <c r="H398" i="131"/>
  <c r="I398" i="131"/>
  <c r="K398" i="131"/>
  <c r="AA390" i="131" l="1"/>
  <c r="Y390" i="131"/>
  <c r="AN390" i="131"/>
  <c r="AS390" i="131" s="1"/>
  <c r="AP390" i="131"/>
  <c r="M390" i="131"/>
  <c r="L390" i="131" s="1"/>
  <c r="Q390" i="131"/>
  <c r="V390" i="131" s="1"/>
  <c r="AJ389" i="131"/>
  <c r="AK389" i="131" s="1"/>
  <c r="B399" i="131"/>
  <c r="C399" i="131"/>
  <c r="A398" i="131"/>
  <c r="P390" i="131" l="1"/>
  <c r="AI390" i="131"/>
  <c r="AM390" i="131"/>
  <c r="Z390" i="131"/>
  <c r="AC390" i="131" s="1"/>
  <c r="AH390" i="131" s="1"/>
  <c r="X398" i="131"/>
  <c r="E399" i="131"/>
  <c r="J399" i="131" s="1"/>
  <c r="AB390" i="131" l="1"/>
  <c r="U390" i="131"/>
  <c r="T390" i="131"/>
  <c r="W390" i="131"/>
  <c r="D399" i="131"/>
  <c r="O391" i="131" l="1"/>
  <c r="AO390" i="131"/>
  <c r="N391" i="131"/>
  <c r="AV390" i="131"/>
  <c r="AU390" i="131"/>
  <c r="AT390" i="131"/>
  <c r="AF390" i="131"/>
  <c r="AG390" i="131"/>
  <c r="AL390" i="131"/>
  <c r="I399" i="131"/>
  <c r="H399" i="131"/>
  <c r="K399" i="131"/>
  <c r="Y391" i="131" l="1"/>
  <c r="AA391" i="131"/>
  <c r="AJ390" i="131"/>
  <c r="AK390" i="131" s="1"/>
  <c r="M391" i="131"/>
  <c r="L391" i="131" s="1"/>
  <c r="Q391" i="131"/>
  <c r="V391" i="131" s="1"/>
  <c r="AP391" i="131"/>
  <c r="AN391" i="131"/>
  <c r="AS391" i="131" s="1"/>
  <c r="C400" i="131"/>
  <c r="A399" i="131"/>
  <c r="B400" i="131"/>
  <c r="P391" i="131" l="1"/>
  <c r="Z391" i="131"/>
  <c r="AC391" i="131" s="1"/>
  <c r="AH391" i="131" s="1"/>
  <c r="AM391" i="131"/>
  <c r="AI391" i="131"/>
  <c r="E400" i="131"/>
  <c r="J400" i="131" s="1"/>
  <c r="X399" i="131"/>
  <c r="AB391" i="131" l="1"/>
  <c r="U391" i="131"/>
  <c r="T391" i="131"/>
  <c r="W391" i="131"/>
  <c r="D400" i="131"/>
  <c r="AT391" i="131" l="1"/>
  <c r="N392" i="131"/>
  <c r="AO391" i="131"/>
  <c r="AV391" i="131"/>
  <c r="AU391" i="131"/>
  <c r="O392" i="131"/>
  <c r="AL391" i="131"/>
  <c r="Y392" i="131" s="1"/>
  <c r="AF391" i="131"/>
  <c r="AG391" i="131"/>
  <c r="I400" i="131"/>
  <c r="H400" i="131"/>
  <c r="K400" i="131"/>
  <c r="AJ391" i="131" l="1"/>
  <c r="AK391" i="131" s="1"/>
  <c r="AP392" i="131"/>
  <c r="AN392" i="131"/>
  <c r="AS392" i="131" s="1"/>
  <c r="Q392" i="131"/>
  <c r="V392" i="131" s="1"/>
  <c r="M392" i="131"/>
  <c r="L392" i="131" s="1"/>
  <c r="C401" i="131"/>
  <c r="A400" i="131"/>
  <c r="B401" i="131"/>
  <c r="Z392" i="131" l="1"/>
  <c r="AM392" i="131"/>
  <c r="P392" i="131"/>
  <c r="E401" i="131"/>
  <c r="J401" i="131" s="1"/>
  <c r="X400" i="131"/>
  <c r="U392" i="131" l="1"/>
  <c r="T392" i="131"/>
  <c r="W392" i="131"/>
  <c r="AA392" i="131"/>
  <c r="AC392" i="131"/>
  <c r="AH392" i="131" s="1"/>
  <c r="D401" i="131"/>
  <c r="AB392" i="131" l="1"/>
  <c r="AI392" i="131"/>
  <c r="AV392" i="131"/>
  <c r="N393" i="131"/>
  <c r="AU392" i="131"/>
  <c r="O393" i="131"/>
  <c r="AT392" i="131"/>
  <c r="AO392" i="131"/>
  <c r="I401" i="131"/>
  <c r="H401" i="131"/>
  <c r="K401" i="131"/>
  <c r="AN393" i="131" l="1"/>
  <c r="AS393" i="131" s="1"/>
  <c r="AP393" i="131"/>
  <c r="M393" i="131"/>
  <c r="L393" i="131" s="1"/>
  <c r="Q393" i="131"/>
  <c r="V393" i="131" s="1"/>
  <c r="AG392" i="131"/>
  <c r="AF392" i="131"/>
  <c r="AL392" i="131"/>
  <c r="C402" i="131"/>
  <c r="A401" i="131"/>
  <c r="B402" i="131"/>
  <c r="Y393" i="131" l="1"/>
  <c r="AA393" i="131"/>
  <c r="AJ392" i="131"/>
  <c r="AK392" i="131" s="1"/>
  <c r="P393" i="131"/>
  <c r="AM393" i="131"/>
  <c r="Z393" i="131"/>
  <c r="E402" i="131"/>
  <c r="J402" i="131" s="1"/>
  <c r="X401" i="131"/>
  <c r="U393" i="131" l="1"/>
  <c r="T393" i="131"/>
  <c r="W393" i="131"/>
  <c r="AI393" i="131"/>
  <c r="AC393" i="131"/>
  <c r="AH393" i="131" s="1"/>
  <c r="D402" i="131"/>
  <c r="AB393" i="131" l="1"/>
  <c r="AV393" i="131"/>
  <c r="AU393" i="131"/>
  <c r="N394" i="131"/>
  <c r="AT393" i="131"/>
  <c r="AO393" i="131"/>
  <c r="O394" i="131"/>
  <c r="H402" i="131"/>
  <c r="I402" i="131"/>
  <c r="K402" i="131"/>
  <c r="AN394" i="131" l="1"/>
  <c r="AS394" i="131" s="1"/>
  <c r="AP394" i="131"/>
  <c r="M394" i="131"/>
  <c r="L394" i="131" s="1"/>
  <c r="Q394" i="131"/>
  <c r="V394" i="131" s="1"/>
  <c r="AG393" i="131"/>
  <c r="AF393" i="131"/>
  <c r="AL393" i="131"/>
  <c r="B403" i="131"/>
  <c r="C403" i="131"/>
  <c r="A402" i="131"/>
  <c r="Y394" i="131" l="1"/>
  <c r="AA394" i="131"/>
  <c r="AJ393" i="131"/>
  <c r="AK393" i="131" s="1"/>
  <c r="AM394" i="131"/>
  <c r="Z394" i="131"/>
  <c r="P394" i="131"/>
  <c r="X402" i="131"/>
  <c r="E403" i="131"/>
  <c r="J403" i="131" s="1"/>
  <c r="U394" i="131" l="1"/>
  <c r="T394" i="131"/>
  <c r="W394" i="131"/>
  <c r="AI394" i="131"/>
  <c r="AC394" i="131"/>
  <c r="AH394" i="131" s="1"/>
  <c r="D403" i="131"/>
  <c r="AB394" i="131" l="1"/>
  <c r="AV394" i="131"/>
  <c r="N395" i="131"/>
  <c r="AT394" i="131"/>
  <c r="AO394" i="131"/>
  <c r="AU394" i="131"/>
  <c r="O395" i="131"/>
  <c r="I403" i="131"/>
  <c r="H403" i="131"/>
  <c r="K403" i="131"/>
  <c r="M395" i="131" l="1"/>
  <c r="L395" i="131" s="1"/>
  <c r="Q395" i="131"/>
  <c r="V395" i="131" s="1"/>
  <c r="AN395" i="131"/>
  <c r="AS395" i="131" s="1"/>
  <c r="AP395" i="131"/>
  <c r="AF394" i="131"/>
  <c r="AG394" i="131"/>
  <c r="AL394" i="131"/>
  <c r="C404" i="131"/>
  <c r="A403" i="131"/>
  <c r="B404" i="131"/>
  <c r="P395" i="131" l="1"/>
  <c r="U395" i="131" s="1"/>
  <c r="Y395" i="131"/>
  <c r="AJ394" i="131"/>
  <c r="AK394" i="131" s="1"/>
  <c r="AM395" i="131"/>
  <c r="Z395" i="131"/>
  <c r="AA395" i="131" s="1"/>
  <c r="E404" i="131"/>
  <c r="J404" i="131" s="1"/>
  <c r="X403" i="131"/>
  <c r="W395" i="131" l="1"/>
  <c r="AU395" i="131" s="1"/>
  <c r="T395" i="131"/>
  <c r="AO395" i="131"/>
  <c r="N396" i="131"/>
  <c r="AC395" i="131"/>
  <c r="AH395" i="131" s="1"/>
  <c r="AI395" i="131"/>
  <c r="D404" i="131"/>
  <c r="AT395" i="131" l="1"/>
  <c r="O396" i="131"/>
  <c r="AN396" i="131" s="1"/>
  <c r="AS396" i="131" s="1"/>
  <c r="AV395" i="131"/>
  <c r="AB395" i="131"/>
  <c r="M396" i="131"/>
  <c r="L396" i="131" s="1"/>
  <c r="Q396" i="131"/>
  <c r="V396" i="131" s="1"/>
  <c r="I404" i="131"/>
  <c r="H404" i="131"/>
  <c r="K404" i="131"/>
  <c r="AP396" i="131" l="1"/>
  <c r="P396" i="131"/>
  <c r="Z396" i="131"/>
  <c r="AM396" i="131"/>
  <c r="AF395" i="131"/>
  <c r="AG395" i="131"/>
  <c r="AL395" i="131"/>
  <c r="C405" i="131"/>
  <c r="A404" i="131"/>
  <c r="B405" i="131"/>
  <c r="Y396" i="131" l="1"/>
  <c r="AA396" i="131"/>
  <c r="AJ395" i="131"/>
  <c r="AK395" i="131" s="1"/>
  <c r="U396" i="131"/>
  <c r="T396" i="131"/>
  <c r="W396" i="131"/>
  <c r="E405" i="131"/>
  <c r="J405" i="131" s="1"/>
  <c r="X404" i="131"/>
  <c r="AO396" i="131" l="1"/>
  <c r="N397" i="131"/>
  <c r="AU396" i="131"/>
  <c r="O397" i="131"/>
  <c r="AV396" i="131"/>
  <c r="AT396" i="131"/>
  <c r="AI396" i="131"/>
  <c r="AC396" i="131"/>
  <c r="AH396" i="131" s="1"/>
  <c r="D405" i="131"/>
  <c r="AP397" i="131" l="1"/>
  <c r="AN397" i="131"/>
  <c r="AS397" i="131" s="1"/>
  <c r="AB396" i="131"/>
  <c r="Q397" i="131"/>
  <c r="V397" i="131" s="1"/>
  <c r="M397" i="131"/>
  <c r="L397" i="131" s="1"/>
  <c r="I405" i="131"/>
  <c r="H405" i="131"/>
  <c r="K405" i="131"/>
  <c r="AM397" i="131" l="1"/>
  <c r="Z397" i="131"/>
  <c r="AG396" i="131"/>
  <c r="AF396" i="131"/>
  <c r="AL396" i="131"/>
  <c r="P397" i="131"/>
  <c r="B406" i="131"/>
  <c r="A405" i="131"/>
  <c r="C406" i="131"/>
  <c r="W397" i="131" l="1"/>
  <c r="U397" i="131"/>
  <c r="T397" i="131"/>
  <c r="AJ396" i="131"/>
  <c r="AK396" i="131" s="1"/>
  <c r="AA397" i="131"/>
  <c r="Y397" i="131"/>
  <c r="AC397" i="131" s="1"/>
  <c r="AH397" i="131" s="1"/>
  <c r="X405" i="131"/>
  <c r="E406" i="131"/>
  <c r="J406" i="131" s="1"/>
  <c r="AI397" i="131" l="1"/>
  <c r="AB397" i="131"/>
  <c r="N398" i="131"/>
  <c r="AU397" i="131"/>
  <c r="AT397" i="131"/>
  <c r="AV397" i="131"/>
  <c r="O398" i="131"/>
  <c r="AO397" i="131"/>
  <c r="D406" i="131"/>
  <c r="K406" i="131" s="1"/>
  <c r="B407" i="131" s="1"/>
  <c r="AN398" i="131" l="1"/>
  <c r="AS398" i="131" s="1"/>
  <c r="AP398" i="131"/>
  <c r="M398" i="131"/>
  <c r="L398" i="131" s="1"/>
  <c r="Q398" i="131"/>
  <c r="V398" i="131" s="1"/>
  <c r="AL397" i="131"/>
  <c r="AF397" i="131"/>
  <c r="AG397" i="131"/>
  <c r="C407" i="131"/>
  <c r="A406" i="131"/>
  <c r="X406" i="131" s="1"/>
  <c r="I406" i="131"/>
  <c r="H406" i="131"/>
  <c r="E407" i="131"/>
  <c r="J407" i="131" s="1"/>
  <c r="Y398" i="131" l="1"/>
  <c r="AA398" i="131"/>
  <c r="AJ397" i="131"/>
  <c r="AK397" i="131" s="1"/>
  <c r="Z398" i="131"/>
  <c r="AM398" i="131"/>
  <c r="P398" i="131"/>
  <c r="D407" i="131"/>
  <c r="H407" i="131" s="1"/>
  <c r="T398" i="131" l="1"/>
  <c r="U398" i="131"/>
  <c r="W398" i="131"/>
  <c r="AI398" i="131"/>
  <c r="AC398" i="131"/>
  <c r="AH398" i="131" s="1"/>
  <c r="K407" i="131"/>
  <c r="A407" i="131" s="1"/>
  <c r="I407" i="131"/>
  <c r="AB398" i="131" l="1"/>
  <c r="O399" i="131"/>
  <c r="AO398" i="131"/>
  <c r="AT398" i="131"/>
  <c r="AV398" i="131"/>
  <c r="AU398" i="131"/>
  <c r="N399" i="131"/>
  <c r="B408" i="131"/>
  <c r="E408" i="131" s="1"/>
  <c r="J408" i="131" s="1"/>
  <c r="C408" i="131"/>
  <c r="X407" i="131"/>
  <c r="Q399" i="131" l="1"/>
  <c r="V399" i="131" s="1"/>
  <c r="M399" i="131"/>
  <c r="L399" i="131" s="1"/>
  <c r="AN399" i="131"/>
  <c r="AS399" i="131" s="1"/>
  <c r="AP399" i="131"/>
  <c r="AG398" i="131"/>
  <c r="AF398" i="131"/>
  <c r="AL398" i="131"/>
  <c r="D408" i="131"/>
  <c r="H408" i="131" s="1"/>
  <c r="P399" i="131" l="1"/>
  <c r="U399" i="131" s="1"/>
  <c r="W399" i="131"/>
  <c r="AM399" i="131"/>
  <c r="Z399" i="131"/>
  <c r="Y399" i="131"/>
  <c r="AA399" i="131"/>
  <c r="AJ398" i="131"/>
  <c r="AK398" i="131" s="1"/>
  <c r="I408" i="131"/>
  <c r="K408" i="131"/>
  <c r="C409" i="131" s="1"/>
  <c r="T399" i="131" l="1"/>
  <c r="AI399" i="131"/>
  <c r="AC399" i="131"/>
  <c r="AH399" i="131" s="1"/>
  <c r="AV399" i="131"/>
  <c r="O400" i="131"/>
  <c r="AU399" i="131"/>
  <c r="N400" i="131"/>
  <c r="AT399" i="131"/>
  <c r="AO399" i="131"/>
  <c r="A408" i="131"/>
  <c r="X408" i="131" s="1"/>
  <c r="B409" i="131"/>
  <c r="E409" i="131" s="1"/>
  <c r="J409" i="131" s="1"/>
  <c r="M400" i="131" l="1"/>
  <c r="L400" i="131" s="1"/>
  <c r="Q400" i="131"/>
  <c r="V400" i="131" s="1"/>
  <c r="AP400" i="131"/>
  <c r="AN400" i="131"/>
  <c r="AS400" i="131" s="1"/>
  <c r="AB399" i="131"/>
  <c r="D409" i="131"/>
  <c r="P400" i="131" l="1"/>
  <c r="U400" i="131" s="1"/>
  <c r="T400" i="131"/>
  <c r="AG399" i="131"/>
  <c r="AF399" i="131"/>
  <c r="AL399" i="131"/>
  <c r="Z400" i="131"/>
  <c r="AM400" i="131"/>
  <c r="I409" i="131"/>
  <c r="H409" i="131"/>
  <c r="K409" i="131"/>
  <c r="W400" i="131" l="1"/>
  <c r="N401" i="131"/>
  <c r="AV400" i="131"/>
  <c r="AO400" i="131"/>
  <c r="AT400" i="131"/>
  <c r="AU400" i="131"/>
  <c r="O401" i="131"/>
  <c r="AJ399" i="131"/>
  <c r="AK399" i="131" s="1"/>
  <c r="AA400" i="131"/>
  <c r="Y400" i="131"/>
  <c r="C410" i="131"/>
  <c r="B410" i="131"/>
  <c r="A409" i="131"/>
  <c r="AC400" i="131" l="1"/>
  <c r="AH400" i="131" s="1"/>
  <c r="AI400" i="131"/>
  <c r="AP401" i="131"/>
  <c r="AN401" i="131"/>
  <c r="AS401" i="131" s="1"/>
  <c r="Q401" i="131"/>
  <c r="V401" i="131" s="1"/>
  <c r="M401" i="131"/>
  <c r="L401" i="131" s="1"/>
  <c r="E410" i="131"/>
  <c r="J410" i="131" s="1"/>
  <c r="X409" i="131"/>
  <c r="AB400" i="131" l="1"/>
  <c r="AL400" i="131" s="1"/>
  <c r="AJ400" i="131" s="1"/>
  <c r="AK400" i="131" s="1"/>
  <c r="AM401" i="131"/>
  <c r="Z401" i="131"/>
  <c r="P401" i="131"/>
  <c r="D410" i="131"/>
  <c r="Y401" i="131" l="1"/>
  <c r="AG400" i="131"/>
  <c r="AF400" i="131"/>
  <c r="AA401" i="131"/>
  <c r="AI401" i="131" s="1"/>
  <c r="W401" i="131"/>
  <c r="T401" i="131"/>
  <c r="U401" i="131"/>
  <c r="AC401" i="131"/>
  <c r="AH401" i="131" s="1"/>
  <c r="H410" i="131"/>
  <c r="I410" i="131"/>
  <c r="K410" i="131"/>
  <c r="AT401" i="131" l="1"/>
  <c r="AO401" i="131"/>
  <c r="N402" i="131"/>
  <c r="O402" i="131"/>
  <c r="AU401" i="131"/>
  <c r="AV401" i="131"/>
  <c r="AB401" i="131"/>
  <c r="B411" i="131"/>
  <c r="C411" i="131"/>
  <c r="A410" i="131"/>
  <c r="AG401" i="131" l="1"/>
  <c r="AF401" i="131"/>
  <c r="AL401" i="131"/>
  <c r="AP402" i="131"/>
  <c r="AN402" i="131"/>
  <c r="AS402" i="131" s="1"/>
  <c r="M402" i="131"/>
  <c r="L402" i="131" s="1"/>
  <c r="Q402" i="131"/>
  <c r="V402" i="131" s="1"/>
  <c r="E411" i="131"/>
  <c r="J411" i="131" s="1"/>
  <c r="X410" i="131"/>
  <c r="AM402" i="131" l="1"/>
  <c r="Z402" i="131"/>
  <c r="P402" i="131"/>
  <c r="AA402" i="131"/>
  <c r="Y402" i="131"/>
  <c r="AJ401" i="131"/>
  <c r="AK401" i="131" s="1"/>
  <c r="D411" i="131"/>
  <c r="K411" i="131" s="1"/>
  <c r="C412" i="131" s="1"/>
  <c r="AC402" i="131" l="1"/>
  <c r="AH402" i="131" s="1"/>
  <c r="AI402" i="131"/>
  <c r="W402" i="131"/>
  <c r="U402" i="131"/>
  <c r="T402" i="131"/>
  <c r="B412" i="131"/>
  <c r="E412" i="131" s="1"/>
  <c r="J412" i="131" s="1"/>
  <c r="A411" i="131"/>
  <c r="X411" i="131" s="1"/>
  <c r="H411" i="131"/>
  <c r="I411" i="131"/>
  <c r="AB402" i="131" l="1"/>
  <c r="AL402" i="131" s="1"/>
  <c r="N403" i="131"/>
  <c r="AU402" i="131"/>
  <c r="AV402" i="131"/>
  <c r="O403" i="131"/>
  <c r="AT402" i="131"/>
  <c r="AO402" i="131"/>
  <c r="D412" i="131"/>
  <c r="AG402" i="131" l="1"/>
  <c r="AF402" i="131"/>
  <c r="AA403" i="131"/>
  <c r="AI403" i="131" s="1"/>
  <c r="Y403" i="131"/>
  <c r="AJ402" i="131"/>
  <c r="AK402" i="131" s="1"/>
  <c r="AN403" i="131"/>
  <c r="AS403" i="131" s="1"/>
  <c r="AP403" i="131"/>
  <c r="M403" i="131"/>
  <c r="L403" i="131" s="1"/>
  <c r="Q403" i="131"/>
  <c r="V403" i="131" s="1"/>
  <c r="I412" i="131"/>
  <c r="H412" i="131"/>
  <c r="K412" i="131"/>
  <c r="P403" i="131" l="1"/>
  <c r="AM403" i="131"/>
  <c r="Z403" i="131"/>
  <c r="AC403" i="131" s="1"/>
  <c r="C413" i="131"/>
  <c r="A412" i="131"/>
  <c r="B413" i="131"/>
  <c r="AH403" i="131" l="1"/>
  <c r="AB403" i="131"/>
  <c r="U403" i="131"/>
  <c r="T403" i="131"/>
  <c r="W403" i="131"/>
  <c r="X412" i="131"/>
  <c r="E413" i="131"/>
  <c r="J413" i="131" s="1"/>
  <c r="N404" i="131" l="1"/>
  <c r="O404" i="131"/>
  <c r="AT403" i="131"/>
  <c r="AV403" i="131"/>
  <c r="AU403" i="131"/>
  <c r="AO403" i="131"/>
  <c r="AG403" i="131"/>
  <c r="AF403" i="131"/>
  <c r="AL403" i="131"/>
  <c r="D413" i="131"/>
  <c r="Y404" i="131" l="1"/>
  <c r="AA404" i="131"/>
  <c r="AI404" i="131" s="1"/>
  <c r="AJ403" i="131"/>
  <c r="AK403" i="131" s="1"/>
  <c r="AN404" i="131"/>
  <c r="AS404" i="131" s="1"/>
  <c r="AP404" i="131"/>
  <c r="Q404" i="131"/>
  <c r="V404" i="131" s="1"/>
  <c r="M404" i="131"/>
  <c r="L404" i="131" s="1"/>
  <c r="I413" i="131"/>
  <c r="H413" i="131"/>
  <c r="K413" i="131"/>
  <c r="AM404" i="131" l="1"/>
  <c r="Z404" i="131"/>
  <c r="P404" i="131"/>
  <c r="AC404" i="131"/>
  <c r="AH404" i="131" s="1"/>
  <c r="B414" i="131"/>
  <c r="C414" i="131"/>
  <c r="A413" i="131"/>
  <c r="AB404" i="131" l="1"/>
  <c r="T404" i="131"/>
  <c r="U404" i="131"/>
  <c r="W404" i="131"/>
  <c r="X413" i="131"/>
  <c r="E414" i="131"/>
  <c r="J414" i="131" s="1"/>
  <c r="AV404" i="131" l="1"/>
  <c r="AU404" i="131"/>
  <c r="AO404" i="131"/>
  <c r="AT404" i="131"/>
  <c r="O405" i="131"/>
  <c r="N405" i="131"/>
  <c r="AG404" i="131"/>
  <c r="AF404" i="131"/>
  <c r="AL404" i="131"/>
  <c r="AJ404" i="131" s="1"/>
  <c r="AK404" i="131" s="1"/>
  <c r="D414" i="131"/>
  <c r="Y405" i="131" l="1"/>
  <c r="AA405" i="131"/>
  <c r="AI405" i="131" s="1"/>
  <c r="Q405" i="131"/>
  <c r="V405" i="131" s="1"/>
  <c r="M405" i="131"/>
  <c r="L405" i="131" s="1"/>
  <c r="AN405" i="131"/>
  <c r="AS405" i="131" s="1"/>
  <c r="AP405" i="131"/>
  <c r="H414" i="131"/>
  <c r="I414" i="131"/>
  <c r="K414" i="131"/>
  <c r="P405" i="131" l="1"/>
  <c r="U405" i="131" s="1"/>
  <c r="W405" i="131"/>
  <c r="AM405" i="131"/>
  <c r="Z405" i="131"/>
  <c r="AC405" i="131" s="1"/>
  <c r="AH405" i="131" s="1"/>
  <c r="C415" i="131"/>
  <c r="B415" i="131"/>
  <c r="A414" i="131"/>
  <c r="T405" i="131" l="1"/>
  <c r="AB405" i="131"/>
  <c r="O406" i="131"/>
  <c r="AT405" i="131"/>
  <c r="N406" i="131"/>
  <c r="AV405" i="131"/>
  <c r="AU405" i="131"/>
  <c r="AO405" i="131"/>
  <c r="X414" i="131"/>
  <c r="E415" i="131"/>
  <c r="J415" i="131" s="1"/>
  <c r="Q406" i="131" l="1"/>
  <c r="V406" i="131" s="1"/>
  <c r="M406" i="131"/>
  <c r="L406" i="131" s="1"/>
  <c r="AN406" i="131"/>
  <c r="AS406" i="131" s="1"/>
  <c r="AP406" i="131"/>
  <c r="AF405" i="131"/>
  <c r="AG405" i="131"/>
  <c r="AL405" i="131"/>
  <c r="D415" i="131"/>
  <c r="K415" i="131" s="1"/>
  <c r="C416" i="131" s="1"/>
  <c r="P406" i="131" l="1"/>
  <c r="U406" i="131" s="1"/>
  <c r="T406" i="131"/>
  <c r="Y406" i="131"/>
  <c r="AA406" i="131"/>
  <c r="AJ405" i="131"/>
  <c r="AK405" i="131" s="1"/>
  <c r="AM406" i="131"/>
  <c r="Z406" i="131"/>
  <c r="H415" i="131"/>
  <c r="I415" i="131"/>
  <c r="B416" i="131"/>
  <c r="E416" i="131" s="1"/>
  <c r="J416" i="131" s="1"/>
  <c r="A415" i="131"/>
  <c r="X415" i="131" s="1"/>
  <c r="W406" i="131" l="1"/>
  <c r="AT406" i="131" s="1"/>
  <c r="AI406" i="131"/>
  <c r="AC406" i="131"/>
  <c r="AH406" i="131" s="1"/>
  <c r="AU406" i="131"/>
  <c r="AO406" i="131"/>
  <c r="AV406" i="131"/>
  <c r="O407" i="131"/>
  <c r="N407" i="131"/>
  <c r="D416" i="131"/>
  <c r="M407" i="131" l="1"/>
  <c r="L407" i="131" s="1"/>
  <c r="Q407" i="131"/>
  <c r="V407" i="131" s="1"/>
  <c r="AP407" i="131"/>
  <c r="AN407" i="131"/>
  <c r="AS407" i="131" s="1"/>
  <c r="AB406" i="131"/>
  <c r="I416" i="131"/>
  <c r="H416" i="131"/>
  <c r="K416" i="131"/>
  <c r="P407" i="131" l="1"/>
  <c r="U407" i="131" s="1"/>
  <c r="AF406" i="131"/>
  <c r="AG406" i="131"/>
  <c r="AL406" i="131"/>
  <c r="AM407" i="131"/>
  <c r="Z407" i="131"/>
  <c r="C417" i="131"/>
  <c r="B417" i="131"/>
  <c r="A416" i="131"/>
  <c r="T407" i="131" l="1"/>
  <c r="W407" i="131"/>
  <c r="AV407" i="131" s="1"/>
  <c r="O408" i="131"/>
  <c r="AT407" i="131"/>
  <c r="Y407" i="131"/>
  <c r="AC407" i="131" s="1"/>
  <c r="AH407" i="131" s="1"/>
  <c r="AA407" i="131"/>
  <c r="AJ406" i="131"/>
  <c r="AK406" i="131" s="1"/>
  <c r="E417" i="131"/>
  <c r="J417" i="131" s="1"/>
  <c r="X416" i="131"/>
  <c r="AU407" i="131" l="1"/>
  <c r="AO407" i="131"/>
  <c r="N408" i="131"/>
  <c r="M408" i="131" s="1"/>
  <c r="L408" i="131" s="1"/>
  <c r="AI407" i="131"/>
  <c r="AB407" i="131"/>
  <c r="AN408" i="131"/>
  <c r="AS408" i="131" s="1"/>
  <c r="AP408" i="131"/>
  <c r="D417" i="131"/>
  <c r="Q408" i="131" l="1"/>
  <c r="AM408" i="131"/>
  <c r="Z408" i="131"/>
  <c r="AL407" i="131"/>
  <c r="AF407" i="131"/>
  <c r="AG407" i="131"/>
  <c r="I417" i="131"/>
  <c r="H417" i="131"/>
  <c r="K417" i="131"/>
  <c r="V408" i="131" l="1"/>
  <c r="P408" i="131"/>
  <c r="AA408" i="131"/>
  <c r="Y408" i="131"/>
  <c r="AC408" i="131" s="1"/>
  <c r="AH408" i="131" s="1"/>
  <c r="AJ407" i="131"/>
  <c r="AK407" i="131" s="1"/>
  <c r="C418" i="131"/>
  <c r="A417" i="131"/>
  <c r="B418" i="131"/>
  <c r="U408" i="131" l="1"/>
  <c r="T408" i="131"/>
  <c r="W408" i="131"/>
  <c r="AB408" i="131"/>
  <c r="AI408" i="131"/>
  <c r="E418" i="131"/>
  <c r="J418" i="131" s="1"/>
  <c r="X417" i="131"/>
  <c r="AO408" i="131" l="1"/>
  <c r="AT408" i="131"/>
  <c r="O409" i="131"/>
  <c r="N409" i="131"/>
  <c r="AU408" i="131"/>
  <c r="AV408" i="131"/>
  <c r="AL408" i="131"/>
  <c r="AG408" i="131"/>
  <c r="AF408" i="131"/>
  <c r="D418" i="131"/>
  <c r="K418" i="131" s="1"/>
  <c r="C419" i="131" s="1"/>
  <c r="AN409" i="131" l="1"/>
  <c r="AS409" i="131" s="1"/>
  <c r="AP409" i="131"/>
  <c r="M409" i="131"/>
  <c r="L409" i="131" s="1"/>
  <c r="Q409" i="131"/>
  <c r="V409" i="131" s="1"/>
  <c r="Y409" i="131"/>
  <c r="AA409" i="131"/>
  <c r="AJ408" i="131"/>
  <c r="AK408" i="131" s="1"/>
  <c r="H418" i="131"/>
  <c r="I418" i="131"/>
  <c r="B419" i="131"/>
  <c r="E419" i="131" s="1"/>
  <c r="J419" i="131" s="1"/>
  <c r="A418" i="131"/>
  <c r="X418" i="131" s="1"/>
  <c r="Z409" i="131" l="1"/>
  <c r="AC409" i="131" s="1"/>
  <c r="AH409" i="131" s="1"/>
  <c r="AM409" i="131"/>
  <c r="P409" i="131"/>
  <c r="AI409" i="131"/>
  <c r="D419" i="131"/>
  <c r="K419" i="131" s="1"/>
  <c r="U409" i="131" l="1"/>
  <c r="W409" i="131"/>
  <c r="T409" i="131"/>
  <c r="AB409" i="131"/>
  <c r="I419" i="131"/>
  <c r="H419" i="131"/>
  <c r="C420" i="131"/>
  <c r="A419" i="131"/>
  <c r="B420" i="131"/>
  <c r="AU409" i="131" l="1"/>
  <c r="AT409" i="131"/>
  <c r="AO409" i="131"/>
  <c r="O410" i="131"/>
  <c r="N410" i="131"/>
  <c r="AV409" i="131"/>
  <c r="AF409" i="131"/>
  <c r="AG409" i="131"/>
  <c r="AL409" i="131"/>
  <c r="E420" i="131"/>
  <c r="J420" i="131" s="1"/>
  <c r="X419" i="131"/>
  <c r="M410" i="131" l="1"/>
  <c r="L410" i="131" s="1"/>
  <c r="Q410" i="131"/>
  <c r="AN410" i="131"/>
  <c r="AS410" i="131" s="1"/>
  <c r="AP410" i="131"/>
  <c r="Y410" i="131"/>
  <c r="AA410" i="131"/>
  <c r="AJ409" i="131"/>
  <c r="AK409" i="131" s="1"/>
  <c r="D420" i="131"/>
  <c r="K420" i="131" s="1"/>
  <c r="C421" i="131" s="1"/>
  <c r="V410" i="131" l="1"/>
  <c r="P410" i="131"/>
  <c r="AM410" i="131"/>
  <c r="Z410" i="131"/>
  <c r="AI410" i="131"/>
  <c r="AC410" i="131"/>
  <c r="AH410" i="131" s="1"/>
  <c r="A420" i="131"/>
  <c r="X420" i="131" s="1"/>
  <c r="B421" i="131"/>
  <c r="E421" i="131" s="1"/>
  <c r="J421" i="131" s="1"/>
  <c r="H420" i="131"/>
  <c r="I420" i="131"/>
  <c r="W410" i="131" l="1"/>
  <c r="T410" i="131"/>
  <c r="U410" i="131"/>
  <c r="AB410" i="131"/>
  <c r="D421" i="131"/>
  <c r="N411" i="131" l="1"/>
  <c r="AO410" i="131"/>
  <c r="AU410" i="131"/>
  <c r="AT410" i="131"/>
  <c r="AV410" i="131"/>
  <c r="O411" i="131"/>
  <c r="AF410" i="131"/>
  <c r="AG410" i="131"/>
  <c r="AL410" i="131"/>
  <c r="I421" i="131"/>
  <c r="H421" i="131"/>
  <c r="K421" i="131"/>
  <c r="AP411" i="131" l="1"/>
  <c r="AN411" i="131"/>
  <c r="AS411" i="131" s="1"/>
  <c r="M411" i="131"/>
  <c r="L411" i="131" s="1"/>
  <c r="Q411" i="131"/>
  <c r="V411" i="131" s="1"/>
  <c r="Y411" i="131"/>
  <c r="AA411" i="131"/>
  <c r="AJ410" i="131"/>
  <c r="AK410" i="131" s="1"/>
  <c r="C422" i="131"/>
  <c r="A421" i="131"/>
  <c r="B422" i="131"/>
  <c r="AM411" i="131" l="1"/>
  <c r="Z411" i="131"/>
  <c r="AC411" i="131" s="1"/>
  <c r="AH411" i="131" s="1"/>
  <c r="P411" i="131"/>
  <c r="AI411" i="131"/>
  <c r="E422" i="131"/>
  <c r="J422" i="131" s="1"/>
  <c r="X421" i="131"/>
  <c r="U411" i="131" l="1"/>
  <c r="W411" i="131"/>
  <c r="T411" i="131"/>
  <c r="AB411" i="131"/>
  <c r="D422" i="131"/>
  <c r="AV411" i="131" l="1"/>
  <c r="AU411" i="131"/>
  <c r="N412" i="131"/>
  <c r="AT411" i="131"/>
  <c r="O412" i="131"/>
  <c r="AO411" i="131"/>
  <c r="AG411" i="131"/>
  <c r="AF411" i="131"/>
  <c r="AL411" i="131"/>
  <c r="I422" i="131"/>
  <c r="H422" i="131"/>
  <c r="K422" i="131"/>
  <c r="AP412" i="131" l="1"/>
  <c r="AN412" i="131"/>
  <c r="AS412" i="131" s="1"/>
  <c r="Q412" i="131"/>
  <c r="M412" i="131"/>
  <c r="L412" i="131" s="1"/>
  <c r="Y412" i="131"/>
  <c r="AJ411" i="131"/>
  <c r="AK411" i="131" s="1"/>
  <c r="AA412" i="131"/>
  <c r="C423" i="131"/>
  <c r="A422" i="131"/>
  <c r="B423" i="131"/>
  <c r="Z412" i="131" l="1"/>
  <c r="AM412" i="131"/>
  <c r="V412" i="131"/>
  <c r="P412" i="131"/>
  <c r="AI412" i="131"/>
  <c r="AC412" i="131"/>
  <c r="AH412" i="131" s="1"/>
  <c r="E423" i="131"/>
  <c r="J423" i="131" s="1"/>
  <c r="X422" i="131"/>
  <c r="W412" i="131" l="1"/>
  <c r="U412" i="131"/>
  <c r="T412" i="131"/>
  <c r="AB412" i="131"/>
  <c r="D423" i="131"/>
  <c r="O413" i="131" l="1"/>
  <c r="AT412" i="131"/>
  <c r="AO412" i="131"/>
  <c r="AU412" i="131"/>
  <c r="N413" i="131"/>
  <c r="AV412" i="131"/>
  <c r="AF412" i="131"/>
  <c r="AG412" i="131"/>
  <c r="AL412" i="131"/>
  <c r="I423" i="131"/>
  <c r="H423" i="131"/>
  <c r="K423" i="131"/>
  <c r="Q413" i="131" l="1"/>
  <c r="M413" i="131"/>
  <c r="L413" i="131" s="1"/>
  <c r="AN413" i="131"/>
  <c r="AS413" i="131" s="1"/>
  <c r="AP413" i="131"/>
  <c r="Y413" i="131"/>
  <c r="AJ412" i="131"/>
  <c r="AK412" i="131" s="1"/>
  <c r="C424" i="131"/>
  <c r="A423" i="131"/>
  <c r="B424" i="131"/>
  <c r="AM413" i="131" l="1"/>
  <c r="Z413" i="131"/>
  <c r="AA413" i="131" s="1"/>
  <c r="AI413" i="131" s="1"/>
  <c r="V413" i="131"/>
  <c r="P413" i="131"/>
  <c r="X423" i="131"/>
  <c r="E424" i="131"/>
  <c r="J424" i="131" s="1"/>
  <c r="AC413" i="131" l="1"/>
  <c r="AH413" i="131" s="1"/>
  <c r="T413" i="131"/>
  <c r="U413" i="131"/>
  <c r="W413" i="131"/>
  <c r="D424" i="131"/>
  <c r="AB413" i="131" l="1"/>
  <c r="O414" i="131"/>
  <c r="AV413" i="131"/>
  <c r="AU413" i="131"/>
  <c r="N414" i="131"/>
  <c r="AT413" i="131"/>
  <c r="AO413" i="131"/>
  <c r="AF413" i="131"/>
  <c r="AG413" i="131"/>
  <c r="AL413" i="131"/>
  <c r="AA414" i="131" s="1"/>
  <c r="I424" i="131"/>
  <c r="H424" i="131"/>
  <c r="K424" i="131"/>
  <c r="Q414" i="131" l="1"/>
  <c r="V414" i="131" s="1"/>
  <c r="M414" i="131"/>
  <c r="L414" i="131" s="1"/>
  <c r="AP414" i="131"/>
  <c r="AN414" i="131"/>
  <c r="AS414" i="131" s="1"/>
  <c r="Y414" i="131"/>
  <c r="AJ413" i="131"/>
  <c r="AK413" i="131" s="1"/>
  <c r="AI414" i="131"/>
  <c r="C425" i="131"/>
  <c r="A424" i="131"/>
  <c r="B425" i="131"/>
  <c r="P414" i="131" l="1"/>
  <c r="Z414" i="131"/>
  <c r="AM414" i="131"/>
  <c r="AC414" i="131"/>
  <c r="E425" i="131"/>
  <c r="J425" i="131" s="1"/>
  <c r="X424" i="131"/>
  <c r="W414" i="131" l="1"/>
  <c r="U414" i="131"/>
  <c r="T414" i="131"/>
  <c r="AH414" i="131"/>
  <c r="AB414" i="131"/>
  <c r="D425" i="131"/>
  <c r="N415" i="131" l="1"/>
  <c r="O415" i="131"/>
  <c r="AO414" i="131"/>
  <c r="AT414" i="131"/>
  <c r="AV414" i="131"/>
  <c r="AU414" i="131"/>
  <c r="AF414" i="131"/>
  <c r="AG414" i="131"/>
  <c r="AL414" i="131"/>
  <c r="I425" i="131"/>
  <c r="H425" i="131"/>
  <c r="K425" i="131"/>
  <c r="AN415" i="131" l="1"/>
  <c r="AS415" i="131" s="1"/>
  <c r="AP415" i="131"/>
  <c r="Q415" i="131"/>
  <c r="V415" i="131" s="1"/>
  <c r="M415" i="131"/>
  <c r="L415" i="131" s="1"/>
  <c r="Y415" i="131"/>
  <c r="AA415" i="131"/>
  <c r="AJ414" i="131"/>
  <c r="AK414" i="131" s="1"/>
  <c r="C426" i="131"/>
  <c r="A425" i="131"/>
  <c r="B426" i="131"/>
  <c r="Z415" i="131" l="1"/>
  <c r="AM415" i="131"/>
  <c r="P415" i="131"/>
  <c r="AI415" i="131"/>
  <c r="AC415" i="131"/>
  <c r="AH415" i="131" s="1"/>
  <c r="E426" i="131"/>
  <c r="J426" i="131" s="1"/>
  <c r="X425" i="131"/>
  <c r="U415" i="131" l="1"/>
  <c r="T415" i="131"/>
  <c r="W415" i="131"/>
  <c r="AB415" i="131"/>
  <c r="D426" i="131"/>
  <c r="AT415" i="131" l="1"/>
  <c r="AU415" i="131"/>
  <c r="N416" i="131"/>
  <c r="AO415" i="131"/>
  <c r="O416" i="131"/>
  <c r="AV415" i="131"/>
  <c r="AG415" i="131"/>
  <c r="AF415" i="131"/>
  <c r="AL415" i="131"/>
  <c r="I426" i="131"/>
  <c r="H426" i="131"/>
  <c r="K426" i="131"/>
  <c r="AN416" i="131" l="1"/>
  <c r="AS416" i="131" s="1"/>
  <c r="AP416" i="131"/>
  <c r="M416" i="131"/>
  <c r="L416" i="131" s="1"/>
  <c r="Q416" i="131"/>
  <c r="V416" i="131" s="1"/>
  <c r="Y416" i="131"/>
  <c r="AA416" i="131"/>
  <c r="AJ415" i="131"/>
  <c r="AK415" i="131" s="1"/>
  <c r="C427" i="131"/>
  <c r="A426" i="131"/>
  <c r="B427" i="131"/>
  <c r="P416" i="131" l="1"/>
  <c r="AM416" i="131"/>
  <c r="Z416" i="131"/>
  <c r="AC416" i="131"/>
  <c r="AH416" i="131" s="1"/>
  <c r="AI416" i="131"/>
  <c r="E427" i="131"/>
  <c r="J427" i="131" s="1"/>
  <c r="X426" i="131"/>
  <c r="U416" i="131" l="1"/>
  <c r="W416" i="131"/>
  <c r="T416" i="131"/>
  <c r="AB416" i="131"/>
  <c r="D427" i="131"/>
  <c r="K427" i="131" s="1"/>
  <c r="AT416" i="131" l="1"/>
  <c r="AU416" i="131"/>
  <c r="AO416" i="131"/>
  <c r="N417" i="131"/>
  <c r="AV416" i="131"/>
  <c r="O417" i="131"/>
  <c r="AF416" i="131"/>
  <c r="AG416" i="131"/>
  <c r="AL416" i="131"/>
  <c r="H427" i="131"/>
  <c r="I427" i="131"/>
  <c r="C428" i="131"/>
  <c r="A427" i="131"/>
  <c r="B428" i="131"/>
  <c r="AP417" i="131" l="1"/>
  <c r="AN417" i="131"/>
  <c r="AS417" i="131" s="1"/>
  <c r="Q417" i="131"/>
  <c r="V417" i="131" s="1"/>
  <c r="M417" i="131"/>
  <c r="L417" i="131" s="1"/>
  <c r="Y417" i="131"/>
  <c r="AA417" i="131"/>
  <c r="AJ416" i="131"/>
  <c r="AK416" i="131" s="1"/>
  <c r="E428" i="131"/>
  <c r="J428" i="131" s="1"/>
  <c r="X427" i="131"/>
  <c r="Z417" i="131" l="1"/>
  <c r="AM417" i="131"/>
  <c r="P417" i="131"/>
  <c r="AI417" i="131"/>
  <c r="AC417" i="131"/>
  <c r="AH417" i="131" s="1"/>
  <c r="D428" i="131"/>
  <c r="H428" i="131" s="1"/>
  <c r="W417" i="131" l="1"/>
  <c r="U417" i="131"/>
  <c r="T417" i="131"/>
  <c r="AB417" i="131"/>
  <c r="K428" i="131"/>
  <c r="B429" i="131" s="1"/>
  <c r="I428" i="131"/>
  <c r="AO417" i="131" l="1"/>
  <c r="AU417" i="131"/>
  <c r="N418" i="131"/>
  <c r="AV417" i="131"/>
  <c r="AT417" i="131"/>
  <c r="O418" i="131"/>
  <c r="AG417" i="131"/>
  <c r="AF417" i="131"/>
  <c r="AL417" i="131"/>
  <c r="A428" i="131"/>
  <c r="X428" i="131" s="1"/>
  <c r="C429" i="131"/>
  <c r="E429" i="131"/>
  <c r="J429" i="131" s="1"/>
  <c r="AP418" i="131" l="1"/>
  <c r="AN418" i="131"/>
  <c r="AS418" i="131" s="1"/>
  <c r="M418" i="131"/>
  <c r="L418" i="131" s="1"/>
  <c r="Q418" i="131"/>
  <c r="V418" i="131" s="1"/>
  <c r="AA418" i="131"/>
  <c r="Y418" i="131"/>
  <c r="AJ417" i="131"/>
  <c r="AK417" i="131" s="1"/>
  <c r="D429" i="131"/>
  <c r="AM418" i="131" l="1"/>
  <c r="Z418" i="131"/>
  <c r="P418" i="131"/>
  <c r="AI418" i="131"/>
  <c r="AC418" i="131"/>
  <c r="AH418" i="131" s="1"/>
  <c r="I429" i="131"/>
  <c r="H429" i="131"/>
  <c r="K429" i="131"/>
  <c r="T418" i="131" l="1"/>
  <c r="U418" i="131"/>
  <c r="W418" i="131"/>
  <c r="AB418" i="131"/>
  <c r="C430" i="131"/>
  <c r="A429" i="131"/>
  <c r="B430" i="131"/>
  <c r="AU418" i="131" l="1"/>
  <c r="AV418" i="131"/>
  <c r="O419" i="131"/>
  <c r="AO418" i="131"/>
  <c r="AT418" i="131"/>
  <c r="N419" i="131"/>
  <c r="AG418" i="131"/>
  <c r="AF418" i="131"/>
  <c r="AL418" i="131"/>
  <c r="E430" i="131"/>
  <c r="J430" i="131" s="1"/>
  <c r="X429" i="131"/>
  <c r="M419" i="131" l="1"/>
  <c r="L419" i="131" s="1"/>
  <c r="Q419" i="131"/>
  <c r="V419" i="131" s="1"/>
  <c r="AN419" i="131"/>
  <c r="AS419" i="131" s="1"/>
  <c r="AP419" i="131"/>
  <c r="AA419" i="131"/>
  <c r="Y419" i="131"/>
  <c r="AJ418" i="131"/>
  <c r="AK418" i="131" s="1"/>
  <c r="D430" i="131"/>
  <c r="Z419" i="131" l="1"/>
  <c r="AC419" i="131" s="1"/>
  <c r="AH419" i="131" s="1"/>
  <c r="AM419" i="131"/>
  <c r="P419" i="131"/>
  <c r="AI419" i="131"/>
  <c r="I430" i="131"/>
  <c r="H430" i="131"/>
  <c r="K430" i="131"/>
  <c r="W419" i="131" l="1"/>
  <c r="T419" i="131"/>
  <c r="U419" i="131"/>
  <c r="AB419" i="131"/>
  <c r="C431" i="131"/>
  <c r="A430" i="131"/>
  <c r="B431" i="131"/>
  <c r="O420" i="131" l="1"/>
  <c r="N420" i="131"/>
  <c r="AO419" i="131"/>
  <c r="AU419" i="131"/>
  <c r="AT419" i="131"/>
  <c r="AV419" i="131"/>
  <c r="AG419" i="131"/>
  <c r="AF419" i="131"/>
  <c r="AL419" i="131"/>
  <c r="E431" i="131"/>
  <c r="J431" i="131" s="1"/>
  <c r="X430" i="131"/>
  <c r="Q420" i="131" l="1"/>
  <c r="V420" i="131" s="1"/>
  <c r="M420" i="131"/>
  <c r="L420" i="131" s="1"/>
  <c r="AP420" i="131"/>
  <c r="AN420" i="131"/>
  <c r="AS420" i="131" s="1"/>
  <c r="Y420" i="131"/>
  <c r="AA420" i="131"/>
  <c r="AJ419" i="131"/>
  <c r="AK419" i="131" s="1"/>
  <c r="D431" i="131"/>
  <c r="K431" i="131" s="1"/>
  <c r="C432" i="131" s="1"/>
  <c r="P420" i="131" l="1"/>
  <c r="Z420" i="131"/>
  <c r="AC420" i="131" s="1"/>
  <c r="AH420" i="131" s="1"/>
  <c r="AM420" i="131"/>
  <c r="AI420" i="131"/>
  <c r="B432" i="131"/>
  <c r="E432" i="131" s="1"/>
  <c r="J432" i="131" s="1"/>
  <c r="A431" i="131"/>
  <c r="X431" i="131" s="1"/>
  <c r="H431" i="131"/>
  <c r="I431" i="131"/>
  <c r="AB420" i="131" l="1"/>
  <c r="U420" i="131"/>
  <c r="T420" i="131"/>
  <c r="W420" i="131"/>
  <c r="AL420" i="131"/>
  <c r="AG420" i="131"/>
  <c r="AF420" i="131"/>
  <c r="D432" i="131"/>
  <c r="AV420" i="131" l="1"/>
  <c r="O421" i="131"/>
  <c r="AU420" i="131"/>
  <c r="AT420" i="131"/>
  <c r="N421" i="131"/>
  <c r="AO420" i="131"/>
  <c r="Y421" i="131"/>
  <c r="AA421" i="131"/>
  <c r="AJ420" i="131"/>
  <c r="AK420" i="131" s="1"/>
  <c r="I432" i="131"/>
  <c r="H432" i="131"/>
  <c r="K432" i="131"/>
  <c r="AP421" i="131" l="1"/>
  <c r="AN421" i="131"/>
  <c r="AS421" i="131" s="1"/>
  <c r="Q421" i="131"/>
  <c r="V421" i="131" s="1"/>
  <c r="M421" i="131"/>
  <c r="L421" i="131" s="1"/>
  <c r="AI421" i="131"/>
  <c r="C433" i="131"/>
  <c r="A432" i="131"/>
  <c r="B433" i="131"/>
  <c r="AM421" i="131" l="1"/>
  <c r="Z421" i="131"/>
  <c r="AC421" i="131" s="1"/>
  <c r="AH421" i="131" s="1"/>
  <c r="P421" i="131"/>
  <c r="AB421" i="131"/>
  <c r="X432" i="131"/>
  <c r="E433" i="131"/>
  <c r="J433" i="131" s="1"/>
  <c r="U421" i="131" l="1"/>
  <c r="T421" i="131"/>
  <c r="W421" i="131"/>
  <c r="AF421" i="131"/>
  <c r="AG421" i="131"/>
  <c r="AL421" i="131"/>
  <c r="D433" i="131"/>
  <c r="AV421" i="131" l="1"/>
  <c r="AU421" i="131"/>
  <c r="O422" i="131"/>
  <c r="AO421" i="131"/>
  <c r="N422" i="131"/>
  <c r="AT421" i="131"/>
  <c r="Y422" i="131"/>
  <c r="AA422" i="131"/>
  <c r="AJ421" i="131"/>
  <c r="AK421" i="131" s="1"/>
  <c r="I433" i="131"/>
  <c r="H433" i="131"/>
  <c r="K433" i="131"/>
  <c r="Q422" i="131" l="1"/>
  <c r="V422" i="131" s="1"/>
  <c r="M422" i="131"/>
  <c r="L422" i="131" s="1"/>
  <c r="AN422" i="131"/>
  <c r="AS422" i="131" s="1"/>
  <c r="AP422" i="131"/>
  <c r="AI422" i="131"/>
  <c r="C434" i="131"/>
  <c r="B434" i="131"/>
  <c r="A433" i="131"/>
  <c r="P422" i="131" l="1"/>
  <c r="AM422" i="131"/>
  <c r="Z422" i="131"/>
  <c r="AC422" i="131" s="1"/>
  <c r="AH422" i="131" s="1"/>
  <c r="E434" i="131"/>
  <c r="J434" i="131" s="1"/>
  <c r="X433" i="131"/>
  <c r="AB422" i="131" l="1"/>
  <c r="AG422" i="131" s="1"/>
  <c r="U422" i="131"/>
  <c r="T422" i="131"/>
  <c r="W422" i="131"/>
  <c r="AL422" i="131"/>
  <c r="D434" i="131"/>
  <c r="K434" i="131" s="1"/>
  <c r="AF422" i="131" l="1"/>
  <c r="AV422" i="131"/>
  <c r="O423" i="131"/>
  <c r="AO422" i="131"/>
  <c r="AT422" i="131"/>
  <c r="AU422" i="131"/>
  <c r="N423" i="131"/>
  <c r="Y423" i="131"/>
  <c r="AA423" i="131"/>
  <c r="AJ422" i="131"/>
  <c r="AK422" i="131" s="1"/>
  <c r="H434" i="131"/>
  <c r="I434" i="131"/>
  <c r="C435" i="131"/>
  <c r="B435" i="131"/>
  <c r="A434" i="131"/>
  <c r="M423" i="131" l="1"/>
  <c r="L423" i="131" s="1"/>
  <c r="Q423" i="131"/>
  <c r="V423" i="131" s="1"/>
  <c r="AN423" i="131"/>
  <c r="AS423" i="131" s="1"/>
  <c r="AP423" i="131"/>
  <c r="P423" i="131"/>
  <c r="W423" i="131" s="1"/>
  <c r="AI423" i="131"/>
  <c r="E435" i="131"/>
  <c r="J435" i="131" s="1"/>
  <c r="X434" i="131"/>
  <c r="O424" i="131" l="1"/>
  <c r="N424" i="131"/>
  <c r="AT423" i="131"/>
  <c r="AO423" i="131"/>
  <c r="AU423" i="131"/>
  <c r="AV423" i="131"/>
  <c r="Z423" i="131"/>
  <c r="AC423" i="131" s="1"/>
  <c r="AH423" i="131" s="1"/>
  <c r="AM423" i="131"/>
  <c r="U423" i="131"/>
  <c r="T423" i="131"/>
  <c r="D435" i="131"/>
  <c r="K435" i="131" s="1"/>
  <c r="C436" i="131" s="1"/>
  <c r="AP424" i="131" l="1"/>
  <c r="AN424" i="131"/>
  <c r="AS424" i="131" s="1"/>
  <c r="AB423" i="131"/>
  <c r="AF423" i="131" s="1"/>
  <c r="Q424" i="131"/>
  <c r="V424" i="131" s="1"/>
  <c r="M424" i="131"/>
  <c r="L424" i="131" s="1"/>
  <c r="I435" i="131"/>
  <c r="H435" i="131"/>
  <c r="A435" i="131"/>
  <c r="X435" i="131" s="1"/>
  <c r="B436" i="131"/>
  <c r="E436" i="131" s="1"/>
  <c r="J436" i="131" s="1"/>
  <c r="P424" i="131" l="1"/>
  <c r="AM424" i="131"/>
  <c r="Z424" i="131"/>
  <c r="AL423" i="131"/>
  <c r="AA424" i="131" s="1"/>
  <c r="AG423" i="131"/>
  <c r="D436" i="131"/>
  <c r="Y424" i="131" l="1"/>
  <c r="AC424" i="131" s="1"/>
  <c r="AH424" i="131" s="1"/>
  <c r="AJ423" i="131"/>
  <c r="AK423" i="131" s="1"/>
  <c r="T424" i="131"/>
  <c r="U424" i="131"/>
  <c r="W424" i="131"/>
  <c r="AI424" i="131"/>
  <c r="I436" i="131"/>
  <c r="H436" i="131"/>
  <c r="K436" i="131"/>
  <c r="O425" i="131" l="1"/>
  <c r="AU424" i="131"/>
  <c r="AO424" i="131"/>
  <c r="N425" i="131"/>
  <c r="AV424" i="131"/>
  <c r="AT424" i="131"/>
  <c r="AB424" i="131"/>
  <c r="C437" i="131"/>
  <c r="A436" i="131"/>
  <c r="B437" i="131"/>
  <c r="Q425" i="131" l="1"/>
  <c r="V425" i="131" s="1"/>
  <c r="M425" i="131"/>
  <c r="L425" i="131" s="1"/>
  <c r="AN425" i="131"/>
  <c r="AS425" i="131" s="1"/>
  <c r="P425" i="131"/>
  <c r="AP425" i="131"/>
  <c r="AG424" i="131"/>
  <c r="AF424" i="131"/>
  <c r="AL424" i="131"/>
  <c r="E437" i="131"/>
  <c r="J437" i="131" s="1"/>
  <c r="X436" i="131"/>
  <c r="Z425" i="131" l="1"/>
  <c r="AM425" i="131"/>
  <c r="T425" i="131"/>
  <c r="U425" i="131"/>
  <c r="W425" i="131"/>
  <c r="Y425" i="131"/>
  <c r="AA425" i="131"/>
  <c r="AJ424" i="131"/>
  <c r="AK424" i="131" s="1"/>
  <c r="D437" i="131"/>
  <c r="AV425" i="131" l="1"/>
  <c r="O426" i="131"/>
  <c r="AU425" i="131"/>
  <c r="N426" i="131"/>
  <c r="AT425" i="131"/>
  <c r="AO425" i="131"/>
  <c r="AI425" i="131"/>
  <c r="AC425" i="131"/>
  <c r="AH425" i="131" s="1"/>
  <c r="I437" i="131"/>
  <c r="H437" i="131"/>
  <c r="K437" i="131"/>
  <c r="M426" i="131" l="1"/>
  <c r="L426" i="131" s="1"/>
  <c r="Q426" i="131"/>
  <c r="V426" i="131" s="1"/>
  <c r="AP426" i="131"/>
  <c r="AN426" i="131"/>
  <c r="AS426" i="131" s="1"/>
  <c r="AB425" i="131"/>
  <c r="A437" i="131"/>
  <c r="C438" i="131"/>
  <c r="B438" i="131"/>
  <c r="P426" i="131" l="1"/>
  <c r="T426" i="131"/>
  <c r="U426" i="131"/>
  <c r="W426" i="131"/>
  <c r="AM426" i="131"/>
  <c r="Z426" i="131"/>
  <c r="AG425" i="131"/>
  <c r="AF425" i="131"/>
  <c r="AL425" i="131"/>
  <c r="E438" i="131"/>
  <c r="J438" i="131" s="1"/>
  <c r="X437" i="131"/>
  <c r="AT426" i="131" l="1"/>
  <c r="AO426" i="131"/>
  <c r="O427" i="131"/>
  <c r="N427" i="131"/>
  <c r="AV426" i="131"/>
  <c r="AU426" i="131"/>
  <c r="Y426" i="131"/>
  <c r="AA426" i="131"/>
  <c r="AJ425" i="131"/>
  <c r="AK425" i="131" s="1"/>
  <c r="D438" i="131"/>
  <c r="K438" i="131" s="1"/>
  <c r="C439" i="131" s="1"/>
  <c r="Q427" i="131" l="1"/>
  <c r="V427" i="131" s="1"/>
  <c r="M427" i="131"/>
  <c r="L427" i="131" s="1"/>
  <c r="AN427" i="131"/>
  <c r="AS427" i="131" s="1"/>
  <c r="AP427" i="131"/>
  <c r="P427" i="131"/>
  <c r="AI426" i="131"/>
  <c r="AC426" i="131"/>
  <c r="AH426" i="131" s="1"/>
  <c r="I438" i="131"/>
  <c r="H438" i="131"/>
  <c r="B439" i="131"/>
  <c r="E439" i="131" s="1"/>
  <c r="J439" i="131" s="1"/>
  <c r="A438" i="131"/>
  <c r="X438" i="131" s="1"/>
  <c r="U427" i="131" l="1"/>
  <c r="T427" i="131"/>
  <c r="W427" i="131"/>
  <c r="Z427" i="131"/>
  <c r="AM427" i="131"/>
  <c r="AB426" i="131"/>
  <c r="D439" i="131"/>
  <c r="AU427" i="131" l="1"/>
  <c r="AT427" i="131"/>
  <c r="N428" i="131"/>
  <c r="AO427" i="131"/>
  <c r="AV427" i="131"/>
  <c r="O428" i="131"/>
  <c r="AF426" i="131"/>
  <c r="AG426" i="131"/>
  <c r="AL426" i="131"/>
  <c r="I439" i="131"/>
  <c r="H439" i="131"/>
  <c r="K439" i="131"/>
  <c r="AP428" i="131" l="1"/>
  <c r="AN428" i="131"/>
  <c r="AS428" i="131" s="1"/>
  <c r="Q428" i="131"/>
  <c r="V428" i="131" s="1"/>
  <c r="M428" i="131"/>
  <c r="L428" i="131" s="1"/>
  <c r="AA427" i="131"/>
  <c r="Y427" i="131"/>
  <c r="AJ426" i="131"/>
  <c r="AK426" i="131" s="1"/>
  <c r="C440" i="131"/>
  <c r="A439" i="131"/>
  <c r="B440" i="131"/>
  <c r="AM428" i="131" l="1"/>
  <c r="Z428" i="131"/>
  <c r="P428" i="131"/>
  <c r="AC427" i="131"/>
  <c r="AH427" i="131" s="1"/>
  <c r="AI427" i="131"/>
  <c r="E440" i="131"/>
  <c r="J440" i="131" s="1"/>
  <c r="X439" i="131"/>
  <c r="U428" i="131" l="1"/>
  <c r="T428" i="131"/>
  <c r="W428" i="131"/>
  <c r="AB427" i="131"/>
  <c r="D440" i="131"/>
  <c r="O429" i="131" l="1"/>
  <c r="N429" i="131"/>
  <c r="AV428" i="131"/>
  <c r="AU428" i="131"/>
  <c r="AT428" i="131"/>
  <c r="AO428" i="131"/>
  <c r="AG427" i="131"/>
  <c r="AF427" i="131"/>
  <c r="AL427" i="131"/>
  <c r="I440" i="131"/>
  <c r="H440" i="131"/>
  <c r="K440" i="131"/>
  <c r="AN429" i="131" l="1"/>
  <c r="AS429" i="131" s="1"/>
  <c r="AP429" i="131"/>
  <c r="Q429" i="131"/>
  <c r="V429" i="131" s="1"/>
  <c r="M429" i="131"/>
  <c r="L429" i="131" s="1"/>
  <c r="AA428" i="131"/>
  <c r="Y428" i="131"/>
  <c r="AJ427" i="131"/>
  <c r="AK427" i="131" s="1"/>
  <c r="C441" i="131"/>
  <c r="A440" i="131"/>
  <c r="B441" i="131"/>
  <c r="AM429" i="131" l="1"/>
  <c r="Z429" i="131"/>
  <c r="P429" i="131"/>
  <c r="AI428" i="131"/>
  <c r="AC428" i="131"/>
  <c r="AH428" i="131" s="1"/>
  <c r="X440" i="131"/>
  <c r="E441" i="131"/>
  <c r="J441" i="131" s="1"/>
  <c r="U429" i="131" l="1"/>
  <c r="T429" i="131"/>
  <c r="W429" i="131"/>
  <c r="AB428" i="131"/>
  <c r="D441" i="131"/>
  <c r="K441" i="131" s="1"/>
  <c r="AV429" i="131" l="1"/>
  <c r="O430" i="131"/>
  <c r="AT429" i="131"/>
  <c r="AO429" i="131"/>
  <c r="AU429" i="131"/>
  <c r="N430" i="131"/>
  <c r="AG428" i="131"/>
  <c r="AF428" i="131"/>
  <c r="AL428" i="131"/>
  <c r="I441" i="131"/>
  <c r="H441" i="131"/>
  <c r="B442" i="131"/>
  <c r="A441" i="131"/>
  <c r="C442" i="131"/>
  <c r="Q430" i="131" l="1"/>
  <c r="V430" i="131" s="1"/>
  <c r="M430" i="131"/>
  <c r="L430" i="131" s="1"/>
  <c r="AP430" i="131"/>
  <c r="AN430" i="131"/>
  <c r="AS430" i="131" s="1"/>
  <c r="AA429" i="131"/>
  <c r="Y429" i="131"/>
  <c r="AJ428" i="131"/>
  <c r="AK428" i="131" s="1"/>
  <c r="X441" i="131"/>
  <c r="E442" i="131"/>
  <c r="J442" i="131" s="1"/>
  <c r="P430" i="131" l="1"/>
  <c r="AM430" i="131"/>
  <c r="Z430" i="131"/>
  <c r="AC429" i="131"/>
  <c r="AH429" i="131" s="1"/>
  <c r="AI429" i="131"/>
  <c r="D442" i="131"/>
  <c r="T430" i="131" l="1"/>
  <c r="U430" i="131"/>
  <c r="W430" i="131"/>
  <c r="AB429" i="131"/>
  <c r="AL429" i="131" s="1"/>
  <c r="AG429" i="131"/>
  <c r="AF429" i="131"/>
  <c r="H442" i="131"/>
  <c r="I442" i="131"/>
  <c r="K442" i="131"/>
  <c r="N431" i="131" l="1"/>
  <c r="AT430" i="131"/>
  <c r="O431" i="131"/>
  <c r="AV430" i="131"/>
  <c r="AU430" i="131"/>
  <c r="AO430" i="131"/>
  <c r="AA430" i="131"/>
  <c r="Y430" i="131"/>
  <c r="AJ429" i="131"/>
  <c r="AK429" i="131" s="1"/>
  <c r="B443" i="131"/>
  <c r="C443" i="131"/>
  <c r="A442" i="131"/>
  <c r="AP431" i="131" l="1"/>
  <c r="AN431" i="131"/>
  <c r="AS431" i="131" s="1"/>
  <c r="Q431" i="131"/>
  <c r="V431" i="131" s="1"/>
  <c r="M431" i="131"/>
  <c r="L431" i="131" s="1"/>
  <c r="AC430" i="131"/>
  <c r="AH430" i="131" s="1"/>
  <c r="AI430" i="131"/>
  <c r="X442" i="131"/>
  <c r="E443" i="131"/>
  <c r="J443" i="131" s="1"/>
  <c r="Z431" i="131" l="1"/>
  <c r="AM431" i="131"/>
  <c r="P431" i="131"/>
  <c r="AB430" i="131"/>
  <c r="AL430" i="131" s="1"/>
  <c r="AA431" i="131"/>
  <c r="Y431" i="131"/>
  <c r="AJ430" i="131"/>
  <c r="AK430" i="131" s="1"/>
  <c r="D443" i="131"/>
  <c r="T431" i="131" l="1"/>
  <c r="U431" i="131"/>
  <c r="W431" i="131"/>
  <c r="AG430" i="131"/>
  <c r="AF430" i="131"/>
  <c r="AC431" i="131"/>
  <c r="AH431" i="131" s="1"/>
  <c r="AI431" i="131"/>
  <c r="I443" i="131"/>
  <c r="H443" i="131"/>
  <c r="K443" i="131"/>
  <c r="O432" i="131" l="1"/>
  <c r="AV431" i="131"/>
  <c r="N432" i="131"/>
  <c r="AT431" i="131"/>
  <c r="AO431" i="131"/>
  <c r="AU431" i="131"/>
  <c r="AB431" i="131"/>
  <c r="AL431" i="131" s="1"/>
  <c r="Y432" i="131" s="1"/>
  <c r="C444" i="131"/>
  <c r="A443" i="131"/>
  <c r="B444" i="131"/>
  <c r="Q432" i="131" l="1"/>
  <c r="V432" i="131" s="1"/>
  <c r="M432" i="131"/>
  <c r="L432" i="131" s="1"/>
  <c r="AP432" i="131"/>
  <c r="AN432" i="131"/>
  <c r="AS432" i="131" s="1"/>
  <c r="P432" i="131"/>
  <c r="AG431" i="131"/>
  <c r="AF431" i="131"/>
  <c r="AJ431" i="131"/>
  <c r="AK431" i="131" s="1"/>
  <c r="AA432" i="131"/>
  <c r="AI432" i="131" s="1"/>
  <c r="E444" i="131"/>
  <c r="J444" i="131" s="1"/>
  <c r="X443" i="131"/>
  <c r="T432" i="131" l="1"/>
  <c r="U432" i="131"/>
  <c r="W432" i="131"/>
  <c r="AM432" i="131"/>
  <c r="Z432" i="131"/>
  <c r="AC432" i="131" s="1"/>
  <c r="AH432" i="131" s="1"/>
  <c r="D444" i="131"/>
  <c r="AB432" i="131" l="1"/>
  <c r="AU432" i="131"/>
  <c r="AT432" i="131"/>
  <c r="O433" i="131"/>
  <c r="AV432" i="131"/>
  <c r="AO432" i="131"/>
  <c r="N433" i="131"/>
  <c r="AF432" i="131"/>
  <c r="AG432" i="131"/>
  <c r="AL432" i="131"/>
  <c r="I444" i="131"/>
  <c r="H444" i="131"/>
  <c r="K444" i="131"/>
  <c r="AP433" i="131" l="1"/>
  <c r="AN433" i="131"/>
  <c r="AS433" i="131" s="1"/>
  <c r="Q433" i="131"/>
  <c r="V433" i="131" s="1"/>
  <c r="M433" i="131"/>
  <c r="L433" i="131" s="1"/>
  <c r="Y433" i="131"/>
  <c r="AA433" i="131"/>
  <c r="AJ432" i="131"/>
  <c r="AK432" i="131" s="1"/>
  <c r="C445" i="131"/>
  <c r="A444" i="131"/>
  <c r="B445" i="131"/>
  <c r="AM433" i="131" l="1"/>
  <c r="Z433" i="131"/>
  <c r="P433" i="131"/>
  <c r="AI433" i="131"/>
  <c r="AC433" i="131"/>
  <c r="AH433" i="131" s="1"/>
  <c r="E445" i="131"/>
  <c r="J445" i="131" s="1"/>
  <c r="X444" i="131"/>
  <c r="T433" i="131" l="1"/>
  <c r="U433" i="131"/>
  <c r="W433" i="131"/>
  <c r="AB433" i="131"/>
  <c r="D445" i="131"/>
  <c r="I445" i="131" s="1"/>
  <c r="N434" i="131" l="1"/>
  <c r="AO433" i="131"/>
  <c r="AT433" i="131"/>
  <c r="O434" i="131"/>
  <c r="AV433" i="131"/>
  <c r="AU433" i="131"/>
  <c r="AG433" i="131"/>
  <c r="AF433" i="131"/>
  <c r="AL433" i="131"/>
  <c r="K445" i="131"/>
  <c r="C446" i="131" s="1"/>
  <c r="H445" i="131"/>
  <c r="AN434" i="131" l="1"/>
  <c r="AS434" i="131" s="1"/>
  <c r="AP434" i="131"/>
  <c r="M434" i="131"/>
  <c r="L434" i="131" s="1"/>
  <c r="Q434" i="131"/>
  <c r="V434" i="131" s="1"/>
  <c r="Y434" i="131"/>
  <c r="AA434" i="131"/>
  <c r="AJ433" i="131"/>
  <c r="AK433" i="131" s="1"/>
  <c r="A445" i="131"/>
  <c r="X445" i="131" s="1"/>
  <c r="B446" i="131"/>
  <c r="E446" i="131" s="1"/>
  <c r="J446" i="131" s="1"/>
  <c r="AM434" i="131" l="1"/>
  <c r="Z434" i="131"/>
  <c r="P434" i="131"/>
  <c r="AI434" i="131"/>
  <c r="AC434" i="131"/>
  <c r="AH434" i="131" s="1"/>
  <c r="D446" i="131"/>
  <c r="T434" i="131" l="1"/>
  <c r="U434" i="131"/>
  <c r="W434" i="131"/>
  <c r="AB434" i="131"/>
  <c r="H446" i="131"/>
  <c r="I446" i="131"/>
  <c r="K446" i="131"/>
  <c r="AO434" i="131" l="1"/>
  <c r="AU434" i="131"/>
  <c r="N435" i="131"/>
  <c r="AT434" i="131"/>
  <c r="AV434" i="131"/>
  <c r="O435" i="131"/>
  <c r="AG434" i="131"/>
  <c r="AF434" i="131"/>
  <c r="AL434" i="131"/>
  <c r="B447" i="131"/>
  <c r="C447" i="131"/>
  <c r="A446" i="131"/>
  <c r="AN435" i="131" l="1"/>
  <c r="AS435" i="131" s="1"/>
  <c r="AP435" i="131"/>
  <c r="M435" i="131"/>
  <c r="L435" i="131" s="1"/>
  <c r="Q435" i="131"/>
  <c r="V435" i="131" s="1"/>
  <c r="Y435" i="131"/>
  <c r="AJ434" i="131"/>
  <c r="AK434" i="131" s="1"/>
  <c r="AA435" i="131"/>
  <c r="X446" i="131"/>
  <c r="E447" i="131"/>
  <c r="J447" i="131" s="1"/>
  <c r="P435" i="131" l="1"/>
  <c r="W435" i="131" s="1"/>
  <c r="N436" i="131"/>
  <c r="O436" i="131"/>
  <c r="AU435" i="131"/>
  <c r="AV435" i="131"/>
  <c r="AO435" i="131"/>
  <c r="AT435" i="131"/>
  <c r="AM435" i="131"/>
  <c r="Z435" i="131"/>
  <c r="AC435" i="131" s="1"/>
  <c r="AH435" i="131" s="1"/>
  <c r="U435" i="131"/>
  <c r="T435" i="131"/>
  <c r="AI435" i="131"/>
  <c r="D447" i="131"/>
  <c r="M436" i="131" l="1"/>
  <c r="L436" i="131" s="1"/>
  <c r="Q436" i="131"/>
  <c r="V436" i="131" s="1"/>
  <c r="AN436" i="131"/>
  <c r="AS436" i="131" s="1"/>
  <c r="AP436" i="131"/>
  <c r="AB435" i="131"/>
  <c r="I447" i="131"/>
  <c r="H447" i="131"/>
  <c r="K447" i="131"/>
  <c r="P436" i="131" l="1"/>
  <c r="AM436" i="131"/>
  <c r="Z436" i="131"/>
  <c r="AF435" i="131"/>
  <c r="AG435" i="131"/>
  <c r="AL435" i="131"/>
  <c r="C448" i="131"/>
  <c r="A447" i="131"/>
  <c r="B448" i="131"/>
  <c r="T436" i="131" l="1"/>
  <c r="U436" i="131"/>
  <c r="W436" i="131"/>
  <c r="Y436" i="131"/>
  <c r="AA436" i="131"/>
  <c r="AJ435" i="131"/>
  <c r="AK435" i="131" s="1"/>
  <c r="X447" i="131"/>
  <c r="E448" i="131"/>
  <c r="J448" i="131" s="1"/>
  <c r="AO436" i="131" l="1"/>
  <c r="O437" i="131"/>
  <c r="AU436" i="131"/>
  <c r="AT436" i="131"/>
  <c r="AV436" i="131"/>
  <c r="N437" i="131"/>
  <c r="AI436" i="131"/>
  <c r="AC436" i="131"/>
  <c r="AH436" i="131" s="1"/>
  <c r="D448" i="131"/>
  <c r="M437" i="131" l="1"/>
  <c r="L437" i="131" s="1"/>
  <c r="Q437" i="131"/>
  <c r="V437" i="131" s="1"/>
  <c r="AP437" i="131"/>
  <c r="AN437" i="131"/>
  <c r="AS437" i="131" s="1"/>
  <c r="AB436" i="131"/>
  <c r="I448" i="131"/>
  <c r="H448" i="131"/>
  <c r="K448" i="131"/>
  <c r="P437" i="131" l="1"/>
  <c r="AM437" i="131"/>
  <c r="Z437" i="131"/>
  <c r="AG436" i="131"/>
  <c r="AF436" i="131"/>
  <c r="AL436" i="131"/>
  <c r="C449" i="131"/>
  <c r="A448" i="131"/>
  <c r="B449" i="131"/>
  <c r="T437" i="131" l="1"/>
  <c r="U437" i="131"/>
  <c r="W437" i="131"/>
  <c r="AJ436" i="131"/>
  <c r="AK436" i="131" s="1"/>
  <c r="AA437" i="131"/>
  <c r="Y437" i="131"/>
  <c r="E449" i="131"/>
  <c r="J449" i="131" s="1"/>
  <c r="X448" i="131"/>
  <c r="AO437" i="131" l="1"/>
  <c r="AU437" i="131"/>
  <c r="AV437" i="131"/>
  <c r="AT437" i="131"/>
  <c r="N438" i="131"/>
  <c r="O438" i="131"/>
  <c r="AC437" i="131"/>
  <c r="AH437" i="131" s="1"/>
  <c r="AI437" i="131"/>
  <c r="D449" i="131"/>
  <c r="H449" i="131" s="1"/>
  <c r="AP438" i="131" l="1"/>
  <c r="AN438" i="131"/>
  <c r="AS438" i="131" s="1"/>
  <c r="M438" i="131"/>
  <c r="L438" i="131" s="1"/>
  <c r="Q438" i="131"/>
  <c r="V438" i="131" s="1"/>
  <c r="AB437" i="131"/>
  <c r="AF437" i="131" s="1"/>
  <c r="AG437" i="131"/>
  <c r="K449" i="131"/>
  <c r="B450" i="131" s="1"/>
  <c r="I449" i="131"/>
  <c r="AM438" i="131" l="1"/>
  <c r="Z438" i="131"/>
  <c r="AL437" i="131"/>
  <c r="AA438" i="131" s="1"/>
  <c r="P438" i="131"/>
  <c r="AJ437" i="131"/>
  <c r="AK437" i="131" s="1"/>
  <c r="Y438" i="131"/>
  <c r="C450" i="131"/>
  <c r="A449" i="131"/>
  <c r="X449" i="131" s="1"/>
  <c r="E450" i="131"/>
  <c r="J450" i="131" s="1"/>
  <c r="U438" i="131" l="1"/>
  <c r="T438" i="131"/>
  <c r="W438" i="131"/>
  <c r="AC438" i="131"/>
  <c r="AH438" i="131" s="1"/>
  <c r="AI438" i="131"/>
  <c r="D450" i="131"/>
  <c r="AV438" i="131" l="1"/>
  <c r="AO438" i="131"/>
  <c r="AT438" i="131"/>
  <c r="O439" i="131"/>
  <c r="AU438" i="131"/>
  <c r="N439" i="131"/>
  <c r="AB438" i="131"/>
  <c r="AL438" i="131" s="1"/>
  <c r="AG438" i="131"/>
  <c r="H450" i="131"/>
  <c r="I450" i="131"/>
  <c r="K450" i="131"/>
  <c r="AN439" i="131" l="1"/>
  <c r="AS439" i="131" s="1"/>
  <c r="AP439" i="131"/>
  <c r="M439" i="131"/>
  <c r="L439" i="131" s="1"/>
  <c r="Q439" i="131"/>
  <c r="V439" i="131" s="1"/>
  <c r="AF438" i="131"/>
  <c r="Y439" i="131"/>
  <c r="AA439" i="131"/>
  <c r="AJ438" i="131"/>
  <c r="AK438" i="131" s="1"/>
  <c r="B451" i="131"/>
  <c r="A450" i="131"/>
  <c r="C451" i="131"/>
  <c r="P439" i="131" l="1"/>
  <c r="AM439" i="131"/>
  <c r="Z439" i="131"/>
  <c r="AI439" i="131"/>
  <c r="AC439" i="131"/>
  <c r="AH439" i="131" s="1"/>
  <c r="X450" i="131"/>
  <c r="E451" i="131"/>
  <c r="J451" i="131" s="1"/>
  <c r="U439" i="131" l="1"/>
  <c r="T439" i="131"/>
  <c r="W439" i="131"/>
  <c r="AB439" i="131"/>
  <c r="D451" i="131"/>
  <c r="N440" i="131" l="1"/>
  <c r="AV439" i="131"/>
  <c r="AU439" i="131"/>
  <c r="O440" i="131"/>
  <c r="AT439" i="131"/>
  <c r="AO439" i="131"/>
  <c r="AG439" i="131"/>
  <c r="AF439" i="131"/>
  <c r="AL439" i="131"/>
  <c r="I451" i="131"/>
  <c r="H451" i="131"/>
  <c r="K451" i="131"/>
  <c r="AN440" i="131" l="1"/>
  <c r="AS440" i="131" s="1"/>
  <c r="AP440" i="131"/>
  <c r="M440" i="131"/>
  <c r="L440" i="131" s="1"/>
  <c r="Q440" i="131"/>
  <c r="V440" i="131" s="1"/>
  <c r="AJ439" i="131"/>
  <c r="AK439" i="131" s="1"/>
  <c r="AA440" i="131"/>
  <c r="Y440" i="131"/>
  <c r="C452" i="131"/>
  <c r="A451" i="131"/>
  <c r="B452" i="131"/>
  <c r="Z440" i="131" l="1"/>
  <c r="AM440" i="131"/>
  <c r="P440" i="131"/>
  <c r="AC440" i="131"/>
  <c r="AH440" i="131" s="1"/>
  <c r="AI440" i="131"/>
  <c r="X451" i="131"/>
  <c r="E452" i="131"/>
  <c r="J452" i="131" s="1"/>
  <c r="U440" i="131" l="1"/>
  <c r="T440" i="131"/>
  <c r="W440" i="131"/>
  <c r="AB440" i="131"/>
  <c r="D452" i="131"/>
  <c r="AO440" i="131" l="1"/>
  <c r="AV440" i="131"/>
  <c r="N441" i="131"/>
  <c r="AT440" i="131"/>
  <c r="AU440" i="131"/>
  <c r="O441" i="131"/>
  <c r="AG440" i="131"/>
  <c r="AF440" i="131"/>
  <c r="AL440" i="131"/>
  <c r="I452" i="131"/>
  <c r="H452" i="131"/>
  <c r="K452" i="131"/>
  <c r="AN441" i="131" l="1"/>
  <c r="AS441" i="131" s="1"/>
  <c r="AP441" i="131"/>
  <c r="M441" i="131"/>
  <c r="L441" i="131" s="1"/>
  <c r="Q441" i="131"/>
  <c r="V441" i="131" s="1"/>
  <c r="Y441" i="131"/>
  <c r="AA441" i="131"/>
  <c r="AJ440" i="131"/>
  <c r="AK440" i="131" s="1"/>
  <c r="C453" i="131"/>
  <c r="A452" i="131"/>
  <c r="B453" i="131"/>
  <c r="AM441" i="131" l="1"/>
  <c r="Z441" i="131"/>
  <c r="P441" i="131"/>
  <c r="AC441" i="131"/>
  <c r="AH441" i="131" s="1"/>
  <c r="AI441" i="131"/>
  <c r="E453" i="131"/>
  <c r="J453" i="131" s="1"/>
  <c r="X452" i="131"/>
  <c r="U441" i="131" l="1"/>
  <c r="T441" i="131"/>
  <c r="W441" i="131"/>
  <c r="AB441" i="131"/>
  <c r="D453" i="131"/>
  <c r="I453" i="131" s="1"/>
  <c r="O442" i="131" l="1"/>
  <c r="AT441" i="131"/>
  <c r="AO441" i="131"/>
  <c r="AU441" i="131"/>
  <c r="N442" i="131"/>
  <c r="AV441" i="131"/>
  <c r="AF441" i="131"/>
  <c r="AG441" i="131"/>
  <c r="AL441" i="131"/>
  <c r="H453" i="131"/>
  <c r="K453" i="131"/>
  <c r="C454" i="131" s="1"/>
  <c r="AN442" i="131" l="1"/>
  <c r="AS442" i="131" s="1"/>
  <c r="AP442" i="131"/>
  <c r="Q442" i="131"/>
  <c r="V442" i="131" s="1"/>
  <c r="M442" i="131"/>
  <c r="L442" i="131" s="1"/>
  <c r="AA442" i="131"/>
  <c r="Y442" i="131"/>
  <c r="AJ441" i="131"/>
  <c r="AK441" i="131" s="1"/>
  <c r="B454" i="131"/>
  <c r="E454" i="131" s="1"/>
  <c r="J454" i="131" s="1"/>
  <c r="A453" i="131"/>
  <c r="X453" i="131" s="1"/>
  <c r="AM442" i="131" l="1"/>
  <c r="Z442" i="131"/>
  <c r="AC442" i="131" s="1"/>
  <c r="P442" i="131"/>
  <c r="AI442" i="131"/>
  <c r="D454" i="131"/>
  <c r="H454" i="131" s="1"/>
  <c r="AH442" i="131" l="1"/>
  <c r="AB442" i="131"/>
  <c r="T442" i="131"/>
  <c r="U442" i="131"/>
  <c r="W442" i="131"/>
  <c r="AL442" i="131"/>
  <c r="AF442" i="131"/>
  <c r="AG442" i="131"/>
  <c r="I454" i="131"/>
  <c r="K454" i="131"/>
  <c r="B455" i="131" s="1"/>
  <c r="AV442" i="131" l="1"/>
  <c r="N443" i="131"/>
  <c r="AO442" i="131"/>
  <c r="AU442" i="131"/>
  <c r="AT442" i="131"/>
  <c r="O443" i="131"/>
  <c r="Y443" i="131"/>
  <c r="AA443" i="131"/>
  <c r="AJ442" i="131"/>
  <c r="AK442" i="131" s="1"/>
  <c r="A454" i="131"/>
  <c r="X454" i="131" s="1"/>
  <c r="C455" i="131"/>
  <c r="E455" i="131"/>
  <c r="J455" i="131" s="1"/>
  <c r="AN443" i="131" l="1"/>
  <c r="AS443" i="131" s="1"/>
  <c r="AP443" i="131"/>
  <c r="M443" i="131"/>
  <c r="L443" i="131" s="1"/>
  <c r="Q443" i="131"/>
  <c r="V443" i="131" s="1"/>
  <c r="AI443" i="131"/>
  <c r="D455" i="131"/>
  <c r="Z443" i="131" l="1"/>
  <c r="AC443" i="131" s="1"/>
  <c r="AH443" i="131" s="1"/>
  <c r="AM443" i="131"/>
  <c r="P443" i="131"/>
  <c r="I455" i="131"/>
  <c r="H455" i="131"/>
  <c r="K455" i="131"/>
  <c r="AB443" i="131" l="1"/>
  <c r="T443" i="131"/>
  <c r="U443" i="131"/>
  <c r="W443" i="131"/>
  <c r="AG443" i="131"/>
  <c r="AF443" i="131"/>
  <c r="AL443" i="131"/>
  <c r="C456" i="131"/>
  <c r="A455" i="131"/>
  <c r="B456" i="131"/>
  <c r="N444" i="131" l="1"/>
  <c r="AT443" i="131"/>
  <c r="AO443" i="131"/>
  <c r="AV443" i="131"/>
  <c r="AU443" i="131"/>
  <c r="O444" i="131"/>
  <c r="Y444" i="131"/>
  <c r="AA444" i="131"/>
  <c r="AJ443" i="131"/>
  <c r="AK443" i="131" s="1"/>
  <c r="E456" i="131"/>
  <c r="J456" i="131" s="1"/>
  <c r="X455" i="131"/>
  <c r="AP444" i="131" l="1"/>
  <c r="AN444" i="131"/>
  <c r="AS444" i="131" s="1"/>
  <c r="Q444" i="131"/>
  <c r="V444" i="131" s="1"/>
  <c r="M444" i="131"/>
  <c r="L444" i="131" s="1"/>
  <c r="AI444" i="131"/>
  <c r="D456" i="131"/>
  <c r="Z444" i="131" l="1"/>
  <c r="AC444" i="131" s="1"/>
  <c r="AM444" i="131"/>
  <c r="P444" i="131"/>
  <c r="I456" i="131"/>
  <c r="H456" i="131"/>
  <c r="K456" i="131"/>
  <c r="U444" i="131" l="1"/>
  <c r="T444" i="131"/>
  <c r="W444" i="131"/>
  <c r="AH444" i="131"/>
  <c r="AB444" i="131"/>
  <c r="C457" i="131"/>
  <c r="A456" i="131"/>
  <c r="B457" i="131"/>
  <c r="AG444" i="131" l="1"/>
  <c r="AL444" i="131"/>
  <c r="AF444" i="131"/>
  <c r="AV444" i="131"/>
  <c r="N445" i="131"/>
  <c r="O445" i="131"/>
  <c r="AT444" i="131"/>
  <c r="AO444" i="131"/>
  <c r="AU444" i="131"/>
  <c r="AJ444" i="131"/>
  <c r="AK444" i="131" s="1"/>
  <c r="X456" i="131"/>
  <c r="E457" i="131"/>
  <c r="J457" i="131" s="1"/>
  <c r="AN445" i="131" l="1"/>
  <c r="AS445" i="131" s="1"/>
  <c r="AP445" i="131"/>
  <c r="M445" i="131"/>
  <c r="L445" i="131" s="1"/>
  <c r="Q445" i="131"/>
  <c r="V445" i="131" s="1"/>
  <c r="AA445" i="131"/>
  <c r="AI445" i="131" s="1"/>
  <c r="Y445" i="131"/>
  <c r="D457" i="131"/>
  <c r="P445" i="131" l="1"/>
  <c r="Z445" i="131"/>
  <c r="AC445" i="131" s="1"/>
  <c r="AM445" i="131"/>
  <c r="I457" i="131"/>
  <c r="H457" i="131"/>
  <c r="K457" i="131"/>
  <c r="AH445" i="131" l="1"/>
  <c r="AB445" i="131"/>
  <c r="U445" i="131"/>
  <c r="T445" i="131"/>
  <c r="W445" i="131"/>
  <c r="A457" i="131"/>
  <c r="B458" i="131"/>
  <c r="C458" i="131"/>
  <c r="O446" i="131" l="1"/>
  <c r="AT445" i="131"/>
  <c r="AU445" i="131"/>
  <c r="AO445" i="131"/>
  <c r="N446" i="131"/>
  <c r="AV445" i="131"/>
  <c r="AL445" i="131"/>
  <c r="AG445" i="131"/>
  <c r="AF445" i="131"/>
  <c r="E458" i="131"/>
  <c r="J458" i="131" s="1"/>
  <c r="X457" i="131"/>
  <c r="AN446" i="131" l="1"/>
  <c r="AS446" i="131" s="1"/>
  <c r="AP446" i="131"/>
  <c r="M446" i="131"/>
  <c r="L446" i="131" s="1"/>
  <c r="Q446" i="131"/>
  <c r="V446" i="131" s="1"/>
  <c r="AJ445" i="131"/>
  <c r="AK445" i="131" s="1"/>
  <c r="Y446" i="131"/>
  <c r="AA446" i="131"/>
  <c r="AI446" i="131" s="1"/>
  <c r="D458" i="131"/>
  <c r="H458" i="131" s="1"/>
  <c r="Z446" i="131" l="1"/>
  <c r="AC446" i="131" s="1"/>
  <c r="AM446" i="131"/>
  <c r="P446" i="131"/>
  <c r="I458" i="131"/>
  <c r="K458" i="131"/>
  <c r="A458" i="131" s="1"/>
  <c r="AH446" i="131" l="1"/>
  <c r="AB446" i="131"/>
  <c r="U446" i="131"/>
  <c r="T446" i="131"/>
  <c r="W446" i="131"/>
  <c r="B459" i="131"/>
  <c r="E459" i="131" s="1"/>
  <c r="J459" i="131" s="1"/>
  <c r="C459" i="131"/>
  <c r="X458" i="131"/>
  <c r="AU446" i="131" l="1"/>
  <c r="AO446" i="131"/>
  <c r="AT446" i="131"/>
  <c r="N447" i="131"/>
  <c r="AV446" i="131"/>
  <c r="O447" i="131"/>
  <c r="AF446" i="131"/>
  <c r="AG446" i="131"/>
  <c r="AL446" i="131"/>
  <c r="AJ446" i="131" s="1"/>
  <c r="AK446" i="131" s="1"/>
  <c r="D459" i="131"/>
  <c r="AA447" i="131" l="1"/>
  <c r="Y447" i="131"/>
  <c r="AN447" i="131"/>
  <c r="AS447" i="131" s="1"/>
  <c r="AP447" i="131"/>
  <c r="AI447" i="131"/>
  <c r="M447" i="131"/>
  <c r="L447" i="131" s="1"/>
  <c r="Q447" i="131"/>
  <c r="V447" i="131" s="1"/>
  <c r="I459" i="131"/>
  <c r="H459" i="131"/>
  <c r="K459" i="131"/>
  <c r="Z447" i="131" l="1"/>
  <c r="AM447" i="131"/>
  <c r="P447" i="131"/>
  <c r="AC447" i="131"/>
  <c r="AH447" i="131" s="1"/>
  <c r="C460" i="131"/>
  <c r="A459" i="131"/>
  <c r="B460" i="131"/>
  <c r="T447" i="131" l="1"/>
  <c r="U447" i="131"/>
  <c r="W447" i="131"/>
  <c r="AB447" i="131"/>
  <c r="E460" i="131"/>
  <c r="J460" i="131" s="1"/>
  <c r="X459" i="131"/>
  <c r="AF447" i="131" l="1"/>
  <c r="AG447" i="131"/>
  <c r="AL447" i="131"/>
  <c r="AJ447" i="131" s="1"/>
  <c r="AK447" i="131" s="1"/>
  <c r="AO447" i="131"/>
  <c r="AV447" i="131"/>
  <c r="AU447" i="131"/>
  <c r="AT447" i="131"/>
  <c r="N448" i="131"/>
  <c r="O448" i="131"/>
  <c r="D460" i="131"/>
  <c r="AP448" i="131" l="1"/>
  <c r="AN448" i="131"/>
  <c r="AS448" i="131" s="1"/>
  <c r="Q448" i="131"/>
  <c r="V448" i="131" s="1"/>
  <c r="M448" i="131"/>
  <c r="L448" i="131" s="1"/>
  <c r="Y448" i="131"/>
  <c r="AA448" i="131"/>
  <c r="I460" i="131"/>
  <c r="H460" i="131"/>
  <c r="K460" i="131"/>
  <c r="Z448" i="131" l="1"/>
  <c r="AC448" i="131" s="1"/>
  <c r="AH448" i="131" s="1"/>
  <c r="AM448" i="131"/>
  <c r="AI448" i="131"/>
  <c r="P448" i="131"/>
  <c r="C461" i="131"/>
  <c r="A460" i="131"/>
  <c r="B461" i="131"/>
  <c r="U448" i="131" l="1"/>
  <c r="T448" i="131"/>
  <c r="W448" i="131"/>
  <c r="AB448" i="131"/>
  <c r="E461" i="131"/>
  <c r="J461" i="131" s="1"/>
  <c r="X460" i="131"/>
  <c r="AF448" i="131" l="1"/>
  <c r="AG448" i="131"/>
  <c r="AL448" i="131"/>
  <c r="AJ448" i="131" s="1"/>
  <c r="AK448" i="131" s="1"/>
  <c r="N449" i="131"/>
  <c r="AT448" i="131"/>
  <c r="AO448" i="131"/>
  <c r="AU448" i="131"/>
  <c r="O449" i="131"/>
  <c r="AV448" i="131"/>
  <c r="D461" i="131"/>
  <c r="AN449" i="131" l="1"/>
  <c r="AS449" i="131" s="1"/>
  <c r="AP449" i="131"/>
  <c r="Q449" i="131"/>
  <c r="V449" i="131" s="1"/>
  <c r="M449" i="131"/>
  <c r="L449" i="131" s="1"/>
  <c r="Y449" i="131"/>
  <c r="AA449" i="131"/>
  <c r="I461" i="131"/>
  <c r="H461" i="131"/>
  <c r="K461" i="131"/>
  <c r="AI449" i="131" l="1"/>
  <c r="Z449" i="131"/>
  <c r="AC449" i="131" s="1"/>
  <c r="AM449" i="131"/>
  <c r="P449" i="131"/>
  <c r="B462" i="131"/>
  <c r="A461" i="131"/>
  <c r="C462" i="131"/>
  <c r="AH449" i="131" l="1"/>
  <c r="AB449" i="131"/>
  <c r="T449" i="131"/>
  <c r="U449" i="131"/>
  <c r="W449" i="131"/>
  <c r="X461" i="131"/>
  <c r="E462" i="131"/>
  <c r="J462" i="131" s="1"/>
  <c r="AG449" i="131" l="1"/>
  <c r="AF449" i="131"/>
  <c r="AL449" i="131"/>
  <c r="AJ449" i="131" s="1"/>
  <c r="AK449" i="131" s="1"/>
  <c r="O450" i="131"/>
  <c r="AT449" i="131"/>
  <c r="N450" i="131"/>
  <c r="AO449" i="131"/>
  <c r="AV449" i="131"/>
  <c r="AU449" i="131"/>
  <c r="D462" i="131"/>
  <c r="M450" i="131" l="1"/>
  <c r="L450" i="131" s="1"/>
  <c r="Q450" i="131"/>
  <c r="V450" i="131" s="1"/>
  <c r="AP450" i="131"/>
  <c r="AN450" i="131"/>
  <c r="AS450" i="131" s="1"/>
  <c r="Y450" i="131"/>
  <c r="AA450" i="131"/>
  <c r="H462" i="131"/>
  <c r="I462" i="131"/>
  <c r="K462" i="131"/>
  <c r="P450" i="131" l="1"/>
  <c r="W450" i="131" s="1"/>
  <c r="T450" i="131"/>
  <c r="U450" i="131"/>
  <c r="AI450" i="131"/>
  <c r="Z450" i="131"/>
  <c r="AC450" i="131" s="1"/>
  <c r="AM450" i="131"/>
  <c r="B463" i="131"/>
  <c r="A462" i="131"/>
  <c r="C463" i="131"/>
  <c r="AH450" i="131" l="1"/>
  <c r="AB450" i="131"/>
  <c r="AV450" i="131"/>
  <c r="AU450" i="131"/>
  <c r="N451" i="131"/>
  <c r="AO450" i="131"/>
  <c r="AT450" i="131"/>
  <c r="O451" i="131"/>
  <c r="X462" i="131"/>
  <c r="E463" i="131"/>
  <c r="J463" i="131" s="1"/>
  <c r="AN451" i="131" l="1"/>
  <c r="AS451" i="131" s="1"/>
  <c r="AP451" i="131"/>
  <c r="Q451" i="131"/>
  <c r="V451" i="131" s="1"/>
  <c r="M451" i="131"/>
  <c r="L451" i="131" s="1"/>
  <c r="AG450" i="131"/>
  <c r="AF450" i="131"/>
  <c r="AL450" i="131"/>
  <c r="D463" i="131"/>
  <c r="Y451" i="131" l="1"/>
  <c r="AA451" i="131"/>
  <c r="AJ450" i="131"/>
  <c r="AK450" i="131" s="1"/>
  <c r="AM451" i="131"/>
  <c r="Z451" i="131"/>
  <c r="P451" i="131"/>
  <c r="I463" i="131"/>
  <c r="H463" i="131"/>
  <c r="K463" i="131"/>
  <c r="AI451" i="131" l="1"/>
  <c r="U451" i="131"/>
  <c r="T451" i="131"/>
  <c r="W451" i="131"/>
  <c r="AC451" i="131"/>
  <c r="AH451" i="131" s="1"/>
  <c r="A463" i="131"/>
  <c r="C464" i="131"/>
  <c r="B464" i="131"/>
  <c r="AU451" i="131" l="1"/>
  <c r="AO451" i="131"/>
  <c r="AV451" i="131"/>
  <c r="O452" i="131"/>
  <c r="AT451" i="131"/>
  <c r="N452" i="131"/>
  <c r="AB451" i="131"/>
  <c r="X463" i="131"/>
  <c r="E464" i="131"/>
  <c r="J464" i="131" s="1"/>
  <c r="AG451" i="131" l="1"/>
  <c r="AF451" i="131"/>
  <c r="AL451" i="131"/>
  <c r="M452" i="131"/>
  <c r="L452" i="131" s="1"/>
  <c r="Q452" i="131"/>
  <c r="V452" i="131" s="1"/>
  <c r="AN452" i="131"/>
  <c r="AS452" i="131" s="1"/>
  <c r="AP452" i="131"/>
  <c r="D464" i="131"/>
  <c r="P452" i="131" l="1"/>
  <c r="AM452" i="131"/>
  <c r="Z452" i="131"/>
  <c r="Y452" i="131"/>
  <c r="AA452" i="131"/>
  <c r="AJ451" i="131"/>
  <c r="AK451" i="131" s="1"/>
  <c r="H464" i="131"/>
  <c r="I464" i="131"/>
  <c r="K464" i="131"/>
  <c r="AI452" i="131" l="1"/>
  <c r="AC452" i="131"/>
  <c r="AH452" i="131" s="1"/>
  <c r="T452" i="131"/>
  <c r="U452" i="131"/>
  <c r="W452" i="131"/>
  <c r="B465" i="131"/>
  <c r="C465" i="131"/>
  <c r="A464" i="131"/>
  <c r="N453" i="131" l="1"/>
  <c r="AU452" i="131"/>
  <c r="AV452" i="131"/>
  <c r="AO452" i="131"/>
  <c r="AT452" i="131"/>
  <c r="O453" i="131"/>
  <c r="AB452" i="131"/>
  <c r="X464" i="131"/>
  <c r="E465" i="131"/>
  <c r="J465" i="131" s="1"/>
  <c r="AF452" i="131" l="1"/>
  <c r="AG452" i="131"/>
  <c r="AL452" i="131"/>
  <c r="AP453" i="131"/>
  <c r="AN453" i="131"/>
  <c r="AS453" i="131" s="1"/>
  <c r="Q453" i="131"/>
  <c r="V453" i="131" s="1"/>
  <c r="M453" i="131"/>
  <c r="L453" i="131" s="1"/>
  <c r="D465" i="131"/>
  <c r="Y453" i="131" l="1"/>
  <c r="AA453" i="131"/>
  <c r="AJ452" i="131"/>
  <c r="AK452" i="131" s="1"/>
  <c r="AM453" i="131"/>
  <c r="Z453" i="131"/>
  <c r="P453" i="131"/>
  <c r="I465" i="131"/>
  <c r="H465" i="131"/>
  <c r="K465" i="131"/>
  <c r="AI453" i="131" l="1"/>
  <c r="U453" i="131"/>
  <c r="T453" i="131"/>
  <c r="W453" i="131"/>
  <c r="AC453" i="131"/>
  <c r="AH453" i="131" s="1"/>
  <c r="C466" i="131"/>
  <c r="A465" i="131"/>
  <c r="B466" i="131"/>
  <c r="AV453" i="131" l="1"/>
  <c r="AO453" i="131"/>
  <c r="AU453" i="131"/>
  <c r="N454" i="131"/>
  <c r="AT453" i="131"/>
  <c r="O454" i="131"/>
  <c r="AB453" i="131"/>
  <c r="E466" i="131"/>
  <c r="J466" i="131" s="1"/>
  <c r="X465" i="131"/>
  <c r="AF453" i="131" l="1"/>
  <c r="AG453" i="131"/>
  <c r="AL453" i="131"/>
  <c r="M454" i="131"/>
  <c r="L454" i="131" s="1"/>
  <c r="Q454" i="131"/>
  <c r="V454" i="131" s="1"/>
  <c r="AP454" i="131"/>
  <c r="AN454" i="131"/>
  <c r="AS454" i="131" s="1"/>
  <c r="P454" i="131"/>
  <c r="W454" i="131" s="1"/>
  <c r="D466" i="131"/>
  <c r="I466" i="131" s="1"/>
  <c r="AU454" i="131" l="1"/>
  <c r="AT454" i="131"/>
  <c r="N455" i="131"/>
  <c r="AV454" i="131"/>
  <c r="AO454" i="131"/>
  <c r="O455" i="131"/>
  <c r="T454" i="131"/>
  <c r="U454" i="131"/>
  <c r="Z454" i="131"/>
  <c r="AM454" i="131"/>
  <c r="AA454" i="131"/>
  <c r="Y454" i="131"/>
  <c r="AJ453" i="131"/>
  <c r="AK453" i="131" s="1"/>
  <c r="K466" i="131"/>
  <c r="C467" i="131" s="1"/>
  <c r="H466" i="131"/>
  <c r="AI454" i="131" l="1"/>
  <c r="AN455" i="131"/>
  <c r="AS455" i="131" s="1"/>
  <c r="AP455" i="131"/>
  <c r="M455" i="131"/>
  <c r="L455" i="131" s="1"/>
  <c r="Q455" i="131"/>
  <c r="V455" i="131" s="1"/>
  <c r="AC454" i="131"/>
  <c r="AH454" i="131" s="1"/>
  <c r="B467" i="131"/>
  <c r="E467" i="131" s="1"/>
  <c r="J467" i="131" s="1"/>
  <c r="A466" i="131"/>
  <c r="X466" i="131" s="1"/>
  <c r="Z455" i="131" l="1"/>
  <c r="AM455" i="131"/>
  <c r="P455" i="131"/>
  <c r="AB454" i="131"/>
  <c r="D467" i="131"/>
  <c r="AG454" i="131" l="1"/>
  <c r="AF454" i="131"/>
  <c r="AL454" i="131"/>
  <c r="U455" i="131"/>
  <c r="T455" i="131"/>
  <c r="W455" i="131"/>
  <c r="I467" i="131"/>
  <c r="H467" i="131"/>
  <c r="K467" i="131"/>
  <c r="N456" i="131" l="1"/>
  <c r="AV455" i="131"/>
  <c r="AT455" i="131"/>
  <c r="AO455" i="131"/>
  <c r="AU455" i="131"/>
  <c r="O456" i="131"/>
  <c r="Y455" i="131"/>
  <c r="AA455" i="131"/>
  <c r="AJ454" i="131"/>
  <c r="AK454" i="131" s="1"/>
  <c r="B468" i="131"/>
  <c r="C468" i="131"/>
  <c r="A467" i="131"/>
  <c r="AI455" i="131" l="1"/>
  <c r="AC455" i="131"/>
  <c r="AH455" i="131" s="1"/>
  <c r="AN456" i="131"/>
  <c r="AS456" i="131" s="1"/>
  <c r="AP456" i="131"/>
  <c r="Q456" i="131"/>
  <c r="V456" i="131" s="1"/>
  <c r="M456" i="131"/>
  <c r="L456" i="131" s="1"/>
  <c r="X467" i="131"/>
  <c r="E468" i="131"/>
  <c r="J468" i="131" s="1"/>
  <c r="AB455" i="131" l="1"/>
  <c r="Z456" i="131"/>
  <c r="AM456" i="131"/>
  <c r="AG455" i="131"/>
  <c r="AF455" i="131"/>
  <c r="P456" i="131"/>
  <c r="AL455" i="131"/>
  <c r="D468" i="131"/>
  <c r="AA456" i="131" l="1"/>
  <c r="Y456" i="131"/>
  <c r="AJ455" i="131"/>
  <c r="AK455" i="131" s="1"/>
  <c r="T456" i="131"/>
  <c r="U456" i="131"/>
  <c r="W456" i="131"/>
  <c r="H468" i="131"/>
  <c r="I468" i="131"/>
  <c r="K468" i="131"/>
  <c r="AC456" i="131" l="1"/>
  <c r="AH456" i="131" s="1"/>
  <c r="AT456" i="131"/>
  <c r="N457" i="131"/>
  <c r="AO456" i="131"/>
  <c r="AV456" i="131"/>
  <c r="AU456" i="131"/>
  <c r="O457" i="131"/>
  <c r="AI456" i="131"/>
  <c r="B469" i="131"/>
  <c r="A468" i="131"/>
  <c r="C469" i="131"/>
  <c r="AB456" i="131" l="1"/>
  <c r="AN457" i="131"/>
  <c r="AS457" i="131" s="1"/>
  <c r="AP457" i="131"/>
  <c r="M457" i="131"/>
  <c r="L457" i="131" s="1"/>
  <c r="Q457" i="131"/>
  <c r="V457" i="131" s="1"/>
  <c r="X468" i="131"/>
  <c r="E469" i="131"/>
  <c r="J469" i="131" s="1"/>
  <c r="AM457" i="131" l="1"/>
  <c r="Z457" i="131"/>
  <c r="P457" i="131"/>
  <c r="AF456" i="131"/>
  <c r="AG456" i="131"/>
  <c r="AL456" i="131"/>
  <c r="D469" i="131"/>
  <c r="AA457" i="131" l="1"/>
  <c r="Y457" i="131"/>
  <c r="AC457" i="131" s="1"/>
  <c r="AH457" i="131" s="1"/>
  <c r="AJ456" i="131"/>
  <c r="AK456" i="131" s="1"/>
  <c r="U457" i="131"/>
  <c r="T457" i="131"/>
  <c r="W457" i="131"/>
  <c r="I469" i="131"/>
  <c r="H469" i="131"/>
  <c r="K469" i="131"/>
  <c r="AV457" i="131" l="1"/>
  <c r="AU457" i="131"/>
  <c r="N458" i="131"/>
  <c r="AT457" i="131"/>
  <c r="AO457" i="131"/>
  <c r="O458" i="131"/>
  <c r="AB457" i="131"/>
  <c r="AI457" i="131"/>
  <c r="C470" i="131"/>
  <c r="A469" i="131"/>
  <c r="B470" i="131"/>
  <c r="AL457" i="131" l="1"/>
  <c r="AG457" i="131"/>
  <c r="AF457" i="131"/>
  <c r="AP458" i="131"/>
  <c r="AN458" i="131"/>
  <c r="AS458" i="131" s="1"/>
  <c r="M458" i="131"/>
  <c r="L458" i="131" s="1"/>
  <c r="Q458" i="131"/>
  <c r="V458" i="131" s="1"/>
  <c r="E470" i="131"/>
  <c r="J470" i="131" s="1"/>
  <c r="X469" i="131"/>
  <c r="AA458" i="131" l="1"/>
  <c r="Y458" i="131"/>
  <c r="AJ457" i="131"/>
  <c r="AK457" i="131" s="1"/>
  <c r="P458" i="131"/>
  <c r="AM458" i="131"/>
  <c r="Z458" i="131"/>
  <c r="D470" i="131"/>
  <c r="AC458" i="131" l="1"/>
  <c r="AH458" i="131" s="1"/>
  <c r="U458" i="131"/>
  <c r="T458" i="131"/>
  <c r="W458" i="131"/>
  <c r="AB458" i="131"/>
  <c r="AL458" i="131" s="1"/>
  <c r="AI458" i="131"/>
  <c r="I470" i="131"/>
  <c r="H470" i="131"/>
  <c r="K470" i="131"/>
  <c r="Y459" i="131" l="1"/>
  <c r="AA459" i="131"/>
  <c r="AV458" i="131"/>
  <c r="N459" i="131"/>
  <c r="AU458" i="131"/>
  <c r="AT458" i="131"/>
  <c r="O459" i="131"/>
  <c r="AO458" i="131"/>
  <c r="AJ458" i="131"/>
  <c r="AK458" i="131" s="1"/>
  <c r="AG458" i="131"/>
  <c r="AF458" i="131"/>
  <c r="C471" i="131"/>
  <c r="A470" i="131"/>
  <c r="B471" i="131"/>
  <c r="AP459" i="131" l="1"/>
  <c r="AN459" i="131"/>
  <c r="AS459" i="131" s="1"/>
  <c r="AI459" i="131"/>
  <c r="Q459" i="131"/>
  <c r="V459" i="131" s="1"/>
  <c r="M459" i="131"/>
  <c r="L459" i="131" s="1"/>
  <c r="X470" i="131"/>
  <c r="E471" i="131"/>
  <c r="J471" i="131" s="1"/>
  <c r="Z459" i="131" l="1"/>
  <c r="AC459" i="131" s="1"/>
  <c r="AM459" i="131"/>
  <c r="P459" i="131"/>
  <c r="D471" i="131"/>
  <c r="AH459" i="131" l="1"/>
  <c r="AB459" i="131"/>
  <c r="U459" i="131"/>
  <c r="T459" i="131"/>
  <c r="W459" i="131"/>
  <c r="I471" i="131"/>
  <c r="H471" i="131"/>
  <c r="K471" i="131"/>
  <c r="O460" i="131" l="1"/>
  <c r="AU459" i="131"/>
  <c r="AV459" i="131"/>
  <c r="AO459" i="131"/>
  <c r="AT459" i="131"/>
  <c r="N460" i="131"/>
  <c r="AG459" i="131"/>
  <c r="AF459" i="131"/>
  <c r="AL459" i="131"/>
  <c r="B472" i="131"/>
  <c r="A471" i="131"/>
  <c r="C472" i="131"/>
  <c r="AA460" i="131" l="1"/>
  <c r="Y460" i="131"/>
  <c r="AJ459" i="131"/>
  <c r="AK459" i="131" s="1"/>
  <c r="Q460" i="131"/>
  <c r="V460" i="131" s="1"/>
  <c r="M460" i="131"/>
  <c r="L460" i="131" s="1"/>
  <c r="AN460" i="131"/>
  <c r="AS460" i="131" s="1"/>
  <c r="AP460" i="131"/>
  <c r="AI460" i="131"/>
  <c r="X471" i="131"/>
  <c r="E472" i="131"/>
  <c r="J472" i="131" s="1"/>
  <c r="P460" i="131" l="1"/>
  <c r="Z460" i="131"/>
  <c r="AM460" i="131"/>
  <c r="AC460" i="131"/>
  <c r="AH460" i="131" s="1"/>
  <c r="D472" i="131"/>
  <c r="K472" i="131" s="1"/>
  <c r="B473" i="131" s="1"/>
  <c r="AB460" i="131" l="1"/>
  <c r="U460" i="131"/>
  <c r="T460" i="131"/>
  <c r="W460" i="131"/>
  <c r="H472" i="131"/>
  <c r="I472" i="131"/>
  <c r="C473" i="131"/>
  <c r="A472" i="131"/>
  <c r="X472" i="131" s="1"/>
  <c r="E473" i="131"/>
  <c r="J473" i="131" s="1"/>
  <c r="AO460" i="131" l="1"/>
  <c r="O461" i="131"/>
  <c r="N461" i="131"/>
  <c r="AV460" i="131"/>
  <c r="AU460" i="131"/>
  <c r="AT460" i="131"/>
  <c r="AG460" i="131"/>
  <c r="AF460" i="131"/>
  <c r="AL460" i="131"/>
  <c r="AJ460" i="131" s="1"/>
  <c r="AK460" i="131" s="1"/>
  <c r="D473" i="131"/>
  <c r="Y461" i="131" l="1"/>
  <c r="AA461" i="131"/>
  <c r="M461" i="131"/>
  <c r="L461" i="131" s="1"/>
  <c r="Q461" i="131"/>
  <c r="V461" i="131" s="1"/>
  <c r="AN461" i="131"/>
  <c r="AS461" i="131" s="1"/>
  <c r="AP461" i="131"/>
  <c r="AI461" i="131"/>
  <c r="I473" i="131"/>
  <c r="H473" i="131"/>
  <c r="K473" i="131"/>
  <c r="P461" i="131" l="1"/>
  <c r="U461" i="131"/>
  <c r="T461" i="131"/>
  <c r="AM461" i="131"/>
  <c r="Z461" i="131"/>
  <c r="W461" i="131"/>
  <c r="AC461" i="131"/>
  <c r="AH461" i="131" s="1"/>
  <c r="C474" i="131"/>
  <c r="A473" i="131"/>
  <c r="B474" i="131"/>
  <c r="N462" i="131" l="1"/>
  <c r="AV461" i="131"/>
  <c r="AO461" i="131"/>
  <c r="O462" i="131"/>
  <c r="AU461" i="131"/>
  <c r="AT461" i="131"/>
  <c r="AB461" i="131"/>
  <c r="E474" i="131"/>
  <c r="J474" i="131" s="1"/>
  <c r="X473" i="131"/>
  <c r="AN462" i="131" l="1"/>
  <c r="AS462" i="131" s="1"/>
  <c r="AP462" i="131"/>
  <c r="AF461" i="131"/>
  <c r="AG461" i="131"/>
  <c r="AL461" i="131"/>
  <c r="M462" i="131"/>
  <c r="L462" i="131" s="1"/>
  <c r="Q462" i="131"/>
  <c r="V462" i="131" s="1"/>
  <c r="D474" i="131"/>
  <c r="K474" i="131" s="1"/>
  <c r="Y462" i="131" l="1"/>
  <c r="AA462" i="131"/>
  <c r="AJ461" i="131"/>
  <c r="AK461" i="131" s="1"/>
  <c r="Z462" i="131"/>
  <c r="AM462" i="131"/>
  <c r="P462" i="131"/>
  <c r="I474" i="131"/>
  <c r="H474" i="131"/>
  <c r="C475" i="131"/>
  <c r="A474" i="131"/>
  <c r="B475" i="131"/>
  <c r="U462" i="131" l="1"/>
  <c r="T462" i="131"/>
  <c r="W462" i="131"/>
  <c r="AI462" i="131"/>
  <c r="AC462" i="131"/>
  <c r="AH462" i="131" s="1"/>
  <c r="X474" i="131"/>
  <c r="E475" i="131"/>
  <c r="J475" i="131" s="1"/>
  <c r="AB462" i="131" l="1"/>
  <c r="O463" i="131"/>
  <c r="AO462" i="131"/>
  <c r="N463" i="131"/>
  <c r="AU462" i="131"/>
  <c r="AV462" i="131"/>
  <c r="AT462" i="131"/>
  <c r="D475" i="131"/>
  <c r="K475" i="131" s="1"/>
  <c r="B476" i="131" s="1"/>
  <c r="AN463" i="131" l="1"/>
  <c r="AS463" i="131" s="1"/>
  <c r="AP463" i="131"/>
  <c r="M463" i="131"/>
  <c r="L463" i="131" s="1"/>
  <c r="Q463" i="131"/>
  <c r="V463" i="131" s="1"/>
  <c r="AG462" i="131"/>
  <c r="AF462" i="131"/>
  <c r="AL462" i="131"/>
  <c r="H475" i="131"/>
  <c r="I475" i="131"/>
  <c r="C476" i="131"/>
  <c r="A475" i="131"/>
  <c r="X475" i="131" s="1"/>
  <c r="E476" i="131"/>
  <c r="J476" i="131" s="1"/>
  <c r="Y463" i="131" l="1"/>
  <c r="AA463" i="131"/>
  <c r="AJ462" i="131"/>
  <c r="AK462" i="131" s="1"/>
  <c r="AM463" i="131"/>
  <c r="Z463" i="131"/>
  <c r="P463" i="131"/>
  <c r="D476" i="131"/>
  <c r="T463" i="131" l="1"/>
  <c r="U463" i="131"/>
  <c r="W463" i="131"/>
  <c r="AI463" i="131"/>
  <c r="AC463" i="131"/>
  <c r="AH463" i="131" s="1"/>
  <c r="I476" i="131"/>
  <c r="H476" i="131"/>
  <c r="K476" i="131"/>
  <c r="AB463" i="131" l="1"/>
  <c r="AV463" i="131"/>
  <c r="N464" i="131"/>
  <c r="O464" i="131"/>
  <c r="AO463" i="131"/>
  <c r="AT463" i="131"/>
  <c r="AU463" i="131"/>
  <c r="A476" i="131"/>
  <c r="C477" i="131"/>
  <c r="B477" i="131"/>
  <c r="AP464" i="131" l="1"/>
  <c r="AN464" i="131"/>
  <c r="AS464" i="131" s="1"/>
  <c r="M464" i="131"/>
  <c r="L464" i="131" s="1"/>
  <c r="Q464" i="131"/>
  <c r="V464" i="131" s="1"/>
  <c r="AG463" i="131"/>
  <c r="AF463" i="131"/>
  <c r="AL463" i="131"/>
  <c r="X476" i="131"/>
  <c r="E477" i="131"/>
  <c r="J477" i="131" s="1"/>
  <c r="Y464" i="131" l="1"/>
  <c r="AA464" i="131"/>
  <c r="AJ463" i="131"/>
  <c r="AK463" i="131" s="1"/>
  <c r="Z464" i="131"/>
  <c r="AM464" i="131"/>
  <c r="P464" i="131"/>
  <c r="D477" i="131"/>
  <c r="U464" i="131" l="1"/>
  <c r="T464" i="131"/>
  <c r="W464" i="131"/>
  <c r="AI464" i="131"/>
  <c r="AC464" i="131"/>
  <c r="AH464" i="131" s="1"/>
  <c r="H477" i="131"/>
  <c r="I477" i="131"/>
  <c r="K477" i="131"/>
  <c r="AB464" i="131" l="1"/>
  <c r="N465" i="131"/>
  <c r="AV464" i="131"/>
  <c r="AO464" i="131"/>
  <c r="AT464" i="131"/>
  <c r="AU464" i="131"/>
  <c r="O465" i="131"/>
  <c r="B478" i="131"/>
  <c r="C478" i="131"/>
  <c r="A477" i="131"/>
  <c r="AN465" i="131" l="1"/>
  <c r="AS465" i="131" s="1"/>
  <c r="AP465" i="131"/>
  <c r="M465" i="131"/>
  <c r="L465" i="131" s="1"/>
  <c r="Q465" i="131"/>
  <c r="V465" i="131" s="1"/>
  <c r="AF464" i="131"/>
  <c r="AG464" i="131"/>
  <c r="AL464" i="131"/>
  <c r="X477" i="131"/>
  <c r="E478" i="131"/>
  <c r="J478" i="131" s="1"/>
  <c r="Y465" i="131" l="1"/>
  <c r="AA465" i="131"/>
  <c r="AJ464" i="131"/>
  <c r="AK464" i="131" s="1"/>
  <c r="P465" i="131"/>
  <c r="Z465" i="131"/>
  <c r="AM465" i="131"/>
  <c r="D478" i="131"/>
  <c r="AI465" i="131" l="1"/>
  <c r="T465" i="131"/>
  <c r="U465" i="131"/>
  <c r="W465" i="131"/>
  <c r="AC465" i="131"/>
  <c r="AH465" i="131" s="1"/>
  <c r="I478" i="131"/>
  <c r="H478" i="131"/>
  <c r="K478" i="131"/>
  <c r="O466" i="131" l="1"/>
  <c r="AV465" i="131"/>
  <c r="AO465" i="131"/>
  <c r="N466" i="131"/>
  <c r="AU465" i="131"/>
  <c r="AT465" i="131"/>
  <c r="AB465" i="131"/>
  <c r="C479" i="131"/>
  <c r="A478" i="131"/>
  <c r="B479" i="131"/>
  <c r="AF465" i="131" l="1"/>
  <c r="AG465" i="131"/>
  <c r="AL465" i="131"/>
  <c r="M466" i="131"/>
  <c r="L466" i="131" s="1"/>
  <c r="Q466" i="131"/>
  <c r="V466" i="131" s="1"/>
  <c r="AP466" i="131"/>
  <c r="AN466" i="131"/>
  <c r="AS466" i="131" s="1"/>
  <c r="P466" i="131"/>
  <c r="X478" i="131"/>
  <c r="E479" i="131"/>
  <c r="J479" i="131" s="1"/>
  <c r="U466" i="131" l="1"/>
  <c r="T466" i="131"/>
  <c r="W466" i="131"/>
  <c r="Z466" i="131"/>
  <c r="AM466" i="131"/>
  <c r="Y466" i="131"/>
  <c r="AA466" i="131"/>
  <c r="AJ465" i="131"/>
  <c r="AK465" i="131" s="1"/>
  <c r="D479" i="131"/>
  <c r="AI466" i="131" l="1"/>
  <c r="AC466" i="131"/>
  <c r="AH466" i="131" s="1"/>
  <c r="AO466" i="131"/>
  <c r="AU466" i="131"/>
  <c r="AV466" i="131"/>
  <c r="O467" i="131"/>
  <c r="N467" i="131"/>
  <c r="AT466" i="131"/>
  <c r="I479" i="131"/>
  <c r="H479" i="131"/>
  <c r="K479" i="131"/>
  <c r="AP467" i="131" l="1"/>
  <c r="AN467" i="131"/>
  <c r="AS467" i="131" s="1"/>
  <c r="AB466" i="131"/>
  <c r="Q467" i="131"/>
  <c r="V467" i="131" s="1"/>
  <c r="M467" i="131"/>
  <c r="L467" i="131" s="1"/>
  <c r="C480" i="131"/>
  <c r="A479" i="131"/>
  <c r="B480" i="131"/>
  <c r="AM467" i="131" l="1"/>
  <c r="Z467" i="131"/>
  <c r="AG466" i="131"/>
  <c r="AF466" i="131"/>
  <c r="AL466" i="131"/>
  <c r="P467" i="131"/>
  <c r="X479" i="131"/>
  <c r="E480" i="131"/>
  <c r="J480" i="131" s="1"/>
  <c r="U467" i="131" l="1"/>
  <c r="T467" i="131"/>
  <c r="W467" i="131"/>
  <c r="AA467" i="131"/>
  <c r="Y467" i="131"/>
  <c r="AJ466" i="131"/>
  <c r="AK466" i="131" s="1"/>
  <c r="D480" i="131"/>
  <c r="I480" i="131" s="1"/>
  <c r="N468" i="131" l="1"/>
  <c r="AV467" i="131"/>
  <c r="AO467" i="131"/>
  <c r="O468" i="131"/>
  <c r="AU467" i="131"/>
  <c r="AT467" i="131"/>
  <c r="AI467" i="131"/>
  <c r="AC467" i="131"/>
  <c r="AH467" i="131" s="1"/>
  <c r="K480" i="131"/>
  <c r="B481" i="131" s="1"/>
  <c r="H480" i="131"/>
  <c r="AB467" i="131" l="1"/>
  <c r="AL467" i="131" s="1"/>
  <c r="Y468" i="131"/>
  <c r="AA468" i="131"/>
  <c r="AJ467" i="131"/>
  <c r="AK467" i="131" s="1"/>
  <c r="AF467" i="131"/>
  <c r="AG467" i="131"/>
  <c r="AP468" i="131"/>
  <c r="AN468" i="131"/>
  <c r="AS468" i="131" s="1"/>
  <c r="AI468" i="131"/>
  <c r="Q468" i="131"/>
  <c r="V468" i="131" s="1"/>
  <c r="M468" i="131"/>
  <c r="L468" i="131" s="1"/>
  <c r="C481" i="131"/>
  <c r="A480" i="131"/>
  <c r="X480" i="131" s="1"/>
  <c r="E481" i="131"/>
  <c r="J481" i="131" s="1"/>
  <c r="P468" i="131" l="1"/>
  <c r="W468" i="131" s="1"/>
  <c r="AV468" i="131" s="1"/>
  <c r="O469" i="131"/>
  <c r="AT468" i="131"/>
  <c r="AU468" i="131"/>
  <c r="N469" i="131"/>
  <c r="Z468" i="131"/>
  <c r="AC468" i="131" s="1"/>
  <c r="AM468" i="131"/>
  <c r="T468" i="131"/>
  <c r="U468" i="131"/>
  <c r="D481" i="131"/>
  <c r="K481" i="131" s="1"/>
  <c r="B482" i="131" s="1"/>
  <c r="AO468" i="131" l="1"/>
  <c r="AH468" i="131"/>
  <c r="AB468" i="131"/>
  <c r="Q469" i="131"/>
  <c r="V469" i="131" s="1"/>
  <c r="M469" i="131"/>
  <c r="L469" i="131" s="1"/>
  <c r="AN469" i="131"/>
  <c r="AS469" i="131" s="1"/>
  <c r="AP469" i="131"/>
  <c r="I481" i="131"/>
  <c r="H481" i="131"/>
  <c r="C482" i="131"/>
  <c r="A481" i="131"/>
  <c r="X481" i="131" s="1"/>
  <c r="E482" i="131"/>
  <c r="J482" i="131" s="1"/>
  <c r="P469" i="131" l="1"/>
  <c r="U469" i="131"/>
  <c r="T469" i="131"/>
  <c r="AM469" i="131"/>
  <c r="Z469" i="131"/>
  <c r="AG468" i="131"/>
  <c r="AF468" i="131"/>
  <c r="AL468" i="131"/>
  <c r="W469" i="131"/>
  <c r="D482" i="131"/>
  <c r="H482" i="131" s="1"/>
  <c r="AA469" i="131" l="1"/>
  <c r="Y469" i="131"/>
  <c r="AC469" i="131" s="1"/>
  <c r="AH469" i="131" s="1"/>
  <c r="AJ468" i="131"/>
  <c r="AK468" i="131" s="1"/>
  <c r="AU469" i="131"/>
  <c r="O470" i="131"/>
  <c r="AT469" i="131"/>
  <c r="N470" i="131"/>
  <c r="AV469" i="131"/>
  <c r="AO469" i="131"/>
  <c r="K482" i="131"/>
  <c r="C483" i="131" s="1"/>
  <c r="I482" i="131"/>
  <c r="Q470" i="131" l="1"/>
  <c r="V470" i="131" s="1"/>
  <c r="M470" i="131"/>
  <c r="L470" i="131" s="1"/>
  <c r="AN470" i="131"/>
  <c r="AS470" i="131" s="1"/>
  <c r="AP470" i="131"/>
  <c r="P470" i="131"/>
  <c r="AB469" i="131"/>
  <c r="AI469" i="131"/>
  <c r="B483" i="131"/>
  <c r="E483" i="131" s="1"/>
  <c r="J483" i="131" s="1"/>
  <c r="A482" i="131"/>
  <c r="X482" i="131" s="1"/>
  <c r="T470" i="131" l="1"/>
  <c r="U470" i="131"/>
  <c r="W470" i="131"/>
  <c r="AL469" i="131"/>
  <c r="AG469" i="131"/>
  <c r="AF469" i="131"/>
  <c r="AM470" i="131"/>
  <c r="Z470" i="131"/>
  <c r="D483" i="131"/>
  <c r="K483" i="131" s="1"/>
  <c r="AA470" i="131" l="1"/>
  <c r="Y470" i="131"/>
  <c r="AJ469" i="131"/>
  <c r="AK469" i="131" s="1"/>
  <c r="O471" i="131"/>
  <c r="AO470" i="131"/>
  <c r="AU470" i="131"/>
  <c r="AV470" i="131"/>
  <c r="AT470" i="131"/>
  <c r="N471" i="131"/>
  <c r="H483" i="131"/>
  <c r="I483" i="131"/>
  <c r="B484" i="131"/>
  <c r="A483" i="131"/>
  <c r="C484" i="131"/>
  <c r="M471" i="131" l="1"/>
  <c r="L471" i="131" s="1"/>
  <c r="Q471" i="131"/>
  <c r="V471" i="131" s="1"/>
  <c r="AN471" i="131"/>
  <c r="AS471" i="131" s="1"/>
  <c r="AP471" i="131"/>
  <c r="P471" i="131"/>
  <c r="AC470" i="131"/>
  <c r="AH470" i="131" s="1"/>
  <c r="AI470" i="131"/>
  <c r="X483" i="131"/>
  <c r="E484" i="131"/>
  <c r="J484" i="131" s="1"/>
  <c r="AB470" i="131" l="1"/>
  <c r="AG470" i="131" s="1"/>
  <c r="AM471" i="131"/>
  <c r="Z471" i="131"/>
  <c r="T471" i="131"/>
  <c r="U471" i="131"/>
  <c r="W471" i="131"/>
  <c r="D484" i="131"/>
  <c r="K484" i="131" s="1"/>
  <c r="AL470" i="131" l="1"/>
  <c r="AF470" i="131"/>
  <c r="O472" i="131"/>
  <c r="AV471" i="131"/>
  <c r="AU471" i="131"/>
  <c r="N472" i="131"/>
  <c r="AT471" i="131"/>
  <c r="AO471" i="131"/>
  <c r="AJ470" i="131"/>
  <c r="AK470" i="131" s="1"/>
  <c r="Y471" i="131"/>
  <c r="AA471" i="131"/>
  <c r="H484" i="131"/>
  <c r="I484" i="131"/>
  <c r="C485" i="131"/>
  <c r="A484" i="131"/>
  <c r="B485" i="131"/>
  <c r="AI471" i="131" l="1"/>
  <c r="M472" i="131"/>
  <c r="L472" i="131" s="1"/>
  <c r="Q472" i="131"/>
  <c r="V472" i="131" s="1"/>
  <c r="AC471" i="131"/>
  <c r="AH471" i="131" s="1"/>
  <c r="AP472" i="131"/>
  <c r="P472" i="131"/>
  <c r="W472" i="131" s="1"/>
  <c r="AN472" i="131"/>
  <c r="AS472" i="131" s="1"/>
  <c r="E485" i="131"/>
  <c r="J485" i="131" s="1"/>
  <c r="X484" i="131"/>
  <c r="O473" i="131" l="1"/>
  <c r="AT472" i="131"/>
  <c r="AU472" i="131"/>
  <c r="AO472" i="131"/>
  <c r="N473" i="131"/>
  <c r="AV472" i="131"/>
  <c r="AB471" i="131"/>
  <c r="U472" i="131"/>
  <c r="T472" i="131"/>
  <c r="Z472" i="131"/>
  <c r="AM472" i="131"/>
  <c r="D485" i="131"/>
  <c r="K485" i="131" s="1"/>
  <c r="AF471" i="131" l="1"/>
  <c r="AG471" i="131"/>
  <c r="AL471" i="131"/>
  <c r="M473" i="131"/>
  <c r="L473" i="131" s="1"/>
  <c r="Q473" i="131"/>
  <c r="V473" i="131" s="1"/>
  <c r="AN473" i="131"/>
  <c r="AS473" i="131" s="1"/>
  <c r="AP473" i="131"/>
  <c r="H485" i="131"/>
  <c r="I485" i="131"/>
  <c r="A485" i="131"/>
  <c r="C486" i="131"/>
  <c r="B486" i="131"/>
  <c r="P473" i="131" l="1"/>
  <c r="U473" i="131" s="1"/>
  <c r="AA472" i="131"/>
  <c r="Y472" i="131"/>
  <c r="AJ471" i="131"/>
  <c r="AK471" i="131" s="1"/>
  <c r="AM473" i="131"/>
  <c r="Z473" i="131"/>
  <c r="E486" i="131"/>
  <c r="J486" i="131" s="1"/>
  <c r="X485" i="131"/>
  <c r="T473" i="131" l="1"/>
  <c r="W473" i="131"/>
  <c r="AC472" i="131"/>
  <c r="AH472" i="131" s="1"/>
  <c r="AB472" i="131"/>
  <c r="AI472" i="131"/>
  <c r="N474" i="131"/>
  <c r="AU473" i="131"/>
  <c r="O474" i="131"/>
  <c r="AT473" i="131"/>
  <c r="AV473" i="131"/>
  <c r="AO473" i="131"/>
  <c r="D486" i="131"/>
  <c r="AF472" i="131" l="1"/>
  <c r="AG472" i="131"/>
  <c r="AP474" i="131"/>
  <c r="AN474" i="131"/>
  <c r="AS474" i="131" s="1"/>
  <c r="AL472" i="131"/>
  <c r="Q474" i="131"/>
  <c r="V474" i="131" s="1"/>
  <c r="M474" i="131"/>
  <c r="L474" i="131" s="1"/>
  <c r="I486" i="131"/>
  <c r="H486" i="131"/>
  <c r="K486" i="131"/>
  <c r="AA473" i="131" l="1"/>
  <c r="Y473" i="131"/>
  <c r="AC473" i="131" s="1"/>
  <c r="AH473" i="131" s="1"/>
  <c r="AJ472" i="131"/>
  <c r="AK472" i="131" s="1"/>
  <c r="P474" i="131"/>
  <c r="AM474" i="131"/>
  <c r="Z474" i="131"/>
  <c r="C487" i="131"/>
  <c r="B487" i="131"/>
  <c r="A486" i="131"/>
  <c r="T474" i="131" l="1"/>
  <c r="U474" i="131"/>
  <c r="W474" i="131"/>
  <c r="AI473" i="131"/>
  <c r="AB473" i="131"/>
  <c r="X486" i="131"/>
  <c r="E487" i="131"/>
  <c r="J487" i="131" s="1"/>
  <c r="AU474" i="131" l="1"/>
  <c r="AT474" i="131"/>
  <c r="N475" i="131"/>
  <c r="AO474" i="131"/>
  <c r="O475" i="131"/>
  <c r="AV474" i="131"/>
  <c r="AL473" i="131"/>
  <c r="AF473" i="131"/>
  <c r="AG473" i="131"/>
  <c r="D487" i="131"/>
  <c r="AP475" i="131" l="1"/>
  <c r="AN475" i="131"/>
  <c r="AS475" i="131" s="1"/>
  <c r="AA474" i="131"/>
  <c r="Y474" i="131"/>
  <c r="AJ473" i="131"/>
  <c r="AK473" i="131" s="1"/>
  <c r="M475" i="131"/>
  <c r="L475" i="131" s="1"/>
  <c r="Q475" i="131"/>
  <c r="V475" i="131" s="1"/>
  <c r="H487" i="131"/>
  <c r="I487" i="131"/>
  <c r="K487" i="131"/>
  <c r="Z475" i="131" l="1"/>
  <c r="AM475" i="131"/>
  <c r="AI474" i="131"/>
  <c r="AC474" i="131"/>
  <c r="AH474" i="131" s="1"/>
  <c r="P475" i="131"/>
  <c r="B488" i="131"/>
  <c r="A487" i="131"/>
  <c r="C488" i="131"/>
  <c r="U475" i="131" l="1"/>
  <c r="T475" i="131"/>
  <c r="W475" i="131"/>
  <c r="AB474" i="131"/>
  <c r="X487" i="131"/>
  <c r="E488" i="131"/>
  <c r="J488" i="131" s="1"/>
  <c r="AG474" i="131" l="1"/>
  <c r="AF474" i="131"/>
  <c r="AL474" i="131"/>
  <c r="AO475" i="131"/>
  <c r="AV475" i="131"/>
  <c r="O476" i="131"/>
  <c r="AT475" i="131"/>
  <c r="N476" i="131"/>
  <c r="AU475" i="131"/>
  <c r="D488" i="131"/>
  <c r="K488" i="131" s="1"/>
  <c r="C489" i="131" s="1"/>
  <c r="AN476" i="131" l="1"/>
  <c r="AS476" i="131" s="1"/>
  <c r="AP476" i="131"/>
  <c r="Q476" i="131"/>
  <c r="V476" i="131" s="1"/>
  <c r="M476" i="131"/>
  <c r="L476" i="131" s="1"/>
  <c r="Y475" i="131"/>
  <c r="AA475" i="131"/>
  <c r="AJ474" i="131"/>
  <c r="AK474" i="131" s="1"/>
  <c r="I488" i="131"/>
  <c r="A488" i="131"/>
  <c r="X488" i="131" s="1"/>
  <c r="H488" i="131"/>
  <c r="B489" i="131"/>
  <c r="E489" i="131" s="1"/>
  <c r="J489" i="131" s="1"/>
  <c r="AI475" i="131" l="1"/>
  <c r="AC475" i="131"/>
  <c r="AH475" i="131" s="1"/>
  <c r="AM476" i="131"/>
  <c r="Z476" i="131"/>
  <c r="P476" i="131"/>
  <c r="D489" i="131"/>
  <c r="U476" i="131" l="1"/>
  <c r="T476" i="131"/>
  <c r="W476" i="131"/>
  <c r="AB475" i="131"/>
  <c r="I489" i="131"/>
  <c r="H489" i="131"/>
  <c r="K489" i="131"/>
  <c r="AG475" i="131" l="1"/>
  <c r="AF475" i="131"/>
  <c r="AL475" i="131"/>
  <c r="O477" i="131"/>
  <c r="AU476" i="131"/>
  <c r="AT476" i="131"/>
  <c r="AO476" i="131"/>
  <c r="N477" i="131"/>
  <c r="AV476" i="131"/>
  <c r="C490" i="131"/>
  <c r="A489" i="131"/>
  <c r="B490" i="131"/>
  <c r="M477" i="131" l="1"/>
  <c r="L477" i="131" s="1"/>
  <c r="Q477" i="131"/>
  <c r="V477" i="131" s="1"/>
  <c r="AP477" i="131"/>
  <c r="AN477" i="131"/>
  <c r="AS477" i="131" s="1"/>
  <c r="P477" i="131"/>
  <c r="AA476" i="131"/>
  <c r="Y476" i="131"/>
  <c r="AJ475" i="131"/>
  <c r="AK475" i="131" s="1"/>
  <c r="E490" i="131"/>
  <c r="J490" i="131" s="1"/>
  <c r="X489" i="131"/>
  <c r="AC476" i="131" l="1"/>
  <c r="AH476" i="131" s="1"/>
  <c r="AI476" i="131"/>
  <c r="T477" i="131"/>
  <c r="U477" i="131"/>
  <c r="W477" i="131"/>
  <c r="AM477" i="131"/>
  <c r="Z477" i="131"/>
  <c r="D490" i="131"/>
  <c r="O478" i="131" l="1"/>
  <c r="N478" i="131"/>
  <c r="AU477" i="131"/>
  <c r="AV477" i="131"/>
  <c r="AO477" i="131"/>
  <c r="AT477" i="131"/>
  <c r="AB476" i="131"/>
  <c r="I490" i="131"/>
  <c r="H490" i="131"/>
  <c r="K490" i="131"/>
  <c r="AG476" i="131" l="1"/>
  <c r="AF476" i="131"/>
  <c r="AL476" i="131"/>
  <c r="Q478" i="131"/>
  <c r="V478" i="131" s="1"/>
  <c r="M478" i="131"/>
  <c r="L478" i="131" s="1"/>
  <c r="AN478" i="131"/>
  <c r="AS478" i="131" s="1"/>
  <c r="AP478" i="131"/>
  <c r="A490" i="131"/>
  <c r="C491" i="131"/>
  <c r="B491" i="131"/>
  <c r="P478" i="131" l="1"/>
  <c r="AM478" i="131"/>
  <c r="Z478" i="131"/>
  <c r="Y477" i="131"/>
  <c r="AA477" i="131"/>
  <c r="AJ476" i="131"/>
  <c r="AK476" i="131" s="1"/>
  <c r="E491" i="131"/>
  <c r="J491" i="131" s="1"/>
  <c r="X490" i="131"/>
  <c r="U478" i="131" l="1"/>
  <c r="T478" i="131"/>
  <c r="W478" i="131"/>
  <c r="AI477" i="131"/>
  <c r="AC477" i="131"/>
  <c r="AH477" i="131" s="1"/>
  <c r="D491" i="131"/>
  <c r="O479" i="131" l="1"/>
  <c r="AT478" i="131"/>
  <c r="AV478" i="131"/>
  <c r="AU478" i="131"/>
  <c r="N479" i="131"/>
  <c r="AO478" i="131"/>
  <c r="AB477" i="131"/>
  <c r="H491" i="131"/>
  <c r="I491" i="131"/>
  <c r="K491" i="131"/>
  <c r="A491" i="131" s="1"/>
  <c r="AF477" i="131" l="1"/>
  <c r="AG477" i="131"/>
  <c r="AL477" i="131"/>
  <c r="M479" i="131"/>
  <c r="L479" i="131" s="1"/>
  <c r="Q479" i="131"/>
  <c r="V479" i="131" s="1"/>
  <c r="AP479" i="131"/>
  <c r="AN479" i="131"/>
  <c r="AS479" i="131" s="1"/>
  <c r="X491" i="131"/>
  <c r="P479" i="131" l="1"/>
  <c r="Z479" i="131"/>
  <c r="AM479" i="131"/>
  <c r="Y478" i="131"/>
  <c r="AA478" i="131"/>
  <c r="AJ477" i="131"/>
  <c r="AK477" i="131" s="1"/>
  <c r="AI478" i="131" l="1"/>
  <c r="AC478" i="131"/>
  <c r="AH478" i="131" s="1"/>
  <c r="T479" i="131"/>
  <c r="U479" i="131"/>
  <c r="W479" i="131"/>
  <c r="AV479" i="131" l="1"/>
  <c r="O480" i="131"/>
  <c r="AO479" i="131"/>
  <c r="AT479" i="131"/>
  <c r="AU479" i="131"/>
  <c r="N480" i="131"/>
  <c r="AB478" i="131"/>
  <c r="AP480" i="131" l="1"/>
  <c r="AN480" i="131"/>
  <c r="AS480" i="131" s="1"/>
  <c r="AF478" i="131"/>
  <c r="AG478" i="131"/>
  <c r="AL478" i="131"/>
  <c r="Q480" i="131"/>
  <c r="V480" i="131" s="1"/>
  <c r="M480" i="131"/>
  <c r="L480" i="131" s="1"/>
  <c r="Z480" i="131" l="1"/>
  <c r="AM480" i="131"/>
  <c r="Y479" i="131"/>
  <c r="AA479" i="131"/>
  <c r="AJ478" i="131"/>
  <c r="AK478" i="131" s="1"/>
  <c r="P480" i="131"/>
  <c r="U480" i="131" l="1"/>
  <c r="T480" i="131"/>
  <c r="W480" i="131"/>
  <c r="AI479" i="131"/>
  <c r="AC479" i="131"/>
  <c r="AH479" i="131" s="1"/>
  <c r="AT480" i="131" l="1"/>
  <c r="AO480" i="131"/>
  <c r="O481" i="131"/>
  <c r="AU480" i="131"/>
  <c r="N481" i="131"/>
  <c r="AV480" i="131"/>
  <c r="AB479" i="131"/>
  <c r="AG479" i="131" l="1"/>
  <c r="AF479" i="131"/>
  <c r="AL479" i="131"/>
  <c r="AN481" i="131"/>
  <c r="AS481" i="131" s="1"/>
  <c r="AP481" i="131"/>
  <c r="Q481" i="131"/>
  <c r="V481" i="131" s="1"/>
  <c r="M481" i="131"/>
  <c r="L481" i="131" s="1"/>
  <c r="P481" i="131" l="1"/>
  <c r="AA480" i="131"/>
  <c r="Y480" i="131"/>
  <c r="AJ479" i="131"/>
  <c r="AK479" i="131" s="1"/>
  <c r="Z481" i="131"/>
  <c r="AM481" i="131"/>
  <c r="AI480" i="131" l="1"/>
  <c r="AC480" i="131"/>
  <c r="AH480" i="131" s="1"/>
  <c r="T481" i="131"/>
  <c r="U481" i="131"/>
  <c r="W481" i="131"/>
  <c r="AT481" i="131" l="1"/>
  <c r="AO481" i="131"/>
  <c r="AV481" i="131"/>
  <c r="AU481" i="131"/>
  <c r="N482" i="131"/>
  <c r="O482" i="131"/>
  <c r="AB480" i="131"/>
  <c r="AG480" i="131" l="1"/>
  <c r="AF480" i="131"/>
  <c r="AL480" i="131"/>
  <c r="AN482" i="131"/>
  <c r="AS482" i="131" s="1"/>
  <c r="AP482" i="131"/>
  <c r="M482" i="131"/>
  <c r="L482" i="131" s="1"/>
  <c r="Q482" i="131"/>
  <c r="V482" i="131" s="1"/>
  <c r="P482" i="131" l="1"/>
  <c r="W482" i="131" s="1"/>
  <c r="AU482" i="131"/>
  <c r="AT482" i="131"/>
  <c r="N483" i="131"/>
  <c r="AV482" i="131"/>
  <c r="AO482" i="131"/>
  <c r="O483" i="131"/>
  <c r="Z482" i="131"/>
  <c r="AM482" i="131"/>
  <c r="T482" i="131"/>
  <c r="U482" i="131"/>
  <c r="Y481" i="131"/>
  <c r="AA481" i="131"/>
  <c r="AJ480" i="131"/>
  <c r="AK480" i="131" s="1"/>
  <c r="AI481" i="131" l="1"/>
  <c r="AC481" i="131"/>
  <c r="AH481" i="131" s="1"/>
  <c r="AP483" i="131"/>
  <c r="AN483" i="131"/>
  <c r="AS483" i="131" s="1"/>
  <c r="Q483" i="131"/>
  <c r="V483" i="131" s="1"/>
  <c r="M483" i="131"/>
  <c r="L483" i="131" s="1"/>
  <c r="AM483" i="131" l="1"/>
  <c r="Z483" i="131"/>
  <c r="P483" i="131"/>
  <c r="AB481" i="131"/>
  <c r="AG481" i="131" l="1"/>
  <c r="AF481" i="131"/>
  <c r="AL481" i="131"/>
  <c r="U483" i="131"/>
  <c r="T483" i="131"/>
  <c r="W483" i="131"/>
  <c r="N484" i="131" l="1"/>
  <c r="O484" i="131"/>
  <c r="AV483" i="131"/>
  <c r="AU483" i="131"/>
  <c r="AT483" i="131"/>
  <c r="AO483" i="131"/>
  <c r="Y482" i="131"/>
  <c r="AA482" i="131"/>
  <c r="AJ481" i="131"/>
  <c r="AK481" i="131" s="1"/>
  <c r="AI482" i="131" l="1"/>
  <c r="AC482" i="131"/>
  <c r="AH482" i="131" s="1"/>
  <c r="AP484" i="131"/>
  <c r="AN484" i="131"/>
  <c r="AS484" i="131" s="1"/>
  <c r="M484" i="131"/>
  <c r="L484" i="131" s="1"/>
  <c r="Q484" i="131"/>
  <c r="V484" i="131" s="1"/>
  <c r="P484" i="131" l="1"/>
  <c r="W484" i="131" s="1"/>
  <c r="AO484" i="131"/>
  <c r="N485" i="131"/>
  <c r="AV484" i="131"/>
  <c r="O485" i="131"/>
  <c r="AU484" i="131"/>
  <c r="AT484" i="131"/>
  <c r="Z484" i="131"/>
  <c r="AM484" i="131"/>
  <c r="U484" i="131"/>
  <c r="T484" i="131"/>
  <c r="AB482" i="131"/>
  <c r="AB11" i="131"/>
  <c r="AI8" i="131"/>
  <c r="AI9" i="131" s="1"/>
  <c r="AJ8" i="131"/>
  <c r="AJ9" i="131" s="1"/>
  <c r="AG482" i="131" l="1"/>
  <c r="AF482" i="131"/>
  <c r="AL482" i="131"/>
  <c r="AP485" i="131"/>
  <c r="AN485" i="131"/>
  <c r="AS485" i="131" s="1"/>
  <c r="M485" i="131"/>
  <c r="L485" i="131" s="1"/>
  <c r="Q485" i="131"/>
  <c r="V485" i="131" s="1"/>
  <c r="AI11" i="131"/>
  <c r="AR5" i="131"/>
  <c r="AT4" i="131"/>
  <c r="AR10" i="131"/>
  <c r="AT6" i="131"/>
  <c r="AR4" i="131"/>
  <c r="AI10" i="131"/>
  <c r="AR9" i="131"/>
  <c r="AU5" i="131"/>
  <c r="AT5" i="131"/>
  <c r="AS5" i="131"/>
  <c r="AS4" i="131"/>
  <c r="AR6" i="131"/>
  <c r="AU4" i="131"/>
  <c r="AJ11" i="131"/>
  <c r="AJ10" i="131"/>
  <c r="AU6" i="131"/>
  <c r="AS6" i="131"/>
  <c r="Z485" i="131" l="1"/>
  <c r="AM485" i="131"/>
  <c r="P485" i="131"/>
  <c r="Y483" i="131"/>
  <c r="AJ482" i="131"/>
  <c r="AK482" i="131" s="1"/>
  <c r="AA483" i="131"/>
  <c r="AT7" i="131"/>
  <c r="AS7" i="131"/>
  <c r="AJ12" i="131"/>
  <c r="AI12" i="131"/>
  <c r="AR11" i="131"/>
  <c r="AU7" i="131"/>
  <c r="AR7" i="131"/>
  <c r="AC483" i="131" l="1"/>
  <c r="AH483" i="131" s="1"/>
  <c r="AI483" i="131"/>
  <c r="AB483" i="131"/>
  <c r="U485" i="131"/>
  <c r="T485" i="131"/>
  <c r="W485" i="131"/>
  <c r="AV485" i="131" l="1"/>
  <c r="O486" i="131"/>
  <c r="N486" i="131"/>
  <c r="AT485" i="131"/>
  <c r="AU485" i="131"/>
  <c r="AO485" i="131"/>
  <c r="AG483" i="131"/>
  <c r="AF483" i="131"/>
  <c r="AL483" i="131"/>
  <c r="AJ483" i="131" l="1"/>
  <c r="AK483" i="131" s="1"/>
  <c r="Y484" i="131"/>
  <c r="AA484" i="131"/>
  <c r="M486" i="131"/>
  <c r="L486" i="131" s="1"/>
  <c r="Q486" i="131"/>
  <c r="V486" i="131" s="1"/>
  <c r="AN486" i="131"/>
  <c r="AS486" i="131" s="1"/>
  <c r="AP486" i="131"/>
  <c r="P486" i="131"/>
  <c r="W486" i="131" s="1"/>
  <c r="O487" i="131" l="1"/>
  <c r="AT486" i="131"/>
  <c r="AV486" i="131"/>
  <c r="AU486" i="131"/>
  <c r="AO486" i="131"/>
  <c r="N487" i="131"/>
  <c r="U486" i="131"/>
  <c r="T486" i="131"/>
  <c r="Z486" i="131"/>
  <c r="AM486" i="131"/>
  <c r="AI484" i="131"/>
  <c r="AB484" i="131"/>
  <c r="AC484" i="131"/>
  <c r="AH484" i="131" s="1"/>
  <c r="AG484" i="131" l="1"/>
  <c r="AF484" i="131"/>
  <c r="M487" i="131"/>
  <c r="L487" i="131" s="1"/>
  <c r="Q487" i="131"/>
  <c r="V487" i="131" s="1"/>
  <c r="AL484" i="131"/>
  <c r="AP487" i="131"/>
  <c r="AN487" i="131"/>
  <c r="AS487" i="131" s="1"/>
  <c r="P487" i="131" l="1"/>
  <c r="W487" i="131" s="1"/>
  <c r="N488" i="131"/>
  <c r="AU487" i="131"/>
  <c r="AO487" i="131"/>
  <c r="O488" i="131"/>
  <c r="AT487" i="131"/>
  <c r="AV487" i="131"/>
  <c r="U487" i="131"/>
  <c r="T487" i="131"/>
  <c r="Y485" i="131"/>
  <c r="AA485" i="131"/>
  <c r="AJ484" i="131"/>
  <c r="AK484" i="131" s="1"/>
  <c r="Z487" i="131"/>
  <c r="AM487" i="131"/>
  <c r="AI485" i="131" l="1"/>
  <c r="AC485" i="131"/>
  <c r="AH485" i="131" s="1"/>
  <c r="AP488" i="131"/>
  <c r="AN488" i="131"/>
  <c r="AS488" i="131" s="1"/>
  <c r="M488" i="131"/>
  <c r="L488" i="131" s="1"/>
  <c r="Q488" i="131"/>
  <c r="V488" i="131" s="1"/>
  <c r="Z488" i="131" l="1"/>
  <c r="AM488" i="131"/>
  <c r="P488" i="131"/>
  <c r="AB485" i="131"/>
  <c r="U488" i="131" l="1"/>
  <c r="T488" i="131"/>
  <c r="W488" i="131"/>
  <c r="AF485" i="131"/>
  <c r="AG485" i="131"/>
  <c r="AL485" i="131"/>
  <c r="AJ485" i="131" l="1"/>
  <c r="AK485" i="131" s="1"/>
  <c r="Y486" i="131"/>
  <c r="AA486" i="131"/>
  <c r="AU488" i="131"/>
  <c r="N489" i="131"/>
  <c r="AT488" i="131"/>
  <c r="AV488" i="131"/>
  <c r="AO488" i="131"/>
  <c r="O489" i="131"/>
  <c r="AN489" i="131" l="1"/>
  <c r="AS489" i="131" s="1"/>
  <c r="AP489" i="131"/>
  <c r="Q489" i="131"/>
  <c r="V489" i="131" s="1"/>
  <c r="M489" i="131"/>
  <c r="L489" i="131" s="1"/>
  <c r="AI486" i="131"/>
  <c r="AC486" i="131"/>
  <c r="AH486" i="131" s="1"/>
  <c r="AB486" i="131" l="1"/>
  <c r="AM489" i="131"/>
  <c r="Z489" i="131"/>
  <c r="P489" i="131"/>
  <c r="U489" i="131" l="1"/>
  <c r="T489" i="131"/>
  <c r="W489" i="131"/>
  <c r="AG486" i="131"/>
  <c r="AF486" i="131"/>
  <c r="AL486" i="131"/>
  <c r="AA487" i="131" l="1"/>
  <c r="AJ486" i="131"/>
  <c r="AK486" i="131" s="1"/>
  <c r="Y487" i="131"/>
  <c r="AT489" i="131"/>
  <c r="AV489" i="131"/>
  <c r="AU489" i="131"/>
  <c r="O490" i="131"/>
  <c r="AO489" i="131"/>
  <c r="N490" i="131"/>
  <c r="AP490" i="131" l="1"/>
  <c r="AN490" i="131"/>
  <c r="AS490" i="131" s="1"/>
  <c r="AC487" i="131"/>
  <c r="AH487" i="131" s="1"/>
  <c r="Q490" i="131"/>
  <c r="V490" i="131" s="1"/>
  <c r="M490" i="131"/>
  <c r="L490" i="131" s="1"/>
  <c r="AI487" i="131"/>
  <c r="AB487" i="131"/>
  <c r="AF487" i="131" l="1"/>
  <c r="AG487" i="131"/>
  <c r="Z490" i="131"/>
  <c r="AM490" i="131"/>
  <c r="AL487" i="131"/>
  <c r="P490" i="131"/>
  <c r="U490" i="131" l="1"/>
  <c r="T490" i="131"/>
  <c r="W490" i="131"/>
  <c r="AJ487" i="131"/>
  <c r="AK487" i="131" s="1"/>
  <c r="Y488" i="131"/>
  <c r="AA488" i="131"/>
  <c r="AI488" i="131" l="1"/>
  <c r="O491" i="131"/>
  <c r="AV490" i="131"/>
  <c r="N491" i="131"/>
  <c r="AU490" i="131"/>
  <c r="AO490" i="131"/>
  <c r="AT490" i="131"/>
  <c r="AC488" i="131"/>
  <c r="AH488" i="131" s="1"/>
  <c r="AB488" i="131" l="1"/>
  <c r="AL488" i="131" s="1"/>
  <c r="AJ488" i="131" s="1"/>
  <c r="AK488" i="131" s="1"/>
  <c r="AA489" i="131"/>
  <c r="M491" i="131"/>
  <c r="L491" i="131" s="1"/>
  <c r="Q491" i="131"/>
  <c r="V491" i="131" s="1"/>
  <c r="AP491" i="131"/>
  <c r="AN491" i="131"/>
  <c r="AS491" i="131" s="1"/>
  <c r="AF488" i="131"/>
  <c r="AG488" i="131"/>
  <c r="Y489" i="131" l="1"/>
  <c r="AC489" i="131" s="1"/>
  <c r="P491" i="131"/>
  <c r="AM491" i="131"/>
  <c r="Z491" i="131"/>
  <c r="AI489" i="131"/>
  <c r="AH489" i="131" l="1"/>
  <c r="AB489" i="131"/>
  <c r="AF489" i="131"/>
  <c r="AG489" i="131"/>
  <c r="AL489" i="131"/>
  <c r="T491" i="131"/>
  <c r="U491" i="131"/>
  <c r="W491" i="131"/>
  <c r="AU491" i="131" l="1"/>
  <c r="AT491" i="131"/>
  <c r="AO491" i="131"/>
  <c r="AV491" i="131"/>
  <c r="AJ489" i="131"/>
  <c r="AK489" i="131" s="1"/>
  <c r="AA490" i="131"/>
  <c r="Y490" i="131"/>
  <c r="AC490" i="131" l="1"/>
  <c r="AH490" i="131" s="1"/>
  <c r="AI490" i="131"/>
  <c r="AB490" i="131" l="1"/>
  <c r="AG490" i="131" s="1"/>
  <c r="AL490" i="131"/>
  <c r="AF490" i="131" l="1"/>
  <c r="Y491" i="131"/>
  <c r="AA491" i="131"/>
  <c r="AJ490" i="131"/>
  <c r="AK490" i="131" s="1"/>
  <c r="AI491" i="131" l="1"/>
  <c r="AI492" i="131" s="1"/>
  <c r="AI493" i="131" s="1"/>
  <c r="AI494" i="131" s="1"/>
  <c r="AI495" i="131" s="1"/>
  <c r="AI496" i="131" s="1"/>
  <c r="AI497" i="131" s="1"/>
  <c r="AI498" i="131" s="1"/>
  <c r="AI499" i="131" s="1"/>
  <c r="AI500" i="131" s="1"/>
  <c r="AI501" i="131" s="1"/>
  <c r="AI502" i="131" s="1"/>
  <c r="AI503" i="131" s="1"/>
  <c r="AI504" i="131" s="1"/>
  <c r="AI505" i="131" s="1"/>
  <c r="AC491" i="131"/>
  <c r="AH491" i="131" s="1"/>
  <c r="AH492" i="131" s="1"/>
  <c r="AH493" i="131" s="1"/>
  <c r="AH494" i="131" s="1"/>
  <c r="AH495" i="131" s="1"/>
  <c r="AH496" i="131" s="1"/>
  <c r="AH497" i="131" s="1"/>
  <c r="AH498" i="131" s="1"/>
  <c r="AH499" i="131" s="1"/>
  <c r="AH500" i="131" s="1"/>
  <c r="AH501" i="131" s="1"/>
  <c r="AH502" i="131" s="1"/>
  <c r="AH503" i="131" s="1"/>
  <c r="AH504" i="131" s="1"/>
  <c r="AH505" i="131" s="1"/>
  <c r="AH506" i="131" s="1"/>
  <c r="AH507" i="131" s="1"/>
  <c r="AH508" i="131" s="1"/>
  <c r="AH509" i="131" s="1"/>
  <c r="AH510" i="131" s="1"/>
  <c r="AH511" i="131" s="1"/>
  <c r="AH512" i="131" s="1"/>
  <c r="AH513" i="131" s="1"/>
  <c r="AH514" i="131" s="1"/>
  <c r="AH515" i="131" s="1"/>
  <c r="AH516" i="131" s="1"/>
  <c r="AH517" i="131" s="1"/>
  <c r="AH518" i="131" s="1"/>
  <c r="AH519" i="131" s="1"/>
  <c r="AH520" i="131" s="1"/>
  <c r="AH521" i="131" s="1"/>
  <c r="AH522" i="131" s="1"/>
  <c r="AH523" i="131" s="1"/>
  <c r="AH524" i="131" s="1"/>
  <c r="AH525" i="131" s="1"/>
  <c r="AH526" i="131" s="1"/>
  <c r="AH527" i="131" s="1"/>
  <c r="AH528" i="131" s="1"/>
  <c r="AH529" i="131" s="1"/>
  <c r="AH530" i="131" s="1"/>
  <c r="AH531" i="131" s="1"/>
  <c r="AH532" i="131" s="1"/>
  <c r="AH533" i="131" s="1"/>
  <c r="AH534" i="131" s="1"/>
  <c r="AH535" i="131" s="1"/>
  <c r="AH536" i="131" s="1"/>
  <c r="AH537" i="131" s="1"/>
  <c r="AH538" i="131" s="1"/>
  <c r="AH539" i="131" s="1"/>
  <c r="AH540" i="131" s="1"/>
  <c r="AH541" i="131" s="1"/>
  <c r="AH542" i="131" s="1"/>
  <c r="AH543" i="131" s="1"/>
  <c r="AH544" i="131" s="1"/>
  <c r="AB491" i="131" l="1"/>
  <c r="AI506" i="131"/>
  <c r="AF491" i="131" l="1"/>
  <c r="AG491" i="131"/>
  <c r="AG492" i="131" s="1"/>
  <c r="AG493" i="131" s="1"/>
  <c r="AG494" i="131" s="1"/>
  <c r="AG495" i="131" s="1"/>
  <c r="AG496" i="131" s="1"/>
  <c r="AG497" i="131" s="1"/>
  <c r="AG498" i="131" s="1"/>
  <c r="AG499" i="131" s="1"/>
  <c r="AG500" i="131" s="1"/>
  <c r="AG501" i="131" s="1"/>
  <c r="AG502" i="131" s="1"/>
  <c r="AG503" i="131" s="1"/>
  <c r="AG504" i="131" s="1"/>
  <c r="AG505" i="131" s="1"/>
  <c r="AG506" i="131" s="1"/>
  <c r="AG507" i="131" s="1"/>
  <c r="AG508" i="131" s="1"/>
  <c r="AG509" i="131" s="1"/>
  <c r="AG510" i="131" s="1"/>
  <c r="AG511" i="131" s="1"/>
  <c r="AG512" i="131" s="1"/>
  <c r="AG513" i="131" s="1"/>
  <c r="AG514" i="131" s="1"/>
  <c r="AG515" i="131" s="1"/>
  <c r="AG516" i="131" s="1"/>
  <c r="AG517" i="131" s="1"/>
  <c r="AG518" i="131" s="1"/>
  <c r="AG519" i="131" s="1"/>
  <c r="AG520" i="131" s="1"/>
  <c r="AG521" i="131" s="1"/>
  <c r="AG522" i="131" s="1"/>
  <c r="AG523" i="131" s="1"/>
  <c r="AG524" i="131" s="1"/>
  <c r="AG525" i="131" s="1"/>
  <c r="AG526" i="131" s="1"/>
  <c r="AG527" i="131" s="1"/>
  <c r="AG528" i="131" s="1"/>
  <c r="AG529" i="131" s="1"/>
  <c r="AG530" i="131" s="1"/>
  <c r="AG531" i="131" s="1"/>
  <c r="AG532" i="131" s="1"/>
  <c r="AG533" i="131" s="1"/>
  <c r="AG534" i="131" s="1"/>
  <c r="AG535" i="131" s="1"/>
  <c r="AG536" i="131" s="1"/>
  <c r="AG537" i="131" s="1"/>
  <c r="AG538" i="131" s="1"/>
  <c r="AG539" i="131" s="1"/>
  <c r="AG540" i="131" s="1"/>
  <c r="AG541" i="131" s="1"/>
  <c r="AG542" i="131" s="1"/>
  <c r="AG543" i="131" s="1"/>
  <c r="AG544" i="131" s="1"/>
  <c r="AL491" i="131"/>
  <c r="AI507" i="131"/>
  <c r="Y492" i="131" l="1"/>
  <c r="AL492" i="131" s="1"/>
  <c r="AJ491" i="131"/>
  <c r="AK491" i="131" s="1"/>
  <c r="AI508" i="131"/>
  <c r="Y493" i="131" l="1"/>
  <c r="AL493" i="131" s="1"/>
  <c r="AJ492" i="131"/>
  <c r="AK492" i="131" s="1"/>
  <c r="AI509" i="131"/>
  <c r="Y494" i="131" l="1"/>
  <c r="AL494" i="131" s="1"/>
  <c r="AJ493" i="131"/>
  <c r="AK493" i="131" s="1"/>
  <c r="AI510" i="131"/>
  <c r="Y495" i="131" l="1"/>
  <c r="AL495" i="131" s="1"/>
  <c r="AJ494" i="131"/>
  <c r="AK494" i="131" s="1"/>
  <c r="AI511" i="131"/>
  <c r="AJ495" i="131" l="1"/>
  <c r="AK495" i="131" s="1"/>
  <c r="Y496" i="131"/>
  <c r="AL496" i="131" s="1"/>
  <c r="AI512" i="131"/>
  <c r="AJ496" i="131" l="1"/>
  <c r="AK496" i="131" s="1"/>
  <c r="Y497" i="131"/>
  <c r="AL497" i="131" s="1"/>
  <c r="AI513" i="131"/>
  <c r="Y498" i="131" l="1"/>
  <c r="AL498" i="131" s="1"/>
  <c r="AJ497" i="131"/>
  <c r="AK497" i="131" s="1"/>
  <c r="AI514" i="131"/>
  <c r="Y499" i="131" l="1"/>
  <c r="AL499" i="131" s="1"/>
  <c r="AJ498" i="131"/>
  <c r="AK498" i="131" s="1"/>
  <c r="AI515" i="131"/>
  <c r="Y500" i="131" l="1"/>
  <c r="AL500" i="131" s="1"/>
  <c r="AJ499" i="131"/>
  <c r="AK499" i="131" s="1"/>
  <c r="AI516" i="131"/>
  <c r="AJ500" i="131" l="1"/>
  <c r="AK500" i="131" s="1"/>
  <c r="Y501" i="131"/>
  <c r="AL501" i="131" s="1"/>
  <c r="AI517" i="131"/>
  <c r="AJ501" i="131" l="1"/>
  <c r="AK501" i="131" s="1"/>
  <c r="Y502" i="131"/>
  <c r="AL502" i="131" s="1"/>
  <c r="AI518" i="131"/>
  <c r="AJ502" i="131" l="1"/>
  <c r="AK502" i="131" s="1"/>
  <c r="Y503" i="131"/>
  <c r="AL503" i="131" s="1"/>
  <c r="AI519" i="131"/>
  <c r="AJ503" i="131" l="1"/>
  <c r="AK503" i="131" s="1"/>
  <c r="Y504" i="131"/>
  <c r="AL504" i="131" s="1"/>
  <c r="AI520" i="131"/>
  <c r="Y505" i="131" l="1"/>
  <c r="AL505" i="131" s="1"/>
  <c r="AJ504" i="131"/>
  <c r="AK504" i="131" s="1"/>
  <c r="AI521" i="131"/>
  <c r="Y506" i="131" l="1"/>
  <c r="AL506" i="131" s="1"/>
  <c r="AJ505" i="131"/>
  <c r="AK505" i="131" s="1"/>
  <c r="AI522" i="131"/>
  <c r="AJ506" i="131" l="1"/>
  <c r="AK506" i="131" s="1"/>
  <c r="Y507" i="131"/>
  <c r="AL507" i="131" s="1"/>
  <c r="AI523" i="131"/>
  <c r="AJ507" i="131" l="1"/>
  <c r="AK507" i="131" s="1"/>
  <c r="Y508" i="131"/>
  <c r="AL508" i="131" s="1"/>
  <c r="AI524" i="131"/>
  <c r="Y509" i="131" l="1"/>
  <c r="AL509" i="131" s="1"/>
  <c r="AJ508" i="131"/>
  <c r="AK508" i="131" s="1"/>
  <c r="AI525" i="131"/>
  <c r="Y510" i="131" l="1"/>
  <c r="AL510" i="131" s="1"/>
  <c r="AJ509" i="131"/>
  <c r="AK509" i="131" s="1"/>
  <c r="AI526" i="131"/>
  <c r="AJ510" i="131" l="1"/>
  <c r="AK510" i="131" s="1"/>
  <c r="Y511" i="131"/>
  <c r="AL511" i="131" s="1"/>
  <c r="AI527" i="131"/>
  <c r="AJ511" i="131" l="1"/>
  <c r="AK511" i="131" s="1"/>
  <c r="Y512" i="131"/>
  <c r="AL512" i="131" s="1"/>
  <c r="AI528" i="131"/>
  <c r="Y513" i="131" l="1"/>
  <c r="AL513" i="131" s="1"/>
  <c r="AJ512" i="131"/>
  <c r="AK512" i="131" s="1"/>
  <c r="AI529" i="131"/>
  <c r="AJ513" i="131" l="1"/>
  <c r="AK513" i="131" s="1"/>
  <c r="Y514" i="131"/>
  <c r="AL514" i="131" s="1"/>
  <c r="AI530" i="131"/>
  <c r="AJ514" i="131" l="1"/>
  <c r="AK514" i="131" s="1"/>
  <c r="Y515" i="131"/>
  <c r="AL515" i="131" s="1"/>
  <c r="AI531" i="131"/>
  <c r="AJ515" i="131" l="1"/>
  <c r="AK515" i="131" s="1"/>
  <c r="Y516" i="131"/>
  <c r="AL516" i="131" s="1"/>
  <c r="AI532" i="131"/>
  <c r="AJ516" i="131" l="1"/>
  <c r="AK516" i="131" s="1"/>
  <c r="Y517" i="131"/>
  <c r="AL517" i="131" s="1"/>
  <c r="AI533" i="131"/>
  <c r="AJ517" i="131" l="1"/>
  <c r="AK517" i="131" s="1"/>
  <c r="Y518" i="131"/>
  <c r="AL518" i="131" s="1"/>
  <c r="AI534" i="131"/>
  <c r="AJ518" i="131" l="1"/>
  <c r="AK518" i="131" s="1"/>
  <c r="Y519" i="131"/>
  <c r="AL519" i="131" s="1"/>
  <c r="AI535" i="131"/>
  <c r="Y520" i="131" l="1"/>
  <c r="AL520" i="131" s="1"/>
  <c r="AJ519" i="131"/>
  <c r="AK519" i="131" s="1"/>
  <c r="AI536" i="131"/>
  <c r="AJ520" i="131" l="1"/>
  <c r="AK520" i="131" s="1"/>
  <c r="Y521" i="131"/>
  <c r="AL521" i="131" s="1"/>
  <c r="AI537" i="131"/>
  <c r="AJ521" i="131" l="1"/>
  <c r="AK521" i="131" s="1"/>
  <c r="Y522" i="131"/>
  <c r="AL522" i="131" s="1"/>
  <c r="AI538" i="131"/>
  <c r="AJ522" i="131" l="1"/>
  <c r="AK522" i="131" s="1"/>
  <c r="Y523" i="131"/>
  <c r="AL523" i="131" s="1"/>
  <c r="AI539" i="131"/>
  <c r="AJ523" i="131" l="1"/>
  <c r="AK523" i="131" s="1"/>
  <c r="Y524" i="131"/>
  <c r="AL524" i="131" s="1"/>
  <c r="AI540" i="131"/>
  <c r="Y525" i="131" l="1"/>
  <c r="AL525" i="131" s="1"/>
  <c r="AJ524" i="131"/>
  <c r="AK524" i="131" s="1"/>
  <c r="AI541" i="131"/>
  <c r="AJ525" i="131" l="1"/>
  <c r="AK525" i="131" s="1"/>
  <c r="Y526" i="131"/>
  <c r="AL526" i="131" s="1"/>
  <c r="AI542" i="131"/>
  <c r="Y527" i="131" l="1"/>
  <c r="AL527" i="131" s="1"/>
  <c r="AJ526" i="131"/>
  <c r="AK526" i="131" s="1"/>
  <c r="AI543" i="131"/>
  <c r="Y528" i="131" l="1"/>
  <c r="AL528" i="131" s="1"/>
  <c r="AJ527" i="131"/>
  <c r="AK527" i="131" s="1"/>
  <c r="AI544" i="131"/>
  <c r="AJ528" i="131" l="1"/>
  <c r="AK528" i="131" s="1"/>
  <c r="Y529" i="131"/>
  <c r="AL529" i="131" s="1"/>
  <c r="Y530" i="131" l="1"/>
  <c r="AL530" i="131" s="1"/>
  <c r="AJ529" i="131"/>
  <c r="AK529" i="131" s="1"/>
  <c r="Y531" i="131" l="1"/>
  <c r="AL531" i="131" s="1"/>
  <c r="AJ530" i="131"/>
  <c r="AK530" i="131" s="1"/>
  <c r="H44" i="1"/>
  <c r="E44" i="1"/>
  <c r="F44" i="1" s="1"/>
  <c r="K44" i="1"/>
  <c r="T25" i="57" a="1"/>
  <c r="T25" i="57" s="1"/>
  <c r="K25" i="57" a="1"/>
  <c r="K25" i="57" s="1"/>
  <c r="AC25" i="57" a="1"/>
  <c r="AC25" i="57" s="1"/>
  <c r="Q25" i="57" a="1"/>
  <c r="Q25" i="57" s="1"/>
  <c r="AF25" i="57" a="1"/>
  <c r="AF25" i="57" s="1"/>
  <c r="E25" i="57" a="1"/>
  <c r="E25" i="57" s="1"/>
  <c r="N25" i="57" a="1"/>
  <c r="N25" i="57" s="1"/>
  <c r="B25" i="57" a="1"/>
  <c r="B25" i="57" s="1"/>
  <c r="H25" i="57" a="1"/>
  <c r="H25" i="57" s="1"/>
  <c r="W25" i="57" a="1"/>
  <c r="W25" i="57" s="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S14" i="57" a="1"/>
  <c r="S14" i="57" s="1"/>
  <c r="T13" i="57" a="1"/>
  <c r="T13" i="57" s="1"/>
  <c r="S13" i="57" a="1"/>
  <c r="S13" i="57" s="1"/>
  <c r="T12" i="57" a="1"/>
  <c r="T12" i="57" s="1"/>
  <c r="S12" i="57" a="1"/>
  <c r="S12"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3" i="57" a="1"/>
  <c r="B13" i="57" s="1"/>
  <c r="B12" i="57" a="1"/>
  <c r="B12" i="57" s="1"/>
  <c r="B11" i="57" a="1"/>
  <c r="B11" i="57" s="1"/>
  <c r="B10" i="57" a="1"/>
  <c r="B10" i="57" s="1"/>
  <c r="B9" i="57" a="1"/>
  <c r="B9" i="57" s="1"/>
  <c r="B8" i="57" a="1"/>
  <c r="B8" i="57" s="1"/>
  <c r="B7" i="57" a="1"/>
  <c r="B7" i="57" s="1"/>
  <c r="B6" i="57" a="1"/>
  <c r="B6" i="57" s="1"/>
  <c r="B5" i="57" a="1"/>
  <c r="B5" i="57" s="1"/>
  <c r="B4" i="57" a="1"/>
  <c r="B4" i="57" s="1"/>
  <c r="F25" i="21"/>
  <c r="I2" i="127"/>
  <c r="I3" i="127"/>
  <c r="I4" i="127"/>
  <c r="I5" i="127"/>
  <c r="I6" i="127"/>
  <c r="I7" i="127"/>
  <c r="I8" i="127"/>
  <c r="I9" i="127"/>
  <c r="I10" i="127"/>
  <c r="I11" i="127"/>
  <c r="I12" i="127"/>
  <c r="I13" i="127"/>
  <c r="I14" i="127"/>
  <c r="I15" i="127"/>
  <c r="I16" i="127"/>
  <c r="I17" i="127"/>
  <c r="I18" i="127"/>
  <c r="I19" i="127"/>
  <c r="I20" i="127"/>
  <c r="I21" i="127"/>
  <c r="I22" i="127"/>
  <c r="I23" i="127"/>
  <c r="I24" i="127"/>
  <c r="I25" i="127"/>
  <c r="I26" i="127"/>
  <c r="I27" i="127"/>
  <c r="I28" i="127"/>
  <c r="I29" i="127"/>
  <c r="I30" i="127"/>
  <c r="I31" i="127"/>
  <c r="I32" i="127"/>
  <c r="I33" i="127"/>
  <c r="I34" i="127"/>
  <c r="I35" i="127"/>
  <c r="I36" i="127"/>
  <c r="I37" i="127"/>
  <c r="I38" i="127"/>
  <c r="I39" i="127"/>
  <c r="I40" i="127"/>
  <c r="I41" i="127"/>
  <c r="I42" i="127"/>
  <c r="I43" i="127"/>
  <c r="I44" i="127"/>
  <c r="I45" i="127"/>
  <c r="I46" i="127"/>
  <c r="I47" i="127"/>
  <c r="I48" i="127"/>
  <c r="I49" i="127"/>
  <c r="I50" i="127"/>
  <c r="I51" i="127"/>
  <c r="I52" i="127"/>
  <c r="I53" i="127"/>
  <c r="I54" i="127"/>
  <c r="I55" i="127"/>
  <c r="I56" i="127"/>
  <c r="I57" i="127"/>
  <c r="I58" i="127"/>
  <c r="I59" i="127"/>
  <c r="I60" i="127"/>
  <c r="I61" i="127"/>
  <c r="I62" i="127"/>
  <c r="I63" i="127"/>
  <c r="I64" i="127"/>
  <c r="I65" i="127"/>
  <c r="I66" i="127"/>
  <c r="I67" i="127"/>
  <c r="I68" i="127"/>
  <c r="I69" i="127"/>
  <c r="I70" i="127"/>
  <c r="I71" i="127"/>
  <c r="I72" i="127"/>
  <c r="I73" i="127"/>
  <c r="I74" i="127"/>
  <c r="I75" i="127"/>
  <c r="I76" i="127"/>
  <c r="I77" i="127"/>
  <c r="I78" i="127"/>
  <c r="I79" i="127"/>
  <c r="I80" i="127"/>
  <c r="I81" i="127"/>
  <c r="I82" i="127"/>
  <c r="I83" i="127"/>
  <c r="I84" i="127"/>
  <c r="I85" i="127"/>
  <c r="I86" i="127"/>
  <c r="I87" i="127"/>
  <c r="I88" i="127"/>
  <c r="I89" i="127"/>
  <c r="I90" i="127"/>
  <c r="I91" i="127"/>
  <c r="I92" i="127"/>
  <c r="I93" i="127"/>
  <c r="I94" i="127"/>
  <c r="I95" i="127"/>
  <c r="I96" i="127"/>
  <c r="I97" i="127"/>
  <c r="I98" i="127"/>
  <c r="I99" i="127"/>
  <c r="I100" i="127"/>
  <c r="I101" i="127"/>
  <c r="I102" i="127"/>
  <c r="I103" i="127"/>
  <c r="I104" i="127"/>
  <c r="I105" i="127"/>
  <c r="I106" i="127"/>
  <c r="I107" i="127"/>
  <c r="I108" i="127"/>
  <c r="I109" i="127"/>
  <c r="I110" i="127"/>
  <c r="I111" i="127"/>
  <c r="I112" i="127"/>
  <c r="I113" i="127"/>
  <c r="I114" i="127"/>
  <c r="I115" i="127"/>
  <c r="I116" i="127"/>
  <c r="I117" i="127"/>
  <c r="I118" i="127"/>
  <c r="I119" i="127"/>
  <c r="I120" i="127"/>
  <c r="I121" i="127"/>
  <c r="I122" i="127"/>
  <c r="I123" i="127"/>
  <c r="I124" i="127"/>
  <c r="I125" i="127"/>
  <c r="I126" i="127"/>
  <c r="I127" i="127"/>
  <c r="I128" i="127"/>
  <c r="I129" i="127"/>
  <c r="I130" i="127"/>
  <c r="I131" i="127"/>
  <c r="I132" i="127"/>
  <c r="I133" i="127"/>
  <c r="I134" i="127"/>
  <c r="I135" i="127"/>
  <c r="I136" i="127"/>
  <c r="I137" i="127"/>
  <c r="I138" i="127"/>
  <c r="I139" i="127"/>
  <c r="I140" i="127"/>
  <c r="I141" i="127"/>
  <c r="I142" i="127"/>
  <c r="I143" i="127"/>
  <c r="I144" i="127"/>
  <c r="I145" i="127"/>
  <c r="I146" i="127"/>
  <c r="I147" i="127"/>
  <c r="I148" i="127"/>
  <c r="I149" i="127"/>
  <c r="I150" i="127"/>
  <c r="I151" i="127"/>
  <c r="I152" i="127"/>
  <c r="I153" i="127"/>
  <c r="I154" i="127"/>
  <c r="I155" i="127"/>
  <c r="I156" i="127"/>
  <c r="I157" i="127"/>
  <c r="I158" i="127"/>
  <c r="I159" i="127"/>
  <c r="I160" i="127"/>
  <c r="I161" i="127"/>
  <c r="I162" i="127"/>
  <c r="I163" i="127"/>
  <c r="I164" i="127"/>
  <c r="I165" i="127"/>
  <c r="J2" i="127"/>
  <c r="J3" i="127" s="1"/>
  <c r="J4" i="127" s="1"/>
  <c r="J5" i="127" s="1"/>
  <c r="J6" i="127" s="1"/>
  <c r="J7" i="127" s="1"/>
  <c r="J8" i="127" s="1"/>
  <c r="J9" i="127" s="1"/>
  <c r="J10" i="127" s="1"/>
  <c r="J11" i="127" s="1"/>
  <c r="J12" i="127" s="1"/>
  <c r="J13" i="127" s="1"/>
  <c r="J14" i="127" s="1"/>
  <c r="J15" i="127" s="1"/>
  <c r="J16" i="127" s="1"/>
  <c r="J17" i="127" s="1"/>
  <c r="J18" i="127" s="1"/>
  <c r="J19" i="127" s="1"/>
  <c r="J20" i="127" s="1"/>
  <c r="J21" i="127" s="1"/>
  <c r="J22" i="127" s="1"/>
  <c r="J23" i="127" s="1"/>
  <c r="J24" i="127" s="1"/>
  <c r="J25" i="127" s="1"/>
  <c r="J26" i="127" s="1"/>
  <c r="J27" i="127" s="1"/>
  <c r="J28" i="127" s="1"/>
  <c r="J29" i="127" s="1"/>
  <c r="J30" i="127" s="1"/>
  <c r="J31" i="127" s="1"/>
  <c r="J32" i="127" s="1"/>
  <c r="J33" i="127" s="1"/>
  <c r="J34" i="127" s="1"/>
  <c r="J35" i="127" s="1"/>
  <c r="J36" i="127" s="1"/>
  <c r="J37" i="127" s="1"/>
  <c r="J38" i="127" s="1"/>
  <c r="J39" i="127" s="1"/>
  <c r="J40" i="127" s="1"/>
  <c r="J41" i="127" s="1"/>
  <c r="J42" i="127" s="1"/>
  <c r="J43" i="127" s="1"/>
  <c r="J44" i="127" s="1"/>
  <c r="J45" i="127" s="1"/>
  <c r="J46" i="127" s="1"/>
  <c r="J47" i="127" s="1"/>
  <c r="J48" i="127" s="1"/>
  <c r="J49" i="127" s="1"/>
  <c r="J50" i="127" s="1"/>
  <c r="J51" i="127" s="1"/>
  <c r="J52" i="127" s="1"/>
  <c r="J53" i="127" s="1"/>
  <c r="J54" i="127" s="1"/>
  <c r="J55" i="127" s="1"/>
  <c r="J56" i="127" s="1"/>
  <c r="J57" i="127" s="1"/>
  <c r="J58" i="127" s="1"/>
  <c r="J59" i="127" s="1"/>
  <c r="J60" i="127" s="1"/>
  <c r="J61" i="127" s="1"/>
  <c r="J62" i="127" s="1"/>
  <c r="J63" i="127" s="1"/>
  <c r="J64" i="127" s="1"/>
  <c r="J65" i="127" s="1"/>
  <c r="J66" i="127" s="1"/>
  <c r="J67" i="127" s="1"/>
  <c r="J68" i="127" s="1"/>
  <c r="J69" i="127" s="1"/>
  <c r="J70" i="127" s="1"/>
  <c r="J71" i="127" s="1"/>
  <c r="J72" i="127" s="1"/>
  <c r="J73" i="127" s="1"/>
  <c r="J74" i="127" s="1"/>
  <c r="J75" i="127" s="1"/>
  <c r="J76" i="127" s="1"/>
  <c r="J77" i="127" s="1"/>
  <c r="J78" i="127" s="1"/>
  <c r="J79" i="127" s="1"/>
  <c r="J80" i="127" s="1"/>
  <c r="J81" i="127" s="1"/>
  <c r="J82" i="127" s="1"/>
  <c r="J83" i="127" s="1"/>
  <c r="J84" i="127" s="1"/>
  <c r="J85" i="127" s="1"/>
  <c r="J86" i="127" s="1"/>
  <c r="J87" i="127" s="1"/>
  <c r="J88" i="127" s="1"/>
  <c r="J89" i="127" s="1"/>
  <c r="J90" i="127" s="1"/>
  <c r="J91" i="127" s="1"/>
  <c r="J92" i="127" s="1"/>
  <c r="J93" i="127" s="1"/>
  <c r="J94" i="127" s="1"/>
  <c r="J95" i="127" s="1"/>
  <c r="J96" i="127" s="1"/>
  <c r="J97" i="127" s="1"/>
  <c r="J98" i="127" s="1"/>
  <c r="J99" i="127" s="1"/>
  <c r="J100" i="127" s="1"/>
  <c r="J101" i="127" s="1"/>
  <c r="J102" i="127" s="1"/>
  <c r="J103" i="127" s="1"/>
  <c r="J104" i="127" s="1"/>
  <c r="J105" i="127" s="1"/>
  <c r="J106" i="127" s="1"/>
  <c r="J107" i="127" s="1"/>
  <c r="J108" i="127" s="1"/>
  <c r="J109" i="127" s="1"/>
  <c r="J110" i="127" s="1"/>
  <c r="J111" i="127" s="1"/>
  <c r="J112" i="127" s="1"/>
  <c r="J113" i="127" s="1"/>
  <c r="J114" i="127" s="1"/>
  <c r="J115" i="127" s="1"/>
  <c r="J116" i="127" s="1"/>
  <c r="J117" i="127" s="1"/>
  <c r="J118" i="127" s="1"/>
  <c r="J119" i="127" s="1"/>
  <c r="J120" i="127" s="1"/>
  <c r="J121" i="127" s="1"/>
  <c r="J122" i="127" s="1"/>
  <c r="J123" i="127" s="1"/>
  <c r="J124" i="127" s="1"/>
  <c r="J125" i="127" s="1"/>
  <c r="J126" i="127" s="1"/>
  <c r="J127" i="127" s="1"/>
  <c r="J128" i="127" s="1"/>
  <c r="J129" i="127" s="1"/>
  <c r="J130" i="127" s="1"/>
  <c r="J131" i="127" s="1"/>
  <c r="J132" i="127" s="1"/>
  <c r="J133" i="127" s="1"/>
  <c r="J134" i="127" s="1"/>
  <c r="J135" i="127" s="1"/>
  <c r="J136" i="127" s="1"/>
  <c r="J137" i="127" s="1"/>
  <c r="J138" i="127" s="1"/>
  <c r="J139" i="127" s="1"/>
  <c r="J140" i="127" s="1"/>
  <c r="J141" i="127" s="1"/>
  <c r="J142" i="127" s="1"/>
  <c r="J143" i="127" s="1"/>
  <c r="J144" i="127" s="1"/>
  <c r="J145" i="127" s="1"/>
  <c r="J146" i="127" s="1"/>
  <c r="J147" i="127" s="1"/>
  <c r="J148" i="127" s="1"/>
  <c r="J149" i="127" s="1"/>
  <c r="J150" i="127" s="1"/>
  <c r="J151" i="127" s="1"/>
  <c r="J152" i="127" s="1"/>
  <c r="J153" i="127" s="1"/>
  <c r="J154" i="127" s="1"/>
  <c r="J155" i="127" s="1"/>
  <c r="J156" i="127" s="1"/>
  <c r="J157" i="127" s="1"/>
  <c r="J158" i="127" s="1"/>
  <c r="J159" i="127" s="1"/>
  <c r="J160" i="127" s="1"/>
  <c r="J161" i="127" s="1"/>
  <c r="J162" i="127" s="1"/>
  <c r="J163" i="127" s="1"/>
  <c r="J164" i="127" s="1"/>
  <c r="J165" i="127" s="1"/>
  <c r="M2" i="127"/>
  <c r="M3" i="127"/>
  <c r="M4" i="127"/>
  <c r="M5" i="127"/>
  <c r="M6" i="127"/>
  <c r="M7" i="127"/>
  <c r="M8" i="127"/>
  <c r="M9" i="127"/>
  <c r="M10" i="127"/>
  <c r="M11" i="127"/>
  <c r="M12" i="127"/>
  <c r="M13" i="127"/>
  <c r="M14" i="127"/>
  <c r="M15" i="127"/>
  <c r="M16" i="127"/>
  <c r="M17" i="127"/>
  <c r="M18" i="127"/>
  <c r="M19" i="127"/>
  <c r="M20" i="127"/>
  <c r="M21" i="127"/>
  <c r="M22" i="127"/>
  <c r="M23" i="127"/>
  <c r="M24" i="127"/>
  <c r="M25" i="127"/>
  <c r="M26" i="127"/>
  <c r="M27" i="127"/>
  <c r="M28" i="127"/>
  <c r="M29" i="127"/>
  <c r="M30" i="127"/>
  <c r="M31" i="127"/>
  <c r="M32" i="127"/>
  <c r="M33" i="127"/>
  <c r="M34" i="127"/>
  <c r="M35" i="127"/>
  <c r="M36" i="127"/>
  <c r="M37" i="127"/>
  <c r="M38" i="127"/>
  <c r="M39" i="127"/>
  <c r="M40" i="127"/>
  <c r="M41" i="127"/>
  <c r="M42" i="127"/>
  <c r="M43" i="127"/>
  <c r="M44" i="127"/>
  <c r="M45" i="127"/>
  <c r="M46" i="127"/>
  <c r="M47" i="127"/>
  <c r="M48" i="127"/>
  <c r="M49" i="127"/>
  <c r="M50" i="127"/>
  <c r="M51" i="127"/>
  <c r="M52" i="127"/>
  <c r="M53" i="127"/>
  <c r="M54" i="127"/>
  <c r="M55" i="127"/>
  <c r="M56" i="127"/>
  <c r="M57" i="127"/>
  <c r="M58" i="127"/>
  <c r="M59" i="127"/>
  <c r="M60" i="127"/>
  <c r="M61" i="127"/>
  <c r="M62" i="127"/>
  <c r="M63" i="127"/>
  <c r="M64" i="127"/>
  <c r="M65" i="127"/>
  <c r="M66" i="127"/>
  <c r="M67" i="127"/>
  <c r="M68" i="127"/>
  <c r="M69" i="127"/>
  <c r="M70" i="127"/>
  <c r="M71" i="127"/>
  <c r="M72" i="127"/>
  <c r="M73" i="127"/>
  <c r="M74" i="127"/>
  <c r="M75" i="127"/>
  <c r="M76" i="127"/>
  <c r="M77" i="127"/>
  <c r="M78" i="127"/>
  <c r="M79" i="127"/>
  <c r="M80" i="127"/>
  <c r="M81" i="127"/>
  <c r="M82" i="127"/>
  <c r="M83" i="127"/>
  <c r="M84" i="127"/>
  <c r="M85" i="127"/>
  <c r="M86" i="127"/>
  <c r="M87" i="127"/>
  <c r="M88" i="127"/>
  <c r="M89" i="127"/>
  <c r="M90" i="127"/>
  <c r="M91" i="127"/>
  <c r="M92" i="127"/>
  <c r="M93" i="127"/>
  <c r="M94" i="127"/>
  <c r="M95" i="127"/>
  <c r="M96" i="127"/>
  <c r="M97" i="127"/>
  <c r="M98" i="127"/>
  <c r="M99" i="127"/>
  <c r="M100" i="127"/>
  <c r="M101" i="127"/>
  <c r="M102" i="127"/>
  <c r="M103" i="127"/>
  <c r="M104" i="127"/>
  <c r="M105" i="127"/>
  <c r="M106" i="127"/>
  <c r="M107" i="127"/>
  <c r="M108" i="127"/>
  <c r="M109" i="127"/>
  <c r="M110" i="127"/>
  <c r="M111" i="127"/>
  <c r="M112" i="127"/>
  <c r="M113" i="127"/>
  <c r="M114" i="127"/>
  <c r="M115" i="127"/>
  <c r="M116" i="127"/>
  <c r="M117" i="127"/>
  <c r="M118" i="127"/>
  <c r="M119" i="127"/>
  <c r="M120" i="127"/>
  <c r="M121" i="127"/>
  <c r="M122" i="127"/>
  <c r="M123" i="127"/>
  <c r="M124" i="127"/>
  <c r="M125" i="127"/>
  <c r="M126" i="127"/>
  <c r="M127" i="127"/>
  <c r="M128" i="127"/>
  <c r="M129" i="127"/>
  <c r="M130" i="127"/>
  <c r="M131" i="127"/>
  <c r="M132" i="127"/>
  <c r="M133" i="127"/>
  <c r="M134" i="127"/>
  <c r="M135" i="127"/>
  <c r="M136" i="127"/>
  <c r="M137" i="127"/>
  <c r="M138" i="127"/>
  <c r="M139" i="127"/>
  <c r="M140" i="127"/>
  <c r="M141" i="127"/>
  <c r="M142" i="127"/>
  <c r="M143" i="127"/>
  <c r="M144" i="127"/>
  <c r="M145" i="127"/>
  <c r="M146" i="127"/>
  <c r="M147" i="127"/>
  <c r="M148" i="127"/>
  <c r="M149" i="127"/>
  <c r="M150" i="127"/>
  <c r="M151" i="127"/>
  <c r="M152" i="127"/>
  <c r="M153" i="127"/>
  <c r="M154" i="127"/>
  <c r="M155" i="127"/>
  <c r="M156" i="127"/>
  <c r="M157" i="127"/>
  <c r="M158" i="127"/>
  <c r="M159" i="127"/>
  <c r="M160" i="127"/>
  <c r="M161" i="127"/>
  <c r="M162" i="127"/>
  <c r="M163" i="127"/>
  <c r="M164" i="127"/>
  <c r="M165" i="127"/>
  <c r="K5" i="121"/>
  <c r="K6" i="121"/>
  <c r="K7" i="121"/>
  <c r="K8" i="121"/>
  <c r="K9" i="121"/>
  <c r="K10" i="121"/>
  <c r="K11" i="121"/>
  <c r="K12" i="121"/>
  <c r="K13" i="121"/>
  <c r="K14" i="121"/>
  <c r="K15" i="121"/>
  <c r="K16" i="121"/>
  <c r="K17" i="121"/>
  <c r="K18" i="121"/>
  <c r="K19" i="121"/>
  <c r="K20" i="121"/>
  <c r="K21" i="121"/>
  <c r="K22" i="121"/>
  <c r="K23" i="121"/>
  <c r="K24" i="121"/>
  <c r="K25" i="121"/>
  <c r="K26" i="121"/>
  <c r="K27" i="121"/>
  <c r="K28" i="121"/>
  <c r="K29" i="121"/>
  <c r="K30" i="121"/>
  <c r="K31" i="121"/>
  <c r="K32" i="121"/>
  <c r="K33" i="121"/>
  <c r="K34" i="121"/>
  <c r="K35" i="121"/>
  <c r="K36" i="121"/>
  <c r="K37" i="121"/>
  <c r="K38" i="121"/>
  <c r="K39" i="121"/>
  <c r="K40" i="121"/>
  <c r="K41" i="121"/>
  <c r="K42" i="121"/>
  <c r="K43" i="121"/>
  <c r="K44" i="121"/>
  <c r="K45" i="121"/>
  <c r="K46" i="121"/>
  <c r="K47" i="121"/>
  <c r="K48" i="121"/>
  <c r="K49" i="121"/>
  <c r="K50" i="121"/>
  <c r="K51" i="121"/>
  <c r="K52" i="121"/>
  <c r="K53" i="121"/>
  <c r="K54" i="121"/>
  <c r="K55" i="121"/>
  <c r="L5" i="121"/>
  <c r="L6" i="121"/>
  <c r="L7" i="121"/>
  <c r="L8" i="121"/>
  <c r="L9" i="121"/>
  <c r="L10" i="121"/>
  <c r="L11" i="121"/>
  <c r="L12" i="121"/>
  <c r="L13" i="121"/>
  <c r="L14" i="121"/>
  <c r="L15" i="121"/>
  <c r="L16" i="121"/>
  <c r="L17" i="121"/>
  <c r="L18" i="121"/>
  <c r="L19" i="121"/>
  <c r="L20" i="121"/>
  <c r="L21" i="121"/>
  <c r="L22" i="121"/>
  <c r="L23" i="121"/>
  <c r="L24" i="121"/>
  <c r="L25" i="121"/>
  <c r="L26" i="121"/>
  <c r="L27" i="121"/>
  <c r="L28" i="121"/>
  <c r="L29" i="121"/>
  <c r="L30" i="121"/>
  <c r="L31" i="121"/>
  <c r="L32" i="121"/>
  <c r="L33" i="121"/>
  <c r="L34" i="121"/>
  <c r="L35" i="121"/>
  <c r="L36" i="121"/>
  <c r="L37" i="121"/>
  <c r="L38" i="121"/>
  <c r="L39" i="121"/>
  <c r="L40" i="121"/>
  <c r="L41" i="121"/>
  <c r="L42" i="121"/>
  <c r="L43" i="121"/>
  <c r="L44" i="121"/>
  <c r="L45" i="121"/>
  <c r="L46" i="121"/>
  <c r="L47" i="121"/>
  <c r="L48" i="121"/>
  <c r="L49" i="121"/>
  <c r="L50" i="121"/>
  <c r="L51" i="121"/>
  <c r="L52" i="121"/>
  <c r="L53" i="121"/>
  <c r="L54" i="121"/>
  <c r="L55" i="121"/>
  <c r="M5" i="121"/>
  <c r="M6" i="121"/>
  <c r="M7" i="121"/>
  <c r="M8" i="121"/>
  <c r="M9" i="121"/>
  <c r="M10" i="121"/>
  <c r="M11" i="121"/>
  <c r="M12" i="121"/>
  <c r="M13" i="121"/>
  <c r="M14" i="121"/>
  <c r="M15" i="121"/>
  <c r="M16" i="121"/>
  <c r="M17" i="121"/>
  <c r="M18" i="121"/>
  <c r="M19" i="121"/>
  <c r="M20" i="121"/>
  <c r="M21" i="121"/>
  <c r="M22" i="121"/>
  <c r="M23" i="121"/>
  <c r="M24" i="121"/>
  <c r="M25" i="121"/>
  <c r="M26" i="121"/>
  <c r="M27" i="121"/>
  <c r="M28" i="121"/>
  <c r="M29" i="121"/>
  <c r="M30" i="121"/>
  <c r="M31" i="121"/>
  <c r="M32" i="121"/>
  <c r="M33" i="121"/>
  <c r="M34" i="121"/>
  <c r="M35" i="121"/>
  <c r="M36" i="121"/>
  <c r="M37" i="121"/>
  <c r="M38" i="121"/>
  <c r="M39" i="121"/>
  <c r="M40" i="121"/>
  <c r="M41" i="121"/>
  <c r="M42" i="121"/>
  <c r="M43" i="121"/>
  <c r="M44" i="121"/>
  <c r="M45" i="121"/>
  <c r="M46" i="121"/>
  <c r="M47" i="121"/>
  <c r="M48" i="121"/>
  <c r="M49" i="121"/>
  <c r="M50" i="121"/>
  <c r="M51" i="121"/>
  <c r="M52" i="121"/>
  <c r="M53" i="121"/>
  <c r="M54" i="121"/>
  <c r="M55" i="121"/>
  <c r="N5" i="121"/>
  <c r="N6" i="121"/>
  <c r="N7" i="121"/>
  <c r="N8" i="121"/>
  <c r="N9" i="121"/>
  <c r="N10" i="121"/>
  <c r="N11" i="121"/>
  <c r="N12" i="121"/>
  <c r="N13" i="121"/>
  <c r="N14" i="121"/>
  <c r="N15" i="121"/>
  <c r="N16" i="121"/>
  <c r="N17" i="121"/>
  <c r="N18" i="121"/>
  <c r="N19" i="121"/>
  <c r="N20" i="121"/>
  <c r="N21" i="121"/>
  <c r="N22" i="121"/>
  <c r="N23" i="121"/>
  <c r="N24" i="121"/>
  <c r="N25" i="121"/>
  <c r="N26" i="121"/>
  <c r="N27" i="121"/>
  <c r="N28" i="121"/>
  <c r="N29" i="121"/>
  <c r="N30" i="121"/>
  <c r="N31" i="121"/>
  <c r="N32" i="121"/>
  <c r="N33" i="121"/>
  <c r="N34" i="121"/>
  <c r="N35" i="121"/>
  <c r="N36" i="121"/>
  <c r="N37" i="121"/>
  <c r="N38" i="121"/>
  <c r="N39" i="121"/>
  <c r="N40" i="121"/>
  <c r="N41" i="121"/>
  <c r="N42" i="121"/>
  <c r="N43" i="121"/>
  <c r="N44" i="121"/>
  <c r="N45" i="121"/>
  <c r="N46" i="121"/>
  <c r="N47" i="121"/>
  <c r="N48" i="121"/>
  <c r="N49" i="121"/>
  <c r="N50" i="121"/>
  <c r="N51" i="121"/>
  <c r="N52" i="121"/>
  <c r="N53" i="121"/>
  <c r="N54" i="121"/>
  <c r="N55" i="121"/>
  <c r="O5" i="121"/>
  <c r="O6" i="121"/>
  <c r="O7" i="121"/>
  <c r="O8" i="121"/>
  <c r="O9" i="121"/>
  <c r="O10" i="121"/>
  <c r="O11" i="121"/>
  <c r="O12" i="121"/>
  <c r="O13" i="121"/>
  <c r="O14" i="121"/>
  <c r="O15" i="121"/>
  <c r="O16" i="121"/>
  <c r="O17" i="121"/>
  <c r="O18" i="121"/>
  <c r="O19" i="121"/>
  <c r="O20" i="121"/>
  <c r="O21" i="121"/>
  <c r="O22" i="121"/>
  <c r="O23" i="121"/>
  <c r="O24" i="121"/>
  <c r="O25" i="121"/>
  <c r="O26" i="121"/>
  <c r="O27" i="121"/>
  <c r="O28" i="121"/>
  <c r="O29" i="121"/>
  <c r="O30" i="121"/>
  <c r="O31" i="121"/>
  <c r="O32" i="121"/>
  <c r="O33" i="121"/>
  <c r="O34" i="121"/>
  <c r="O35" i="121"/>
  <c r="O36" i="121"/>
  <c r="O37" i="121"/>
  <c r="O38" i="121"/>
  <c r="O39" i="121"/>
  <c r="O40" i="121"/>
  <c r="O41" i="121"/>
  <c r="O42" i="121"/>
  <c r="O43" i="121"/>
  <c r="O44" i="121"/>
  <c r="O45" i="121"/>
  <c r="O46" i="121"/>
  <c r="O47" i="121"/>
  <c r="O48" i="121"/>
  <c r="O49" i="121"/>
  <c r="O50" i="121"/>
  <c r="O51" i="121"/>
  <c r="O52" i="121"/>
  <c r="O53" i="121"/>
  <c r="O54" i="121"/>
  <c r="O55" i="121"/>
  <c r="K37" i="119"/>
  <c r="K31" i="119"/>
  <c r="K32" i="119"/>
  <c r="K33" i="119"/>
  <c r="K27" i="119"/>
  <c r="K28" i="119"/>
  <c r="K29" i="119"/>
  <c r="K30" i="119"/>
  <c r="K17" i="119"/>
  <c r="K18" i="119"/>
  <c r="K19" i="119"/>
  <c r="K20" i="119"/>
  <c r="K21" i="119"/>
  <c r="K22" i="119"/>
  <c r="K23" i="119"/>
  <c r="K24" i="119"/>
  <c r="K25" i="119"/>
  <c r="K5" i="119"/>
  <c r="K6" i="119"/>
  <c r="K7" i="119"/>
  <c r="K8" i="119"/>
  <c r="K9" i="119"/>
  <c r="K10" i="119"/>
  <c r="K11" i="119"/>
  <c r="K12" i="119"/>
  <c r="K13" i="119"/>
  <c r="K14" i="119"/>
  <c r="K16" i="119"/>
  <c r="K34" i="119"/>
  <c r="K15" i="119"/>
  <c r="K35" i="119"/>
  <c r="K26" i="119"/>
  <c r="K36" i="119"/>
  <c r="K45" i="119"/>
  <c r="K46" i="119"/>
  <c r="K47" i="119"/>
  <c r="K38" i="119"/>
  <c r="K39" i="119"/>
  <c r="K40" i="119"/>
  <c r="K41" i="119"/>
  <c r="K42" i="119"/>
  <c r="K48" i="119"/>
  <c r="K49" i="119"/>
  <c r="K50" i="119"/>
  <c r="K51" i="119"/>
  <c r="K43" i="119"/>
  <c r="K44" i="119"/>
  <c r="K52" i="119"/>
  <c r="L37" i="119"/>
  <c r="H37" i="119" s="1"/>
  <c r="L31" i="119"/>
  <c r="H31" i="119" s="1"/>
  <c r="L32" i="119"/>
  <c r="H32" i="119" s="1"/>
  <c r="L33" i="119"/>
  <c r="H33" i="119" s="1"/>
  <c r="L27" i="119"/>
  <c r="H27" i="119" s="1"/>
  <c r="L28" i="119"/>
  <c r="H28" i="119" s="1"/>
  <c r="L29" i="119"/>
  <c r="H29" i="119" s="1"/>
  <c r="L30" i="119"/>
  <c r="H30" i="119" s="1"/>
  <c r="L17" i="119"/>
  <c r="H17" i="119" s="1"/>
  <c r="L18" i="119"/>
  <c r="H18" i="119" s="1"/>
  <c r="L19" i="119"/>
  <c r="H19" i="119" s="1"/>
  <c r="L20" i="119"/>
  <c r="H20" i="119" s="1"/>
  <c r="L21" i="119"/>
  <c r="H21" i="119" s="1"/>
  <c r="L22" i="119"/>
  <c r="H22" i="119" s="1"/>
  <c r="L23" i="119"/>
  <c r="H23" i="119" s="1"/>
  <c r="L24" i="119"/>
  <c r="H24" i="119" s="1"/>
  <c r="L25" i="119"/>
  <c r="H25" i="119" s="1"/>
  <c r="L5" i="119"/>
  <c r="H5" i="119" s="1"/>
  <c r="L6" i="119"/>
  <c r="H6" i="119" s="1"/>
  <c r="L7" i="119"/>
  <c r="H7" i="119" s="1"/>
  <c r="L8" i="119"/>
  <c r="H8" i="119" s="1"/>
  <c r="L9" i="119"/>
  <c r="H9" i="119" s="1"/>
  <c r="L10" i="119"/>
  <c r="H10" i="119" s="1"/>
  <c r="L11" i="119"/>
  <c r="H11" i="119" s="1"/>
  <c r="L12" i="119"/>
  <c r="H12" i="119" s="1"/>
  <c r="L13" i="119"/>
  <c r="H13" i="119" s="1"/>
  <c r="L14" i="119"/>
  <c r="H14" i="119" s="1"/>
  <c r="L16" i="119"/>
  <c r="H16" i="119" s="1"/>
  <c r="L34" i="119"/>
  <c r="H34" i="119" s="1"/>
  <c r="L15" i="119"/>
  <c r="H15" i="119" s="1"/>
  <c r="L35" i="119"/>
  <c r="H35" i="119" s="1"/>
  <c r="L26" i="119"/>
  <c r="H26" i="119" s="1"/>
  <c r="L36" i="119"/>
  <c r="H36" i="119" s="1"/>
  <c r="L45" i="119"/>
  <c r="H45" i="119" s="1"/>
  <c r="L46" i="119"/>
  <c r="H46" i="119" s="1"/>
  <c r="L47" i="119"/>
  <c r="H47" i="119" s="1"/>
  <c r="L38" i="119"/>
  <c r="H38" i="119" s="1"/>
  <c r="L39" i="119"/>
  <c r="H39" i="119" s="1"/>
  <c r="L40" i="119"/>
  <c r="H40" i="119" s="1"/>
  <c r="L41" i="119"/>
  <c r="H41" i="119" s="1"/>
  <c r="L42" i="119"/>
  <c r="H42" i="119" s="1"/>
  <c r="L48" i="119"/>
  <c r="H48" i="119" s="1"/>
  <c r="L49" i="119"/>
  <c r="H49" i="119" s="1"/>
  <c r="L50" i="119"/>
  <c r="H50" i="119" s="1"/>
  <c r="L51" i="119"/>
  <c r="H51" i="119" s="1"/>
  <c r="L43" i="119"/>
  <c r="H43" i="119" s="1"/>
  <c r="L44" i="119"/>
  <c r="H44" i="119" s="1"/>
  <c r="L52" i="119"/>
  <c r="H52" i="119" s="1"/>
  <c r="M37" i="119"/>
  <c r="M31" i="119"/>
  <c r="M32" i="119"/>
  <c r="M33" i="119"/>
  <c r="M27" i="119"/>
  <c r="M28" i="119"/>
  <c r="M29" i="119"/>
  <c r="M30" i="119"/>
  <c r="M17" i="119"/>
  <c r="M18" i="119"/>
  <c r="M19" i="119"/>
  <c r="M20" i="119"/>
  <c r="M21" i="119"/>
  <c r="M22" i="119"/>
  <c r="M23" i="119"/>
  <c r="M24" i="119"/>
  <c r="M25" i="119"/>
  <c r="M5" i="119"/>
  <c r="M6" i="119"/>
  <c r="M7" i="119"/>
  <c r="M8" i="119"/>
  <c r="M9" i="119"/>
  <c r="M10" i="119"/>
  <c r="M11" i="119"/>
  <c r="M12" i="119"/>
  <c r="M13" i="119"/>
  <c r="M14" i="119"/>
  <c r="M16" i="119"/>
  <c r="M34" i="119"/>
  <c r="M15" i="119"/>
  <c r="M35" i="119"/>
  <c r="M26" i="119"/>
  <c r="M36" i="119"/>
  <c r="M45" i="119"/>
  <c r="M46" i="119"/>
  <c r="M47" i="119"/>
  <c r="M38" i="119"/>
  <c r="M39" i="119"/>
  <c r="M40" i="119"/>
  <c r="M41" i="119"/>
  <c r="M42" i="119"/>
  <c r="M48" i="119"/>
  <c r="M49" i="119"/>
  <c r="M50" i="119"/>
  <c r="M51" i="119"/>
  <c r="M43" i="119"/>
  <c r="M44" i="119"/>
  <c r="M52" i="119"/>
  <c r="N37" i="119"/>
  <c r="N31" i="119"/>
  <c r="N32" i="119"/>
  <c r="N33" i="119"/>
  <c r="N27" i="119"/>
  <c r="N28" i="119"/>
  <c r="N29" i="119"/>
  <c r="N30" i="119"/>
  <c r="N17" i="119"/>
  <c r="N18" i="119"/>
  <c r="N19" i="119"/>
  <c r="N20" i="119"/>
  <c r="N21" i="119"/>
  <c r="N22" i="119"/>
  <c r="N23" i="119"/>
  <c r="N24" i="119"/>
  <c r="N25" i="119"/>
  <c r="N5" i="119"/>
  <c r="N6" i="119"/>
  <c r="N7" i="119"/>
  <c r="N8" i="119"/>
  <c r="N9" i="119"/>
  <c r="N10" i="119"/>
  <c r="N11" i="119"/>
  <c r="N12" i="119"/>
  <c r="N13" i="119"/>
  <c r="N14" i="119"/>
  <c r="N16" i="119"/>
  <c r="N34" i="119"/>
  <c r="N15" i="119"/>
  <c r="N35" i="119"/>
  <c r="N26" i="119"/>
  <c r="N36" i="119"/>
  <c r="N45" i="119"/>
  <c r="N46" i="119"/>
  <c r="N47" i="119"/>
  <c r="N38" i="119"/>
  <c r="N39" i="119"/>
  <c r="N40" i="119"/>
  <c r="N41" i="119"/>
  <c r="N42" i="119"/>
  <c r="N48" i="119"/>
  <c r="N49" i="119"/>
  <c r="N50" i="119"/>
  <c r="N51" i="119"/>
  <c r="N43" i="119"/>
  <c r="N44" i="119"/>
  <c r="N52" i="119"/>
  <c r="O37" i="119"/>
  <c r="O31" i="119"/>
  <c r="O32" i="119"/>
  <c r="O33" i="119"/>
  <c r="O27" i="119"/>
  <c r="O28" i="119"/>
  <c r="O29" i="119"/>
  <c r="O30" i="119"/>
  <c r="O17" i="119"/>
  <c r="O18" i="119"/>
  <c r="O19" i="119"/>
  <c r="O20" i="119"/>
  <c r="O21" i="119"/>
  <c r="O22" i="119"/>
  <c r="O23" i="119"/>
  <c r="O24" i="119"/>
  <c r="O25" i="119"/>
  <c r="O5" i="119"/>
  <c r="O6" i="119"/>
  <c r="O7" i="119"/>
  <c r="O8" i="119"/>
  <c r="O9" i="119"/>
  <c r="O10" i="119"/>
  <c r="O11" i="119"/>
  <c r="O12" i="119"/>
  <c r="O13" i="119"/>
  <c r="O14" i="119"/>
  <c r="O16" i="119"/>
  <c r="O34" i="119"/>
  <c r="O15" i="119"/>
  <c r="O35" i="119"/>
  <c r="O26" i="119"/>
  <c r="O36" i="119"/>
  <c r="O45" i="119"/>
  <c r="O46" i="119"/>
  <c r="O47" i="119"/>
  <c r="O38" i="119"/>
  <c r="O39" i="119"/>
  <c r="O40" i="119"/>
  <c r="O41" i="119"/>
  <c r="O42" i="119"/>
  <c r="O48" i="119"/>
  <c r="O49" i="119"/>
  <c r="O50" i="119"/>
  <c r="O51" i="119"/>
  <c r="O43" i="119"/>
  <c r="O44" i="119"/>
  <c r="O52" i="119"/>
  <c r="J5" i="116"/>
  <c r="J6" i="116"/>
  <c r="J7" i="116"/>
  <c r="J8" i="116"/>
  <c r="J9" i="116"/>
  <c r="J10" i="116"/>
  <c r="J11" i="116"/>
  <c r="J12" i="116"/>
  <c r="J13" i="116"/>
  <c r="J14" i="116"/>
  <c r="J15" i="116"/>
  <c r="J16" i="116"/>
  <c r="J17" i="116"/>
  <c r="J18" i="116"/>
  <c r="J19" i="116"/>
  <c r="J20" i="116"/>
  <c r="J21" i="116"/>
  <c r="J22" i="116"/>
  <c r="J23" i="116"/>
  <c r="J24" i="116"/>
  <c r="J25" i="116"/>
  <c r="J26" i="116"/>
  <c r="J27" i="116"/>
  <c r="J28" i="116"/>
  <c r="J29" i="116"/>
  <c r="J30" i="116"/>
  <c r="J31" i="116"/>
  <c r="J32" i="116"/>
  <c r="J33" i="116"/>
  <c r="J34" i="116"/>
  <c r="J35" i="116"/>
  <c r="J36" i="116"/>
  <c r="J37" i="116"/>
  <c r="J38" i="116"/>
  <c r="J39" i="116"/>
  <c r="J40" i="116"/>
  <c r="J41" i="116"/>
  <c r="J42" i="116"/>
  <c r="J43" i="116"/>
  <c r="J44" i="116"/>
  <c r="J45" i="116"/>
  <c r="J46" i="116"/>
  <c r="J47" i="116"/>
  <c r="J48" i="116"/>
  <c r="J49" i="116"/>
  <c r="J50" i="116"/>
  <c r="J51" i="116"/>
  <c r="J52" i="116"/>
  <c r="J53" i="116"/>
  <c r="J54" i="116"/>
  <c r="J55" i="116"/>
  <c r="J56" i="116"/>
  <c r="J57" i="116"/>
  <c r="J58" i="116"/>
  <c r="J59" i="116"/>
  <c r="J60" i="116"/>
  <c r="J61" i="116"/>
  <c r="J62" i="116"/>
  <c r="J63" i="116"/>
  <c r="J64" i="116"/>
  <c r="J65" i="116"/>
  <c r="J66" i="116"/>
  <c r="J67" i="116"/>
  <c r="J68" i="116"/>
  <c r="J69" i="116"/>
  <c r="J70" i="116"/>
  <c r="J71" i="116"/>
  <c r="J72" i="116"/>
  <c r="J73" i="116"/>
  <c r="J74" i="116"/>
  <c r="J75" i="116"/>
  <c r="J76" i="116"/>
  <c r="J77" i="116"/>
  <c r="J78" i="116"/>
  <c r="J79" i="116"/>
  <c r="J80" i="116"/>
  <c r="J81" i="116"/>
  <c r="J82" i="116"/>
  <c r="J83" i="116"/>
  <c r="K5" i="116"/>
  <c r="K6" i="116"/>
  <c r="K7" i="116"/>
  <c r="K8" i="116"/>
  <c r="K9" i="116"/>
  <c r="K10" i="116"/>
  <c r="K11" i="116"/>
  <c r="K12" i="116"/>
  <c r="K13" i="116"/>
  <c r="K14" i="116"/>
  <c r="K15" i="116"/>
  <c r="K16" i="116"/>
  <c r="K17" i="116"/>
  <c r="K18" i="116"/>
  <c r="K19" i="116"/>
  <c r="K20" i="116"/>
  <c r="K21" i="116"/>
  <c r="K22" i="116"/>
  <c r="K23" i="116"/>
  <c r="K24" i="116"/>
  <c r="K25" i="116"/>
  <c r="K26" i="116"/>
  <c r="K27" i="116"/>
  <c r="K28" i="116"/>
  <c r="K29" i="116"/>
  <c r="K30" i="116"/>
  <c r="K31" i="116"/>
  <c r="K32" i="116"/>
  <c r="K33" i="116"/>
  <c r="K34" i="116"/>
  <c r="K35" i="116"/>
  <c r="K36" i="116"/>
  <c r="K37" i="116"/>
  <c r="K38" i="116"/>
  <c r="K39" i="116"/>
  <c r="K40" i="116"/>
  <c r="K41" i="116"/>
  <c r="K42" i="116"/>
  <c r="K43" i="116"/>
  <c r="K44" i="116"/>
  <c r="K45" i="116"/>
  <c r="K46" i="116"/>
  <c r="K47" i="116"/>
  <c r="K48" i="116"/>
  <c r="K49" i="116"/>
  <c r="K50" i="116"/>
  <c r="K51" i="116"/>
  <c r="K52" i="116"/>
  <c r="K53" i="116"/>
  <c r="K54" i="116"/>
  <c r="K55" i="116"/>
  <c r="K56" i="116"/>
  <c r="K57" i="116"/>
  <c r="K58" i="116"/>
  <c r="K59" i="116"/>
  <c r="K60" i="116"/>
  <c r="K61" i="116"/>
  <c r="K62" i="116"/>
  <c r="K63" i="116"/>
  <c r="K64" i="116"/>
  <c r="K65" i="116"/>
  <c r="K66" i="116"/>
  <c r="K67" i="116"/>
  <c r="K68" i="116"/>
  <c r="K69" i="116"/>
  <c r="K70" i="116"/>
  <c r="K71" i="116"/>
  <c r="K72" i="116"/>
  <c r="K73" i="116"/>
  <c r="K74" i="116"/>
  <c r="K75" i="116"/>
  <c r="K76" i="116"/>
  <c r="K77" i="116"/>
  <c r="K78" i="116"/>
  <c r="K79" i="116"/>
  <c r="K80" i="116"/>
  <c r="K81" i="116"/>
  <c r="K82" i="116"/>
  <c r="K83" i="116"/>
  <c r="L5" i="116"/>
  <c r="L6" i="116"/>
  <c r="L7" i="116"/>
  <c r="L8" i="116"/>
  <c r="L9" i="116"/>
  <c r="L10" i="116"/>
  <c r="L11" i="116"/>
  <c r="L12" i="116"/>
  <c r="L13" i="116"/>
  <c r="L14" i="116"/>
  <c r="L15" i="116"/>
  <c r="L16" i="116"/>
  <c r="L17" i="116"/>
  <c r="L18" i="116"/>
  <c r="L19" i="116"/>
  <c r="L20" i="116"/>
  <c r="L21" i="116"/>
  <c r="L22" i="116"/>
  <c r="L23" i="116"/>
  <c r="L24" i="116"/>
  <c r="L25" i="116"/>
  <c r="L26" i="116"/>
  <c r="L27" i="116"/>
  <c r="L28" i="116"/>
  <c r="L29" i="116"/>
  <c r="L30" i="116"/>
  <c r="L31" i="116"/>
  <c r="L32" i="116"/>
  <c r="L33" i="116"/>
  <c r="L34" i="116"/>
  <c r="L35" i="116"/>
  <c r="L36" i="116"/>
  <c r="L37" i="116"/>
  <c r="L38" i="116"/>
  <c r="L39" i="116"/>
  <c r="L40" i="116"/>
  <c r="L41" i="116"/>
  <c r="L42" i="116"/>
  <c r="L43" i="116"/>
  <c r="L44" i="116"/>
  <c r="L45" i="116"/>
  <c r="L46" i="116"/>
  <c r="L47" i="116"/>
  <c r="L48" i="116"/>
  <c r="L49" i="116"/>
  <c r="L50" i="116"/>
  <c r="L51" i="116"/>
  <c r="L52" i="116"/>
  <c r="L53" i="116"/>
  <c r="L54" i="116"/>
  <c r="L55" i="116"/>
  <c r="L56" i="116"/>
  <c r="L57" i="116"/>
  <c r="L58" i="116"/>
  <c r="L59" i="116"/>
  <c r="L60" i="116"/>
  <c r="L61" i="116"/>
  <c r="L62" i="116"/>
  <c r="L63" i="116"/>
  <c r="L64" i="116"/>
  <c r="L65" i="116"/>
  <c r="L66" i="116"/>
  <c r="L67" i="116"/>
  <c r="L68" i="116"/>
  <c r="L69" i="116"/>
  <c r="L70" i="116"/>
  <c r="L71" i="116"/>
  <c r="L72" i="116"/>
  <c r="L73" i="116"/>
  <c r="L74" i="116"/>
  <c r="L75" i="116"/>
  <c r="L76" i="116"/>
  <c r="L77" i="116"/>
  <c r="L78" i="116"/>
  <c r="L79" i="116"/>
  <c r="L80" i="116"/>
  <c r="L81" i="116"/>
  <c r="L82" i="116"/>
  <c r="L83" i="116"/>
  <c r="M5" i="116"/>
  <c r="M6" i="116"/>
  <c r="M7" i="116"/>
  <c r="M8" i="116"/>
  <c r="M9" i="116"/>
  <c r="M10" i="116"/>
  <c r="M11" i="116"/>
  <c r="M12" i="116"/>
  <c r="M13" i="116"/>
  <c r="M14" i="116"/>
  <c r="M15" i="116"/>
  <c r="M16" i="116"/>
  <c r="M17" i="116"/>
  <c r="M18" i="116"/>
  <c r="M19" i="116"/>
  <c r="M20" i="116"/>
  <c r="M21" i="116"/>
  <c r="M22" i="116"/>
  <c r="M23" i="116"/>
  <c r="M24" i="116"/>
  <c r="M25" i="116"/>
  <c r="M26" i="116"/>
  <c r="M27" i="116"/>
  <c r="M28" i="116"/>
  <c r="M29" i="116"/>
  <c r="M30" i="116"/>
  <c r="M31" i="116"/>
  <c r="M32" i="116"/>
  <c r="M33" i="116"/>
  <c r="M34" i="116"/>
  <c r="M35" i="116"/>
  <c r="M36" i="116"/>
  <c r="M37" i="116"/>
  <c r="M38" i="116"/>
  <c r="M39" i="116"/>
  <c r="M40" i="116"/>
  <c r="M41" i="116"/>
  <c r="M42" i="116"/>
  <c r="M43" i="116"/>
  <c r="M44" i="116"/>
  <c r="M45" i="116"/>
  <c r="M46" i="116"/>
  <c r="M47" i="116"/>
  <c r="M48" i="116"/>
  <c r="M49" i="116"/>
  <c r="M50" i="116"/>
  <c r="M51" i="116"/>
  <c r="M52" i="116"/>
  <c r="M53" i="116"/>
  <c r="M54" i="116"/>
  <c r="M55" i="116"/>
  <c r="M56" i="116"/>
  <c r="M57" i="116"/>
  <c r="M58" i="116"/>
  <c r="M59" i="116"/>
  <c r="M60" i="116"/>
  <c r="M61" i="116"/>
  <c r="M62" i="116"/>
  <c r="M63" i="116"/>
  <c r="M64" i="116"/>
  <c r="M65" i="116"/>
  <c r="M66" i="116"/>
  <c r="M67" i="116"/>
  <c r="M68" i="116"/>
  <c r="M69" i="116"/>
  <c r="M70" i="116"/>
  <c r="M71" i="116"/>
  <c r="M72" i="116"/>
  <c r="M73" i="116"/>
  <c r="M74" i="116"/>
  <c r="M75" i="116"/>
  <c r="M76" i="116"/>
  <c r="M77" i="116"/>
  <c r="M78" i="116"/>
  <c r="M79" i="116"/>
  <c r="M80" i="116"/>
  <c r="M81" i="116"/>
  <c r="M82" i="116"/>
  <c r="M83" i="116"/>
  <c r="N5" i="116"/>
  <c r="N6" i="116"/>
  <c r="N7" i="116"/>
  <c r="N8" i="116"/>
  <c r="N9" i="116"/>
  <c r="N10" i="116"/>
  <c r="N11" i="116"/>
  <c r="N12" i="116"/>
  <c r="N13" i="116"/>
  <c r="N14" i="116"/>
  <c r="N15" i="116"/>
  <c r="N16" i="116"/>
  <c r="N17" i="116"/>
  <c r="N18" i="116"/>
  <c r="N19" i="116"/>
  <c r="N20" i="116"/>
  <c r="N21" i="116"/>
  <c r="N22" i="116"/>
  <c r="N23" i="116"/>
  <c r="N24" i="116"/>
  <c r="N25" i="116"/>
  <c r="N26" i="116"/>
  <c r="N27" i="116"/>
  <c r="N28" i="116"/>
  <c r="N29" i="116"/>
  <c r="N30" i="116"/>
  <c r="N31" i="116"/>
  <c r="N32" i="116"/>
  <c r="N33" i="116"/>
  <c r="N34" i="116"/>
  <c r="N35" i="116"/>
  <c r="N36" i="116"/>
  <c r="N37" i="116"/>
  <c r="N38" i="116"/>
  <c r="N39" i="116"/>
  <c r="N40" i="116"/>
  <c r="N41" i="116"/>
  <c r="N42" i="116"/>
  <c r="N43" i="116"/>
  <c r="N44" i="116"/>
  <c r="N45" i="116"/>
  <c r="N46" i="116"/>
  <c r="N47" i="116"/>
  <c r="N48" i="116"/>
  <c r="N49" i="116"/>
  <c r="N50" i="116"/>
  <c r="N51" i="116"/>
  <c r="N52" i="116"/>
  <c r="N53" i="116"/>
  <c r="N54" i="116"/>
  <c r="N55" i="116"/>
  <c r="N56" i="116"/>
  <c r="N57" i="116"/>
  <c r="N58" i="116"/>
  <c r="N59" i="116"/>
  <c r="N60" i="116"/>
  <c r="N61" i="116"/>
  <c r="N62" i="116"/>
  <c r="N63" i="116"/>
  <c r="N64" i="116"/>
  <c r="N65" i="116"/>
  <c r="N66" i="116"/>
  <c r="N67" i="116"/>
  <c r="N68" i="116"/>
  <c r="N69" i="116"/>
  <c r="N70" i="116"/>
  <c r="N71" i="116"/>
  <c r="N72" i="116"/>
  <c r="N73" i="116"/>
  <c r="N74" i="116"/>
  <c r="N75" i="116"/>
  <c r="N76" i="116"/>
  <c r="N77" i="116"/>
  <c r="N78" i="116"/>
  <c r="N79" i="116"/>
  <c r="N80" i="116"/>
  <c r="N81" i="116"/>
  <c r="N82" i="116"/>
  <c r="N83" i="116"/>
  <c r="O5" i="116"/>
  <c r="O6" i="116"/>
  <c r="O7" i="116"/>
  <c r="O8" i="116"/>
  <c r="O9" i="116"/>
  <c r="O10" i="116"/>
  <c r="O11" i="116"/>
  <c r="O12" i="116"/>
  <c r="O13" i="116"/>
  <c r="O14" i="116"/>
  <c r="O15" i="116"/>
  <c r="O16" i="116"/>
  <c r="O17" i="116"/>
  <c r="O18" i="116"/>
  <c r="O19" i="116"/>
  <c r="O20" i="116"/>
  <c r="O21" i="116"/>
  <c r="O22" i="116"/>
  <c r="O23" i="116"/>
  <c r="O24" i="116"/>
  <c r="O25" i="116"/>
  <c r="O26" i="116"/>
  <c r="O27" i="116"/>
  <c r="O28" i="116"/>
  <c r="O29" i="116"/>
  <c r="O30" i="116"/>
  <c r="O31" i="116"/>
  <c r="O32" i="116"/>
  <c r="O33" i="116"/>
  <c r="O34" i="116"/>
  <c r="O35" i="116"/>
  <c r="O36" i="116"/>
  <c r="O37" i="116"/>
  <c r="O38" i="116"/>
  <c r="O39" i="116"/>
  <c r="O40" i="116"/>
  <c r="O41" i="116"/>
  <c r="O42" i="116"/>
  <c r="O43" i="116"/>
  <c r="O44" i="116"/>
  <c r="O45" i="116"/>
  <c r="O46" i="116"/>
  <c r="O47" i="116"/>
  <c r="O48" i="116"/>
  <c r="O49" i="116"/>
  <c r="O50" i="116"/>
  <c r="O51" i="116"/>
  <c r="O52" i="116"/>
  <c r="O53" i="116"/>
  <c r="O54" i="116"/>
  <c r="O55" i="116"/>
  <c r="O56" i="116"/>
  <c r="O57" i="116"/>
  <c r="O58" i="116"/>
  <c r="O59" i="116"/>
  <c r="O60" i="116"/>
  <c r="O61" i="116"/>
  <c r="O62" i="116"/>
  <c r="O63" i="116"/>
  <c r="O64" i="116"/>
  <c r="O65" i="116"/>
  <c r="O66" i="116"/>
  <c r="O67" i="116"/>
  <c r="O68" i="116"/>
  <c r="O69" i="116"/>
  <c r="O70" i="116"/>
  <c r="O71" i="116"/>
  <c r="O72" i="116"/>
  <c r="O73" i="116"/>
  <c r="O74" i="116"/>
  <c r="O75" i="116"/>
  <c r="O76" i="116"/>
  <c r="O77" i="116"/>
  <c r="O78" i="116"/>
  <c r="O79" i="116"/>
  <c r="O80" i="116"/>
  <c r="O81" i="116"/>
  <c r="O82" i="116"/>
  <c r="O83" i="116"/>
  <c r="K2" i="129"/>
  <c r="K3" i="129"/>
  <c r="K4" i="129"/>
  <c r="K5" i="129"/>
  <c r="K6" i="129"/>
  <c r="K7" i="129"/>
  <c r="K8" i="129"/>
  <c r="K9" i="129"/>
  <c r="K10" i="129"/>
  <c r="K11" i="129"/>
  <c r="K12" i="129"/>
  <c r="K13" i="129"/>
  <c r="K14" i="129"/>
  <c r="K15" i="129"/>
  <c r="K16" i="129"/>
  <c r="K17" i="129"/>
  <c r="K18" i="129"/>
  <c r="K19" i="129"/>
  <c r="K20" i="129"/>
  <c r="K21" i="129"/>
  <c r="K22" i="129"/>
  <c r="K23" i="129"/>
  <c r="K24" i="129"/>
  <c r="K25" i="129"/>
  <c r="K26" i="129"/>
  <c r="K27" i="129"/>
  <c r="K28" i="129"/>
  <c r="K29" i="129"/>
  <c r="K30" i="129"/>
  <c r="K31" i="129"/>
  <c r="K32" i="129"/>
  <c r="K33" i="129"/>
  <c r="L2" i="129"/>
  <c r="L3" i="129"/>
  <c r="L4" i="129"/>
  <c r="L5" i="129"/>
  <c r="L6" i="129"/>
  <c r="L7" i="129"/>
  <c r="L8" i="129"/>
  <c r="L9" i="129"/>
  <c r="L10" i="129"/>
  <c r="L11" i="129"/>
  <c r="L12" i="129"/>
  <c r="L13" i="129"/>
  <c r="L14" i="129"/>
  <c r="L15" i="129"/>
  <c r="L16" i="129"/>
  <c r="L17" i="129"/>
  <c r="L18" i="129"/>
  <c r="L19" i="129"/>
  <c r="L20" i="129"/>
  <c r="L21" i="129"/>
  <c r="L22" i="129"/>
  <c r="L23" i="129"/>
  <c r="L24" i="129"/>
  <c r="L25" i="129"/>
  <c r="L26" i="129"/>
  <c r="L27" i="129"/>
  <c r="L28" i="129"/>
  <c r="L29" i="129"/>
  <c r="L30" i="129"/>
  <c r="L31" i="129"/>
  <c r="L32" i="129"/>
  <c r="L33" i="129"/>
  <c r="M2" i="129"/>
  <c r="M3" i="129"/>
  <c r="M4" i="129"/>
  <c r="M5" i="129"/>
  <c r="M6" i="129"/>
  <c r="M7" i="129"/>
  <c r="M8" i="129"/>
  <c r="M9" i="129"/>
  <c r="M10" i="129"/>
  <c r="M11" i="129"/>
  <c r="M12" i="129"/>
  <c r="M13" i="129"/>
  <c r="M14" i="129"/>
  <c r="M15" i="129"/>
  <c r="M16" i="129"/>
  <c r="M17" i="129"/>
  <c r="M18" i="129"/>
  <c r="M19" i="129"/>
  <c r="M20" i="129"/>
  <c r="M21" i="129"/>
  <c r="M22" i="129"/>
  <c r="M23" i="129"/>
  <c r="M24" i="129"/>
  <c r="M25" i="129"/>
  <c r="M26" i="129"/>
  <c r="M27" i="129"/>
  <c r="M28" i="129"/>
  <c r="M29" i="129"/>
  <c r="M30" i="129"/>
  <c r="M31" i="129"/>
  <c r="M32" i="129"/>
  <c r="M33" i="129"/>
  <c r="N2" i="129"/>
  <c r="N3" i="129"/>
  <c r="N4" i="129"/>
  <c r="N5" i="129"/>
  <c r="N6" i="129"/>
  <c r="N7" i="129"/>
  <c r="N8" i="129"/>
  <c r="N9" i="129"/>
  <c r="N10" i="129"/>
  <c r="N11" i="129"/>
  <c r="N12" i="129"/>
  <c r="N13" i="129"/>
  <c r="N14" i="129"/>
  <c r="N15" i="129"/>
  <c r="N16" i="129"/>
  <c r="N17" i="129"/>
  <c r="N18" i="129"/>
  <c r="N19" i="129"/>
  <c r="N20" i="129"/>
  <c r="N21" i="129"/>
  <c r="N22" i="129"/>
  <c r="N23" i="129"/>
  <c r="N24" i="129"/>
  <c r="N25" i="129"/>
  <c r="N26" i="129"/>
  <c r="N27" i="129"/>
  <c r="N28" i="129"/>
  <c r="N29" i="129"/>
  <c r="N30" i="129"/>
  <c r="N31" i="129"/>
  <c r="N32" i="129"/>
  <c r="N33" i="129"/>
  <c r="O2" i="129"/>
  <c r="O3" i="129"/>
  <c r="O4" i="129"/>
  <c r="O5" i="129"/>
  <c r="O6" i="129"/>
  <c r="O7" i="129"/>
  <c r="O8" i="129"/>
  <c r="O9" i="129"/>
  <c r="O10" i="129"/>
  <c r="O11" i="129"/>
  <c r="O12" i="129"/>
  <c r="O13" i="129"/>
  <c r="O14" i="129"/>
  <c r="O15" i="129"/>
  <c r="O16" i="129"/>
  <c r="O17" i="129"/>
  <c r="O18" i="129"/>
  <c r="O19" i="129"/>
  <c r="O20" i="129"/>
  <c r="O21" i="129"/>
  <c r="O22" i="129"/>
  <c r="O23" i="129"/>
  <c r="O24" i="129"/>
  <c r="O25" i="129"/>
  <c r="O26" i="129"/>
  <c r="O27" i="129"/>
  <c r="O28" i="129"/>
  <c r="O29" i="129"/>
  <c r="O30" i="129"/>
  <c r="O31" i="129"/>
  <c r="O32" i="129"/>
  <c r="O33" i="129"/>
  <c r="P2" i="129"/>
  <c r="P3" i="129"/>
  <c r="P4" i="129"/>
  <c r="P5" i="129"/>
  <c r="P6" i="129"/>
  <c r="P7" i="129"/>
  <c r="P8" i="129"/>
  <c r="P9" i="129"/>
  <c r="P10" i="129"/>
  <c r="P11" i="129"/>
  <c r="P12" i="129"/>
  <c r="P13" i="129"/>
  <c r="P14" i="129"/>
  <c r="P15" i="129"/>
  <c r="P16" i="129"/>
  <c r="P17" i="129"/>
  <c r="P18" i="129"/>
  <c r="P19" i="129"/>
  <c r="P20" i="129"/>
  <c r="P21" i="129"/>
  <c r="P22" i="129"/>
  <c r="P23" i="129"/>
  <c r="P24" i="129"/>
  <c r="P25" i="129"/>
  <c r="P26" i="129"/>
  <c r="P27" i="129"/>
  <c r="P28" i="129"/>
  <c r="P29" i="129"/>
  <c r="P30" i="129"/>
  <c r="P31" i="129"/>
  <c r="P32" i="129"/>
  <c r="P33" i="129"/>
  <c r="Q2" i="129"/>
  <c r="Q3" i="129"/>
  <c r="Q4" i="129"/>
  <c r="Q5" i="129"/>
  <c r="Q6" i="129"/>
  <c r="Q7" i="129"/>
  <c r="Q8" i="129"/>
  <c r="Q9" i="129"/>
  <c r="Q10" i="129"/>
  <c r="Q11" i="129"/>
  <c r="Q12" i="129"/>
  <c r="Q13" i="129"/>
  <c r="Q14" i="129"/>
  <c r="Q15" i="129"/>
  <c r="Q16" i="129"/>
  <c r="Q17" i="129"/>
  <c r="Q18" i="129"/>
  <c r="Q19" i="129"/>
  <c r="Q20" i="129"/>
  <c r="Q21" i="129"/>
  <c r="Q22" i="129"/>
  <c r="Q23" i="129"/>
  <c r="Q24" i="129"/>
  <c r="Q25" i="129"/>
  <c r="Q26" i="129"/>
  <c r="Q27" i="129"/>
  <c r="Q28" i="129"/>
  <c r="Q29" i="129"/>
  <c r="Q30" i="129"/>
  <c r="Q31" i="129"/>
  <c r="Q32" i="129"/>
  <c r="Q33" i="129"/>
  <c r="Y532" i="131" l="1"/>
  <c r="AL532" i="131" s="1"/>
  <c r="AJ531" i="131"/>
  <c r="AK531" i="131" s="1"/>
  <c r="Z25" i="57"/>
  <c r="F208" i="98"/>
  <c r="J213" i="98"/>
  <c r="J212" i="98"/>
  <c r="J211" i="98"/>
  <c r="J210" i="98"/>
  <c r="J209" i="98"/>
  <c r="J208" i="98"/>
  <c r="J207" i="98"/>
  <c r="J206" i="98"/>
  <c r="J205" i="98"/>
  <c r="J204" i="98"/>
  <c r="J203" i="98"/>
  <c r="J202" i="98"/>
  <c r="J201" i="98"/>
  <c r="J200" i="98"/>
  <c r="J199" i="98"/>
  <c r="J198" i="98"/>
  <c r="J197" i="98"/>
  <c r="I78" i="74"/>
  <c r="J78" i="74" s="1"/>
  <c r="I77" i="74"/>
  <c r="J77" i="74" s="1"/>
  <c r="I76" i="74"/>
  <c r="J76" i="74" s="1"/>
  <c r="I75" i="74"/>
  <c r="J75" i="74" s="1"/>
  <c r="I74" i="74"/>
  <c r="J74" i="74" s="1"/>
  <c r="Y533" i="131" l="1"/>
  <c r="AL533" i="131" s="1"/>
  <c r="AJ532" i="131"/>
  <c r="AK532" i="131" s="1"/>
  <c r="F206" i="98"/>
  <c r="E14" i="21"/>
  <c r="E12" i="21"/>
  <c r="E9" i="21"/>
  <c r="F9" i="21" s="1"/>
  <c r="F11" i="21"/>
  <c r="F10" i="21"/>
  <c r="F8" i="21"/>
  <c r="F7" i="21"/>
  <c r="F6" i="21"/>
  <c r="AJ533" i="131" l="1"/>
  <c r="AK533" i="131" s="1"/>
  <c r="Y534" i="131"/>
  <c r="AL534" i="131" s="1"/>
  <c r="F205" i="98"/>
  <c r="F204" i="98"/>
  <c r="G11" i="18"/>
  <c r="H29" i="4"/>
  <c r="I29" i="4" s="1"/>
  <c r="H16" i="4"/>
  <c r="I16" i="4" s="1"/>
  <c r="J50" i="119"/>
  <c r="J45" i="119"/>
  <c r="E16" i="6"/>
  <c r="D16" i="6"/>
  <c r="E15" i="6"/>
  <c r="D15" i="6"/>
  <c r="E14" i="6"/>
  <c r="D14" i="6"/>
  <c r="B16" i="6"/>
  <c r="B15" i="6"/>
  <c r="B14" i="6"/>
  <c r="E13" i="6"/>
  <c r="D13" i="6"/>
  <c r="B13" i="6"/>
  <c r="F202" i="98"/>
  <c r="Y535" i="131" l="1"/>
  <c r="AL535" i="131" s="1"/>
  <c r="AJ534" i="131"/>
  <c r="AK534" i="131" s="1"/>
  <c r="S224" i="37" a="1"/>
  <c r="S224" i="37" s="1"/>
  <c r="P48" i="119" s="1"/>
  <c r="S84" i="37" a="1"/>
  <c r="S84" i="37" s="1"/>
  <c r="P82" i="116" s="1"/>
  <c r="S232" i="37" a="1"/>
  <c r="S232" i="37" s="1"/>
  <c r="P42" i="119" s="1"/>
  <c r="S38" i="37" a="1"/>
  <c r="S38" i="37" s="1"/>
  <c r="P41" i="119" s="1"/>
  <c r="I4" i="37" a="1"/>
  <c r="I4" i="37" s="1"/>
  <c r="A1" i="119"/>
  <c r="AJ535" i="131" l="1"/>
  <c r="AK535" i="131" s="1"/>
  <c r="Y536" i="131"/>
  <c r="AL536" i="131" s="1"/>
  <c r="H19" i="130"/>
  <c r="I19" i="130" s="1"/>
  <c r="H47" i="130"/>
  <c r="I47" i="130" s="1"/>
  <c r="H46" i="130"/>
  <c r="I46" i="130" s="1"/>
  <c r="H45" i="130"/>
  <c r="I45" i="130" s="1"/>
  <c r="H44" i="130"/>
  <c r="I44" i="130" s="1"/>
  <c r="H43" i="130"/>
  <c r="I43" i="130" s="1"/>
  <c r="H42" i="130"/>
  <c r="I42" i="130" s="1"/>
  <c r="G41" i="130"/>
  <c r="Z22" i="37"/>
  <c r="Z21" i="37"/>
  <c r="Z20" i="37"/>
  <c r="Z19" i="37"/>
  <c r="Z18" i="37"/>
  <c r="S25" i="37" a="1"/>
  <c r="S25" i="37" s="1"/>
  <c r="S216" i="37" a="1"/>
  <c r="S216" i="37" s="1"/>
  <c r="P78" i="116" s="1"/>
  <c r="S26" i="37" a="1"/>
  <c r="S26" i="37" s="1"/>
  <c r="S214" i="37" a="1"/>
  <c r="S214" i="37" s="1"/>
  <c r="S221" i="37" a="1"/>
  <c r="S221" i="37" s="1"/>
  <c r="P45" i="119" s="1"/>
  <c r="S222" i="37" a="1"/>
  <c r="S222" i="37" s="1"/>
  <c r="P46" i="119" s="1"/>
  <c r="S229" i="37" a="1"/>
  <c r="S229" i="37" s="1"/>
  <c r="P35" i="119" s="1"/>
  <c r="S228" i="37" a="1"/>
  <c r="S228" i="37" s="1"/>
  <c r="P36" i="119" s="1"/>
  <c r="S223" i="37" a="1"/>
  <c r="S223" i="37" s="1"/>
  <c r="P47" i="119" s="1"/>
  <c r="S218" i="37" a="1"/>
  <c r="S218" i="37" s="1"/>
  <c r="P6" i="116" s="1"/>
  <c r="S215" i="37" a="1"/>
  <c r="S215" i="37" s="1"/>
  <c r="P5" i="116" s="1"/>
  <c r="S220" i="37" a="1"/>
  <c r="S220" i="37" s="1"/>
  <c r="P76" i="116" s="1"/>
  <c r="S72" i="37" a="1"/>
  <c r="S72" i="37" s="1"/>
  <c r="S73" i="37" a="1"/>
  <c r="S73" i="37" s="1"/>
  <c r="P50" i="116" s="1"/>
  <c r="S74" i="37" a="1"/>
  <c r="S74" i="37" s="1"/>
  <c r="P8" i="116" s="1"/>
  <c r="S75" i="37" a="1"/>
  <c r="S75" i="37" s="1"/>
  <c r="P10" i="116" s="1"/>
  <c r="S76" i="37" a="1"/>
  <c r="S76" i="37" s="1"/>
  <c r="P9" i="116" s="1"/>
  <c r="S28" i="37" a="1"/>
  <c r="S28" i="37" s="1"/>
  <c r="S30" i="37" a="1"/>
  <c r="S30" i="37" s="1"/>
  <c r="S29" i="37" a="1"/>
  <c r="S29" i="37" s="1"/>
  <c r="P14" i="121" s="1"/>
  <c r="S31" i="37" a="1"/>
  <c r="S31" i="37" s="1"/>
  <c r="P31" i="121" s="1"/>
  <c r="S32" i="37" a="1"/>
  <c r="S32" i="37" s="1"/>
  <c r="P6" i="119" s="1"/>
  <c r="S33" i="37" a="1"/>
  <c r="S33" i="37" s="1"/>
  <c r="P26" i="119" s="1"/>
  <c r="S34" i="37" a="1"/>
  <c r="S34" i="37" s="1"/>
  <c r="P17" i="119" s="1"/>
  <c r="S35" i="37" a="1"/>
  <c r="S35" i="37" s="1"/>
  <c r="P27" i="119" s="1"/>
  <c r="S36" i="37" a="1"/>
  <c r="S36" i="37" s="1"/>
  <c r="P31" i="119" s="1"/>
  <c r="S48" i="37" a="1"/>
  <c r="S48" i="37" s="1"/>
  <c r="S49" i="37" a="1"/>
  <c r="S49" i="37" s="1"/>
  <c r="P15" i="116" s="1"/>
  <c r="S50" i="37" a="1"/>
  <c r="S50" i="37" s="1"/>
  <c r="P11" i="116" s="1"/>
  <c r="S51" i="37" a="1"/>
  <c r="S51" i="37" s="1"/>
  <c r="P52" i="116" s="1"/>
  <c r="S52" i="37" a="1"/>
  <c r="S52" i="37" s="1"/>
  <c r="P14" i="116" s="1"/>
  <c r="S104" i="37" a="1"/>
  <c r="S104" i="37" s="1"/>
  <c r="S105" i="37" a="1"/>
  <c r="S105" i="37" s="1"/>
  <c r="P39" i="121" s="1"/>
  <c r="S106" i="37" a="1"/>
  <c r="S106" i="37" s="1"/>
  <c r="P40" i="116" s="1"/>
  <c r="S107" i="37" a="1"/>
  <c r="S107" i="37" s="1"/>
  <c r="P12" i="116" s="1"/>
  <c r="S108" i="37" a="1"/>
  <c r="S108" i="37" s="1"/>
  <c r="P41" i="116" s="1"/>
  <c r="S109" i="37" a="1"/>
  <c r="S109" i="37" s="1"/>
  <c r="P19" i="121" s="1"/>
  <c r="S110" i="37" a="1"/>
  <c r="S110" i="37" s="1"/>
  <c r="P5" i="119" s="1"/>
  <c r="S111" i="37" a="1"/>
  <c r="S111" i="37" s="1"/>
  <c r="P51" i="116" s="1"/>
  <c r="S112" i="37" a="1"/>
  <c r="S112" i="37" s="1"/>
  <c r="P72" i="116" s="1"/>
  <c r="S113" i="37" a="1"/>
  <c r="S113" i="37" s="1"/>
  <c r="P79" i="116" s="1"/>
  <c r="S115" i="37" a="1"/>
  <c r="S115" i="37" s="1"/>
  <c r="P50" i="121" s="1"/>
  <c r="S39" i="37" a="1"/>
  <c r="S39" i="37" s="1"/>
  <c r="S40" i="37" a="1"/>
  <c r="S40" i="37" s="1"/>
  <c r="P42" i="116" s="1"/>
  <c r="S233" i="37" a="1"/>
  <c r="S233" i="37" s="1"/>
  <c r="S234" i="37" a="1"/>
  <c r="S234" i="37" s="1"/>
  <c r="S41" i="37" a="1"/>
  <c r="S41" i="37" s="1"/>
  <c r="S43" i="37" a="1"/>
  <c r="S43" i="37" s="1"/>
  <c r="P69" i="116" s="1"/>
  <c r="S42" i="37" a="1"/>
  <c r="S42" i="37" s="1"/>
  <c r="P13" i="116" s="1"/>
  <c r="S44" i="37" a="1"/>
  <c r="S44" i="37" s="1"/>
  <c r="S47" i="37" a="1"/>
  <c r="S47" i="37" s="1"/>
  <c r="P58" i="116" s="1"/>
  <c r="S45" i="37" a="1"/>
  <c r="S45" i="37" s="1"/>
  <c r="P56" i="116" s="1"/>
  <c r="S46" i="37" a="1"/>
  <c r="S46" i="37" s="1"/>
  <c r="P70" i="116" s="1"/>
  <c r="S55" i="37" a="1"/>
  <c r="S55" i="37" s="1"/>
  <c r="S57" i="37" a="1"/>
  <c r="S57" i="37" s="1"/>
  <c r="S58" i="37" a="1"/>
  <c r="S58" i="37" s="1"/>
  <c r="P15" i="121" s="1"/>
  <c r="S59" i="37" a="1"/>
  <c r="S59" i="37" s="1"/>
  <c r="P32" i="121" s="1"/>
  <c r="S60" i="37" a="1"/>
  <c r="S60" i="37" s="1"/>
  <c r="P20" i="121" s="1"/>
  <c r="S61" i="37" a="1"/>
  <c r="S61" i="37" s="1"/>
  <c r="P40" i="121" s="1"/>
  <c r="S66" i="37" a="1"/>
  <c r="S66" i="37" s="1"/>
  <c r="P24" i="121" s="1"/>
  <c r="S69" i="37" a="1"/>
  <c r="S69" i="37" s="1"/>
  <c r="P17" i="121" s="1"/>
  <c r="S70" i="37" a="1"/>
  <c r="S70" i="37" s="1"/>
  <c r="P7" i="119" s="1"/>
  <c r="S56" i="37" a="1"/>
  <c r="S56" i="37" s="1"/>
  <c r="P21" i="119" s="1"/>
  <c r="S63" i="37" a="1"/>
  <c r="S63" i="37" s="1"/>
  <c r="P22" i="119" s="1"/>
  <c r="S67" i="37" a="1"/>
  <c r="S67" i="37" s="1"/>
  <c r="P28" i="119" s="1"/>
  <c r="S68" i="37" a="1"/>
  <c r="S68" i="37" s="1"/>
  <c r="P37" i="119" s="1"/>
  <c r="S53" i="37" a="1"/>
  <c r="S53" i="37" s="1"/>
  <c r="S54" i="37" a="1"/>
  <c r="S54" i="37" s="1"/>
  <c r="P15" i="119" s="1"/>
  <c r="S77" i="37" a="1"/>
  <c r="S77" i="37" s="1"/>
  <c r="S78" i="37" a="1"/>
  <c r="S78" i="37" s="1"/>
  <c r="P45" i="116" s="1"/>
  <c r="S79" i="37" a="1"/>
  <c r="S79" i="37" s="1"/>
  <c r="P59" i="116" s="1"/>
  <c r="S80" i="37" a="1"/>
  <c r="S80" i="37" s="1"/>
  <c r="P31" i="116" s="1"/>
  <c r="S81" i="37" a="1"/>
  <c r="S81" i="37" s="1"/>
  <c r="P16" i="116" s="1"/>
  <c r="S82" i="37" a="1"/>
  <c r="S82" i="37" s="1"/>
  <c r="P24" i="116" s="1"/>
  <c r="S83" i="37" a="1"/>
  <c r="S83" i="37" s="1"/>
  <c r="P67" i="116" s="1"/>
  <c r="S85" i="37" a="1"/>
  <c r="S85" i="37" s="1"/>
  <c r="S86" i="37" a="1"/>
  <c r="S86" i="37" s="1"/>
  <c r="P44" i="116" s="1"/>
  <c r="S87" i="37" a="1"/>
  <c r="S87" i="37" s="1"/>
  <c r="P61" i="116" s="1"/>
  <c r="S88" i="37" a="1"/>
  <c r="S88" i="37" s="1"/>
  <c r="P33" i="116" s="1"/>
  <c r="S89" i="37" a="1"/>
  <c r="S89" i="37" s="1"/>
  <c r="P26" i="116" s="1"/>
  <c r="S90" i="37" a="1"/>
  <c r="S90" i="37" s="1"/>
  <c r="P17" i="116" s="1"/>
  <c r="S91" i="37" a="1"/>
  <c r="S91" i="37" s="1"/>
  <c r="S94" i="37" a="1"/>
  <c r="S94" i="37" s="1"/>
  <c r="S95" i="37" a="1"/>
  <c r="S95" i="37" s="1"/>
  <c r="P43" i="116" s="1"/>
  <c r="S96" i="37" a="1"/>
  <c r="S96" i="37" s="1"/>
  <c r="P60" i="116" s="1"/>
  <c r="S97" i="37" a="1"/>
  <c r="S97" i="37" s="1"/>
  <c r="P25" i="116" s="1"/>
  <c r="S98" i="37" a="1"/>
  <c r="S98" i="37" s="1"/>
  <c r="P32" i="116" s="1"/>
  <c r="S99" i="37" a="1"/>
  <c r="S99" i="37" s="1"/>
  <c r="P73" i="116" s="1"/>
  <c r="S100" i="37" a="1"/>
  <c r="S100" i="37" s="1"/>
  <c r="P18" i="116" s="1"/>
  <c r="S101" i="37" a="1"/>
  <c r="S101" i="37" s="1"/>
  <c r="S102" i="37" a="1"/>
  <c r="S102" i="37" s="1"/>
  <c r="P9" i="119" s="1"/>
  <c r="S103" i="37" a="1"/>
  <c r="S103" i="37" s="1"/>
  <c r="P62" i="116" s="1"/>
  <c r="S116" i="37" a="1"/>
  <c r="S116" i="37" s="1"/>
  <c r="S117" i="37" a="1"/>
  <c r="S117" i="37" s="1"/>
  <c r="P26" i="121" s="1"/>
  <c r="S118" i="37" a="1"/>
  <c r="S118" i="37" s="1"/>
  <c r="P33" i="121" s="1"/>
  <c r="S119" i="37" a="1"/>
  <c r="S119" i="37" s="1"/>
  <c r="P22" i="121" s="1"/>
  <c r="S120" i="37" a="1"/>
  <c r="S120" i="37" s="1"/>
  <c r="P63" i="116" s="1"/>
  <c r="S121" i="37" a="1"/>
  <c r="S121" i="37" s="1"/>
  <c r="P25" i="121" s="1"/>
  <c r="S122" i="37" a="1"/>
  <c r="S122" i="37" s="1"/>
  <c r="P21" i="121" s="1"/>
  <c r="S123" i="37" a="1"/>
  <c r="S123" i="37" s="1"/>
  <c r="P18" i="121" s="1"/>
  <c r="S124" i="37" a="1"/>
  <c r="S124" i="37" s="1"/>
  <c r="P19" i="116" s="1"/>
  <c r="S125" i="37" a="1"/>
  <c r="S125" i="37" s="1"/>
  <c r="S126" i="37" a="1"/>
  <c r="S126" i="37" s="1"/>
  <c r="P24" i="119" s="1"/>
  <c r="S127" i="37" a="1"/>
  <c r="S127" i="37" s="1"/>
  <c r="S128" i="37" a="1"/>
  <c r="S128" i="37" s="1"/>
  <c r="P42" i="121" s="1"/>
  <c r="S129" i="37" a="1"/>
  <c r="S129" i="37" s="1"/>
  <c r="P11" i="119" s="1"/>
  <c r="S130" i="37" a="1"/>
  <c r="S130" i="37" s="1"/>
  <c r="P14" i="119" s="1"/>
  <c r="S131" i="37" a="1"/>
  <c r="S131" i="37" s="1"/>
  <c r="P16" i="119" s="1"/>
  <c r="S132" i="37" a="1"/>
  <c r="S132" i="37" s="1"/>
  <c r="P29" i="119" s="1"/>
  <c r="S133" i="37" a="1"/>
  <c r="S133" i="37" s="1"/>
  <c r="P33" i="119" s="1"/>
  <c r="S134" i="37" a="1"/>
  <c r="S134" i="37" s="1"/>
  <c r="S135" i="37" a="1"/>
  <c r="S135" i="37" s="1"/>
  <c r="S136" i="37" a="1"/>
  <c r="S136" i="37" s="1"/>
  <c r="P10" i="119" s="1"/>
  <c r="S137" i="37" a="1"/>
  <c r="S137" i="37" s="1"/>
  <c r="P13" i="119" s="1"/>
  <c r="S138" i="37" a="1"/>
  <c r="S138" i="37" s="1"/>
  <c r="P53" i="116" s="1"/>
  <c r="S139" i="37" a="1"/>
  <c r="S139" i="37" s="1"/>
  <c r="P66" i="116" s="1"/>
  <c r="S140" i="37" a="1"/>
  <c r="S140" i="37" s="1"/>
  <c r="P23" i="121" s="1"/>
  <c r="S141" i="37" a="1"/>
  <c r="S141" i="37" s="1"/>
  <c r="P23" i="119" s="1"/>
  <c r="S142" i="37" a="1"/>
  <c r="S142" i="37" s="1"/>
  <c r="P54" i="116" s="1"/>
  <c r="S143" i="37" a="1"/>
  <c r="S143" i="37" s="1"/>
  <c r="P27" i="121" s="1"/>
  <c r="S144" i="37" a="1"/>
  <c r="S144" i="37" s="1"/>
  <c r="P75" i="116" s="1"/>
  <c r="S147" i="37" a="1"/>
  <c r="S147" i="37" s="1"/>
  <c r="S148" i="37" a="1"/>
  <c r="S148" i="37" s="1"/>
  <c r="S149" i="37" a="1"/>
  <c r="S149" i="37" s="1"/>
  <c r="P71" i="116" s="1"/>
  <c r="S150" i="37" a="1"/>
  <c r="S150" i="37" s="1"/>
  <c r="P68" i="116" s="1"/>
  <c r="S151" i="37" a="1"/>
  <c r="S151" i="37" s="1"/>
  <c r="P38" i="116" s="1"/>
  <c r="S152" i="37" a="1"/>
  <c r="S152" i="37" s="1"/>
  <c r="P30" i="116" s="1"/>
  <c r="S153" i="37" a="1"/>
  <c r="S153" i="37" s="1"/>
  <c r="P22" i="116" s="1"/>
  <c r="S154" i="37" a="1"/>
  <c r="S154" i="37" s="1"/>
  <c r="P21" i="116" s="1"/>
  <c r="S156" i="37" a="1"/>
  <c r="S156" i="37" s="1"/>
  <c r="S157" i="37" a="1"/>
  <c r="S157" i="37" s="1"/>
  <c r="P77" i="116" s="1"/>
  <c r="S158" i="37" a="1"/>
  <c r="S158" i="37" s="1"/>
  <c r="P20" i="116" s="1"/>
  <c r="S159" i="37" a="1"/>
  <c r="S159" i="37" s="1"/>
  <c r="S160" i="37" a="1"/>
  <c r="S160" i="37" s="1"/>
  <c r="P46" i="116" s="1"/>
  <c r="S161" i="37" a="1"/>
  <c r="S161" i="37" s="1"/>
  <c r="P36" i="116" s="1"/>
  <c r="S164" i="37" a="1"/>
  <c r="S164" i="37" s="1"/>
  <c r="S165" i="37" a="1"/>
  <c r="S165" i="37" s="1"/>
  <c r="P47" i="116" s="1"/>
  <c r="S166" i="37" a="1"/>
  <c r="S166" i="37" s="1"/>
  <c r="P37" i="116" s="1"/>
  <c r="S167" i="37" a="1"/>
  <c r="S167" i="37" s="1"/>
  <c r="S168" i="37" a="1"/>
  <c r="S168" i="37" s="1"/>
  <c r="S169" i="37" a="1"/>
  <c r="S169" i="37" s="1"/>
  <c r="S170" i="37" a="1"/>
  <c r="S170" i="37" s="1"/>
  <c r="P35" i="121" s="1"/>
  <c r="S171" i="37" a="1"/>
  <c r="S171" i="37" s="1"/>
  <c r="P28" i="121" s="1"/>
  <c r="S172" i="37" a="1"/>
  <c r="S172" i="37" s="1"/>
  <c r="P12" i="121" s="1"/>
  <c r="S173" i="37" a="1"/>
  <c r="S173" i="37" s="1"/>
  <c r="S174" i="37" a="1"/>
  <c r="S174" i="37" s="1"/>
  <c r="S175" i="37" a="1"/>
  <c r="S175" i="37" s="1"/>
  <c r="P27" i="116" s="1"/>
  <c r="S176" i="37" a="1"/>
  <c r="S176" i="37" s="1"/>
  <c r="S177" i="37" a="1"/>
  <c r="S177" i="37" s="1"/>
  <c r="P8" i="119" s="1"/>
  <c r="S178" i="37" a="1"/>
  <c r="S178" i="37" s="1"/>
  <c r="P57" i="116" s="1"/>
  <c r="S179" i="37" a="1"/>
  <c r="S179" i="37" s="1"/>
  <c r="P55" i="116" s="1"/>
  <c r="S181" i="37" a="1"/>
  <c r="S181" i="37" s="1"/>
  <c r="S182" i="37" a="1"/>
  <c r="S182" i="37" s="1"/>
  <c r="P28" i="116" s="1"/>
  <c r="S183" i="37" a="1"/>
  <c r="S183" i="37" s="1"/>
  <c r="P49" i="116" s="1"/>
  <c r="S184" i="37" a="1"/>
  <c r="S184" i="37" s="1"/>
  <c r="P34" i="116" s="1"/>
  <c r="S185" i="37" a="1"/>
  <c r="S185" i="37" s="1"/>
  <c r="P39" i="116" s="1"/>
  <c r="S186" i="37" a="1"/>
  <c r="S186" i="37" s="1"/>
  <c r="P35" i="116" s="1"/>
  <c r="S187" i="37" a="1"/>
  <c r="S187" i="37" s="1"/>
  <c r="P29" i="116" s="1"/>
  <c r="S188" i="37" a="1"/>
  <c r="S188" i="37" s="1"/>
  <c r="P23" i="116" s="1"/>
  <c r="S189" i="37" a="1"/>
  <c r="S189" i="37" s="1"/>
  <c r="P48" i="121" s="1"/>
  <c r="S190" i="37" a="1"/>
  <c r="S190" i="37" s="1"/>
  <c r="S191" i="37" a="1"/>
  <c r="S191" i="37" s="1"/>
  <c r="P12" i="119" s="1"/>
  <c r="S192" i="37" a="1"/>
  <c r="S192" i="37" s="1"/>
  <c r="P25" i="119" s="1"/>
  <c r="S193" i="37" a="1"/>
  <c r="S193" i="37" s="1"/>
  <c r="P30" i="119" s="1"/>
  <c r="S194" i="37" a="1"/>
  <c r="S194" i="37" s="1"/>
  <c r="P32" i="119" s="1"/>
  <c r="S195" i="37" a="1"/>
  <c r="S195" i="37" s="1"/>
  <c r="P34" i="121" s="1"/>
  <c r="S196" i="37" a="1"/>
  <c r="S196" i="37" s="1"/>
  <c r="S197" i="37" a="1"/>
  <c r="S197" i="37" s="1"/>
  <c r="P29" i="121" s="1"/>
  <c r="S198" i="37" a="1"/>
  <c r="S198" i="37" s="1"/>
  <c r="P11" i="121" s="1"/>
  <c r="S199" i="37" a="1"/>
  <c r="S199" i="37" s="1"/>
  <c r="S200" i="37" a="1"/>
  <c r="S200" i="37" s="1"/>
  <c r="P44" i="121" s="1"/>
  <c r="S201" i="37" a="1"/>
  <c r="S201" i="37" s="1"/>
  <c r="P47" i="121" s="1"/>
  <c r="S202" i="37" a="1"/>
  <c r="S202" i="37" s="1"/>
  <c r="P38" i="121" s="1"/>
  <c r="S203" i="37" a="1"/>
  <c r="S203" i="37" s="1"/>
  <c r="P46" i="121" s="1"/>
  <c r="S204" i="37" a="1"/>
  <c r="S204" i="37" s="1"/>
  <c r="P45" i="121" s="1"/>
  <c r="S205" i="37" a="1"/>
  <c r="S205" i="37" s="1"/>
  <c r="P41" i="121" s="1"/>
  <c r="S206" i="37" a="1"/>
  <c r="S206" i="37" s="1"/>
  <c r="P43" i="121" s="1"/>
  <c r="S207" i="37" a="1"/>
  <c r="S207" i="37" s="1"/>
  <c r="P5" i="121" s="1"/>
  <c r="S208" i="37" a="1"/>
  <c r="S208" i="37" s="1"/>
  <c r="S209" i="37" a="1"/>
  <c r="S209" i="37" s="1"/>
  <c r="S210" i="37" a="1"/>
  <c r="S210" i="37" s="1"/>
  <c r="S211" i="37" a="1"/>
  <c r="S211" i="37" s="1"/>
  <c r="P37" i="121" s="1"/>
  <c r="S225" i="37" a="1"/>
  <c r="S225" i="37" s="1"/>
  <c r="P49" i="119" s="1"/>
  <c r="S226" i="37" a="1"/>
  <c r="S226" i="37" s="1"/>
  <c r="P50" i="119" s="1"/>
  <c r="S227" i="37" a="1"/>
  <c r="S227" i="37" s="1"/>
  <c r="P51" i="119" s="1"/>
  <c r="S65" i="37" a="1"/>
  <c r="S65" i="37" s="1"/>
  <c r="P43" i="119" s="1"/>
  <c r="S64" i="37" a="1"/>
  <c r="S64" i="37" s="1"/>
  <c r="P44" i="119" s="1"/>
  <c r="S62" i="37" a="1"/>
  <c r="S62" i="37" s="1"/>
  <c r="P54" i="121" s="1"/>
  <c r="S162" i="37" a="1"/>
  <c r="S162" i="37" s="1"/>
  <c r="P83" i="116" s="1"/>
  <c r="S163" i="37" a="1"/>
  <c r="S163" i="37" s="1"/>
  <c r="P55" i="121" s="1"/>
  <c r="S217" i="37" a="1"/>
  <c r="S217" i="37" s="1"/>
  <c r="P52" i="119" s="1"/>
  <c r="S237" i="37" a="1"/>
  <c r="S237" i="37" s="1"/>
  <c r="S238" i="37" a="1"/>
  <c r="S238" i="37" s="1"/>
  <c r="S239" i="37" a="1"/>
  <c r="S239" i="37" s="1"/>
  <c r="S240" i="37" a="1"/>
  <c r="S240" i="37" s="1"/>
  <c r="S241" i="37" a="1"/>
  <c r="S241" i="37" s="1"/>
  <c r="S242" i="37" a="1"/>
  <c r="S242" i="37" s="1"/>
  <c r="S243" i="37" a="1"/>
  <c r="S243" i="37" s="1"/>
  <c r="S244" i="37" a="1"/>
  <c r="S244" i="37" s="1"/>
  <c r="S245" i="37" a="1"/>
  <c r="S245" i="37" s="1"/>
  <c r="S246" i="37" a="1"/>
  <c r="S246" i="37" s="1"/>
  <c r="S247" i="37" a="1"/>
  <c r="S247" i="37" s="1"/>
  <c r="S248" i="37" a="1"/>
  <c r="S248" i="37" s="1"/>
  <c r="S249" i="37" a="1"/>
  <c r="S249" i="37" s="1"/>
  <c r="S250" i="37" a="1"/>
  <c r="S250" i="37" s="1"/>
  <c r="S251" i="37" a="1"/>
  <c r="S251" i="37" s="1"/>
  <c r="S252" i="37" a="1"/>
  <c r="S252" i="37" s="1"/>
  <c r="S253" i="37" a="1"/>
  <c r="S253" i="37" s="1"/>
  <c r="S254" i="37" a="1"/>
  <c r="S254" i="37" s="1"/>
  <c r="S255" i="37" a="1"/>
  <c r="S255" i="37" s="1"/>
  <c r="S256" i="37" a="1"/>
  <c r="S256" i="37" s="1"/>
  <c r="S257" i="37" a="1"/>
  <c r="S257" i="37" s="1"/>
  <c r="S258" i="37" a="1"/>
  <c r="S258" i="37" s="1"/>
  <c r="S259" i="37" a="1"/>
  <c r="S259" i="37" s="1"/>
  <c r="S260" i="37" a="1"/>
  <c r="S260" i="37" s="1"/>
  <c r="S261" i="37" a="1"/>
  <c r="S261" i="37" s="1"/>
  <c r="S262" i="37" a="1"/>
  <c r="S262" i="37" s="1"/>
  <c r="S263" i="37" a="1"/>
  <c r="S263" i="37" s="1"/>
  <c r="S264" i="37" a="1"/>
  <c r="S264" i="37" s="1"/>
  <c r="S265" i="37" a="1"/>
  <c r="S265" i="37" s="1"/>
  <c r="S266" i="37" a="1"/>
  <c r="S266" i="37" s="1"/>
  <c r="S267" i="37" a="1"/>
  <c r="S267" i="37" s="1"/>
  <c r="S268" i="37" a="1"/>
  <c r="S268" i="37" s="1"/>
  <c r="S269" i="37" a="1"/>
  <c r="S269" i="37" s="1"/>
  <c r="S270" i="37" a="1"/>
  <c r="S270" i="37" s="1"/>
  <c r="S271" i="37" a="1"/>
  <c r="S271" i="37" s="1"/>
  <c r="S272" i="37" a="1"/>
  <c r="S272" i="37" s="1"/>
  <c r="S273" i="37" a="1"/>
  <c r="S273" i="37" s="1"/>
  <c r="S274" i="37" a="1"/>
  <c r="S274" i="37" s="1"/>
  <c r="S275" i="37" a="1"/>
  <c r="S275" i="37" s="1"/>
  <c r="S276" i="37" a="1"/>
  <c r="S276" i="37" s="1"/>
  <c r="S277" i="37" a="1"/>
  <c r="S277" i="37" s="1"/>
  <c r="S278" i="37" a="1"/>
  <c r="S278" i="37" s="1"/>
  <c r="S279" i="37" a="1"/>
  <c r="S279" i="37" s="1"/>
  <c r="S280" i="37" a="1"/>
  <c r="S280" i="37" s="1"/>
  <c r="S281" i="37" a="1"/>
  <c r="S281" i="37" s="1"/>
  <c r="S282" i="37" a="1"/>
  <c r="S282" i="37" s="1"/>
  <c r="S283" i="37" a="1"/>
  <c r="S283" i="37" s="1"/>
  <c r="S284" i="37" a="1"/>
  <c r="S284" i="37" s="1"/>
  <c r="S285" i="37" a="1"/>
  <c r="S285" i="37" s="1"/>
  <c r="S286" i="37" a="1"/>
  <c r="S286" i="37" s="1"/>
  <c r="S287" i="37" a="1"/>
  <c r="S287" i="37" s="1"/>
  <c r="S219" i="37" a="1"/>
  <c r="S219" i="37" s="1"/>
  <c r="P7" i="116" s="1"/>
  <c r="S288" i="37" a="1"/>
  <c r="S288" i="37" s="1"/>
  <c r="P6" i="121" s="1"/>
  <c r="S289" i="37" a="1"/>
  <c r="S289" i="37" s="1"/>
  <c r="P7" i="121" s="1"/>
  <c r="S290" i="37" a="1"/>
  <c r="S290" i="37" s="1"/>
  <c r="P8" i="121" s="1"/>
  <c r="S291" i="37" a="1"/>
  <c r="S291" i="37" s="1"/>
  <c r="P9" i="121" s="1"/>
  <c r="S292" i="37" a="1"/>
  <c r="S292" i="37" s="1"/>
  <c r="P10" i="121" s="1"/>
  <c r="S293" i="37" a="1"/>
  <c r="S293" i="37" s="1"/>
  <c r="P13" i="121" s="1"/>
  <c r="S294" i="37" a="1"/>
  <c r="S294" i="37" s="1"/>
  <c r="P16" i="121" s="1"/>
  <c r="S295" i="37" a="1"/>
  <c r="S295" i="37" s="1"/>
  <c r="P18" i="119" s="1"/>
  <c r="S296" i="37" a="1"/>
  <c r="S296" i="37" s="1"/>
  <c r="P19" i="119" s="1"/>
  <c r="S114" i="37" a="1"/>
  <c r="S114" i="37" s="1"/>
  <c r="P20" i="119" s="1"/>
  <c r="S297" i="37" a="1"/>
  <c r="S297" i="37" s="1"/>
  <c r="P48" i="116" s="1"/>
  <c r="S212" i="37" a="1"/>
  <c r="S212" i="37" s="1"/>
  <c r="P30" i="121" s="1"/>
  <c r="S145" i="37" a="1"/>
  <c r="S145" i="37" s="1"/>
  <c r="P64" i="116" s="1"/>
  <c r="S146" i="37" a="1"/>
  <c r="S146" i="37" s="1"/>
  <c r="P65" i="116" s="1"/>
  <c r="S213" i="37" a="1"/>
  <c r="S213" i="37" s="1"/>
  <c r="P36" i="121" s="1"/>
  <c r="S37" i="37" a="1"/>
  <c r="S37" i="37" s="1"/>
  <c r="P34" i="119" s="1"/>
  <c r="S27" i="37" a="1"/>
  <c r="S27" i="37" s="1"/>
  <c r="P74" i="116" s="1"/>
  <c r="S298" i="37" a="1"/>
  <c r="S298" i="37" s="1"/>
  <c r="P49" i="121" s="1"/>
  <c r="S302" i="37" a="1"/>
  <c r="S302" i="37" s="1"/>
  <c r="S236" i="37" a="1"/>
  <c r="S236" i="37" s="1"/>
  <c r="P38" i="119" s="1"/>
  <c r="S299" i="37" a="1"/>
  <c r="S299" i="37" s="1"/>
  <c r="P80" i="116" s="1"/>
  <c r="S180" i="37" a="1"/>
  <c r="S180" i="37" s="1"/>
  <c r="P39" i="119" s="1"/>
  <c r="S71" i="37" a="1"/>
  <c r="S71" i="37" s="1"/>
  <c r="P51" i="121" s="1"/>
  <c r="S93" i="37" a="1"/>
  <c r="S93" i="37" s="1"/>
  <c r="P81" i="116" s="1"/>
  <c r="S92" i="37" a="1"/>
  <c r="S92" i="37" s="1"/>
  <c r="P52" i="121" s="1"/>
  <c r="S155" i="37" a="1"/>
  <c r="S155" i="37" s="1"/>
  <c r="P53" i="121" s="1"/>
  <c r="S231" i="37" a="1"/>
  <c r="S231" i="37" s="1"/>
  <c r="P40" i="119" s="1"/>
  <c r="J193" i="98"/>
  <c r="J192" i="98"/>
  <c r="J191" i="98"/>
  <c r="J190" i="98"/>
  <c r="J189" i="98"/>
  <c r="AJ536" i="131" l="1"/>
  <c r="AK536" i="131" s="1"/>
  <c r="Y537" i="131"/>
  <c r="AL537" i="131" s="1"/>
  <c r="J194" i="98"/>
  <c r="AJ537" i="131" l="1"/>
  <c r="AK537" i="131" s="1"/>
  <c r="Y538" i="131"/>
  <c r="AL538" i="131" s="1"/>
  <c r="J195" i="98"/>
  <c r="AB231" i="37" a="1"/>
  <c r="AB231" i="37" s="1"/>
  <c r="AB38" i="37" a="1"/>
  <c r="AB38" i="37" s="1"/>
  <c r="AB232" i="37" a="1"/>
  <c r="AB232" i="37" s="1"/>
  <c r="AB84" i="37" a="1"/>
  <c r="AB84" i="37" s="1"/>
  <c r="AC84" i="37" s="1"/>
  <c r="AB224" i="37" a="1"/>
  <c r="AB224" i="37" s="1"/>
  <c r="AB303" i="37" a="1"/>
  <c r="AB303" i="37" s="1"/>
  <c r="AC303" i="37" s="1"/>
  <c r="AB225" i="37" a="1"/>
  <c r="AB225" i="37" s="1"/>
  <c r="AB226" i="37" a="1"/>
  <c r="AB226" i="37" s="1"/>
  <c r="AC226" i="37" s="1"/>
  <c r="AB227" i="37" a="1"/>
  <c r="AB227" i="37" s="1"/>
  <c r="AB65" i="37" a="1"/>
  <c r="AB65" i="37" s="1"/>
  <c r="AB64" i="37" a="1"/>
  <c r="AB64" i="37" s="1"/>
  <c r="AB62" i="37" a="1"/>
  <c r="AB62" i="37" s="1"/>
  <c r="AC62" i="37" s="1"/>
  <c r="AB162" i="37" a="1"/>
  <c r="AB162" i="37" s="1"/>
  <c r="AB163" i="37" a="1"/>
  <c r="AB163" i="37" s="1"/>
  <c r="AB217" i="37" a="1"/>
  <c r="AB217" i="37" s="1"/>
  <c r="AB237" i="37" a="1"/>
  <c r="AB237" i="37" s="1"/>
  <c r="AC237" i="37" s="1"/>
  <c r="AB238" i="37" a="1"/>
  <c r="AB238" i="37" s="1"/>
  <c r="AB239" i="37" a="1"/>
  <c r="AB239" i="37" s="1"/>
  <c r="AB240" i="37" a="1"/>
  <c r="AB240" i="37" s="1"/>
  <c r="AB241" i="37" a="1"/>
  <c r="AB241" i="37" s="1"/>
  <c r="AC241" i="37" s="1"/>
  <c r="AB242" i="37" a="1"/>
  <c r="AB242" i="37" s="1"/>
  <c r="AB243" i="37" a="1"/>
  <c r="AB243" i="37" s="1"/>
  <c r="AC243" i="37" s="1"/>
  <c r="AB244" i="37" a="1"/>
  <c r="AB244" i="37" s="1"/>
  <c r="AC244" i="37" s="1"/>
  <c r="AB245" i="37" a="1"/>
  <c r="AB245" i="37" s="1"/>
  <c r="AC245" i="37" s="1"/>
  <c r="AB246" i="37" a="1"/>
  <c r="AB246" i="37" s="1"/>
  <c r="AB247" i="37" a="1"/>
  <c r="AB247" i="37" s="1"/>
  <c r="AB248" i="37" a="1"/>
  <c r="AB248" i="37" s="1"/>
  <c r="AB249" i="37" a="1"/>
  <c r="AB249" i="37" s="1"/>
  <c r="AC249" i="37" s="1"/>
  <c r="AB250" i="37" a="1"/>
  <c r="AB250" i="37" s="1"/>
  <c r="AB251" i="37" a="1"/>
  <c r="AB251" i="37" s="1"/>
  <c r="AC251" i="37" s="1"/>
  <c r="AB252" i="37" a="1"/>
  <c r="AB252" i="37" s="1"/>
  <c r="AC252" i="37" s="1"/>
  <c r="AB253" i="37" a="1"/>
  <c r="AB253" i="37" s="1"/>
  <c r="AC253" i="37" s="1"/>
  <c r="AB254" i="37" a="1"/>
  <c r="AB254" i="37" s="1"/>
  <c r="AB255" i="37" a="1"/>
  <c r="AB255" i="37" s="1"/>
  <c r="AB256" i="37" a="1"/>
  <c r="AB256" i="37" s="1"/>
  <c r="AB257" i="37" a="1"/>
  <c r="AB257" i="37" s="1"/>
  <c r="AC257" i="37" s="1"/>
  <c r="AB258" i="37" a="1"/>
  <c r="AB258" i="37" s="1"/>
  <c r="AB259" i="37" a="1"/>
  <c r="AB259" i="37" s="1"/>
  <c r="AC259" i="37" s="1"/>
  <c r="AB260" i="37" a="1"/>
  <c r="AB260" i="37" s="1"/>
  <c r="L300" i="37"/>
  <c r="AB221" i="37" a="1"/>
  <c r="AB221" i="37" s="1"/>
  <c r="AB300" i="37" a="1"/>
  <c r="AB300" i="37" s="1"/>
  <c r="AB71" i="37" a="1"/>
  <c r="AB71" i="37" s="1"/>
  <c r="AB93" i="37" a="1"/>
  <c r="AB93" i="37" s="1"/>
  <c r="AB92" i="37" a="1"/>
  <c r="AB92" i="37" s="1"/>
  <c r="AB155" i="37" a="1"/>
  <c r="AB155" i="37" s="1"/>
  <c r="AC155" i="37" s="1"/>
  <c r="AB230" i="37" a="1"/>
  <c r="AB230" i="37" s="1"/>
  <c r="AB235" i="37" a="1"/>
  <c r="AB235" i="37" s="1"/>
  <c r="AB261" i="37" a="1"/>
  <c r="AB261" i="37" s="1"/>
  <c r="AB262" i="37" a="1"/>
  <c r="AB262" i="37" s="1"/>
  <c r="AB263" i="37" a="1"/>
  <c r="AB263" i="37" s="1"/>
  <c r="AB264" i="37" a="1"/>
  <c r="AB264" i="37" s="1"/>
  <c r="AB265" i="37" a="1"/>
  <c r="AB265" i="37" s="1"/>
  <c r="AB266" i="37" a="1"/>
  <c r="AB266" i="37" s="1"/>
  <c r="AC266" i="37" s="1"/>
  <c r="AB267" i="37" a="1"/>
  <c r="AB267" i="37" s="1"/>
  <c r="AB268" i="37" a="1"/>
  <c r="AB268" i="37" s="1"/>
  <c r="AB269" i="37" a="1"/>
  <c r="AB269" i="37" s="1"/>
  <c r="AB270" i="37" a="1"/>
  <c r="AB270" i="37" s="1"/>
  <c r="AB271" i="37" a="1"/>
  <c r="AB271" i="37" s="1"/>
  <c r="AB272" i="37" a="1"/>
  <c r="AB272" i="37" s="1"/>
  <c r="AG221" i="37"/>
  <c r="AH221" i="37" s="1" a="1"/>
  <c r="AH221" i="37" s="1"/>
  <c r="AB273" i="37" a="1"/>
  <c r="AB273" i="37" s="1"/>
  <c r="AB274" i="37" a="1"/>
  <c r="AB274" i="37" s="1"/>
  <c r="AC274" i="37" s="1"/>
  <c r="AB275" i="37" a="1"/>
  <c r="AB275" i="37" s="1"/>
  <c r="AC275" i="37" s="1"/>
  <c r="AB276" i="37" a="1"/>
  <c r="AB276" i="37" s="1"/>
  <c r="AB277" i="37" a="1"/>
  <c r="AB277" i="37" s="1"/>
  <c r="AB284" i="37" a="1"/>
  <c r="AB284" i="37" s="1"/>
  <c r="AB286" i="37" a="1"/>
  <c r="AB286" i="37" s="1"/>
  <c r="AB301" i="37" a="1"/>
  <c r="AB301" i="37" s="1"/>
  <c r="AB278" i="37" a="1"/>
  <c r="AB278" i="37" s="1"/>
  <c r="AB279" i="37" a="1"/>
  <c r="AB279" i="37" s="1"/>
  <c r="AC279" i="37" s="1"/>
  <c r="AB280" i="37" a="1"/>
  <c r="AB280" i="37" s="1"/>
  <c r="AB285" i="37" a="1"/>
  <c r="AB285" i="37" s="1"/>
  <c r="AC285" i="37" s="1"/>
  <c r="AB287" i="37" a="1"/>
  <c r="AB287" i="37" s="1"/>
  <c r="AB281" i="37" a="1"/>
  <c r="AB281" i="37" s="1"/>
  <c r="AC281" i="37" s="1"/>
  <c r="AB282" i="37" a="1"/>
  <c r="AB282" i="37" s="1"/>
  <c r="AB283" i="37" a="1"/>
  <c r="AB283" i="37" s="1"/>
  <c r="AB222" i="37" a="1"/>
  <c r="AB222" i="37" s="1"/>
  <c r="AB223" i="37" a="1"/>
  <c r="AB223" i="37" s="1"/>
  <c r="AB236" i="37" a="1"/>
  <c r="AB236" i="37" s="1"/>
  <c r="AB299" i="37" a="1"/>
  <c r="AB299" i="37" s="1"/>
  <c r="AB180" i="37" a="1"/>
  <c r="AB180" i="37" s="1"/>
  <c r="J188" i="98"/>
  <c r="J187" i="98"/>
  <c r="J186" i="98"/>
  <c r="J185" i="98"/>
  <c r="Q2" i="127" a="1"/>
  <c r="Q2" i="127" s="1"/>
  <c r="Q1" i="127" a="1"/>
  <c r="Q1" i="127" s="1"/>
  <c r="Y539" i="131" l="1"/>
  <c r="AL539" i="131" s="1"/>
  <c r="AJ538" i="131"/>
  <c r="AK538" i="131" s="1"/>
  <c r="L4" i="37"/>
  <c r="J46" i="119"/>
  <c r="J41" i="119"/>
  <c r="J49" i="119"/>
  <c r="J48" i="119"/>
  <c r="J42" i="119"/>
  <c r="J39" i="119"/>
  <c r="J47" i="119"/>
  <c r="J38" i="119"/>
  <c r="Z23" i="37"/>
  <c r="J196" i="98"/>
  <c r="AC255" i="37"/>
  <c r="AC38" i="37"/>
  <c r="AC64" i="37"/>
  <c r="AC65" i="37"/>
  <c r="AC240" i="37"/>
  <c r="AC217" i="37"/>
  <c r="AC239" i="37"/>
  <c r="AC163" i="37"/>
  <c r="AC248" i="37"/>
  <c r="AC260" i="37"/>
  <c r="AC225" i="37"/>
  <c r="AC247" i="37"/>
  <c r="AC256" i="37"/>
  <c r="AC232" i="37"/>
  <c r="AC258" i="37"/>
  <c r="AC250" i="37"/>
  <c r="AC242" i="37"/>
  <c r="AC162" i="37"/>
  <c r="AC224" i="37"/>
  <c r="AC254" i="37"/>
  <c r="AC246" i="37"/>
  <c r="AC238" i="37"/>
  <c r="AC227" i="37"/>
  <c r="AC231" i="37"/>
  <c r="AL221" i="37" a="1"/>
  <c r="AL221" i="37" s="1"/>
  <c r="AC263" i="37"/>
  <c r="AC92" i="37"/>
  <c r="AC269" i="37"/>
  <c r="AC93" i="37"/>
  <c r="AC268" i="37"/>
  <c r="AC71" i="37"/>
  <c r="AC264" i="37"/>
  <c r="AC267" i="37"/>
  <c r="AC261" i="37"/>
  <c r="AC235" i="37"/>
  <c r="AC272" i="37"/>
  <c r="AC230" i="37"/>
  <c r="AC221" i="37"/>
  <c r="AC271" i="37"/>
  <c r="AC265" i="37"/>
  <c r="AD221" i="37"/>
  <c r="AM221" i="37" s="1" a="1"/>
  <c r="AM221" i="37" s="1"/>
  <c r="AC270" i="37"/>
  <c r="AC262" i="37"/>
  <c r="AC300" i="37"/>
  <c r="AC276" i="37"/>
  <c r="AC278" i="37"/>
  <c r="AC301" i="37"/>
  <c r="AC277" i="37"/>
  <c r="AC273" i="37"/>
  <c r="AC286" i="37"/>
  <c r="AC284" i="37"/>
  <c r="AC282" i="37"/>
  <c r="AC287" i="37"/>
  <c r="AC280" i="37"/>
  <c r="AC180" i="37"/>
  <c r="AC236" i="37"/>
  <c r="AC223" i="37"/>
  <c r="AC222" i="37"/>
  <c r="AC299" i="37"/>
  <c r="AC283" i="37"/>
  <c r="H72" i="74"/>
  <c r="H73" i="74"/>
  <c r="F19" i="20"/>
  <c r="G19" i="20" s="1"/>
  <c r="F144" i="98"/>
  <c r="AJ539" i="131" l="1"/>
  <c r="AK539" i="131" s="1"/>
  <c r="Y540" i="131"/>
  <c r="AL540" i="131" s="1"/>
  <c r="AG300" i="37"/>
  <c r="S300" i="37" a="1"/>
  <c r="S300" i="37" s="1"/>
  <c r="AD300" i="37" s="1"/>
  <c r="S303" i="37" a="1"/>
  <c r="S303" i="37" s="1"/>
  <c r="S301" i="37" a="1"/>
  <c r="S301" i="37" s="1"/>
  <c r="F4" i="21"/>
  <c r="F3" i="21"/>
  <c r="F5" i="21"/>
  <c r="F28" i="21"/>
  <c r="F27" i="21"/>
  <c r="F26" i="21"/>
  <c r="F24" i="21"/>
  <c r="F23" i="21"/>
  <c r="F22" i="21"/>
  <c r="F20" i="21"/>
  <c r="F19" i="21"/>
  <c r="F18" i="21"/>
  <c r="F16" i="21"/>
  <c r="F15" i="21"/>
  <c r="F13" i="21"/>
  <c r="AB115" i="37" a="1"/>
  <c r="AB115" i="37" s="1"/>
  <c r="AG115" i="37"/>
  <c r="AL115" i="37" s="1" a="1"/>
  <c r="AL115" i="37" s="1"/>
  <c r="H185" i="98"/>
  <c r="AB113" i="37" a="1"/>
  <c r="AB113" i="37" s="1"/>
  <c r="AC113" i="37" s="1"/>
  <c r="AG113" i="37"/>
  <c r="AL113" i="37" s="1" a="1"/>
  <c r="AL113" i="37" s="1"/>
  <c r="J184" i="98"/>
  <c r="J183" i="98"/>
  <c r="J182" i="98"/>
  <c r="H184" i="98"/>
  <c r="Y541" i="131" l="1"/>
  <c r="AL541" i="131" s="1"/>
  <c r="AJ540" i="131"/>
  <c r="AK540" i="131" s="1"/>
  <c r="U25" i="57"/>
  <c r="S230" i="37" a="1"/>
  <c r="S230" i="37" s="1"/>
  <c r="S235" i="37" a="1"/>
  <c r="S235" i="37" s="1"/>
  <c r="AC115" i="37"/>
  <c r="AD115" i="37"/>
  <c r="AJ115" i="37"/>
  <c r="AH115" i="37" a="1"/>
  <c r="AH115" i="37" s="1"/>
  <c r="AD113" i="37"/>
  <c r="AJ113" i="37"/>
  <c r="AH113" i="37" a="1"/>
  <c r="AH113" i="37" s="1"/>
  <c r="AB25" i="37" a="1"/>
  <c r="AB25" i="37" s="1"/>
  <c r="AG25" i="37"/>
  <c r="AB216" i="37" a="1"/>
  <c r="AB216" i="37" s="1"/>
  <c r="AG216" i="37"/>
  <c r="AB26" i="37" a="1"/>
  <c r="AB26" i="37" s="1"/>
  <c r="AC26" i="37" s="1"/>
  <c r="AB72" i="37" a="1"/>
  <c r="AB72" i="37" s="1"/>
  <c r="AC72" i="37" s="1"/>
  <c r="AG72" i="37"/>
  <c r="AB74" i="37" a="1"/>
  <c r="AB74" i="37" s="1"/>
  <c r="AC74" i="37" s="1"/>
  <c r="AG74" i="37"/>
  <c r="AL74" i="37" s="1" a="1"/>
  <c r="AL74" i="37" s="1"/>
  <c r="AB73" i="37" a="1"/>
  <c r="AB73" i="37" s="1"/>
  <c r="AG73" i="37"/>
  <c r="AL73" i="37" s="1" a="1"/>
  <c r="AL73" i="37" s="1"/>
  <c r="AB75" i="37" a="1"/>
  <c r="AB75" i="37" s="1"/>
  <c r="AC75" i="37" s="1"/>
  <c r="AG75" i="37"/>
  <c r="AL75" i="37" s="1" a="1"/>
  <c r="AL75" i="37" s="1"/>
  <c r="AB76" i="37" a="1"/>
  <c r="AB76" i="37" s="1"/>
  <c r="AC76" i="37" s="1"/>
  <c r="AG76" i="37"/>
  <c r="AL76" i="37" s="1" a="1"/>
  <c r="AL76" i="37" s="1"/>
  <c r="AB28" i="37" a="1"/>
  <c r="AB28" i="37" s="1"/>
  <c r="AG28" i="37"/>
  <c r="AM28" i="37" s="1" a="1"/>
  <c r="AM28" i="37" s="1"/>
  <c r="AB29" i="37" a="1"/>
  <c r="AB29" i="37" s="1"/>
  <c r="AG29" i="37"/>
  <c r="AB30" i="37" a="1"/>
  <c r="AB30" i="37" s="1"/>
  <c r="AC30" i="37" s="1"/>
  <c r="AB31" i="37" a="1"/>
  <c r="AB31" i="37" s="1"/>
  <c r="AC31" i="37" s="1"/>
  <c r="AG31" i="37"/>
  <c r="AB32" i="37" a="1"/>
  <c r="AB32" i="37" s="1"/>
  <c r="AC32" i="37" s="1"/>
  <c r="AG32" i="37"/>
  <c r="AL32" i="37" s="1" a="1"/>
  <c r="AL32" i="37" s="1"/>
  <c r="AB33" i="37" a="1"/>
  <c r="AB33" i="37" s="1"/>
  <c r="AC33" i="37" s="1"/>
  <c r="AG33" i="37"/>
  <c r="AL33" i="37" s="1" a="1"/>
  <c r="AL33" i="37" s="1"/>
  <c r="AB34" i="37" a="1"/>
  <c r="AB34" i="37" s="1"/>
  <c r="AC34" i="37" s="1"/>
  <c r="AG34" i="37"/>
  <c r="AB35" i="37" a="1"/>
  <c r="AB35" i="37" s="1"/>
  <c r="AC35" i="37" s="1"/>
  <c r="AG35" i="37"/>
  <c r="AL35" i="37" s="1" a="1"/>
  <c r="AL35" i="37" s="1"/>
  <c r="AB36" i="37" a="1"/>
  <c r="AB36" i="37" s="1"/>
  <c r="AC36" i="37" s="1"/>
  <c r="AG36" i="37"/>
  <c r="AH36" i="37" s="1" a="1"/>
  <c r="AH36" i="37" s="1"/>
  <c r="AK115" i="37"/>
  <c r="AB104" i="37" a="1"/>
  <c r="AB104" i="37" s="1"/>
  <c r="AG104" i="37"/>
  <c r="AB106" i="37" a="1"/>
  <c r="AB106" i="37" s="1"/>
  <c r="AC106" i="37" s="1"/>
  <c r="AG106" i="37"/>
  <c r="AL106" i="37" s="1" a="1"/>
  <c r="AL106" i="37" s="1"/>
  <c r="AB110" i="37" a="1"/>
  <c r="AB110" i="37" s="1"/>
  <c r="AC110" i="37" s="1"/>
  <c r="AG110" i="37"/>
  <c r="AL110" i="37" s="1" a="1"/>
  <c r="AL110" i="37" s="1"/>
  <c r="AB111" i="37" a="1"/>
  <c r="AB111" i="37" s="1"/>
  <c r="AC111" i="37" s="1"/>
  <c r="AG111" i="37"/>
  <c r="AL111" i="37" s="1" a="1"/>
  <c r="AL111" i="37" s="1"/>
  <c r="AB107" i="37" a="1"/>
  <c r="AB107" i="37" s="1"/>
  <c r="AC107" i="37" s="1"/>
  <c r="AG107" i="37"/>
  <c r="AH107" i="37" s="1" a="1"/>
  <c r="AH107" i="37" s="1"/>
  <c r="AB108" i="37" a="1"/>
  <c r="AB108" i="37" s="1"/>
  <c r="AC108" i="37" s="1"/>
  <c r="AG108" i="37"/>
  <c r="AL108" i="37" s="1" a="1"/>
  <c r="AL108" i="37" s="1"/>
  <c r="AB109" i="37" a="1"/>
  <c r="AB109" i="37" s="1"/>
  <c r="AC109" i="37" s="1"/>
  <c r="AG109" i="37"/>
  <c r="AB112" i="37" a="1"/>
  <c r="AB112" i="37" s="1"/>
  <c r="AC112" i="37" s="1"/>
  <c r="AG112" i="37"/>
  <c r="AL112" i="37" s="1" a="1"/>
  <c r="AL112" i="37" s="1"/>
  <c r="AB144" i="37" a="1"/>
  <c r="AB144" i="37" s="1"/>
  <c r="AC144" i="37" s="1"/>
  <c r="AG144" i="37"/>
  <c r="AB105" i="37" a="1"/>
  <c r="AB105" i="37" s="1"/>
  <c r="AC105" i="37" s="1"/>
  <c r="AG105" i="37"/>
  <c r="AB219" i="37" a="1"/>
  <c r="AB219" i="37" s="1"/>
  <c r="AC219" i="37" s="1"/>
  <c r="AG219" i="37"/>
  <c r="AL219" i="37" s="1" a="1"/>
  <c r="AL219" i="37" s="1"/>
  <c r="AB39" i="37" a="1"/>
  <c r="AB39" i="37" s="1"/>
  <c r="AG39" i="37"/>
  <c r="AB40" i="37" a="1"/>
  <c r="AB40" i="37" s="1"/>
  <c r="AC40" i="37" s="1"/>
  <c r="AG40" i="37"/>
  <c r="AL40" i="37" s="1" a="1"/>
  <c r="AL40" i="37" s="1"/>
  <c r="AB41" i="37" a="1"/>
  <c r="AB41" i="37" s="1"/>
  <c r="AC41" i="37" s="1"/>
  <c r="AG41" i="37"/>
  <c r="AM41" i="37" s="1" a="1"/>
  <c r="AM41" i="37" s="1"/>
  <c r="AB43" i="37" a="1"/>
  <c r="AB43" i="37" s="1"/>
  <c r="AC43" i="37" s="1"/>
  <c r="AG43" i="37"/>
  <c r="AL43" i="37" s="1" a="1"/>
  <c r="AL43" i="37" s="1"/>
  <c r="AB126" i="37" a="1"/>
  <c r="AB126" i="37" s="1"/>
  <c r="AC126" i="37" s="1"/>
  <c r="AG126" i="37"/>
  <c r="AH126" i="37" s="1" a="1"/>
  <c r="AH126" i="37" s="1"/>
  <c r="AB42" i="37" a="1"/>
  <c r="AB42" i="37" s="1"/>
  <c r="AC42" i="37" s="1"/>
  <c r="AG42" i="37"/>
  <c r="AL42" i="37" s="1" a="1"/>
  <c r="AL42" i="37" s="1"/>
  <c r="AB233" i="37" a="1"/>
  <c r="AB233" i="37" s="1"/>
  <c r="AG233" i="37"/>
  <c r="AB234" i="37" a="1"/>
  <c r="AB234" i="37" s="1"/>
  <c r="AC234" i="37" s="1"/>
  <c r="AB44" i="37" a="1"/>
  <c r="AB44" i="37" s="1"/>
  <c r="AC44" i="37" s="1"/>
  <c r="AG44" i="37"/>
  <c r="AB47" i="37" a="1"/>
  <c r="AB47" i="37" s="1"/>
  <c r="AC47" i="37" s="1"/>
  <c r="AG47" i="37"/>
  <c r="AL47" i="37" s="1" a="1"/>
  <c r="AL47" i="37" s="1"/>
  <c r="AB45" i="37" a="1"/>
  <c r="AB45" i="37" s="1"/>
  <c r="AC45" i="37" s="1"/>
  <c r="AG45" i="37"/>
  <c r="AH45" i="37" s="1" a="1"/>
  <c r="AH45" i="37" s="1"/>
  <c r="AB46" i="37" a="1"/>
  <c r="AB46" i="37" s="1"/>
  <c r="AC46" i="37" s="1"/>
  <c r="AG46" i="37"/>
  <c r="AB55" i="37" a="1"/>
  <c r="AB55" i="37" s="1"/>
  <c r="AC55" i="37" s="1"/>
  <c r="AG55" i="37"/>
  <c r="AM55" i="37" s="1" a="1"/>
  <c r="AM55" i="37" s="1"/>
  <c r="AB57" i="37" a="1"/>
  <c r="AB57" i="37" s="1"/>
  <c r="AC57" i="37" s="1"/>
  <c r="AB58" i="37" a="1"/>
  <c r="AB58" i="37" s="1"/>
  <c r="AG58" i="37"/>
  <c r="AL58" i="37" s="1" a="1"/>
  <c r="AL58" i="37" s="1"/>
  <c r="AB59" i="37" a="1"/>
  <c r="AB59" i="37" s="1"/>
  <c r="AC59" i="37" s="1"/>
  <c r="AG59" i="37"/>
  <c r="AH59" i="37" s="1" a="1"/>
  <c r="AH59" i="37" s="1"/>
  <c r="AB60" i="37" a="1"/>
  <c r="AB60" i="37" s="1"/>
  <c r="AG60" i="37"/>
  <c r="AL60" i="37" s="1" a="1"/>
  <c r="AL60" i="37" s="1"/>
  <c r="AB61" i="37" a="1"/>
  <c r="AB61" i="37" s="1"/>
  <c r="AC61" i="37" s="1"/>
  <c r="AG61" i="37"/>
  <c r="AL61" i="37" s="1" a="1"/>
  <c r="AL61" i="37" s="1"/>
  <c r="AB66" i="37" a="1"/>
  <c r="AB66" i="37" s="1"/>
  <c r="AC66" i="37" s="1"/>
  <c r="AG66" i="37"/>
  <c r="AH66" i="37" s="1" a="1"/>
  <c r="AH66" i="37" s="1"/>
  <c r="AB69" i="37" a="1"/>
  <c r="AB69" i="37" s="1"/>
  <c r="AC69" i="37" s="1"/>
  <c r="AG69" i="37"/>
  <c r="AL69" i="37" s="1" a="1"/>
  <c r="AL69" i="37" s="1"/>
  <c r="AB70" i="37" a="1"/>
  <c r="AB70" i="37" s="1"/>
  <c r="AC70" i="37" s="1"/>
  <c r="AG70" i="37"/>
  <c r="AH70" i="37" s="1" a="1"/>
  <c r="AH70" i="37" s="1"/>
  <c r="AB56" i="37" a="1"/>
  <c r="AB56" i="37" s="1"/>
  <c r="AC56" i="37" s="1"/>
  <c r="AG56" i="37"/>
  <c r="AL56" i="37" s="1" a="1"/>
  <c r="AL56" i="37" s="1"/>
  <c r="AB63" i="37" a="1"/>
  <c r="AB63" i="37" s="1"/>
  <c r="AC63" i="37" s="1"/>
  <c r="AG63" i="37"/>
  <c r="AB67" i="37" a="1"/>
  <c r="AB67" i="37" s="1"/>
  <c r="AC67" i="37" s="1"/>
  <c r="AG67" i="37"/>
  <c r="AL67" i="37" s="1" a="1"/>
  <c r="AL67" i="37" s="1"/>
  <c r="AB68" i="37" a="1"/>
  <c r="AB68" i="37" s="1"/>
  <c r="AC68" i="37" s="1"/>
  <c r="AG68" i="37"/>
  <c r="AH68" i="37" s="1" a="1"/>
  <c r="AH68" i="37" s="1"/>
  <c r="AB48" i="37" a="1"/>
  <c r="AB48" i="37" s="1"/>
  <c r="AC48" i="37" s="1"/>
  <c r="AG48" i="37"/>
  <c r="AB49" i="37" a="1"/>
  <c r="AB49" i="37" s="1"/>
  <c r="AC49" i="37" s="1"/>
  <c r="AG49" i="37"/>
  <c r="AH49" i="37" s="1" a="1"/>
  <c r="AH49" i="37" s="1"/>
  <c r="AB50" i="37" a="1"/>
  <c r="AB50" i="37" s="1"/>
  <c r="AC50" i="37" s="1"/>
  <c r="AG50" i="37"/>
  <c r="AB51" i="37" a="1"/>
  <c r="AB51" i="37" s="1"/>
  <c r="AC51" i="37" s="1"/>
  <c r="AG51" i="37"/>
  <c r="AL51" i="37" s="1" a="1"/>
  <c r="AL51" i="37" s="1"/>
  <c r="AB52" i="37" a="1"/>
  <c r="AB52" i="37" s="1"/>
  <c r="AC52" i="37" s="1"/>
  <c r="AG52" i="37"/>
  <c r="AL52" i="37" s="1" a="1"/>
  <c r="AL52" i="37" s="1"/>
  <c r="AB53" i="37" a="1"/>
  <c r="AB53" i="37" s="1"/>
  <c r="AG53" i="37"/>
  <c r="AM53" i="37" s="1" a="1"/>
  <c r="AM53" i="37" s="1"/>
  <c r="AB54" i="37" a="1"/>
  <c r="AB54" i="37" s="1"/>
  <c r="AC54" i="37" s="1"/>
  <c r="AG54" i="37"/>
  <c r="AB77" i="37" a="1"/>
  <c r="AB77" i="37" s="1"/>
  <c r="AG77" i="37"/>
  <c r="AM77" i="37" s="1" a="1"/>
  <c r="AM77" i="37" s="1"/>
  <c r="AB78" i="37" a="1"/>
  <c r="AB78" i="37" s="1"/>
  <c r="AC78" i="37" s="1"/>
  <c r="AG78" i="37"/>
  <c r="AL78" i="37" s="1" a="1"/>
  <c r="AL78" i="37" s="1"/>
  <c r="AB79" i="37" a="1"/>
  <c r="AB79" i="37" s="1"/>
  <c r="AC79" i="37" s="1"/>
  <c r="AG79" i="37"/>
  <c r="AH79" i="37" s="1" a="1"/>
  <c r="AH79" i="37" s="1"/>
  <c r="AB80" i="37" a="1"/>
  <c r="AB80" i="37" s="1"/>
  <c r="AG80" i="37"/>
  <c r="AB81" i="37" a="1"/>
  <c r="AB81" i="37" s="1"/>
  <c r="AC81" i="37" s="1"/>
  <c r="AG81" i="37"/>
  <c r="AH81" i="37" s="1" a="1"/>
  <c r="AH81" i="37" s="1"/>
  <c r="AB82" i="37" a="1"/>
  <c r="AB82" i="37" s="1"/>
  <c r="AC82" i="37" s="1"/>
  <c r="AG82" i="37"/>
  <c r="AL82" i="37" s="1" a="1"/>
  <c r="AL82" i="37" s="1"/>
  <c r="AB83" i="37" a="1"/>
  <c r="AB83" i="37" s="1"/>
  <c r="AC83" i="37" s="1"/>
  <c r="AG83" i="37"/>
  <c r="AL83" i="37" s="1" a="1"/>
  <c r="AL83" i="37" s="1"/>
  <c r="AB157" i="37" a="1"/>
  <c r="AB157" i="37" s="1"/>
  <c r="AC157" i="37" s="1"/>
  <c r="AG157" i="37"/>
  <c r="AL157" i="37" s="1" a="1"/>
  <c r="AL157" i="37" s="1"/>
  <c r="AB85" i="37" a="1"/>
  <c r="AB85" i="37" s="1"/>
  <c r="AC85" i="37" s="1"/>
  <c r="AG85" i="37"/>
  <c r="AM85" i="37" s="1" a="1"/>
  <c r="AM85" i="37" s="1"/>
  <c r="AB86" i="37" a="1"/>
  <c r="AB86" i="37" s="1"/>
  <c r="AC86" i="37" s="1"/>
  <c r="AG86" i="37"/>
  <c r="AL86" i="37" s="1" a="1"/>
  <c r="AL86" i="37" s="1"/>
  <c r="AB87" i="37" a="1"/>
  <c r="AB87" i="37" s="1"/>
  <c r="AC87" i="37" s="1"/>
  <c r="AG87" i="37"/>
  <c r="AL87" i="37" s="1" a="1"/>
  <c r="AL87" i="37" s="1"/>
  <c r="AB88" i="37" a="1"/>
  <c r="AB88" i="37" s="1"/>
  <c r="AG88" i="37"/>
  <c r="AB89" i="37" a="1"/>
  <c r="AB89" i="37" s="1"/>
  <c r="AC89" i="37" s="1"/>
  <c r="AG89" i="37"/>
  <c r="AL89" i="37" s="1" a="1"/>
  <c r="AL89" i="37" s="1"/>
  <c r="AB90" i="37" a="1"/>
  <c r="AB90" i="37" s="1"/>
  <c r="AC90" i="37" s="1"/>
  <c r="AG90" i="37"/>
  <c r="AB91" i="37" a="1"/>
  <c r="AB91" i="37" s="1"/>
  <c r="AC91" i="37" s="1"/>
  <c r="AB94" i="37" a="1"/>
  <c r="AB94" i="37" s="1"/>
  <c r="AC94" i="37" s="1"/>
  <c r="AG94" i="37"/>
  <c r="AM94" i="37" s="1" a="1"/>
  <c r="AM94" i="37" s="1"/>
  <c r="AB95" i="37" a="1"/>
  <c r="AB95" i="37" s="1"/>
  <c r="AC95" i="37" s="1"/>
  <c r="AG95" i="37"/>
  <c r="AB96" i="37" a="1"/>
  <c r="AB96" i="37" s="1"/>
  <c r="AG96" i="37"/>
  <c r="AL96" i="37" s="1" a="1"/>
  <c r="AL96" i="37" s="1"/>
  <c r="AB97" i="37" a="1"/>
  <c r="AB97" i="37" s="1"/>
  <c r="AG97" i="37"/>
  <c r="AL97" i="37" s="1" a="1"/>
  <c r="AL97" i="37" s="1"/>
  <c r="AB98" i="37" a="1"/>
  <c r="AB98" i="37" s="1"/>
  <c r="AG98" i="37"/>
  <c r="AL98" i="37" s="1" a="1"/>
  <c r="AL98" i="37" s="1"/>
  <c r="AB99" i="37" a="1"/>
  <c r="AB99" i="37" s="1"/>
  <c r="AC99" i="37" s="1"/>
  <c r="AG99" i="37"/>
  <c r="AH99" i="37" s="1" a="1"/>
  <c r="AH99" i="37" s="1"/>
  <c r="AB100" i="37" a="1"/>
  <c r="AB100" i="37" s="1"/>
  <c r="AC100" i="37" s="1"/>
  <c r="AG100" i="37"/>
  <c r="AH100" i="37" s="1" a="1"/>
  <c r="AH100" i="37" s="1"/>
  <c r="AB101" i="37" a="1"/>
  <c r="AB101" i="37" s="1"/>
  <c r="AC101" i="37" s="1"/>
  <c r="AG101" i="37"/>
  <c r="AB102" i="37" a="1"/>
  <c r="AB102" i="37" s="1"/>
  <c r="AC102" i="37" s="1"/>
  <c r="AG102" i="37"/>
  <c r="AH102" i="37" s="1" a="1"/>
  <c r="AH102" i="37" s="1"/>
  <c r="AB103" i="37" a="1"/>
  <c r="AB103" i="37" s="1"/>
  <c r="AC103" i="37" s="1"/>
  <c r="AG103" i="37"/>
  <c r="AL103" i="37" s="1" a="1"/>
  <c r="AL103" i="37" s="1"/>
  <c r="AB116" i="37" a="1"/>
  <c r="AB116" i="37" s="1"/>
  <c r="AC116" i="37" s="1"/>
  <c r="AG116" i="37"/>
  <c r="AB117" i="37" a="1"/>
  <c r="AB117" i="37" s="1"/>
  <c r="AC117" i="37" s="1"/>
  <c r="AG117" i="37"/>
  <c r="AL117" i="37" s="1" a="1"/>
  <c r="AL117" i="37" s="1"/>
  <c r="AB118" i="37" a="1"/>
  <c r="AB118" i="37" s="1"/>
  <c r="AC118" i="37" s="1"/>
  <c r="AG118" i="37"/>
  <c r="AB119" i="37" a="1"/>
  <c r="AB119" i="37" s="1"/>
  <c r="AC119" i="37" s="1"/>
  <c r="AG119" i="37"/>
  <c r="AH119" i="37" s="1" a="1"/>
  <c r="AH119" i="37" s="1"/>
  <c r="AB120" i="37" a="1"/>
  <c r="AB120" i="37" s="1"/>
  <c r="AC120" i="37" s="1"/>
  <c r="AG120" i="37"/>
  <c r="AB121" i="37" a="1"/>
  <c r="AB121" i="37" s="1"/>
  <c r="AC121" i="37" s="1"/>
  <c r="AG121" i="37"/>
  <c r="AL121" i="37" s="1" a="1"/>
  <c r="AL121" i="37" s="1"/>
  <c r="AB122" i="37" a="1"/>
  <c r="AB122" i="37" s="1"/>
  <c r="AC122" i="37" s="1"/>
  <c r="AG122" i="37"/>
  <c r="AL122" i="37" s="1" a="1"/>
  <c r="AL122" i="37" s="1"/>
  <c r="AB123" i="37" a="1"/>
  <c r="AB123" i="37" s="1"/>
  <c r="AC123" i="37" s="1"/>
  <c r="AG123" i="37"/>
  <c r="AH123" i="37" s="1" a="1"/>
  <c r="AH123" i="37" s="1"/>
  <c r="AB124" i="37" a="1"/>
  <c r="AB124" i="37" s="1"/>
  <c r="AG124" i="37"/>
  <c r="AB125" i="37" a="1"/>
  <c r="AB125" i="37" s="1"/>
  <c r="AC125" i="37" s="1"/>
  <c r="AG125" i="37"/>
  <c r="AM125" i="37" s="1" a="1"/>
  <c r="AM125" i="37" s="1"/>
  <c r="AB127" i="37" a="1"/>
  <c r="AB127" i="37" s="1"/>
  <c r="AC127" i="37" s="1"/>
  <c r="AB128" i="37" a="1"/>
  <c r="AB128" i="37" s="1"/>
  <c r="AG128" i="37"/>
  <c r="AH128" i="37" s="1" a="1"/>
  <c r="AH128" i="37" s="1"/>
  <c r="AB129" i="37" a="1"/>
  <c r="AB129" i="37" s="1"/>
  <c r="AC129" i="37" s="1"/>
  <c r="AG129" i="37"/>
  <c r="AL129" i="37" s="1" a="1"/>
  <c r="AL129" i="37" s="1"/>
  <c r="AB130" i="37" a="1"/>
  <c r="AB130" i="37" s="1"/>
  <c r="AG130" i="37"/>
  <c r="AL130" i="37" s="1" a="1"/>
  <c r="AL130" i="37" s="1"/>
  <c r="AB131" i="37" a="1"/>
  <c r="AB131" i="37" s="1"/>
  <c r="AC131" i="37" s="1"/>
  <c r="AG131" i="37"/>
  <c r="AB132" i="37" a="1"/>
  <c r="AB132" i="37" s="1"/>
  <c r="AC132" i="37" s="1"/>
  <c r="AG132" i="37"/>
  <c r="AH132" i="37" s="1" a="1"/>
  <c r="AH132" i="37" s="1"/>
  <c r="AB133" i="37" a="1"/>
  <c r="AB133" i="37" s="1"/>
  <c r="AC133" i="37" s="1"/>
  <c r="AG133" i="37"/>
  <c r="AB134" i="37" a="1"/>
  <c r="AB134" i="37" s="1"/>
  <c r="AG134" i="37"/>
  <c r="AM134" i="37" s="1" a="1"/>
  <c r="AM134" i="37" s="1"/>
  <c r="AB135" i="37" a="1"/>
  <c r="AB135" i="37" s="1"/>
  <c r="AC135" i="37" s="1"/>
  <c r="AB136" i="37" a="1"/>
  <c r="AB136" i="37" s="1"/>
  <c r="AC136" i="37" s="1"/>
  <c r="AG136" i="37"/>
  <c r="AL136" i="37" s="1" a="1"/>
  <c r="AL136" i="37" s="1"/>
  <c r="AB137" i="37" a="1"/>
  <c r="AB137" i="37" s="1"/>
  <c r="AC137" i="37" s="1"/>
  <c r="AG137" i="37"/>
  <c r="AL137" i="37" s="1" a="1"/>
  <c r="AL137" i="37" s="1"/>
  <c r="AB138" i="37" a="1"/>
  <c r="AB138" i="37" s="1"/>
  <c r="AC138" i="37" s="1"/>
  <c r="AG138" i="37"/>
  <c r="AL138" i="37" s="1" a="1"/>
  <c r="AL138" i="37" s="1"/>
  <c r="AB139" i="37" a="1"/>
  <c r="AB139" i="37" s="1"/>
  <c r="AC139" i="37" s="1"/>
  <c r="AG139" i="37"/>
  <c r="AH139" i="37" s="1" a="1"/>
  <c r="AH139" i="37" s="1"/>
  <c r="AB140" i="37" a="1"/>
  <c r="AB140" i="37" s="1"/>
  <c r="AC140" i="37" s="1"/>
  <c r="AG140" i="37"/>
  <c r="AB141" i="37" a="1"/>
  <c r="AB141" i="37" s="1"/>
  <c r="AC141" i="37" s="1"/>
  <c r="AG141" i="37"/>
  <c r="AH141" i="37" s="1" a="1"/>
  <c r="AH141" i="37" s="1"/>
  <c r="AB142" i="37" a="1"/>
  <c r="AB142" i="37" s="1"/>
  <c r="AC142" i="37" s="1"/>
  <c r="AG142" i="37"/>
  <c r="AB147" i="37" a="1"/>
  <c r="AB147" i="37" s="1"/>
  <c r="AC147" i="37" s="1"/>
  <c r="AG147" i="37"/>
  <c r="AM147" i="37" s="1" a="1"/>
  <c r="AM147" i="37" s="1"/>
  <c r="AB148" i="37" a="1"/>
  <c r="AB148" i="37" s="1"/>
  <c r="AC148" i="37" s="1"/>
  <c r="AB149" i="37" a="1"/>
  <c r="AB149" i="37" s="1"/>
  <c r="AC149" i="37" s="1"/>
  <c r="AG149" i="37"/>
  <c r="AL149" i="37" s="1" a="1"/>
  <c r="AL149" i="37" s="1"/>
  <c r="AB150" i="37" a="1"/>
  <c r="AB150" i="37" s="1"/>
  <c r="AC150" i="37" s="1"/>
  <c r="AG150" i="37"/>
  <c r="AL150" i="37" s="1" a="1"/>
  <c r="AL150" i="37" s="1"/>
  <c r="AB151" i="37" a="1"/>
  <c r="AB151" i="37" s="1"/>
  <c r="AC151" i="37" s="1"/>
  <c r="AG151" i="37"/>
  <c r="AH151" i="37" s="1" a="1"/>
  <c r="AH151" i="37" s="1"/>
  <c r="AB152" i="37" a="1"/>
  <c r="AB152" i="37" s="1"/>
  <c r="AC152" i="37" s="1"/>
  <c r="AG152" i="37"/>
  <c r="AB153" i="37" a="1"/>
  <c r="AB153" i="37" s="1"/>
  <c r="AC153" i="37" s="1"/>
  <c r="AG153" i="37"/>
  <c r="AL153" i="37" s="1" a="1"/>
  <c r="AL153" i="37" s="1"/>
  <c r="AB154" i="37" a="1"/>
  <c r="AB154" i="37" s="1"/>
  <c r="AC154" i="37" s="1"/>
  <c r="AG154" i="37"/>
  <c r="AB156" i="37" a="1"/>
  <c r="AB156" i="37" s="1"/>
  <c r="AG156" i="37"/>
  <c r="AM156" i="37" s="1" a="1"/>
  <c r="AM156" i="37" s="1"/>
  <c r="AB158" i="37" a="1"/>
  <c r="AB158" i="37" s="1"/>
  <c r="AC158" i="37" s="1"/>
  <c r="AG158" i="37"/>
  <c r="AB159" i="37" a="1"/>
  <c r="AB159" i="37" s="1"/>
  <c r="AC159" i="37" s="1"/>
  <c r="AB160" i="37" a="1"/>
  <c r="AB160" i="37" s="1"/>
  <c r="AC160" i="37" s="1"/>
  <c r="AG160" i="37"/>
  <c r="AL160" i="37" s="1" a="1"/>
  <c r="AL160" i="37" s="1"/>
  <c r="AB161" i="37" a="1"/>
  <c r="AB161" i="37" s="1"/>
  <c r="AG161" i="37"/>
  <c r="AH161" i="37" s="1" a="1"/>
  <c r="AH161" i="37" s="1"/>
  <c r="AB164" i="37" a="1"/>
  <c r="AB164" i="37" s="1"/>
  <c r="AC164" i="37" s="1"/>
  <c r="AG164" i="37"/>
  <c r="AM164" i="37" s="1" a="1"/>
  <c r="AM164" i="37" s="1"/>
  <c r="AB165" i="37" a="1"/>
  <c r="AB165" i="37" s="1"/>
  <c r="AC165" i="37" s="1"/>
  <c r="AG165" i="37"/>
  <c r="AH165" i="37" s="1" a="1"/>
  <c r="AH165" i="37" s="1"/>
  <c r="AB166" i="37" a="1"/>
  <c r="AB166" i="37" s="1"/>
  <c r="AC166" i="37" s="1"/>
  <c r="AG166" i="37"/>
  <c r="AL166" i="37" s="1" a="1"/>
  <c r="AL166" i="37" s="1"/>
  <c r="AB167" i="37" a="1"/>
  <c r="AB167" i="37" s="1"/>
  <c r="AC167" i="37" s="1"/>
  <c r="AG167" i="37"/>
  <c r="AM167" i="37" s="1" a="1"/>
  <c r="AM167" i="37" s="1"/>
  <c r="AB168" i="37" a="1"/>
  <c r="AB168" i="37" s="1"/>
  <c r="AB169" i="37" a="1"/>
  <c r="AB169" i="37" s="1"/>
  <c r="AC169" i="37" s="1"/>
  <c r="AG169" i="37"/>
  <c r="AM169" i="37" s="1" a="1"/>
  <c r="AM169" i="37" s="1"/>
  <c r="AB170" i="37" a="1"/>
  <c r="AB170" i="37" s="1"/>
  <c r="AC170" i="37" s="1"/>
  <c r="AG170" i="37"/>
  <c r="AB171" i="37" a="1"/>
  <c r="AB171" i="37" s="1"/>
  <c r="AC171" i="37" s="1"/>
  <c r="AG171" i="37"/>
  <c r="AL171" i="37" s="1" a="1"/>
  <c r="AL171" i="37" s="1"/>
  <c r="AB172" i="37" a="1"/>
  <c r="AB172" i="37" s="1"/>
  <c r="AC172" i="37" s="1"/>
  <c r="AG172" i="37"/>
  <c r="AL172" i="37" s="1" a="1"/>
  <c r="AL172" i="37" s="1"/>
  <c r="AB173" i="37" a="1"/>
  <c r="AB173" i="37" s="1"/>
  <c r="AC173" i="37" s="1"/>
  <c r="AB174" i="37" a="1"/>
  <c r="AB174" i="37" s="1"/>
  <c r="AB175" i="37" a="1"/>
  <c r="AB175" i="37" s="1"/>
  <c r="AC175" i="37" s="1"/>
  <c r="AG175" i="37"/>
  <c r="AH175" i="37" s="1" a="1"/>
  <c r="AH175" i="37" s="1"/>
  <c r="AB176" i="37" a="1"/>
  <c r="AB176" i="37" s="1"/>
  <c r="AC176" i="37" s="1"/>
  <c r="AG176" i="37"/>
  <c r="AM176" i="37" s="1" a="1"/>
  <c r="AM176" i="37" s="1"/>
  <c r="AB177" i="37" a="1"/>
  <c r="AB177" i="37" s="1"/>
  <c r="AG177" i="37"/>
  <c r="AL177" i="37" s="1" a="1"/>
  <c r="AL177" i="37" s="1"/>
  <c r="AB178" i="37" a="1"/>
  <c r="AB178" i="37" s="1"/>
  <c r="AC178" i="37" s="1"/>
  <c r="AG178" i="37"/>
  <c r="AB179" i="37" a="1"/>
  <c r="AB179" i="37" s="1"/>
  <c r="AC179" i="37" s="1"/>
  <c r="AG179" i="37"/>
  <c r="AL179" i="37" s="1" a="1"/>
  <c r="AL179" i="37" s="1"/>
  <c r="AB181" i="37" a="1"/>
  <c r="AB181" i="37" s="1"/>
  <c r="AC181" i="37" s="1"/>
  <c r="AG181" i="37"/>
  <c r="AM181" i="37" s="1" a="1"/>
  <c r="AM181" i="37" s="1"/>
  <c r="AB183" i="37" a="1"/>
  <c r="AB183" i="37" s="1"/>
  <c r="AC183" i="37" s="1"/>
  <c r="AG183" i="37"/>
  <c r="AL183" i="37" s="1" a="1"/>
  <c r="AL183" i="37" s="1"/>
  <c r="AB184" i="37" a="1"/>
  <c r="AB184" i="37" s="1"/>
  <c r="AC184" i="37" s="1"/>
  <c r="AG184" i="37"/>
  <c r="AL184" i="37" s="1" a="1"/>
  <c r="AL184" i="37" s="1"/>
  <c r="AB185" i="37" a="1"/>
  <c r="AB185" i="37" s="1"/>
  <c r="AC185" i="37" s="1"/>
  <c r="AG185" i="37"/>
  <c r="AH185" i="37" s="1" a="1"/>
  <c r="AH185" i="37" s="1"/>
  <c r="AB186" i="37" a="1"/>
  <c r="AB186" i="37" s="1"/>
  <c r="AC186" i="37" s="1"/>
  <c r="AG186" i="37"/>
  <c r="AB182" i="37" a="1"/>
  <c r="AB182" i="37" s="1"/>
  <c r="AC182" i="37" s="1"/>
  <c r="AG182" i="37"/>
  <c r="AB187" i="37" a="1"/>
  <c r="AB187" i="37" s="1"/>
  <c r="AC187" i="37" s="1"/>
  <c r="AG187" i="37"/>
  <c r="AL187" i="37" s="1" a="1"/>
  <c r="AL187" i="37" s="1"/>
  <c r="AB188" i="37" a="1"/>
  <c r="AB188" i="37" s="1"/>
  <c r="AG188" i="37"/>
  <c r="AB189" i="37" a="1"/>
  <c r="AB189" i="37" s="1"/>
  <c r="AC189" i="37" s="1"/>
  <c r="AG189" i="37"/>
  <c r="AL189" i="37" s="1" a="1"/>
  <c r="AL189" i="37" s="1"/>
  <c r="AB190" i="37" a="1"/>
  <c r="AB190" i="37" s="1"/>
  <c r="AC190" i="37" s="1"/>
  <c r="AG190" i="37"/>
  <c r="AM190" i="37" s="1" a="1"/>
  <c r="AM190" i="37" s="1"/>
  <c r="AB191" i="37" a="1"/>
  <c r="AB191" i="37" s="1"/>
  <c r="AC191" i="37" s="1"/>
  <c r="AG191" i="37"/>
  <c r="AH191" i="37" s="1" a="1"/>
  <c r="AH191" i="37" s="1"/>
  <c r="AB143" i="37" a="1"/>
  <c r="AB143" i="37" s="1"/>
  <c r="AC143" i="37" s="1"/>
  <c r="AG143" i="37"/>
  <c r="AB192" i="37" a="1"/>
  <c r="AB192" i="37" s="1"/>
  <c r="AC192" i="37" s="1"/>
  <c r="AG192" i="37"/>
  <c r="AH192" i="37" s="1" a="1"/>
  <c r="AH192" i="37" s="1"/>
  <c r="AB193" i="37" a="1"/>
  <c r="AB193" i="37" s="1"/>
  <c r="AC193" i="37" s="1"/>
  <c r="AG193" i="37"/>
  <c r="AL193" i="37" s="1" a="1"/>
  <c r="AL193" i="37" s="1"/>
  <c r="AB194" i="37" a="1"/>
  <c r="AB194" i="37" s="1"/>
  <c r="AG194" i="37"/>
  <c r="AH194" i="37" s="1" a="1"/>
  <c r="AH194" i="37" s="1"/>
  <c r="AB195" i="37" a="1"/>
  <c r="AB195" i="37" s="1"/>
  <c r="AC195" i="37" s="1"/>
  <c r="AG195" i="37"/>
  <c r="AB196" i="37" a="1"/>
  <c r="AB196" i="37" s="1"/>
  <c r="AC196" i="37" s="1"/>
  <c r="AB197" i="37" a="1"/>
  <c r="AB197" i="37" s="1"/>
  <c r="AC197" i="37" s="1"/>
  <c r="AG197" i="37"/>
  <c r="AL197" i="37" s="1" a="1"/>
  <c r="AL197" i="37" s="1"/>
  <c r="AB198" i="37" a="1"/>
  <c r="AB198" i="37" s="1"/>
  <c r="AC198" i="37" s="1"/>
  <c r="AG198" i="37"/>
  <c r="AL198" i="37" s="1" a="1"/>
  <c r="AL198" i="37" s="1"/>
  <c r="AB199" i="37" a="1"/>
  <c r="AB199" i="37" s="1"/>
  <c r="AG199" i="37"/>
  <c r="AM199" i="37" s="1" a="1"/>
  <c r="AM199" i="37" s="1"/>
  <c r="AB200" i="37" a="1"/>
  <c r="AB200" i="37" s="1"/>
  <c r="AC200" i="37" s="1"/>
  <c r="AG200" i="37"/>
  <c r="AL200" i="37" s="1" a="1"/>
  <c r="AL200" i="37" s="1"/>
  <c r="AB201" i="37" a="1"/>
  <c r="AB201" i="37" s="1"/>
  <c r="AC201" i="37" s="1"/>
  <c r="AG201" i="37"/>
  <c r="AL201" i="37" s="1" a="1"/>
  <c r="AL201" i="37" s="1"/>
  <c r="AB202" i="37" a="1"/>
  <c r="AB202" i="37" s="1"/>
  <c r="AC202" i="37" s="1"/>
  <c r="AG202" i="37"/>
  <c r="AH202" i="37" s="1" a="1"/>
  <c r="AH202" i="37" s="1"/>
  <c r="AB203" i="37" a="1"/>
  <c r="AB203" i="37" s="1"/>
  <c r="AC203" i="37" s="1"/>
  <c r="AG203" i="37"/>
  <c r="AL203" i="37" s="1" a="1"/>
  <c r="AL203" i="37" s="1"/>
  <c r="AB204" i="37" a="1"/>
  <c r="AB204" i="37" s="1"/>
  <c r="AC204" i="37" s="1"/>
  <c r="AG204" i="37"/>
  <c r="AB205" i="37" a="1"/>
  <c r="AB205" i="37" s="1"/>
  <c r="AC205" i="37" s="1"/>
  <c r="AG205" i="37"/>
  <c r="AL205" i="37" s="1" a="1"/>
  <c r="AL205" i="37" s="1"/>
  <c r="AB206" i="37" a="1"/>
  <c r="AB206" i="37" s="1"/>
  <c r="AC206" i="37" s="1"/>
  <c r="AG206" i="37"/>
  <c r="AL206" i="37" s="1" a="1"/>
  <c r="AL206" i="37" s="1"/>
  <c r="AB209" i="37" a="1"/>
  <c r="AB209" i="37" s="1"/>
  <c r="AG209" i="37"/>
  <c r="AB207" i="37" a="1"/>
  <c r="AB207" i="37" s="1"/>
  <c r="AC207" i="37" s="1"/>
  <c r="AG207" i="37"/>
  <c r="AH207" i="37" s="1" a="1"/>
  <c r="AH207" i="37" s="1"/>
  <c r="AB208" i="37" a="1"/>
  <c r="AB208" i="37" s="1"/>
  <c r="AC208" i="37" s="1"/>
  <c r="AB210" i="37" a="1"/>
  <c r="AB210" i="37" s="1"/>
  <c r="AC210" i="37" s="1"/>
  <c r="AG210" i="37"/>
  <c r="AM210" i="37" s="1" a="1"/>
  <c r="AM210" i="37" s="1"/>
  <c r="AB211" i="37" a="1"/>
  <c r="AB211" i="37" s="1"/>
  <c r="AG211" i="37"/>
  <c r="AL211" i="37" s="1" a="1"/>
  <c r="AL211" i="37" s="1"/>
  <c r="AB212" i="37" a="1"/>
  <c r="AB212" i="37" s="1"/>
  <c r="AC212" i="37" s="1"/>
  <c r="AG212" i="37"/>
  <c r="AB214" i="37" a="1"/>
  <c r="AB214" i="37" s="1"/>
  <c r="AC214" i="37" s="1"/>
  <c r="AG214" i="37"/>
  <c r="AM214" i="37" s="1" a="1"/>
  <c r="AM214" i="37" s="1"/>
  <c r="AB220" i="37" a="1"/>
  <c r="AB220" i="37" s="1"/>
  <c r="AG220" i="37"/>
  <c r="AL220" i="37" s="1" a="1"/>
  <c r="AL220" i="37" s="1"/>
  <c r="AB228" i="37" a="1"/>
  <c r="AB228" i="37" s="1"/>
  <c r="AC228" i="37" s="1"/>
  <c r="AG228" i="37"/>
  <c r="AL228" i="37" s="1" a="1"/>
  <c r="AL228" i="37" s="1"/>
  <c r="AB215" i="37" a="1"/>
  <c r="AB215" i="37" s="1"/>
  <c r="AC215" i="37" s="1"/>
  <c r="AG215" i="37"/>
  <c r="AL215" i="37" s="1" a="1"/>
  <c r="AL215" i="37" s="1"/>
  <c r="AB218" i="37" a="1"/>
  <c r="AB218" i="37" s="1"/>
  <c r="AC218" i="37" s="1"/>
  <c r="AG218" i="37"/>
  <c r="AB229" i="37" a="1"/>
  <c r="AB229" i="37" s="1"/>
  <c r="AC229" i="37" s="1"/>
  <c r="AG229" i="37"/>
  <c r="AL229" i="37" s="1" a="1"/>
  <c r="AL229" i="37" s="1"/>
  <c r="V288" i="37"/>
  <c r="I6" i="121" s="1"/>
  <c r="AB288" i="37" a="1"/>
  <c r="AB288" i="37" s="1"/>
  <c r="AC288" i="37" s="1"/>
  <c r="AG288" i="37"/>
  <c r="AL288" i="37" s="1" a="1"/>
  <c r="AL288" i="37" s="1"/>
  <c r="V289" i="37"/>
  <c r="I7" i="121" s="1"/>
  <c r="AB289" i="37" a="1"/>
  <c r="AB289" i="37" s="1"/>
  <c r="AC289" i="37" s="1"/>
  <c r="AG289" i="37"/>
  <c r="V290" i="37"/>
  <c r="I8" i="121" s="1"/>
  <c r="AB290" i="37" a="1"/>
  <c r="AB290" i="37" s="1"/>
  <c r="AC290" i="37" s="1"/>
  <c r="AG290" i="37"/>
  <c r="AL290" i="37" s="1" a="1"/>
  <c r="AL290" i="37" s="1"/>
  <c r="V291" i="37"/>
  <c r="I9" i="121" s="1"/>
  <c r="AB291" i="37" a="1"/>
  <c r="AB291" i="37" s="1"/>
  <c r="AC291" i="37" s="1"/>
  <c r="AG291" i="37"/>
  <c r="AL291" i="37" s="1" a="1"/>
  <c r="AL291" i="37" s="1"/>
  <c r="V292" i="37"/>
  <c r="I10" i="121" s="1"/>
  <c r="AB292" i="37" a="1"/>
  <c r="AB292" i="37" s="1"/>
  <c r="AC292" i="37" s="1"/>
  <c r="AG292" i="37"/>
  <c r="AL292" i="37" s="1" a="1"/>
  <c r="AL292" i="37" s="1"/>
  <c r="V293" i="37"/>
  <c r="I13" i="121" s="1"/>
  <c r="AB293" i="37" a="1"/>
  <c r="AB293" i="37" s="1"/>
  <c r="AC293" i="37" s="1"/>
  <c r="AG293" i="37"/>
  <c r="AH293" i="37" s="1" a="1"/>
  <c r="AH293" i="37" s="1"/>
  <c r="V294" i="37"/>
  <c r="I16" i="121" s="1"/>
  <c r="AB294" i="37" a="1"/>
  <c r="AB294" i="37" s="1"/>
  <c r="AC294" i="37" s="1"/>
  <c r="AG294" i="37"/>
  <c r="AB295" i="37" a="1"/>
  <c r="AB295" i="37" s="1"/>
  <c r="AC295" i="37" s="1"/>
  <c r="AG295" i="37"/>
  <c r="AH295" i="37" s="1" a="1"/>
  <c r="AH295" i="37" s="1"/>
  <c r="AB296" i="37" a="1"/>
  <c r="AB296" i="37" s="1"/>
  <c r="AG296" i="37"/>
  <c r="AH296" i="37" s="1" a="1"/>
  <c r="AH296" i="37" s="1"/>
  <c r="AB114" i="37" a="1"/>
  <c r="AB114" i="37" s="1"/>
  <c r="AC114" i="37" s="1"/>
  <c r="AG114" i="37"/>
  <c r="AL114" i="37" s="1" a="1"/>
  <c r="AL114" i="37" s="1"/>
  <c r="V297" i="37"/>
  <c r="I48" i="116" s="1"/>
  <c r="AB297" i="37" a="1"/>
  <c r="AB297" i="37" s="1"/>
  <c r="AG297" i="37"/>
  <c r="AH297" i="37" s="1" a="1"/>
  <c r="AH297" i="37" s="1"/>
  <c r="AB145" i="37" a="1"/>
  <c r="AB145" i="37" s="1"/>
  <c r="AC145" i="37" s="1"/>
  <c r="AG145" i="37"/>
  <c r="AL145" i="37" s="1" a="1"/>
  <c r="AL145" i="37" s="1"/>
  <c r="AB146" i="37" a="1"/>
  <c r="AB146" i="37" s="1"/>
  <c r="AC146" i="37" s="1"/>
  <c r="AG146" i="37"/>
  <c r="AL146" i="37" s="1" a="1"/>
  <c r="AL146" i="37" s="1"/>
  <c r="AB213" i="37" a="1"/>
  <c r="AB213" i="37" s="1"/>
  <c r="AC213" i="37" s="1"/>
  <c r="AG213" i="37"/>
  <c r="AH213" i="37" s="1" a="1"/>
  <c r="AH213" i="37" s="1"/>
  <c r="AB37" i="37" a="1"/>
  <c r="AB37" i="37" s="1"/>
  <c r="AC37" i="37" s="1"/>
  <c r="AG37" i="37"/>
  <c r="AL37" i="37" s="1" a="1"/>
  <c r="AL37" i="37" s="1"/>
  <c r="AB27" i="37" a="1"/>
  <c r="AB27" i="37" s="1"/>
  <c r="AC27" i="37" s="1"/>
  <c r="AG27" i="37"/>
  <c r="AH27" i="37" s="1" a="1"/>
  <c r="AH27" i="37" s="1"/>
  <c r="V298" i="37"/>
  <c r="I49" i="121" s="1"/>
  <c r="AB298" i="37" a="1"/>
  <c r="AB298" i="37" s="1"/>
  <c r="AG298" i="37"/>
  <c r="AL298" i="37" s="1" a="1"/>
  <c r="AL298" i="37" s="1"/>
  <c r="V302" i="37"/>
  <c r="AB302" i="37" a="1"/>
  <c r="AB302" i="37" s="1"/>
  <c r="AC302" i="37" s="1"/>
  <c r="Z17" i="37"/>
  <c r="Z9" i="37"/>
  <c r="J23" i="119"/>
  <c r="J17" i="119"/>
  <c r="J30" i="119"/>
  <c r="J31" i="119"/>
  <c r="J21" i="119"/>
  <c r="J19" i="121"/>
  <c r="J14" i="121"/>
  <c r="J39" i="121"/>
  <c r="J31" i="121"/>
  <c r="H41" i="130"/>
  <c r="I41" i="130" s="1"/>
  <c r="H40" i="130"/>
  <c r="I40" i="130" s="1"/>
  <c r="H39" i="130"/>
  <c r="I39" i="130" s="1"/>
  <c r="H38" i="130"/>
  <c r="I38" i="130" s="1"/>
  <c r="H37" i="130"/>
  <c r="I37" i="130" s="1"/>
  <c r="H36" i="130"/>
  <c r="I36" i="130" s="1"/>
  <c r="H35" i="130"/>
  <c r="I35" i="130" s="1"/>
  <c r="H34" i="130"/>
  <c r="I34" i="130" s="1"/>
  <c r="H33" i="130"/>
  <c r="I33" i="130" s="1"/>
  <c r="H32" i="130"/>
  <c r="I32" i="130" s="1"/>
  <c r="H31" i="130"/>
  <c r="I31" i="130" s="1"/>
  <c r="H30" i="130"/>
  <c r="I30" i="130" s="1"/>
  <c r="H29" i="130"/>
  <c r="I29" i="130" s="1"/>
  <c r="H28" i="130"/>
  <c r="I28" i="130" s="1"/>
  <c r="H27" i="130"/>
  <c r="I27" i="130" s="1"/>
  <c r="H26" i="130"/>
  <c r="I26" i="130" s="1"/>
  <c r="H25" i="130"/>
  <c r="I25" i="130" s="1"/>
  <c r="H24" i="130"/>
  <c r="I24" i="130" s="1"/>
  <c r="H23" i="130"/>
  <c r="I23" i="130" s="1"/>
  <c r="H22" i="130"/>
  <c r="I22" i="130" s="1"/>
  <c r="H21" i="130"/>
  <c r="I21" i="130" s="1"/>
  <c r="H20" i="130"/>
  <c r="I20" i="130" s="1"/>
  <c r="H18" i="130"/>
  <c r="I18" i="130" s="1"/>
  <c r="H17" i="130"/>
  <c r="I17" i="130" s="1"/>
  <c r="H16" i="130"/>
  <c r="I16" i="130" s="1"/>
  <c r="H15" i="130"/>
  <c r="I15" i="130" s="1"/>
  <c r="H14" i="130"/>
  <c r="I14" i="130" s="1"/>
  <c r="H13" i="130"/>
  <c r="I13" i="130" s="1"/>
  <c r="H12" i="130"/>
  <c r="I12" i="130" s="1"/>
  <c r="H11" i="130"/>
  <c r="I11" i="130" s="1"/>
  <c r="H10" i="130"/>
  <c r="I10" i="130" s="1"/>
  <c r="H9" i="130"/>
  <c r="I9" i="130" s="1"/>
  <c r="H8" i="130"/>
  <c r="I8" i="130" s="1"/>
  <c r="H7" i="130"/>
  <c r="I7" i="130" s="1"/>
  <c r="H6" i="130"/>
  <c r="I6" i="130" s="1"/>
  <c r="H5" i="130"/>
  <c r="I5" i="130" s="1"/>
  <c r="H104" i="130"/>
  <c r="H103" i="130"/>
  <c r="H102" i="130"/>
  <c r="H87" i="130"/>
  <c r="I87" i="130" s="1"/>
  <c r="H86" i="130"/>
  <c r="I86" i="130" s="1"/>
  <c r="G85" i="130"/>
  <c r="H85" i="130" s="1"/>
  <c r="I85" i="130" s="1"/>
  <c r="H84" i="130"/>
  <c r="I84" i="130" s="1"/>
  <c r="H83" i="130"/>
  <c r="I83" i="130" s="1"/>
  <c r="G82" i="130"/>
  <c r="H82" i="130" s="1"/>
  <c r="I82" i="130" s="1"/>
  <c r="H81" i="130"/>
  <c r="I81" i="130" s="1"/>
  <c r="G80" i="130"/>
  <c r="H80" i="130" s="1"/>
  <c r="I80" i="130" s="1"/>
  <c r="G79" i="130"/>
  <c r="H79" i="130" s="1"/>
  <c r="I79" i="130" s="1"/>
  <c r="H78" i="130"/>
  <c r="I78" i="130" s="1"/>
  <c r="H77" i="130"/>
  <c r="I77" i="130" s="1"/>
  <c r="H74" i="130"/>
  <c r="I74" i="130" s="1"/>
  <c r="H73" i="130"/>
  <c r="I73" i="130" s="1"/>
  <c r="H72" i="130"/>
  <c r="I72" i="130" s="1"/>
  <c r="H71" i="130"/>
  <c r="I71" i="130" s="1"/>
  <c r="F70" i="130"/>
  <c r="H70" i="130" s="1"/>
  <c r="I70" i="130" s="1"/>
  <c r="L1" i="130"/>
  <c r="J105" i="130" s="1"/>
  <c r="L6" i="37"/>
  <c r="I5" i="37" a="1"/>
  <c r="I5" i="37" s="1"/>
  <c r="O5" i="37" s="1"/>
  <c r="O4" i="37"/>
  <c r="I3" i="37" a="1"/>
  <c r="I3" i="37" s="1"/>
  <c r="O3" i="37" s="1"/>
  <c r="I2" i="37"/>
  <c r="O2" i="37" s="1"/>
  <c r="AJ541" i="131" l="1"/>
  <c r="AK541" i="131" s="1"/>
  <c r="Y542" i="131"/>
  <c r="AL542" i="131" s="1"/>
  <c r="AL212" i="37" a="1"/>
  <c r="AL212" i="37" s="1"/>
  <c r="O25" i="37" a="1"/>
  <c r="O25" i="37" s="1"/>
  <c r="AF298" i="37"/>
  <c r="AF37" i="37"/>
  <c r="AF292" i="37"/>
  <c r="AF290" i="37"/>
  <c r="AF288" i="37"/>
  <c r="AF213" i="37"/>
  <c r="AF114" i="37"/>
  <c r="AF295" i="37"/>
  <c r="AF293" i="37"/>
  <c r="AF291" i="37"/>
  <c r="AM115" i="37" a="1"/>
  <c r="AM115" i="37" s="1"/>
  <c r="AK113" i="37"/>
  <c r="AM25" i="37" a="1"/>
  <c r="AM25" i="37" s="1"/>
  <c r="AC216" i="37"/>
  <c r="AC25" i="37"/>
  <c r="AJ39" i="37"/>
  <c r="AD174" i="37"/>
  <c r="AD214" i="37"/>
  <c r="AD190" i="37"/>
  <c r="AD48" i="37"/>
  <c r="AJ233" i="37"/>
  <c r="AJ28" i="37"/>
  <c r="AD209" i="37"/>
  <c r="AD127" i="37"/>
  <c r="AJ31" i="37"/>
  <c r="AD105" i="37"/>
  <c r="AM105" i="37" s="1" a="1"/>
  <c r="AM105" i="37" s="1"/>
  <c r="AD189" i="37"/>
  <c r="AM189" i="37" s="1" a="1"/>
  <c r="AM189" i="37" s="1"/>
  <c r="AD204" i="37"/>
  <c r="AM204" i="37" s="1" a="1"/>
  <c r="AM204" i="37" s="1"/>
  <c r="AD117" i="37"/>
  <c r="AM117" i="37" s="1" a="1"/>
  <c r="AM117" i="37" s="1"/>
  <c r="AE298" i="37" a="1"/>
  <c r="AE298" i="37" s="1"/>
  <c r="AD288" i="37"/>
  <c r="AI288" i="37" s="1" a="1"/>
  <c r="AI288" i="37" s="1"/>
  <c r="AD59" i="37"/>
  <c r="AM59" i="37" s="1" a="1"/>
  <c r="AM59" i="37" s="1"/>
  <c r="AD194" i="37"/>
  <c r="AM194" i="37" s="1" a="1"/>
  <c r="AM194" i="37" s="1"/>
  <c r="AD56" i="37"/>
  <c r="AM56" i="37" s="1" a="1"/>
  <c r="AM56" i="37" s="1"/>
  <c r="AD32" i="37"/>
  <c r="AM32" i="37" s="1" a="1"/>
  <c r="AM32" i="37" s="1"/>
  <c r="AD296" i="37"/>
  <c r="AM296" i="37" s="1" a="1"/>
  <c r="AM296" i="37" s="1"/>
  <c r="AD166" i="37"/>
  <c r="AM166" i="37" s="1" a="1"/>
  <c r="AM166" i="37" s="1"/>
  <c r="AD97" i="37"/>
  <c r="AM97" i="37" s="1" a="1"/>
  <c r="AM97" i="37" s="1"/>
  <c r="AJ74" i="37"/>
  <c r="AD188" i="37"/>
  <c r="AM188" i="37" s="1" a="1"/>
  <c r="AM188" i="37" s="1"/>
  <c r="AD99" i="37"/>
  <c r="AM99" i="37" s="1" a="1"/>
  <c r="AM99" i="37" s="1"/>
  <c r="AD89" i="37"/>
  <c r="AM89" i="37" s="1" a="1"/>
  <c r="AM89" i="37" s="1"/>
  <c r="AD112" i="37"/>
  <c r="AM112" i="37" s="1" a="1"/>
  <c r="AM112" i="37" s="1"/>
  <c r="AD124" i="37"/>
  <c r="AM124" i="37" s="1" a="1"/>
  <c r="AM124" i="37" s="1"/>
  <c r="AD96" i="37"/>
  <c r="AM96" i="37" s="1" a="1"/>
  <c r="AM96" i="37" s="1"/>
  <c r="AD86" i="37"/>
  <c r="AM86" i="37" s="1" a="1"/>
  <c r="AM86" i="37" s="1"/>
  <c r="AK27" i="37"/>
  <c r="AD160" i="37"/>
  <c r="AM160" i="37" s="1" a="1"/>
  <c r="AM160" i="37" s="1"/>
  <c r="AD138" i="37"/>
  <c r="AM138" i="37" s="1" a="1"/>
  <c r="AM138" i="37" s="1"/>
  <c r="AD185" i="37"/>
  <c r="AM185" i="37" s="1" a="1"/>
  <c r="AM185" i="37" s="1"/>
  <c r="AD175" i="37"/>
  <c r="AD50" i="37"/>
  <c r="AM50" i="37" s="1" a="1"/>
  <c r="AM50" i="37" s="1"/>
  <c r="AD73" i="37"/>
  <c r="AM73" i="37" s="1" a="1"/>
  <c r="AM73" i="37" s="1"/>
  <c r="AK52" i="37"/>
  <c r="AH89" i="37" a="1"/>
  <c r="AH89" i="37" s="1"/>
  <c r="AH179" i="37" a="1"/>
  <c r="AH179" i="37" s="1"/>
  <c r="AL66" i="37" a="1"/>
  <c r="AL66" i="37" s="1"/>
  <c r="AL296" i="37" a="1"/>
  <c r="AL296" i="37" s="1"/>
  <c r="AH187" i="37" a="1"/>
  <c r="AH187" i="37" s="1"/>
  <c r="AH130" i="37" a="1"/>
  <c r="AH130" i="37" s="1"/>
  <c r="AL119" i="37" a="1"/>
  <c r="AL119" i="37" s="1"/>
  <c r="AL151" i="37" a="1"/>
  <c r="AL151" i="37" s="1"/>
  <c r="AH197" i="37" a="1"/>
  <c r="AH197" i="37" s="1"/>
  <c r="AD176" i="37"/>
  <c r="AH145" i="37" a="1"/>
  <c r="AH145" i="37" s="1"/>
  <c r="AL70" i="37" a="1"/>
  <c r="AL70" i="37" s="1"/>
  <c r="AH37" i="37" a="1"/>
  <c r="AH37" i="37" s="1"/>
  <c r="AH291" i="37" a="1"/>
  <c r="AH291" i="37" s="1"/>
  <c r="AL165" i="37" a="1"/>
  <c r="AL165" i="37" s="1"/>
  <c r="AK49" i="37"/>
  <c r="AL202" i="37" a="1"/>
  <c r="AL202" i="37" s="1"/>
  <c r="AJ48" i="37"/>
  <c r="AL59" i="37" a="1"/>
  <c r="AL59" i="37" s="1"/>
  <c r="AD210" i="37"/>
  <c r="AD134" i="37"/>
  <c r="AD177" i="37"/>
  <c r="AM177" i="37" s="1" a="1"/>
  <c r="AM177" i="37" s="1"/>
  <c r="AD83" i="37"/>
  <c r="AM83" i="37" s="1" a="1"/>
  <c r="AM83" i="37" s="1"/>
  <c r="AD27" i="37"/>
  <c r="AM27" i="37" s="1" a="1"/>
  <c r="AM27" i="37" s="1"/>
  <c r="AH153" i="37" a="1"/>
  <c r="AH153" i="37" s="1"/>
  <c r="AL297" i="37" a="1"/>
  <c r="AL297" i="37" s="1"/>
  <c r="AD220" i="37"/>
  <c r="AM220" i="37" s="1" a="1"/>
  <c r="AM220" i="37" s="1"/>
  <c r="AD168" i="37"/>
  <c r="AL213" i="37" a="1"/>
  <c r="AL213" i="37" s="1"/>
  <c r="AH205" i="37" a="1"/>
  <c r="AH205" i="37" s="1"/>
  <c r="AH200" i="37" a="1"/>
  <c r="AH200" i="37" s="1"/>
  <c r="AL141" i="37" a="1"/>
  <c r="AL141" i="37" s="1"/>
  <c r="AL102" i="37" a="1"/>
  <c r="AL102" i="37" s="1"/>
  <c r="AL49" i="37" a="1"/>
  <c r="AL49" i="37" s="1"/>
  <c r="AH198" i="37" a="1"/>
  <c r="AH198" i="37" s="1"/>
  <c r="AH183" i="37" a="1"/>
  <c r="AH183" i="37" s="1"/>
  <c r="AL123" i="37" a="1"/>
  <c r="AL123" i="37" s="1"/>
  <c r="AH117" i="37" a="1"/>
  <c r="AH117" i="37" s="1"/>
  <c r="AK36" i="37"/>
  <c r="AD203" i="37"/>
  <c r="AM203" i="37" s="1" a="1"/>
  <c r="AM203" i="37" s="1"/>
  <c r="AD198" i="37"/>
  <c r="AM198" i="37" s="1" a="1"/>
  <c r="AM198" i="37" s="1"/>
  <c r="AJ27" i="37"/>
  <c r="AL185" i="37" a="1"/>
  <c r="AL185" i="37" s="1"/>
  <c r="AH177" i="37" a="1"/>
  <c r="AH177" i="37" s="1"/>
  <c r="AL161" i="37" a="1"/>
  <c r="AL161" i="37" s="1"/>
  <c r="AD103" i="37"/>
  <c r="AM103" i="37" s="1" a="1"/>
  <c r="AM103" i="37" s="1"/>
  <c r="AL99" i="37" a="1"/>
  <c r="AL99" i="37" s="1"/>
  <c r="AD80" i="37"/>
  <c r="AM80" i="37" s="1" a="1"/>
  <c r="AM80" i="37" s="1"/>
  <c r="AL68" i="37" a="1"/>
  <c r="AL68" i="37" s="1"/>
  <c r="AL45" i="37" a="1"/>
  <c r="AL45" i="37" s="1"/>
  <c r="AH298" i="37" a="1"/>
  <c r="AH298" i="37" s="1"/>
  <c r="AH229" i="37" a="1"/>
  <c r="AH229" i="37" s="1"/>
  <c r="AH215" i="37" a="1"/>
  <c r="AH215" i="37" s="1"/>
  <c r="AH172" i="37" a="1"/>
  <c r="AH172" i="37" s="1"/>
  <c r="AH87" i="37" a="1"/>
  <c r="AH87" i="37" s="1"/>
  <c r="AD295" i="37"/>
  <c r="AE295" i="37" a="1"/>
  <c r="AE295" i="37" s="1"/>
  <c r="AJ295" i="37"/>
  <c r="AH290" i="37" a="1"/>
  <c r="AH290" i="37" s="1"/>
  <c r="AD55" i="37"/>
  <c r="AL218" i="37" a="1"/>
  <c r="AL218" i="37" s="1"/>
  <c r="AH218" i="37" a="1"/>
  <c r="AH218" i="37" s="1"/>
  <c r="AL294" i="37" a="1"/>
  <c r="AL294" i="37" s="1"/>
  <c r="AH294" i="37" a="1"/>
  <c r="AH294" i="37" s="1"/>
  <c r="AD229" i="37"/>
  <c r="AM229" i="37" s="1" a="1"/>
  <c r="AM229" i="37" s="1"/>
  <c r="AD199" i="37"/>
  <c r="AD159" i="37"/>
  <c r="AJ290" i="37"/>
  <c r="AE290" i="37" a="1"/>
  <c r="AE290" i="37" s="1"/>
  <c r="AD125" i="37"/>
  <c r="AD79" i="37"/>
  <c r="AM79" i="37" s="1" a="1"/>
  <c r="AM79" i="37" s="1"/>
  <c r="AL293" i="37" a="1"/>
  <c r="AL293" i="37" s="1"/>
  <c r="AD126" i="37"/>
  <c r="AM126" i="37" s="1" a="1"/>
  <c r="AM126" i="37" s="1"/>
  <c r="AJ107" i="37"/>
  <c r="AD107" i="37"/>
  <c r="AM107" i="37" s="1" a="1"/>
  <c r="AM107" i="37" s="1"/>
  <c r="AH219" i="37" a="1"/>
  <c r="AH219" i="37" s="1"/>
  <c r="AJ112" i="37"/>
  <c r="AH110" i="37" a="1"/>
  <c r="AH110" i="37" s="1"/>
  <c r="AL36" i="37" a="1"/>
  <c r="AL36" i="37" s="1"/>
  <c r="AD298" i="37"/>
  <c r="AH220" i="37" a="1"/>
  <c r="AH220" i="37" s="1"/>
  <c r="AD211" i="37"/>
  <c r="AM211" i="37" s="1" a="1"/>
  <c r="AM211" i="37" s="1"/>
  <c r="AD192" i="37"/>
  <c r="AM192" i="37" s="1" a="1"/>
  <c r="AM192" i="37" s="1"/>
  <c r="AH171" i="37" a="1"/>
  <c r="AH171" i="37" s="1"/>
  <c r="AD158" i="37"/>
  <c r="AM158" i="37" s="1" a="1"/>
  <c r="AM158" i="37" s="1"/>
  <c r="AH136" i="37" a="1"/>
  <c r="AH136" i="37" s="1"/>
  <c r="AL132" i="37" a="1"/>
  <c r="AL132" i="37" s="1"/>
  <c r="AH51" i="37" a="1"/>
  <c r="AH51" i="37" s="1"/>
  <c r="AH112" i="37" a="1"/>
  <c r="AH112" i="37" s="1"/>
  <c r="AL107" i="37" a="1"/>
  <c r="AL107" i="37" s="1"/>
  <c r="AL100" i="37" a="1"/>
  <c r="AL100" i="37" s="1"/>
  <c r="AL207" i="37" a="1"/>
  <c r="AL207" i="37" s="1"/>
  <c r="AH97" i="37" a="1"/>
  <c r="AH97" i="37" s="1"/>
  <c r="AH157" i="37" a="1"/>
  <c r="AH157" i="37" s="1"/>
  <c r="AL126" i="37" a="1"/>
  <c r="AL126" i="37" s="1"/>
  <c r="AK39" i="37"/>
  <c r="AL192" i="37" a="1"/>
  <c r="AL192" i="37" s="1"/>
  <c r="AH203" i="37" a="1"/>
  <c r="AH203" i="37" s="1"/>
  <c r="AL194" i="37" a="1"/>
  <c r="AL194" i="37" s="1"/>
  <c r="AH193" i="37" a="1"/>
  <c r="AH193" i="37" s="1"/>
  <c r="AL175" i="37" a="1"/>
  <c r="AL175" i="37" s="1"/>
  <c r="AL128" i="37" a="1"/>
  <c r="AL128" i="37" s="1"/>
  <c r="AL81" i="37" a="1"/>
  <c r="AL81" i="37" s="1"/>
  <c r="AL79" i="37" a="1"/>
  <c r="AL79" i="37" s="1"/>
  <c r="AH56" i="37" a="1"/>
  <c r="AH56" i="37" s="1"/>
  <c r="AH40" i="37" a="1"/>
  <c r="AH40" i="37" s="1"/>
  <c r="AJ105" i="37"/>
  <c r="AD143" i="37"/>
  <c r="AM143" i="37" s="1" a="1"/>
  <c r="AM143" i="37" s="1"/>
  <c r="AL139" i="37" a="1"/>
  <c r="AL139" i="37" s="1"/>
  <c r="AH211" i="37" a="1"/>
  <c r="AH211" i="37" s="1"/>
  <c r="AH206" i="37" a="1"/>
  <c r="AH206" i="37" s="1"/>
  <c r="AH82" i="37" a="1"/>
  <c r="AH82" i="37" s="1"/>
  <c r="AJ49" i="37"/>
  <c r="AC194" i="37"/>
  <c r="AC199" i="37"/>
  <c r="AD291" i="37"/>
  <c r="AE291" i="37" a="1"/>
  <c r="AE291" i="37" s="1"/>
  <c r="AJ291" i="37"/>
  <c r="AD218" i="37"/>
  <c r="AM218" i="37" s="1" a="1"/>
  <c r="AM218" i="37" s="1"/>
  <c r="AD193" i="37"/>
  <c r="AM193" i="37" s="1" a="1"/>
  <c r="AM193" i="37" s="1"/>
  <c r="AD212" i="37"/>
  <c r="AM212" i="37" s="1" a="1"/>
  <c r="AM212" i="37" s="1"/>
  <c r="AC209" i="37"/>
  <c r="AD205" i="37"/>
  <c r="AM205" i="37" s="1" a="1"/>
  <c r="AM205" i="37" s="1"/>
  <c r="AD195" i="37"/>
  <c r="AM195" i="37" s="1" a="1"/>
  <c r="AM195" i="37" s="1"/>
  <c r="AD187" i="37"/>
  <c r="AM187" i="37" s="1" a="1"/>
  <c r="AM187" i="37" s="1"/>
  <c r="AC298" i="37"/>
  <c r="AD37" i="37"/>
  <c r="AE37" i="37" a="1"/>
  <c r="AE37" i="37" s="1"/>
  <c r="AJ37" i="37"/>
  <c r="AC296" i="37"/>
  <c r="AD302" i="37"/>
  <c r="AD289" i="37"/>
  <c r="AJ289" i="37"/>
  <c r="AC220" i="37"/>
  <c r="AD294" i="37"/>
  <c r="AM294" i="37" s="1" a="1"/>
  <c r="AM294" i="37" s="1"/>
  <c r="AD145" i="37"/>
  <c r="AM145" i="37" s="1" a="1"/>
  <c r="AM145" i="37" s="1"/>
  <c r="AD114" i="37"/>
  <c r="AE114" i="37" a="1"/>
  <c r="AE114" i="37" s="1"/>
  <c r="AJ114" i="37"/>
  <c r="AD215" i="37"/>
  <c r="AM215" i="37" s="1" a="1"/>
  <c r="AM215" i="37" s="1"/>
  <c r="AD207" i="37"/>
  <c r="AM207" i="37" s="1" a="1"/>
  <c r="AM207" i="37" s="1"/>
  <c r="AD202" i="37"/>
  <c r="AM202" i="37" s="1" a="1"/>
  <c r="AM202" i="37" s="1"/>
  <c r="AL27" i="37" a="1"/>
  <c r="AL27" i="37" s="1"/>
  <c r="AD297" i="37"/>
  <c r="AM297" i="37" s="1" a="1"/>
  <c r="AM297" i="37" s="1"/>
  <c r="AL295" i="37" a="1"/>
  <c r="AL295" i="37" s="1"/>
  <c r="AD290" i="37"/>
  <c r="AH204" i="37" a="1"/>
  <c r="AH204" i="37" s="1"/>
  <c r="AD201" i="37"/>
  <c r="AM201" i="37" s="1" a="1"/>
  <c r="AM201" i="37" s="1"/>
  <c r="AD191" i="37"/>
  <c r="AM191" i="37" s="1" a="1"/>
  <c r="AM191" i="37" s="1"/>
  <c r="AJ298" i="37"/>
  <c r="AH146" i="37" a="1"/>
  <c r="AH146" i="37" s="1"/>
  <c r="AC297" i="37"/>
  <c r="AH292" i="37" a="1"/>
  <c r="AH292" i="37" s="1"/>
  <c r="AH288" i="37" a="1"/>
  <c r="AH288" i="37" s="1"/>
  <c r="AH228" i="37" a="1"/>
  <c r="AH228" i="37" s="1"/>
  <c r="AC211" i="37"/>
  <c r="AD184" i="37"/>
  <c r="AH289" i="37" a="1"/>
  <c r="AH289" i="37" s="1"/>
  <c r="AD208" i="37"/>
  <c r="AM209" i="37" a="1"/>
  <c r="AM209" i="37" s="1"/>
  <c r="AH201" i="37" a="1"/>
  <c r="AH201" i="37" s="1"/>
  <c r="AH195" i="37" a="1"/>
  <c r="AH195" i="37" s="1"/>
  <c r="AL195" i="37" a="1"/>
  <c r="AL195" i="37" s="1"/>
  <c r="AC188" i="37"/>
  <c r="AH186" i="37" a="1"/>
  <c r="AH186" i="37" s="1"/>
  <c r="AL186" i="37" a="1"/>
  <c r="AL186" i="37" s="1"/>
  <c r="AC177" i="37"/>
  <c r="AD154" i="37"/>
  <c r="AJ213" i="37"/>
  <c r="AE213" i="37" a="1"/>
  <c r="AE213" i="37" s="1"/>
  <c r="AH114" i="37" a="1"/>
  <c r="AH114" i="37" s="1"/>
  <c r="AJ293" i="37"/>
  <c r="AE293" i="37" a="1"/>
  <c r="AE293" i="37" s="1"/>
  <c r="AD206" i="37"/>
  <c r="AL204" i="37" a="1"/>
  <c r="AL204" i="37" s="1"/>
  <c r="AD170" i="37"/>
  <c r="AM170" i="37" s="1" a="1"/>
  <c r="AM170" i="37" s="1"/>
  <c r="AD213" i="37"/>
  <c r="AD293" i="37"/>
  <c r="AJ292" i="37"/>
  <c r="AE292" i="37" a="1"/>
  <c r="AE292" i="37" s="1"/>
  <c r="AL289" i="37" a="1"/>
  <c r="AL289" i="37" s="1"/>
  <c r="AE288" i="37" a="1"/>
  <c r="AE288" i="37" s="1"/>
  <c r="AD228" i="37"/>
  <c r="AH212" i="37" a="1"/>
  <c r="AH212" i="37" s="1"/>
  <c r="AD172" i="37"/>
  <c r="AM172" i="37" s="1" a="1"/>
  <c r="AM172" i="37" s="1"/>
  <c r="AD197" i="37"/>
  <c r="AM197" i="37" s="1" a="1"/>
  <c r="AM197" i="37" s="1"/>
  <c r="AD146" i="37"/>
  <c r="AM146" i="37" s="1" a="1"/>
  <c r="AM146" i="37" s="1"/>
  <c r="AD292" i="37"/>
  <c r="AJ288" i="37"/>
  <c r="AD200" i="37"/>
  <c r="AD196" i="37"/>
  <c r="AL191" i="37" a="1"/>
  <c r="AL191" i="37" s="1"/>
  <c r="AD156" i="37"/>
  <c r="AD182" i="37"/>
  <c r="AD181" i="37"/>
  <c r="AL178" i="37" a="1"/>
  <c r="AL178" i="37" s="1"/>
  <c r="AH178" i="37" a="1"/>
  <c r="AH178" i="37" s="1"/>
  <c r="AL143" i="37" a="1"/>
  <c r="AL143" i="37" s="1"/>
  <c r="AC168" i="37"/>
  <c r="AD132" i="37"/>
  <c r="AM132" i="37" s="1" a="1"/>
  <c r="AM132" i="37" s="1"/>
  <c r="AH182" i="37" a="1"/>
  <c r="AH182" i="37" s="1"/>
  <c r="AH184" i="37" a="1"/>
  <c r="AH184" i="37" s="1"/>
  <c r="AD169" i="37"/>
  <c r="AL140" i="37" a="1"/>
  <c r="AL140" i="37" s="1"/>
  <c r="AH140" i="37" a="1"/>
  <c r="AH140" i="37" s="1"/>
  <c r="AH170" i="37" a="1"/>
  <c r="AH170" i="37" s="1"/>
  <c r="AL170" i="37" a="1"/>
  <c r="AL170" i="37" s="1"/>
  <c r="AD186" i="37"/>
  <c r="AD183" i="37"/>
  <c r="AD178" i="37"/>
  <c r="AM178" i="37" s="1" a="1"/>
  <c r="AM178" i="37" s="1"/>
  <c r="AD173" i="37"/>
  <c r="AH143" i="37" a="1"/>
  <c r="AH143" i="37" s="1"/>
  <c r="AD148" i="37"/>
  <c r="AH188" i="37" a="1"/>
  <c r="AH188" i="37" s="1"/>
  <c r="AL188" i="37" a="1"/>
  <c r="AL188" i="37" s="1"/>
  <c r="AL182" i="37" a="1"/>
  <c r="AL182" i="37" s="1"/>
  <c r="AC174" i="37"/>
  <c r="AD171" i="37"/>
  <c r="AD165" i="37"/>
  <c r="AM165" i="37" s="1" a="1"/>
  <c r="AM165" i="37" s="1"/>
  <c r="AD164" i="37"/>
  <c r="AC161" i="37"/>
  <c r="AC156" i="37"/>
  <c r="AD152" i="37"/>
  <c r="AD150" i="37"/>
  <c r="AL154" i="37" a="1"/>
  <c r="AL154" i="37" s="1"/>
  <c r="AH142" i="37" a="1"/>
  <c r="AH142" i="37" s="1"/>
  <c r="AL142" i="37" a="1"/>
  <c r="AL142" i="37" s="1"/>
  <c r="AD137" i="37"/>
  <c r="AM137" i="37" s="1" a="1"/>
  <c r="AM137" i="37" s="1"/>
  <c r="AD131" i="37"/>
  <c r="AD119" i="37"/>
  <c r="AM119" i="37" s="1" a="1"/>
  <c r="AM119" i="37" s="1"/>
  <c r="AH154" i="37" a="1"/>
  <c r="AH154" i="37" s="1"/>
  <c r="AD147" i="37"/>
  <c r="AC128" i="37"/>
  <c r="AD179" i="37"/>
  <c r="AL152" i="37" a="1"/>
  <c r="AL152" i="37" s="1"/>
  <c r="AH152" i="37" a="1"/>
  <c r="AH152" i="37" s="1"/>
  <c r="AD141" i="37"/>
  <c r="AM141" i="37" s="1" a="1"/>
  <c r="AM141" i="37" s="1"/>
  <c r="AC134" i="37"/>
  <c r="AD133" i="37"/>
  <c r="AC124" i="37"/>
  <c r="AD123" i="37"/>
  <c r="AD122" i="37"/>
  <c r="AH189" i="37" a="1"/>
  <c r="AH189" i="37" s="1"/>
  <c r="AD167" i="37"/>
  <c r="AD153" i="37"/>
  <c r="AD149" i="37"/>
  <c r="AM149" i="37" s="1" a="1"/>
  <c r="AM149" i="37" s="1"/>
  <c r="AD142" i="37"/>
  <c r="AM142" i="37" s="1" a="1"/>
  <c r="AM142" i="37" s="1"/>
  <c r="AD140" i="37"/>
  <c r="AM140" i="37" s="1" a="1"/>
  <c r="AM140" i="37" s="1"/>
  <c r="AH131" i="37" a="1"/>
  <c r="AH131" i="37" s="1"/>
  <c r="AL131" i="37" a="1"/>
  <c r="AL131" i="37" s="1"/>
  <c r="AD139" i="37"/>
  <c r="AD129" i="37"/>
  <c r="AM129" i="37" s="1" a="1"/>
  <c r="AM129" i="37" s="1"/>
  <c r="AH166" i="37" a="1"/>
  <c r="AH166" i="37" s="1"/>
  <c r="AL158" i="37" a="1"/>
  <c r="AL158" i="37" s="1"/>
  <c r="AH158" i="37" a="1"/>
  <c r="AH158" i="37" s="1"/>
  <c r="AC130" i="37"/>
  <c r="AL120" i="37" a="1"/>
  <c r="AL120" i="37" s="1"/>
  <c r="AH120" i="37" a="1"/>
  <c r="AH120" i="37" s="1"/>
  <c r="AC96" i="37"/>
  <c r="AD81" i="37"/>
  <c r="AM81" i="37" s="1" a="1"/>
  <c r="AM81" i="37" s="1"/>
  <c r="AD135" i="37"/>
  <c r="AH160" i="37" a="1"/>
  <c r="AH160" i="37" s="1"/>
  <c r="AH150" i="37" a="1"/>
  <c r="AH150" i="37" s="1"/>
  <c r="AH138" i="37" a="1"/>
  <c r="AH138" i="37" s="1"/>
  <c r="AH137" i="37" a="1"/>
  <c r="AH137" i="37" s="1"/>
  <c r="AD121" i="37"/>
  <c r="AD118" i="37"/>
  <c r="AM118" i="37" s="1" a="1"/>
  <c r="AM118" i="37" s="1"/>
  <c r="AH149" i="37" a="1"/>
  <c r="AH149" i="37" s="1"/>
  <c r="AD130" i="37"/>
  <c r="AM130" i="37" s="1" a="1"/>
  <c r="AM130" i="37" s="1"/>
  <c r="AH129" i="37" a="1"/>
  <c r="AH129" i="37" s="1"/>
  <c r="AD90" i="37"/>
  <c r="AM90" i="37" s="1" a="1"/>
  <c r="AM90" i="37" s="1"/>
  <c r="AD85" i="37"/>
  <c r="AC60" i="37"/>
  <c r="AD136" i="37"/>
  <c r="AM136" i="37" s="1" a="1"/>
  <c r="AM136" i="37" s="1"/>
  <c r="AH121" i="37" a="1"/>
  <c r="AH121" i="37" s="1"/>
  <c r="AD120" i="37"/>
  <c r="AM120" i="37" s="1" a="1"/>
  <c r="AM120" i="37" s="1"/>
  <c r="AD116" i="37"/>
  <c r="AD102" i="37"/>
  <c r="AD101" i="37"/>
  <c r="AD67" i="37"/>
  <c r="AD161" i="37"/>
  <c r="AD151" i="37"/>
  <c r="AD128" i="37"/>
  <c r="AD100" i="37"/>
  <c r="AC98" i="37"/>
  <c r="AD94" i="37"/>
  <c r="AL133" i="37" a="1"/>
  <c r="AL133" i="37" s="1"/>
  <c r="AL124" i="37" a="1"/>
  <c r="AL124" i="37" s="1"/>
  <c r="AH122" i="37" a="1"/>
  <c r="AH122" i="37" s="1"/>
  <c r="AM101" i="37" a="1"/>
  <c r="AM101" i="37" s="1"/>
  <c r="AD54" i="37"/>
  <c r="AM54" i="37" s="1" a="1"/>
  <c r="AM54" i="37" s="1"/>
  <c r="AC77" i="37"/>
  <c r="AM48" i="37" a="1"/>
  <c r="AM48" i="37" s="1"/>
  <c r="AL88" i="37" a="1"/>
  <c r="AL88" i="37" s="1"/>
  <c r="AH88" i="37" a="1"/>
  <c r="AH88" i="37" s="1"/>
  <c r="AD157" i="37"/>
  <c r="AM157" i="37" s="1" a="1"/>
  <c r="AM157" i="37" s="1"/>
  <c r="AD219" i="37"/>
  <c r="AM219" i="37" s="1" a="1"/>
  <c r="AM219" i="37" s="1"/>
  <c r="AH118" i="37" a="1"/>
  <c r="AH118" i="37" s="1"/>
  <c r="AC97" i="37"/>
  <c r="AD95" i="37"/>
  <c r="AM95" i="37" s="1" a="1"/>
  <c r="AM95" i="37" s="1"/>
  <c r="AD87" i="37"/>
  <c r="AM87" i="37" s="1" a="1"/>
  <c r="AM87" i="37" s="1"/>
  <c r="AD41" i="37"/>
  <c r="AK48" i="37"/>
  <c r="AH95" i="37" a="1"/>
  <c r="AH95" i="37" s="1"/>
  <c r="AL95" i="37" a="1"/>
  <c r="AL95" i="37" s="1"/>
  <c r="AL90" i="37" a="1"/>
  <c r="AL90" i="37" s="1"/>
  <c r="AH90" i="37" a="1"/>
  <c r="AH90" i="37" s="1"/>
  <c r="AC88" i="37"/>
  <c r="AD78" i="37"/>
  <c r="AM78" i="37" s="1" a="1"/>
  <c r="AM78" i="37" s="1"/>
  <c r="AC53" i="37"/>
  <c r="AH133" i="37" a="1"/>
  <c r="AH133" i="37" s="1"/>
  <c r="AH124" i="37" a="1"/>
  <c r="AH124" i="37" s="1"/>
  <c r="AL118" i="37" a="1"/>
  <c r="AL118" i="37" s="1"/>
  <c r="AM116" i="37" a="1"/>
  <c r="AM116" i="37" s="1"/>
  <c r="AH103" i="37" a="1"/>
  <c r="AH103" i="37" s="1"/>
  <c r="AD98" i="37"/>
  <c r="AM98" i="37" s="1" a="1"/>
  <c r="AM98" i="37" s="1"/>
  <c r="AD91" i="37"/>
  <c r="AH98" i="37" a="1"/>
  <c r="AH98" i="37" s="1"/>
  <c r="AD63" i="37"/>
  <c r="AC58" i="37"/>
  <c r="AD88" i="37"/>
  <c r="AM88" i="37" s="1" a="1"/>
  <c r="AM88" i="37" s="1"/>
  <c r="AH83" i="37" a="1"/>
  <c r="AH83" i="37" s="1"/>
  <c r="AD77" i="37"/>
  <c r="AJ51" i="37"/>
  <c r="AH63" i="37" a="1"/>
  <c r="AH63" i="37" s="1"/>
  <c r="AC233" i="37"/>
  <c r="AC80" i="37"/>
  <c r="AD53" i="37"/>
  <c r="AK50" i="37"/>
  <c r="AD49" i="37"/>
  <c r="AD57" i="37"/>
  <c r="AC39" i="37"/>
  <c r="AH54" i="37" a="1"/>
  <c r="AH54" i="37" s="1"/>
  <c r="AJ52" i="37"/>
  <c r="AK51" i="37"/>
  <c r="AD51" i="37"/>
  <c r="AM51" i="37" s="1" a="1"/>
  <c r="AM51" i="37" s="1"/>
  <c r="AD66" i="37"/>
  <c r="AM66" i="37" s="1" a="1"/>
  <c r="AM66" i="37" s="1"/>
  <c r="AD61" i="37"/>
  <c r="AM61" i="37" s="1" a="1"/>
  <c r="AM61" i="37" s="1"/>
  <c r="AD144" i="37"/>
  <c r="AM144" i="37" s="1" a="1"/>
  <c r="AM144" i="37" s="1"/>
  <c r="AD82" i="37"/>
  <c r="AM82" i="37" s="1" a="1"/>
  <c r="AM82" i="37" s="1"/>
  <c r="AH52" i="37" a="1"/>
  <c r="AH52" i="37" s="1"/>
  <c r="AD70" i="37"/>
  <c r="AM70" i="37" s="1" a="1"/>
  <c r="AM70" i="37" s="1"/>
  <c r="AH80" i="37" a="1"/>
  <c r="AH80" i="37" s="1"/>
  <c r="AJ50" i="37"/>
  <c r="AD68" i="37"/>
  <c r="AM68" i="37" s="1" a="1"/>
  <c r="AM68" i="37" s="1"/>
  <c r="AH67" i="37" a="1"/>
  <c r="AH67" i="37" s="1"/>
  <c r="AH96" i="37" a="1"/>
  <c r="AH96" i="37" s="1"/>
  <c r="AH86" i="37" a="1"/>
  <c r="AH86" i="37" s="1"/>
  <c r="AL50" i="37" a="1"/>
  <c r="AL50" i="37" s="1"/>
  <c r="AH50" i="37" a="1"/>
  <c r="AH50" i="37" s="1"/>
  <c r="AL63" i="37" a="1"/>
  <c r="AL63" i="37" s="1"/>
  <c r="AL80" i="37" a="1"/>
  <c r="AL80" i="37" s="1"/>
  <c r="AH78" i="37" a="1"/>
  <c r="AH78" i="37" s="1"/>
  <c r="AL54" i="37" a="1"/>
  <c r="AL54" i="37" s="1"/>
  <c r="AD52" i="37"/>
  <c r="AM52" i="37" s="1" a="1"/>
  <c r="AM52" i="37" s="1"/>
  <c r="AH69" i="37" a="1"/>
  <c r="AH69" i="37" s="1"/>
  <c r="AD69" i="37"/>
  <c r="AL144" i="37" a="1"/>
  <c r="AL144" i="37" s="1"/>
  <c r="AK104" i="37"/>
  <c r="AD104" i="37"/>
  <c r="AK110" i="37"/>
  <c r="AJ104" i="37"/>
  <c r="AK111" i="37"/>
  <c r="AC73" i="37"/>
  <c r="AD47" i="37"/>
  <c r="AM47" i="37" s="1" a="1"/>
  <c r="AM47" i="37" s="1"/>
  <c r="AD43" i="37"/>
  <c r="AM43" i="37" s="1" a="1"/>
  <c r="AM43" i="37" s="1"/>
  <c r="AD40" i="37"/>
  <c r="AM40" i="37" s="1" a="1"/>
  <c r="AM40" i="37" s="1"/>
  <c r="AD72" i="37"/>
  <c r="AJ72" i="37"/>
  <c r="AK72" i="37"/>
  <c r="AH61" i="37" a="1"/>
  <c r="AH61" i="37" s="1"/>
  <c r="AD60" i="37"/>
  <c r="AM60" i="37" s="1" a="1"/>
  <c r="AM60" i="37" s="1"/>
  <c r="AD58" i="37"/>
  <c r="AM58" i="37" s="1" a="1"/>
  <c r="AM58" i="37" s="1"/>
  <c r="AD46" i="37"/>
  <c r="AM46" i="37" s="1" a="1"/>
  <c r="AM46" i="37" s="1"/>
  <c r="AH47" i="37" a="1"/>
  <c r="AH47" i="37" s="1"/>
  <c r="AM44" i="37" a="1"/>
  <c r="AM44" i="37" s="1"/>
  <c r="AD44" i="37"/>
  <c r="AJ106" i="37"/>
  <c r="AK106" i="37"/>
  <c r="AD106" i="37"/>
  <c r="AH60" i="37" a="1"/>
  <c r="AH60" i="37" s="1"/>
  <c r="AD234" i="37"/>
  <c r="AJ108" i="37"/>
  <c r="AK108" i="37"/>
  <c r="AD108" i="37"/>
  <c r="AL46" i="37" a="1"/>
  <c r="AL46" i="37" s="1"/>
  <c r="AH46" i="37" a="1"/>
  <c r="AH46" i="37" s="1"/>
  <c r="AD45" i="37"/>
  <c r="AM45" i="37" s="1" a="1"/>
  <c r="AM45" i="37" s="1"/>
  <c r="AD42" i="37"/>
  <c r="AM42" i="37" s="1" a="1"/>
  <c r="AM42" i="37" s="1"/>
  <c r="AD109" i="37"/>
  <c r="AM109" i="37" s="1" a="1"/>
  <c r="AM109" i="37" s="1"/>
  <c r="AJ109" i="37"/>
  <c r="AK109" i="37"/>
  <c r="AD35" i="37"/>
  <c r="AM35" i="37" s="1" a="1"/>
  <c r="AM35" i="37" s="1"/>
  <c r="AJ35" i="37"/>
  <c r="AK35" i="37"/>
  <c r="AH144" i="37" a="1"/>
  <c r="AH144" i="37" s="1"/>
  <c r="AC104" i="37"/>
  <c r="AH29" i="37" a="1"/>
  <c r="AH29" i="37" s="1"/>
  <c r="AL29" i="37" a="1"/>
  <c r="AL29" i="37" s="1"/>
  <c r="AK74" i="37"/>
  <c r="AH216" i="37" a="1"/>
  <c r="AH216" i="37" s="1"/>
  <c r="AL216" i="37" a="1"/>
  <c r="AL216" i="37" s="1"/>
  <c r="AH58" i="37" a="1"/>
  <c r="AH58" i="37" s="1"/>
  <c r="AM233" i="37" a="1"/>
  <c r="AM233" i="37" s="1"/>
  <c r="AL109" i="37" a="1"/>
  <c r="AL109" i="37" s="1"/>
  <c r="AH108" i="37" a="1"/>
  <c r="AH108" i="37" s="1"/>
  <c r="AD111" i="37"/>
  <c r="AC29" i="37"/>
  <c r="AC28" i="37"/>
  <c r="AD76" i="37"/>
  <c r="AJ76" i="37"/>
  <c r="AK76" i="37"/>
  <c r="AH42" i="37" a="1"/>
  <c r="AH42" i="37" s="1"/>
  <c r="AJ111" i="37"/>
  <c r="AD36" i="37"/>
  <c r="AM36" i="37" s="1" a="1"/>
  <c r="AM36" i="37" s="1"/>
  <c r="AJ36" i="37"/>
  <c r="AH105" i="37" a="1"/>
  <c r="AH105" i="37" s="1"/>
  <c r="AK105" i="37"/>
  <c r="AK107" i="37"/>
  <c r="AH34" i="37" a="1"/>
  <c r="AH34" i="37" s="1"/>
  <c r="AL34" i="37" a="1"/>
  <c r="AL34" i="37" s="1"/>
  <c r="AK233" i="37"/>
  <c r="AH43" i="37" a="1"/>
  <c r="AH43" i="37" s="1"/>
  <c r="AD39" i="37"/>
  <c r="AD110" i="37"/>
  <c r="AM110" i="37" s="1" a="1"/>
  <c r="AM110" i="37" s="1"/>
  <c r="AJ110" i="37"/>
  <c r="AD33" i="37"/>
  <c r="AM33" i="37" s="1" a="1"/>
  <c r="AM33" i="37" s="1"/>
  <c r="AJ33" i="37"/>
  <c r="AK33" i="37"/>
  <c r="AD30" i="37"/>
  <c r="AJ30" i="37"/>
  <c r="AK30" i="37"/>
  <c r="AD26" i="37"/>
  <c r="AJ26" i="37"/>
  <c r="AK26" i="37"/>
  <c r="AD25" i="37"/>
  <c r="AJ25" i="37"/>
  <c r="AK25" i="37"/>
  <c r="AD233" i="37"/>
  <c r="AM39" i="37" a="1"/>
  <c r="AM39" i="37" s="1"/>
  <c r="AL105" i="37" a="1"/>
  <c r="AL105" i="37" s="1"/>
  <c r="AK112" i="37"/>
  <c r="AH109" i="37" a="1"/>
  <c r="AH109" i="37" s="1"/>
  <c r="AD34" i="37"/>
  <c r="AM34" i="37" s="1" a="1"/>
  <c r="AM34" i="37" s="1"/>
  <c r="AJ34" i="37"/>
  <c r="AK34" i="37"/>
  <c r="AK31" i="37"/>
  <c r="AD31" i="37"/>
  <c r="AH111" i="37" a="1"/>
  <c r="AH111" i="37" s="1"/>
  <c r="AH33" i="37" a="1"/>
  <c r="AH33" i="37" s="1"/>
  <c r="AH76" i="37" a="1"/>
  <c r="AH76" i="37" s="1"/>
  <c r="AD74" i="37"/>
  <c r="AM74" i="37" s="1" a="1"/>
  <c r="AM74" i="37" s="1"/>
  <c r="AK29" i="37"/>
  <c r="AH75" i="37" a="1"/>
  <c r="AH75" i="37" s="1"/>
  <c r="AK216" i="37"/>
  <c r="AH106" i="37" a="1"/>
  <c r="AH106" i="37" s="1"/>
  <c r="AH32" i="37" a="1"/>
  <c r="AH32" i="37" s="1"/>
  <c r="AJ29" i="37"/>
  <c r="AK28" i="37"/>
  <c r="AH73" i="37" a="1"/>
  <c r="AH73" i="37" s="1"/>
  <c r="AJ216" i="37"/>
  <c r="AM104" i="37" a="1"/>
  <c r="AM104" i="37" s="1"/>
  <c r="AH31" i="37" a="1"/>
  <c r="AH31" i="37" s="1"/>
  <c r="AD29" i="37"/>
  <c r="AH74" i="37" a="1"/>
  <c r="AH74" i="37" s="1"/>
  <c r="AD216" i="37"/>
  <c r="AM113" i="37" s="1" a="1"/>
  <c r="AM113" i="37" s="1"/>
  <c r="AD28" i="37"/>
  <c r="AK75" i="37"/>
  <c r="AM72" i="37" a="1"/>
  <c r="AM72" i="37" s="1"/>
  <c r="AH35" i="37" a="1"/>
  <c r="AH35" i="37" s="1"/>
  <c r="AK32" i="37"/>
  <c r="AL31" i="37" a="1"/>
  <c r="AL31" i="37" s="1"/>
  <c r="AJ75" i="37"/>
  <c r="AK73" i="37"/>
  <c r="AJ32" i="37"/>
  <c r="AD75" i="37"/>
  <c r="AM75" i="37" s="1" a="1"/>
  <c r="AM75" i="37" s="1"/>
  <c r="AJ73" i="37"/>
  <c r="F69" i="130"/>
  <c r="H69" i="130" s="1"/>
  <c r="I69" i="130" s="1"/>
  <c r="J65" i="130"/>
  <c r="F68" i="130"/>
  <c r="H68" i="130" s="1"/>
  <c r="I68" i="130" s="1"/>
  <c r="V7" i="121"/>
  <c r="V8" i="121"/>
  <c r="V9" i="121"/>
  <c r="V10" i="121"/>
  <c r="V11" i="121"/>
  <c r="V12" i="121"/>
  <c r="V13" i="121"/>
  <c r="V14" i="121"/>
  <c r="V15" i="121"/>
  <c r="W7" i="121"/>
  <c r="W8" i="121"/>
  <c r="W9" i="121"/>
  <c r="W10" i="121"/>
  <c r="W11" i="121"/>
  <c r="W12" i="121"/>
  <c r="W13" i="121"/>
  <c r="W14" i="121"/>
  <c r="W15" i="121"/>
  <c r="X7" i="121"/>
  <c r="X8" i="121"/>
  <c r="X9" i="121"/>
  <c r="X10" i="121"/>
  <c r="X11" i="121"/>
  <c r="X12" i="121"/>
  <c r="X13" i="121"/>
  <c r="X14" i="121"/>
  <c r="X15" i="121"/>
  <c r="T17" i="37"/>
  <c r="T9" i="37"/>
  <c r="Q17" i="37"/>
  <c r="Q9" i="37"/>
  <c r="P17" i="37"/>
  <c r="P9" i="37"/>
  <c r="F23" i="37"/>
  <c r="G23" i="37" s="1"/>
  <c r="Y543" i="131" l="1"/>
  <c r="AL543" i="131" s="1"/>
  <c r="AJ542" i="131"/>
  <c r="AK542" i="131" s="1"/>
  <c r="AI295" i="37" a="1"/>
  <c r="AI295" i="37" s="1"/>
  <c r="AI114" i="37" a="1"/>
  <c r="AI114" i="37" s="1"/>
  <c r="AI213" i="37" a="1"/>
  <c r="AI213" i="37" s="1"/>
  <c r="AI289" i="37" a="1"/>
  <c r="AI289" i="37" s="1"/>
  <c r="AG127" i="37"/>
  <c r="AG135" i="37"/>
  <c r="AM135" i="37" s="1" a="1"/>
  <c r="AM135" i="37" s="1"/>
  <c r="AG26" i="37"/>
  <c r="AG30" i="37"/>
  <c r="AG91" i="37"/>
  <c r="AM91" i="37" s="1" a="1"/>
  <c r="AM91" i="37" s="1"/>
  <c r="AG302" i="37"/>
  <c r="AM302" i="37" s="1" a="1"/>
  <c r="AM302" i="37" s="1"/>
  <c r="AG173" i="37"/>
  <c r="AG148" i="37"/>
  <c r="AM148" i="37" s="1" a="1"/>
  <c r="AM148" i="37" s="1"/>
  <c r="AG168" i="37"/>
  <c r="AM168" i="37" s="1" a="1"/>
  <c r="AM168" i="37" s="1"/>
  <c r="AG234" i="37"/>
  <c r="AG174" i="37"/>
  <c r="AG57" i="37"/>
  <c r="AG159" i="37"/>
  <c r="AM159" i="37" s="1" a="1"/>
  <c r="AM159" i="37" s="1"/>
  <c r="AG208" i="37"/>
  <c r="AM208" i="37" s="1" a="1"/>
  <c r="AM208" i="37" s="1"/>
  <c r="AG196" i="37"/>
  <c r="AM175" i="37" a="1"/>
  <c r="AM175" i="37" s="1"/>
  <c r="AM300" i="37" a="1"/>
  <c r="AM300" i="37" s="1"/>
  <c r="AI115" i="37" a="1"/>
  <c r="AI115" i="37" s="1"/>
  <c r="AI113" i="37" a="1"/>
  <c r="AI113" i="37" s="1"/>
  <c r="AI298" i="37" a="1"/>
  <c r="AI298" i="37" s="1"/>
  <c r="AI72" i="37" a="1"/>
  <c r="AI72" i="37" s="1"/>
  <c r="AI290" i="37" a="1"/>
  <c r="AI290" i="37" s="1"/>
  <c r="AI111" i="37" a="1"/>
  <c r="AI111" i="37" s="1"/>
  <c r="AH28" i="37" a="1"/>
  <c r="AH28" i="37" s="1"/>
  <c r="AI73" i="37" a="1"/>
  <c r="AI73" i="37" s="1"/>
  <c r="AH48" i="37" a="1"/>
  <c r="AH48" i="37" s="1"/>
  <c r="AI37" i="37" a="1"/>
  <c r="AI37" i="37" s="1"/>
  <c r="AI216" i="37" a="1"/>
  <c r="AI216" i="37" s="1"/>
  <c r="AI106" i="37" a="1"/>
  <c r="AI106" i="37" s="1"/>
  <c r="AI108" i="37" a="1"/>
  <c r="AI108" i="37" s="1"/>
  <c r="AM111" i="37" a="1"/>
  <c r="AM111" i="37" s="1"/>
  <c r="AI35" i="37" a="1"/>
  <c r="AI35" i="37" s="1"/>
  <c r="AI112" i="37" a="1"/>
  <c r="AI112" i="37" s="1"/>
  <c r="AI292" i="37" a="1"/>
  <c r="AI292" i="37" s="1"/>
  <c r="AI29" i="37" a="1"/>
  <c r="AI29" i="37" s="1"/>
  <c r="AI26" i="37" a="1"/>
  <c r="AI26" i="37" s="1"/>
  <c r="AM31" i="37" a="1"/>
  <c r="AM31" i="37" s="1"/>
  <c r="AM152" i="37" a="1"/>
  <c r="AM152" i="37" s="1"/>
  <c r="AM161" i="37" a="1"/>
  <c r="AM161" i="37" s="1"/>
  <c r="AM76" i="37" a="1"/>
  <c r="AM76" i="37" s="1"/>
  <c r="AH25" i="37" a="1"/>
  <c r="AH25" i="37" s="1"/>
  <c r="AM206" i="37" a="1"/>
  <c r="AM206" i="37" s="1"/>
  <c r="AM106" i="37" a="1"/>
  <c r="AM106" i="37" s="1"/>
  <c r="AI109" i="37" a="1"/>
  <c r="AI109" i="37" s="1"/>
  <c r="AM100" i="37" a="1"/>
  <c r="AM100" i="37" s="1"/>
  <c r="AM139" i="37" a="1"/>
  <c r="AM139" i="37" s="1"/>
  <c r="AM154" i="37" a="1"/>
  <c r="AM154" i="37" s="1"/>
  <c r="AM184" i="37" a="1"/>
  <c r="AM184" i="37" s="1"/>
  <c r="AI27" i="37" a="1"/>
  <c r="AI27" i="37" s="1"/>
  <c r="AI291" i="37" a="1"/>
  <c r="AI291" i="37" s="1"/>
  <c r="AM128" i="37" a="1"/>
  <c r="AM128" i="37" s="1"/>
  <c r="AM102" i="37" a="1"/>
  <c r="AM102" i="37" s="1"/>
  <c r="AI75" i="37" a="1"/>
  <c r="AI75" i="37" s="1"/>
  <c r="AI32" i="37" a="1"/>
  <c r="AI32" i="37" s="1"/>
  <c r="AI34" i="37" a="1"/>
  <c r="AI34" i="37" s="1"/>
  <c r="AI36" i="37" a="1"/>
  <c r="AI36" i="37" s="1"/>
  <c r="AM216" i="37" a="1"/>
  <c r="AM216" i="37" s="1"/>
  <c r="AI104" i="37" a="1"/>
  <c r="AI104" i="37" s="1"/>
  <c r="AI48" i="37" a="1"/>
  <c r="AI48" i="37" s="1"/>
  <c r="AM123" i="37" a="1"/>
  <c r="AM123" i="37" s="1"/>
  <c r="AM133" i="37" a="1"/>
  <c r="AM133" i="37" s="1"/>
  <c r="AM186" i="37" a="1"/>
  <c r="AM186" i="37" s="1"/>
  <c r="AH72" i="37" a="1"/>
  <c r="AH72" i="37" s="1"/>
  <c r="AI76" i="37" a="1"/>
  <c r="AI76" i="37" s="1"/>
  <c r="AH104" i="37" a="1"/>
  <c r="AH104" i="37" s="1"/>
  <c r="AI107" i="37" a="1"/>
  <c r="AI107" i="37" s="1"/>
  <c r="AI28" i="37" a="1"/>
  <c r="AI28" i="37" s="1"/>
  <c r="AM67" i="37" a="1"/>
  <c r="AM67" i="37" s="1"/>
  <c r="AM63" i="37" a="1"/>
  <c r="AM63" i="37" s="1"/>
  <c r="AM121" i="37" a="1"/>
  <c r="AM121" i="37" s="1"/>
  <c r="AM131" i="37" a="1"/>
  <c r="AM131" i="37" s="1"/>
  <c r="AM153" i="37" a="1"/>
  <c r="AM153" i="37" s="1"/>
  <c r="AM182" i="37" a="1"/>
  <c r="AM182" i="37" s="1"/>
  <c r="AM228" i="37" a="1"/>
  <c r="AM228" i="37" s="1"/>
  <c r="AM29" i="37" a="1"/>
  <c r="AM29" i="37" s="1"/>
  <c r="AI33" i="37" a="1"/>
  <c r="AI33" i="37" s="1"/>
  <c r="AM108" i="37" a="1"/>
  <c r="AM108" i="37" s="1"/>
  <c r="AM179" i="37" a="1"/>
  <c r="AM179" i="37" s="1"/>
  <c r="AI293" i="37" a="1"/>
  <c r="AI293" i="37" s="1"/>
  <c r="AI105" i="37" a="1"/>
  <c r="AI105" i="37" s="1"/>
  <c r="AI74" i="37" a="1"/>
  <c r="AI74" i="37" s="1"/>
  <c r="AM122" i="37" a="1"/>
  <c r="AM122" i="37" s="1"/>
  <c r="AI110" i="37" a="1"/>
  <c r="AI110" i="37" s="1"/>
  <c r="AM69" i="37" a="1"/>
  <c r="AM69" i="37" s="1"/>
  <c r="AM150" i="37" a="1"/>
  <c r="AM150" i="37" s="1"/>
  <c r="AM171" i="37" a="1"/>
  <c r="AM171" i="37" s="1"/>
  <c r="AM200" i="37" a="1"/>
  <c r="AM200" i="37" s="1"/>
  <c r="AI52" i="37" a="1"/>
  <c r="AI52" i="37" s="1"/>
  <c r="AI49" i="37" a="1"/>
  <c r="AI49" i="37" s="1"/>
  <c r="AM49" i="37" a="1"/>
  <c r="AM49" i="37" s="1"/>
  <c r="AI50" i="37" a="1"/>
  <c r="AI50" i="37" s="1"/>
  <c r="AM151" i="37" a="1"/>
  <c r="AM151" i="37" s="1"/>
  <c r="AI233" i="37" a="1"/>
  <c r="AI233" i="37" s="1"/>
  <c r="AM183" i="37" a="1"/>
  <c r="AM183" i="37" s="1"/>
  <c r="AI39" i="37" a="1"/>
  <c r="AI39" i="37" s="1"/>
  <c r="AI51" i="37" a="1"/>
  <c r="AI51" i="37" s="1"/>
  <c r="AI31" i="37" a="1"/>
  <c r="AI31" i="37" s="1"/>
  <c r="H9" i="37"/>
  <c r="H17" i="37"/>
  <c r="J99" i="130"/>
  <c r="K106" i="130" s="1"/>
  <c r="F21" i="37" s="1"/>
  <c r="G21" i="37" s="1"/>
  <c r="Y544" i="131" l="1"/>
  <c r="AL544" i="131" s="1"/>
  <c r="AJ544" i="131" s="1"/>
  <c r="AK544" i="131" s="1"/>
  <c r="AJ543" i="131"/>
  <c r="AK543" i="131" s="1"/>
  <c r="AL57" i="37" a="1"/>
  <c r="AL57" i="37" s="1"/>
  <c r="AH57" i="37" a="1"/>
  <c r="AH57" i="37" s="1"/>
  <c r="AL30" i="37" a="1"/>
  <c r="AL30" i="37" s="1"/>
  <c r="AH30" i="37" a="1"/>
  <c r="AH30" i="37" s="1"/>
  <c r="AL174" i="37" a="1"/>
  <c r="AL174" i="37" s="1"/>
  <c r="AH174" i="37" a="1"/>
  <c r="AH174" i="37" s="1"/>
  <c r="AL26" i="37" a="1"/>
  <c r="AL26" i="37" s="1"/>
  <c r="AH26" i="37" a="1"/>
  <c r="AH26" i="37" s="1"/>
  <c r="AH234" i="37" a="1"/>
  <c r="AH234" i="37" s="1"/>
  <c r="AL234" i="37" a="1"/>
  <c r="AL234" i="37" s="1"/>
  <c r="AL135" i="37" a="1"/>
  <c r="AL135" i="37" s="1"/>
  <c r="AH135" i="37" a="1"/>
  <c r="AH135" i="37" s="1"/>
  <c r="AL168" i="37" a="1"/>
  <c r="AL168" i="37" s="1"/>
  <c r="AH168" i="37" a="1"/>
  <c r="AH168" i="37" s="1"/>
  <c r="AL127" i="37" a="1"/>
  <c r="AL127" i="37" s="1"/>
  <c r="AH127" i="37" a="1"/>
  <c r="AH127" i="37" s="1"/>
  <c r="AM234" i="37" a="1"/>
  <c r="AM234" i="37" s="1"/>
  <c r="AL148" i="37" a="1"/>
  <c r="AL148" i="37" s="1"/>
  <c r="AH148" i="37" a="1"/>
  <c r="AH148" i="37" s="1"/>
  <c r="AM127" i="37" a="1"/>
  <c r="AM127" i="37" s="1"/>
  <c r="AM30" i="37" a="1"/>
  <c r="AM30" i="37" s="1"/>
  <c r="AL196" i="37" a="1"/>
  <c r="AL196" i="37" s="1"/>
  <c r="AH196" i="37" a="1"/>
  <c r="AH196" i="37" s="1"/>
  <c r="AH173" i="37" a="1"/>
  <c r="AH173" i="37" s="1"/>
  <c r="AL173" i="37" a="1"/>
  <c r="AL173" i="37" s="1"/>
  <c r="AM196" i="37" a="1"/>
  <c r="AM196" i="37" s="1"/>
  <c r="AM174" i="37" a="1"/>
  <c r="AM174" i="37" s="1"/>
  <c r="AH208" i="37" a="1"/>
  <c r="AH208" i="37" s="1"/>
  <c r="AL208" i="37" a="1"/>
  <c r="AL208" i="37" s="1"/>
  <c r="AL302" i="37" a="1"/>
  <c r="AL302" i="37" s="1"/>
  <c r="AH302" i="37" a="1"/>
  <c r="AH302" i="37" s="1"/>
  <c r="AM57" i="37" a="1"/>
  <c r="AM57" i="37" s="1"/>
  <c r="AL159" i="37" a="1"/>
  <c r="AL159" i="37" s="1"/>
  <c r="AH159" i="37" a="1"/>
  <c r="AH159" i="37" s="1"/>
  <c r="AL91" i="37" a="1"/>
  <c r="AL91" i="37" s="1"/>
  <c r="AH91" i="37" a="1"/>
  <c r="AH91" i="37" s="1"/>
  <c r="AM26" i="37" a="1"/>
  <c r="AM26" i="37" s="1"/>
  <c r="AM173" i="37" a="1"/>
  <c r="AM173" i="37" s="1"/>
  <c r="AI25" i="37" a="1"/>
  <c r="AI25" i="37" s="1"/>
  <c r="E12" i="16"/>
  <c r="F12" i="16" s="1"/>
  <c r="E11" i="16"/>
  <c r="F11" i="16" s="1"/>
  <c r="K1" i="16"/>
  <c r="E10" i="16"/>
  <c r="F10" i="16" s="1"/>
  <c r="D19" i="1" l="1"/>
  <c r="J181" i="98"/>
  <c r="J180" i="98"/>
  <c r="J179" i="98"/>
  <c r="J178" i="98"/>
  <c r="AF9" i="37" l="1"/>
  <c r="AF10" i="37"/>
  <c r="AF11" i="37"/>
  <c r="AF12" i="37"/>
  <c r="AF13" i="37"/>
  <c r="AF14" i="37"/>
  <c r="AF15" i="37"/>
  <c r="AF16" i="37"/>
  <c r="AF17" i="37"/>
  <c r="AF18" i="37"/>
  <c r="AF19" i="37"/>
  <c r="AF20" i="37"/>
  <c r="AF22" i="37"/>
  <c r="AF23" i="37"/>
  <c r="J177" i="98" l="1"/>
  <c r="J176" i="98"/>
  <c r="J175" i="98"/>
  <c r="J174" i="98" l="1"/>
  <c r="J173" i="98"/>
  <c r="J172" i="98"/>
  <c r="J171" i="98"/>
  <c r="J170" i="98"/>
  <c r="J169" i="98"/>
  <c r="J168" i="98"/>
  <c r="J167" i="98"/>
  <c r="J166" i="98"/>
  <c r="J165" i="98"/>
  <c r="J164" i="98"/>
  <c r="J163" i="98"/>
  <c r="J162" i="98"/>
  <c r="J161" i="98"/>
  <c r="J160" i="98"/>
  <c r="J159" i="98"/>
  <c r="J158" i="98"/>
  <c r="J157" i="98"/>
  <c r="J156" i="98"/>
  <c r="J155" i="98"/>
  <c r="J154" i="98"/>
  <c r="J153" i="98"/>
  <c r="J152" i="98"/>
  <c r="J151" i="98"/>
  <c r="J150" i="98"/>
  <c r="J149" i="98"/>
  <c r="J148" i="98"/>
  <c r="B3" i="128" l="1" a="1"/>
  <c r="B3" i="128" s="1"/>
  <c r="G10" i="74" l="1"/>
  <c r="I10" i="74" s="1"/>
  <c r="J10" i="74" s="1"/>
  <c r="I9" i="74"/>
  <c r="J9" i="74" s="1"/>
  <c r="I8" i="74"/>
  <c r="J8" i="74" s="1"/>
  <c r="B6" i="1" l="1"/>
  <c r="C44" i="1" s="1"/>
  <c r="E15" i="1"/>
  <c r="J5" i="98" l="1"/>
  <c r="J3" i="98" l="1"/>
  <c r="J4" i="98"/>
  <c r="H10" i="4"/>
  <c r="H9" i="4"/>
  <c r="I59" i="74"/>
  <c r="J59" i="74" s="1"/>
  <c r="J6" i="98" l="1"/>
  <c r="F7" i="58"/>
  <c r="F6" i="58"/>
  <c r="J7" i="98" l="1"/>
  <c r="F9" i="58"/>
  <c r="J2" i="58"/>
  <c r="M1" i="74"/>
  <c r="AD25" i="57" l="1"/>
  <c r="J8" i="98"/>
  <c r="E8" i="22"/>
  <c r="F8" i="22" s="1"/>
  <c r="D20" i="20"/>
  <c r="F20" i="20" s="1"/>
  <c r="G20" i="20" s="1"/>
  <c r="D17" i="20"/>
  <c r="D16" i="20"/>
  <c r="D15" i="20"/>
  <c r="D14" i="20"/>
  <c r="D13" i="20"/>
  <c r="D12" i="20"/>
  <c r="D11" i="20"/>
  <c r="D10" i="20"/>
  <c r="D9" i="20"/>
  <c r="D8" i="20"/>
  <c r="D7" i="20"/>
  <c r="D25" i="20" l="1"/>
  <c r="F25" i="20" s="1"/>
  <c r="G25" i="20" s="1"/>
  <c r="J9" i="98"/>
  <c r="H8" i="4"/>
  <c r="H7" i="4"/>
  <c r="I7" i="4" s="1"/>
  <c r="D11" i="4"/>
  <c r="G6" i="4"/>
  <c r="J10" i="98" l="1"/>
  <c r="Q25" i="4"/>
  <c r="Q24" i="4"/>
  <c r="Q23" i="4"/>
  <c r="Q22" i="4"/>
  <c r="Q21" i="4"/>
  <c r="Q20" i="4"/>
  <c r="Q19" i="4"/>
  <c r="Q18" i="4"/>
  <c r="Q17" i="4"/>
  <c r="Q15" i="4"/>
  <c r="Q14" i="4"/>
  <c r="Q13" i="4"/>
  <c r="J11" i="98" l="1"/>
  <c r="R22" i="4"/>
  <c r="I6" i="37"/>
  <c r="F1" i="37"/>
  <c r="J12" i="98" l="1"/>
  <c r="O6" i="37"/>
  <c r="A1" i="121"/>
  <c r="AJ1" i="116"/>
  <c r="J13" i="98" l="1"/>
  <c r="F5" i="37"/>
  <c r="J14" i="98" l="1"/>
  <c r="J1" i="13"/>
  <c r="D5" i="3"/>
  <c r="F5" i="3" s="1"/>
  <c r="M11" i="3"/>
  <c r="M10" i="3"/>
  <c r="M9" i="3"/>
  <c r="M8" i="3"/>
  <c r="M7" i="3"/>
  <c r="M6" i="3"/>
  <c r="F5" i="20"/>
  <c r="G5" i="20" s="1"/>
  <c r="G32" i="74"/>
  <c r="I32" i="74" s="1"/>
  <c r="J32" i="74" s="1"/>
  <c r="G30" i="74"/>
  <c r="I30" i="74" s="1"/>
  <c r="J30" i="74" s="1"/>
  <c r="G29" i="74"/>
  <c r="I29" i="74" s="1"/>
  <c r="J29" i="74" s="1"/>
  <c r="G28" i="74"/>
  <c r="I28" i="74" s="1"/>
  <c r="J28" i="74" s="1"/>
  <c r="G23" i="74"/>
  <c r="I23" i="74" s="1"/>
  <c r="J23" i="74" s="1"/>
  <c r="G22" i="74"/>
  <c r="I22" i="74" s="1"/>
  <c r="J22" i="74" s="1"/>
  <c r="G21" i="74"/>
  <c r="I21" i="74" s="1"/>
  <c r="J21" i="74" s="1"/>
  <c r="G20" i="74"/>
  <c r="I20" i="74" s="1"/>
  <c r="J20" i="74" s="1"/>
  <c r="G17" i="74"/>
  <c r="I17" i="74" s="1"/>
  <c r="J17" i="74" s="1"/>
  <c r="G16" i="74"/>
  <c r="G15" i="74"/>
  <c r="I15" i="74" s="1"/>
  <c r="J15" i="74" s="1"/>
  <c r="G14" i="74"/>
  <c r="I14" i="74" s="1"/>
  <c r="J14" i="74" s="1"/>
  <c r="G46" i="74"/>
  <c r="I46" i="74" s="1"/>
  <c r="J46" i="74" s="1"/>
  <c r="G45" i="74"/>
  <c r="I45" i="74" s="1"/>
  <c r="J45" i="74" s="1"/>
  <c r="G39" i="74"/>
  <c r="I39" i="74" s="1"/>
  <c r="J39" i="74" s="1"/>
  <c r="G44" i="74"/>
  <c r="I44" i="74" s="1"/>
  <c r="J44" i="74" s="1"/>
  <c r="G38" i="74"/>
  <c r="I38" i="74" s="1"/>
  <c r="J38" i="74" s="1"/>
  <c r="G37" i="74"/>
  <c r="I37" i="74" s="1"/>
  <c r="J37" i="74" s="1"/>
  <c r="I34" i="74"/>
  <c r="J34" i="74" s="1"/>
  <c r="G31" i="74"/>
  <c r="I31" i="74" s="1"/>
  <c r="J31" i="74" s="1"/>
  <c r="E3" i="74"/>
  <c r="G7" i="74" s="1"/>
  <c r="I7" i="74" s="1"/>
  <c r="J7" i="74" s="1"/>
  <c r="I103" i="74"/>
  <c r="I102" i="74"/>
  <c r="I101" i="74"/>
  <c r="I86" i="74"/>
  <c r="J86" i="74" s="1"/>
  <c r="I85" i="74"/>
  <c r="J85" i="74" s="1"/>
  <c r="H84" i="74"/>
  <c r="I84" i="74" s="1"/>
  <c r="J84" i="74" s="1"/>
  <c r="I83" i="74"/>
  <c r="J83" i="74" s="1"/>
  <c r="I82" i="74"/>
  <c r="J82" i="74" s="1"/>
  <c r="H81" i="74"/>
  <c r="I81" i="74" s="1"/>
  <c r="J81" i="74" s="1"/>
  <c r="I80" i="74"/>
  <c r="J80" i="74" s="1"/>
  <c r="H79" i="74"/>
  <c r="I79" i="74" s="1"/>
  <c r="J79" i="74" s="1"/>
  <c r="I73" i="74"/>
  <c r="I72" i="74"/>
  <c r="I71" i="74"/>
  <c r="J71" i="74" s="1"/>
  <c r="I70" i="74"/>
  <c r="J70" i="74" s="1"/>
  <c r="K104" i="74"/>
  <c r="EA8" i="37"/>
  <c r="DZ8" i="37"/>
  <c r="DY8" i="37"/>
  <c r="DX8" i="37"/>
  <c r="DW8" i="37"/>
  <c r="DV8" i="37"/>
  <c r="DU8" i="37"/>
  <c r="F4" i="37"/>
  <c r="F3" i="37"/>
  <c r="N13" i="3" l="1"/>
  <c r="I16" i="74"/>
  <c r="J16" i="74" s="1"/>
  <c r="G69" i="74"/>
  <c r="I69" i="74" s="1"/>
  <c r="J69" i="74" s="1"/>
  <c r="J15" i="98"/>
  <c r="G33" i="74"/>
  <c r="I33" i="74" s="1"/>
  <c r="J33" i="74" s="1"/>
  <c r="E101" i="74"/>
  <c r="G5" i="74"/>
  <c r="M7" i="74"/>
  <c r="G6" i="74"/>
  <c r="G68" i="74" s="1"/>
  <c r="I68" i="74" s="1"/>
  <c r="J68" i="74" s="1"/>
  <c r="E103" i="74"/>
  <c r="K98" i="74"/>
  <c r="I5" i="74" l="1"/>
  <c r="J5" i="74" s="1"/>
  <c r="G67" i="74"/>
  <c r="I67" i="74" s="1"/>
  <c r="J67" i="74" s="1"/>
  <c r="I6" i="74"/>
  <c r="J6" i="74" s="1"/>
  <c r="G49" i="74"/>
  <c r="I49" i="74" s="1"/>
  <c r="J49" i="74" s="1"/>
  <c r="G50" i="74"/>
  <c r="I50" i="74" s="1"/>
  <c r="J50" i="74" s="1"/>
  <c r="J16" i="98"/>
  <c r="K64" i="74" l="1"/>
  <c r="L105" i="74" s="1"/>
  <c r="F22" i="37" s="1"/>
  <c r="G22" i="37" s="1"/>
  <c r="J17" i="98"/>
  <c r="J19" i="119" l="1"/>
  <c r="AJ221" i="37"/>
  <c r="AJ300" i="37"/>
  <c r="J50" i="121"/>
  <c r="Z10" i="37"/>
  <c r="J26" i="119"/>
  <c r="J34" i="119"/>
  <c r="J9" i="119"/>
  <c r="J11" i="121"/>
  <c r="J48" i="121"/>
  <c r="J40" i="121"/>
  <c r="J32" i="121"/>
  <c r="Z16" i="37"/>
  <c r="J22" i="119"/>
  <c r="J7" i="119"/>
  <c r="J36" i="119"/>
  <c r="J25" i="121"/>
  <c r="J17" i="121"/>
  <c r="J9" i="121"/>
  <c r="J46" i="121"/>
  <c r="J38" i="121"/>
  <c r="J30" i="121"/>
  <c r="J37" i="119"/>
  <c r="J10" i="119"/>
  <c r="J15" i="119"/>
  <c r="J18" i="121"/>
  <c r="J10" i="121"/>
  <c r="J47" i="121"/>
  <c r="Z11" i="37"/>
  <c r="J25" i="119"/>
  <c r="J24" i="119"/>
  <c r="J16" i="119"/>
  <c r="J12" i="121"/>
  <c r="J41" i="121"/>
  <c r="Z15" i="37"/>
  <c r="J35" i="119"/>
  <c r="J14" i="119"/>
  <c r="J13" i="119"/>
  <c r="J5" i="119"/>
  <c r="J24" i="121"/>
  <c r="J16" i="121"/>
  <c r="J8" i="121"/>
  <c r="J45" i="121"/>
  <c r="J37" i="121"/>
  <c r="J29" i="121"/>
  <c r="Z14" i="37"/>
  <c r="J12" i="119"/>
  <c r="J6" i="119"/>
  <c r="J33" i="119"/>
  <c r="J18" i="119"/>
  <c r="J23" i="121"/>
  <c r="J15" i="121"/>
  <c r="J7" i="121"/>
  <c r="J44" i="121"/>
  <c r="J36" i="121"/>
  <c r="J28" i="121"/>
  <c r="Z13" i="37"/>
  <c r="J29" i="119"/>
  <c r="J28" i="119"/>
  <c r="J27" i="119"/>
  <c r="J22" i="121"/>
  <c r="J6" i="121"/>
  <c r="J43" i="121"/>
  <c r="J35" i="121"/>
  <c r="J27" i="121"/>
  <c r="Z12" i="37"/>
  <c r="J20" i="119"/>
  <c r="J32" i="119"/>
  <c r="J8" i="119"/>
  <c r="J11" i="119"/>
  <c r="J21" i="121"/>
  <c r="J13" i="121"/>
  <c r="J5" i="121"/>
  <c r="J42" i="121"/>
  <c r="J34" i="121"/>
  <c r="J26" i="121"/>
  <c r="J20" i="121"/>
  <c r="J49" i="121"/>
  <c r="J33" i="121"/>
  <c r="AJ169" i="37"/>
  <c r="AJ91" i="37"/>
  <c r="AJ121" i="37"/>
  <c r="AJ198" i="37"/>
  <c r="AJ95" i="37"/>
  <c r="AK192" i="37"/>
  <c r="AJ124" i="37"/>
  <c r="AJ79" i="37"/>
  <c r="AK168" i="37"/>
  <c r="AJ77" i="37"/>
  <c r="AJ143" i="37"/>
  <c r="AJ174" i="37"/>
  <c r="AK193" i="37"/>
  <c r="AK205" i="37"/>
  <c r="AK207" i="37"/>
  <c r="AJ192" i="37"/>
  <c r="AJ296" i="37"/>
  <c r="AJ185" i="37"/>
  <c r="AJ181" i="37"/>
  <c r="AJ53" i="37"/>
  <c r="AJ58" i="37"/>
  <c r="AJ130" i="37"/>
  <c r="AJ98" i="37"/>
  <c r="AK176" i="37"/>
  <c r="AJ188" i="37"/>
  <c r="AJ189" i="37"/>
  <c r="AJ56" i="37"/>
  <c r="AJ134" i="37"/>
  <c r="AK69" i="37"/>
  <c r="AJ229" i="37"/>
  <c r="AJ159" i="37"/>
  <c r="AK56" i="37"/>
  <c r="AK120" i="37"/>
  <c r="AJ193" i="37"/>
  <c r="AK296" i="37"/>
  <c r="AK185" i="37"/>
  <c r="AK146" i="37"/>
  <c r="AJ170" i="37"/>
  <c r="AJ156" i="37"/>
  <c r="AJ194" i="37"/>
  <c r="AK169" i="37"/>
  <c r="AK175" i="37"/>
  <c r="AK177" i="37"/>
  <c r="AJ168" i="37"/>
  <c r="AJ63" i="37"/>
  <c r="AJ88" i="37"/>
  <c r="AK133" i="37"/>
  <c r="AJ179" i="37"/>
  <c r="AJ176" i="37"/>
  <c r="AJ177" i="37"/>
  <c r="AK124" i="37"/>
  <c r="AK136" i="37"/>
  <c r="AK229" i="37"/>
  <c r="AK167" i="37"/>
  <c r="AK83" i="37"/>
  <c r="AJ195" i="37"/>
  <c r="AJ201" i="37"/>
  <c r="AK198" i="37"/>
  <c r="AK170" i="37"/>
  <c r="AJ172" i="37"/>
  <c r="AK158" i="37"/>
  <c r="AK174" i="37"/>
  <c r="AJ186" i="37"/>
  <c r="AJ175" i="37"/>
  <c r="AJ166" i="37"/>
  <c r="AJ160" i="37"/>
  <c r="AK137" i="37"/>
  <c r="AK123" i="37"/>
  <c r="AK149" i="37"/>
  <c r="AJ139" i="37"/>
  <c r="AK135" i="37"/>
  <c r="AK121" i="37"/>
  <c r="AK85" i="37"/>
  <c r="AJ102" i="37"/>
  <c r="AK117" i="37"/>
  <c r="AK54" i="37"/>
  <c r="AJ97" i="37"/>
  <c r="AK77" i="37"/>
  <c r="AK47" i="37"/>
  <c r="H14" i="37"/>
  <c r="Q15" i="37"/>
  <c r="P22" i="37"/>
  <c r="P13" i="37"/>
  <c r="AK172" i="37"/>
  <c r="AK156" i="37"/>
  <c r="AK186" i="37"/>
  <c r="AK139" i="37"/>
  <c r="AK118" i="37"/>
  <c r="AK125" i="37"/>
  <c r="AK87" i="37"/>
  <c r="AK127" i="37"/>
  <c r="AK102" i="37"/>
  <c r="AJ94" i="37"/>
  <c r="AJ41" i="37"/>
  <c r="AJ196" i="37"/>
  <c r="AJ161" i="37"/>
  <c r="AJ80" i="37"/>
  <c r="AK70" i="37"/>
  <c r="AK179" i="37"/>
  <c r="AK95" i="37"/>
  <c r="AK46" i="37"/>
  <c r="AK122" i="37"/>
  <c r="AJ55" i="37"/>
  <c r="AJ212" i="37"/>
  <c r="AK195" i="37"/>
  <c r="AK202" i="37"/>
  <c r="AJ184" i="37"/>
  <c r="AJ148" i="37"/>
  <c r="AK166" i="37"/>
  <c r="AJ131" i="37"/>
  <c r="AK147" i="37"/>
  <c r="AJ141" i="37"/>
  <c r="AJ122" i="37"/>
  <c r="AJ61" i="37"/>
  <c r="AJ70" i="37"/>
  <c r="AJ42" i="37"/>
  <c r="AK221" i="37"/>
  <c r="AJ123" i="37"/>
  <c r="AJ211" i="37"/>
  <c r="AJ151" i="37"/>
  <c r="AK129" i="37"/>
  <c r="AK80" i="37"/>
  <c r="AK220" i="37"/>
  <c r="AK60" i="37"/>
  <c r="AK199" i="37"/>
  <c r="AK148" i="37"/>
  <c r="AJ126" i="37"/>
  <c r="AK204" i="37"/>
  <c r="AK212" i="37"/>
  <c r="AJ294" i="37"/>
  <c r="AJ215" i="37"/>
  <c r="AJ202" i="37"/>
  <c r="AJ208" i="37"/>
  <c r="AK191" i="37"/>
  <c r="AK214" i="37"/>
  <c r="AK184" i="37"/>
  <c r="AJ154" i="37"/>
  <c r="AJ200" i="37"/>
  <c r="AJ173" i="37"/>
  <c r="AJ152" i="37"/>
  <c r="AK131" i="37"/>
  <c r="AK141" i="37"/>
  <c r="AK116" i="37"/>
  <c r="AK103" i="37"/>
  <c r="AJ127" i="37"/>
  <c r="AJ101" i="37"/>
  <c r="AJ128" i="37"/>
  <c r="AK88" i="37"/>
  <c r="AJ157" i="37"/>
  <c r="AK96" i="37"/>
  <c r="AK41" i="37"/>
  <c r="AK91" i="37"/>
  <c r="AK53" i="37"/>
  <c r="AJ135" i="37"/>
  <c r="AJ60" i="37"/>
  <c r="AJ203" i="37"/>
  <c r="AJ158" i="37"/>
  <c r="AJ43" i="37"/>
  <c r="AK208" i="37"/>
  <c r="AJ83" i="37"/>
  <c r="AK143" i="37"/>
  <c r="AK150" i="37"/>
  <c r="AK206" i="37"/>
  <c r="AJ204" i="37"/>
  <c r="AJ218" i="37"/>
  <c r="AJ187" i="37"/>
  <c r="AK302" i="37"/>
  <c r="AK294" i="37"/>
  <c r="AK183" i="37"/>
  <c r="AK154" i="37"/>
  <c r="AJ210" i="37"/>
  <c r="AJ228" i="37"/>
  <c r="AK200" i="37"/>
  <c r="AJ182" i="37"/>
  <c r="AK132" i="37"/>
  <c r="AJ183" i="37"/>
  <c r="AK173" i="37"/>
  <c r="AJ165" i="37"/>
  <c r="AK152" i="37"/>
  <c r="AJ142" i="37"/>
  <c r="AK160" i="37"/>
  <c r="AJ129" i="37"/>
  <c r="AJ118" i="37"/>
  <c r="AK161" i="37"/>
  <c r="AK128" i="37"/>
  <c r="AK97" i="37"/>
  <c r="AJ54" i="37"/>
  <c r="AK42" i="37"/>
  <c r="AJ68" i="37"/>
  <c r="AK40" i="37"/>
  <c r="AJ59" i="37"/>
  <c r="AK44" i="37"/>
  <c r="AJ46" i="37"/>
  <c r="H13" i="37"/>
  <c r="T23" i="37"/>
  <c r="M23" i="37" s="1"/>
  <c r="T14" i="37"/>
  <c r="Q20" i="37"/>
  <c r="Q12" i="37"/>
  <c r="P18" i="37"/>
  <c r="P10" i="37"/>
  <c r="AK157" i="37"/>
  <c r="AJ89" i="37"/>
  <c r="AJ86" i="37"/>
  <c r="AJ66" i="37"/>
  <c r="AK144" i="37"/>
  <c r="AJ40" i="37"/>
  <c r="AJ45" i="37"/>
  <c r="AK55" i="37"/>
  <c r="H16" i="37"/>
  <c r="T22" i="37"/>
  <c r="T13" i="37"/>
  <c r="Q19" i="37"/>
  <c r="AJ116" i="37"/>
  <c r="AJ171" i="37"/>
  <c r="AJ220" i="37"/>
  <c r="AK210" i="37"/>
  <c r="AK211" i="37"/>
  <c r="AK68" i="37"/>
  <c r="AK228" i="37"/>
  <c r="AK297" i="37"/>
  <c r="AJ199" i="37"/>
  <c r="AK99" i="37"/>
  <c r="AK201" i="37"/>
  <c r="AK59" i="37"/>
  <c r="AK218" i="37"/>
  <c r="AJ205" i="37"/>
  <c r="AK187" i="37"/>
  <c r="AJ302" i="37"/>
  <c r="AJ145" i="37"/>
  <c r="AK215" i="37"/>
  <c r="AK181" i="37"/>
  <c r="AK197" i="37"/>
  <c r="AK209" i="37"/>
  <c r="AJ191" i="37"/>
  <c r="AJ132" i="37"/>
  <c r="AJ178" i="37"/>
  <c r="AK171" i="37"/>
  <c r="AK165" i="37"/>
  <c r="AJ138" i="37"/>
  <c r="AJ119" i="37"/>
  <c r="AK159" i="37"/>
  <c r="AJ90" i="37"/>
  <c r="AK151" i="37"/>
  <c r="AK101" i="37"/>
  <c r="AK94" i="37"/>
  <c r="AJ206" i="37"/>
  <c r="AJ214" i="37"/>
  <c r="AJ167" i="37"/>
  <c r="AK189" i="37"/>
  <c r="AJ164" i="37"/>
  <c r="AJ140" i="37"/>
  <c r="AK130" i="37"/>
  <c r="AJ144" i="37"/>
  <c r="AK234" i="37"/>
  <c r="AK145" i="37"/>
  <c r="AK182" i="37"/>
  <c r="AK164" i="37"/>
  <c r="AK140" i="37"/>
  <c r="AK100" i="37"/>
  <c r="AJ117" i="37"/>
  <c r="AK219" i="37"/>
  <c r="AK43" i="37"/>
  <c r="AJ78" i="37"/>
  <c r="AK79" i="37"/>
  <c r="AJ47" i="37"/>
  <c r="T18" i="37"/>
  <c r="Q23" i="37"/>
  <c r="Q10" i="37"/>
  <c r="P14" i="37"/>
  <c r="AK58" i="37"/>
  <c r="H20" i="37"/>
  <c r="Q22" i="37"/>
  <c r="P12" i="37"/>
  <c r="AJ103" i="37"/>
  <c r="AK134" i="37"/>
  <c r="AK45" i="37"/>
  <c r="AJ125" i="37"/>
  <c r="AJ67" i="37"/>
  <c r="AK98" i="37"/>
  <c r="AJ82" i="37"/>
  <c r="AJ69" i="37"/>
  <c r="AJ96" i="37"/>
  <c r="AJ120" i="37"/>
  <c r="AJ57" i="37"/>
  <c r="T12" i="37"/>
  <c r="P19" i="37"/>
  <c r="H23" i="37"/>
  <c r="Q14" i="37"/>
  <c r="AK194" i="37"/>
  <c r="AK178" i="37"/>
  <c r="AK138" i="37"/>
  <c r="AJ153" i="37"/>
  <c r="AJ81" i="37"/>
  <c r="AK90" i="37"/>
  <c r="AK67" i="37"/>
  <c r="AJ99" i="37"/>
  <c r="AK78" i="37"/>
  <c r="H21" i="37"/>
  <c r="H10" i="37"/>
  <c r="T16" i="37"/>
  <c r="Q18" i="37"/>
  <c r="P23" i="37"/>
  <c r="P11" i="37"/>
  <c r="H15" i="37"/>
  <c r="T15" i="37"/>
  <c r="P20" i="37"/>
  <c r="AK203" i="37"/>
  <c r="AJ297" i="37"/>
  <c r="AJ146" i="37"/>
  <c r="AK190" i="37"/>
  <c r="AJ137" i="37"/>
  <c r="AJ133" i="37"/>
  <c r="AK153" i="37"/>
  <c r="AK81" i="37"/>
  <c r="AJ85" i="37"/>
  <c r="AK89" i="37"/>
  <c r="AK66" i="37"/>
  <c r="H19" i="37"/>
  <c r="Q16" i="37"/>
  <c r="T11" i="37"/>
  <c r="AK126" i="37"/>
  <c r="T19" i="37"/>
  <c r="Q11" i="37"/>
  <c r="P15" i="37"/>
  <c r="AK82" i="37"/>
  <c r="AK142" i="37"/>
  <c r="AJ150" i="37"/>
  <c r="AJ149" i="37"/>
  <c r="AK86" i="37"/>
  <c r="AK61" i="37"/>
  <c r="AK57" i="37"/>
  <c r="AJ209" i="37"/>
  <c r="AJ207" i="37"/>
  <c r="AK196" i="37"/>
  <c r="AJ197" i="37"/>
  <c r="AK188" i="37"/>
  <c r="AJ190" i="37"/>
  <c r="AK119" i="37"/>
  <c r="AJ147" i="37"/>
  <c r="AJ136" i="37"/>
  <c r="AJ219" i="37"/>
  <c r="AJ87" i="37"/>
  <c r="AK63" i="37"/>
  <c r="AJ234" i="37"/>
  <c r="AJ44" i="37"/>
  <c r="T20" i="37"/>
  <c r="T10" i="37"/>
  <c r="Q13" i="37"/>
  <c r="P16" i="37"/>
  <c r="AJ100" i="37"/>
  <c r="AM298" i="37" a="1"/>
  <c r="AM298" i="37" s="1"/>
  <c r="AI221" i="37" a="1"/>
  <c r="AI221" i="37" s="1"/>
  <c r="AM289" i="37" a="1"/>
  <c r="AM289" i="37" s="1"/>
  <c r="AH176" i="37" a="1"/>
  <c r="AH176" i="37" s="1"/>
  <c r="AI302" i="37" a="1"/>
  <c r="AI302" i="37" s="1"/>
  <c r="AI156" i="37" a="1"/>
  <c r="AI156" i="37" s="1"/>
  <c r="AH94" i="37" a="1"/>
  <c r="AH94" i="37" s="1"/>
  <c r="AI44" i="37" a="1"/>
  <c r="AI44" i="37" s="1"/>
  <c r="AI190" i="37" a="1"/>
  <c r="AI190" i="37" s="1"/>
  <c r="AI59" i="37" a="1"/>
  <c r="AI59" i="37" s="1"/>
  <c r="AI85" i="37" a="1"/>
  <c r="AI85" i="37" s="1"/>
  <c r="AI228" i="37" a="1"/>
  <c r="AI228" i="37" s="1"/>
  <c r="AI294" i="37" a="1"/>
  <c r="AI294" i="37" s="1"/>
  <c r="AH125" i="37" a="1"/>
  <c r="AH125" i="37" s="1"/>
  <c r="AI212" i="37" a="1"/>
  <c r="AI212" i="37" s="1"/>
  <c r="AI61" i="37" a="1"/>
  <c r="AI61" i="37" s="1"/>
  <c r="AI179" i="37" a="1"/>
  <c r="AI179" i="37" s="1"/>
  <c r="AI207" i="37" a="1"/>
  <c r="AI207" i="37" s="1"/>
  <c r="AI87" i="37" a="1"/>
  <c r="AI87" i="37" s="1"/>
  <c r="AI45" i="37" a="1"/>
  <c r="AI45" i="37" s="1"/>
  <c r="AH167" i="37" a="1"/>
  <c r="AH167" i="37" s="1"/>
  <c r="AI169" i="37" a="1"/>
  <c r="AI169" i="37" s="1"/>
  <c r="AI218" i="37" a="1"/>
  <c r="AI218" i="37" s="1"/>
  <c r="AI151" i="37" a="1"/>
  <c r="AI151" i="37" s="1"/>
  <c r="AI203" i="37" a="1"/>
  <c r="AI203" i="37" s="1"/>
  <c r="AI173" i="37" a="1"/>
  <c r="AI173" i="37" s="1"/>
  <c r="AI125" i="37" a="1"/>
  <c r="AI125" i="37" s="1"/>
  <c r="AH210" i="37" a="1"/>
  <c r="AH210" i="37" s="1"/>
  <c r="AM290" i="37" a="1"/>
  <c r="AM290" i="37" s="1"/>
  <c r="AM114" i="37" a="1"/>
  <c r="AM114" i="37" s="1"/>
  <c r="AI122" i="37" a="1"/>
  <c r="AI122" i="37" s="1"/>
  <c r="AI182" i="37" a="1"/>
  <c r="AI182" i="37" s="1"/>
  <c r="AI150" i="37" a="1"/>
  <c r="AI150" i="37" s="1"/>
  <c r="AI91" i="37" a="1"/>
  <c r="AI91" i="37" s="1"/>
  <c r="AI142" i="37" a="1"/>
  <c r="AI142" i="37" s="1"/>
  <c r="AH156" i="37" a="1"/>
  <c r="AH156" i="37" s="1"/>
  <c r="AI117" i="37" a="1"/>
  <c r="AI117" i="37" s="1"/>
  <c r="AI175" i="37" a="1"/>
  <c r="AI175" i="37" s="1"/>
  <c r="AI88" i="37" a="1"/>
  <c r="AI88" i="37" s="1"/>
  <c r="AI79" i="37" a="1"/>
  <c r="AI79" i="37" s="1"/>
  <c r="AI131" i="37" a="1"/>
  <c r="AI131" i="37" s="1"/>
  <c r="AH116" i="37" a="1"/>
  <c r="AH116" i="37" s="1"/>
  <c r="AI167" i="37" a="1"/>
  <c r="AI167" i="37" s="1"/>
  <c r="AI186" i="37" a="1"/>
  <c r="AI186" i="37" s="1"/>
  <c r="AH39" i="37" a="1"/>
  <c r="AH39" i="37" s="1"/>
  <c r="AI80" i="37" a="1"/>
  <c r="AI80" i="37" s="1"/>
  <c r="AI181" i="37" a="1"/>
  <c r="AI181" i="37" s="1"/>
  <c r="AI193" i="37" a="1"/>
  <c r="AI193" i="37" s="1"/>
  <c r="AI136" i="37" a="1"/>
  <c r="AI136" i="37" s="1"/>
  <c r="AM292" i="37" a="1"/>
  <c r="AM292" i="37" s="1"/>
  <c r="AI154" i="37" a="1"/>
  <c r="AI154" i="37" s="1"/>
  <c r="AI135" i="37" a="1"/>
  <c r="AI135" i="37" s="1"/>
  <c r="AI82" i="37" a="1"/>
  <c r="AI82" i="37" s="1"/>
  <c r="AH164" i="37" a="1"/>
  <c r="AH164" i="37" s="1"/>
  <c r="AI297" i="37" a="1"/>
  <c r="AI297" i="37" s="1"/>
  <c r="AH101" i="37" a="1"/>
  <c r="AH101" i="37" s="1"/>
  <c r="AH41" i="37" a="1"/>
  <c r="AH41" i="37" s="1"/>
  <c r="AI141" i="37" a="1"/>
  <c r="AI141" i="37" s="1"/>
  <c r="AI189" i="37" a="1"/>
  <c r="AI189" i="37" s="1"/>
  <c r="AI40" i="37" a="1"/>
  <c r="AI40" i="37" s="1"/>
  <c r="AI126" i="37" a="1"/>
  <c r="AI126" i="37" s="1"/>
  <c r="AI134" i="37" a="1"/>
  <c r="AI134" i="37" s="1"/>
  <c r="AI194" i="37" a="1"/>
  <c r="AI194" i="37" s="1"/>
  <c r="AH55" i="37" a="1"/>
  <c r="AH55" i="37" s="1"/>
  <c r="AI101" i="37" a="1"/>
  <c r="AI101" i="37" s="1"/>
  <c r="AI160" i="37" a="1"/>
  <c r="AI160" i="37" s="1"/>
  <c r="AH85" i="37" a="1"/>
  <c r="AH85" i="37" s="1"/>
  <c r="AI95" i="37" a="1"/>
  <c r="AI95" i="37" s="1"/>
  <c r="AI176" i="37" a="1"/>
  <c r="AI176" i="37" s="1"/>
  <c r="AM291" i="37" a="1"/>
  <c r="AM291" i="37" s="1"/>
  <c r="AM288" i="37" a="1"/>
  <c r="AM288" i="37" s="1"/>
  <c r="AI90" i="37" a="1"/>
  <c r="AI90" i="37" s="1"/>
  <c r="AI184" i="37" a="1"/>
  <c r="AI184" i="37" s="1"/>
  <c r="AI191" i="37" a="1"/>
  <c r="AI191" i="37" s="1"/>
  <c r="AI43" i="37" a="1"/>
  <c r="AI43" i="37" s="1"/>
  <c r="AI210" i="37" a="1"/>
  <c r="AI210" i="37" s="1"/>
  <c r="AI100" i="37" a="1"/>
  <c r="AI100" i="37" s="1"/>
  <c r="AI192" i="37" a="1"/>
  <c r="AI192" i="37" s="1"/>
  <c r="AI128" i="37" a="1"/>
  <c r="AI128" i="37" s="1"/>
  <c r="AH53" i="37" a="1"/>
  <c r="AH53" i="37" s="1"/>
  <c r="AI166" i="37" a="1"/>
  <c r="AI166" i="37" s="1"/>
  <c r="AI198" i="37" a="1"/>
  <c r="AI198" i="37" s="1"/>
  <c r="AI67" i="37" a="1"/>
  <c r="AI67" i="37" s="1"/>
  <c r="AI69" i="37" a="1"/>
  <c r="AI69" i="37" s="1"/>
  <c r="AI121" i="37" a="1"/>
  <c r="AI121" i="37" s="1"/>
  <c r="AI178" i="37" a="1"/>
  <c r="AI178" i="37" s="1"/>
  <c r="AI54" i="37" a="1"/>
  <c r="AI54" i="37" s="1"/>
  <c r="AI120" i="37" a="1"/>
  <c r="AI120" i="37" s="1"/>
  <c r="AI137" i="37" a="1"/>
  <c r="AI137" i="37" s="1"/>
  <c r="AI47" i="37" a="1"/>
  <c r="AI47" i="37" s="1"/>
  <c r="AI77" i="37" a="1"/>
  <c r="AI77" i="37" s="1"/>
  <c r="AI158" i="37" a="1"/>
  <c r="AI158" i="37" s="1"/>
  <c r="AI146" i="37" a="1"/>
  <c r="AI146" i="37" s="1"/>
  <c r="AI56" i="37" a="1"/>
  <c r="AI56" i="37" s="1"/>
  <c r="AH214" i="37" a="1"/>
  <c r="AH214" i="37" s="1"/>
  <c r="AI214" i="37" s="1" a="1"/>
  <c r="AI214" i="37" s="1"/>
  <c r="AI119" i="37" a="1"/>
  <c r="AI119" i="37" s="1"/>
  <c r="AI58" i="37" a="1"/>
  <c r="AI58" i="37" s="1"/>
  <c r="AM293" i="37" a="1"/>
  <c r="AM293" i="37" s="1"/>
  <c r="AI123" i="37" a="1"/>
  <c r="AI123" i="37" s="1"/>
  <c r="AI208" i="37" a="1"/>
  <c r="AI208" i="37" s="1"/>
  <c r="AI195" i="37" a="1"/>
  <c r="AI195" i="37" s="1"/>
  <c r="AI161" i="37" a="1"/>
  <c r="AI161" i="37" s="1"/>
  <c r="AI97" i="37" a="1"/>
  <c r="AI97" i="37" s="1"/>
  <c r="AI229" i="37" a="1"/>
  <c r="AI229" i="37" s="1"/>
  <c r="AI53" i="37" a="1"/>
  <c r="AI53" i="37" s="1"/>
  <c r="AI148" i="37" a="1"/>
  <c r="AI148" i="37" s="1"/>
  <c r="AI185" i="37" a="1"/>
  <c r="AI185" i="37" s="1"/>
  <c r="AH44" i="37" a="1"/>
  <c r="AH44" i="37" s="1"/>
  <c r="AH190" i="37" a="1"/>
  <c r="AH190" i="37" s="1"/>
  <c r="AI68" i="37" a="1"/>
  <c r="AI68" i="37" s="1"/>
  <c r="AI149" i="37" a="1"/>
  <c r="AI149" i="37" s="1"/>
  <c r="AI199" i="37" a="1"/>
  <c r="AI199" i="37" s="1"/>
  <c r="AI157" i="37" a="1"/>
  <c r="AI157" i="37" s="1"/>
  <c r="AI118" i="37" a="1"/>
  <c r="AI118" i="37" s="1"/>
  <c r="AI138" i="37" a="1"/>
  <c r="AI138" i="37" s="1"/>
  <c r="AI200" i="37" a="1"/>
  <c r="AI200" i="37" s="1"/>
  <c r="AI83" i="37" a="1"/>
  <c r="AI83" i="37" s="1"/>
  <c r="AI98" i="37" a="1"/>
  <c r="AI98" i="37" s="1"/>
  <c r="AH147" i="37" a="1"/>
  <c r="AH147" i="37" s="1"/>
  <c r="AI66" i="37" a="1"/>
  <c r="AI66" i="37" s="1"/>
  <c r="AI202" i="37" a="1"/>
  <c r="AI202" i="37" s="1"/>
  <c r="AI81" i="37" a="1"/>
  <c r="AI81" i="37" s="1"/>
  <c r="H12" i="37"/>
  <c r="AI168" i="37" a="1"/>
  <c r="AI168" i="37" s="1"/>
  <c r="H22" i="37"/>
  <c r="AI211" i="37" a="1"/>
  <c r="AI211" i="37" s="1"/>
  <c r="AH77" i="37" a="1"/>
  <c r="AH77" i="37" s="1"/>
  <c r="AI196" i="37" a="1"/>
  <c r="AI196" i="37" s="1"/>
  <c r="AM37" i="37" a="1"/>
  <c r="AM37" i="37" s="1"/>
  <c r="AM295" i="37" a="1"/>
  <c r="AM295" i="37" s="1"/>
  <c r="AI152" i="37" a="1"/>
  <c r="AI152" i="37" s="1"/>
  <c r="AI143" i="37" a="1"/>
  <c r="AI143" i="37" s="1"/>
  <c r="AI63" i="37" a="1"/>
  <c r="AI63" i="37" s="1"/>
  <c r="AI206" i="37" a="1"/>
  <c r="AI206" i="37" s="1"/>
  <c r="AI159" i="37" a="1"/>
  <c r="AI159" i="37" s="1"/>
  <c r="AI197" i="37" a="1"/>
  <c r="AI197" i="37" s="1"/>
  <c r="AI103" i="37" a="1"/>
  <c r="AI103" i="37" s="1"/>
  <c r="AI124" i="37" a="1"/>
  <c r="AI124" i="37" s="1"/>
  <c r="AH181" i="37" a="1"/>
  <c r="AH181" i="37" s="1"/>
  <c r="AI140" i="37" a="1"/>
  <c r="AI140" i="37" s="1"/>
  <c r="AI164" i="37" a="1"/>
  <c r="AI164" i="37" s="1"/>
  <c r="AI70" i="37" a="1"/>
  <c r="AI70" i="37" s="1"/>
  <c r="AI99" i="37" a="1"/>
  <c r="AI99" i="37" s="1"/>
  <c r="AI165" i="37" a="1"/>
  <c r="AI165" i="37" s="1"/>
  <c r="AI96" i="37" a="1"/>
  <c r="AI96" i="37" s="1"/>
  <c r="AI215" i="37" a="1"/>
  <c r="AI215" i="37" s="1"/>
  <c r="AI147" i="37" a="1"/>
  <c r="AI147" i="37" s="1"/>
  <c r="H11" i="37"/>
  <c r="AI132" i="37" a="1"/>
  <c r="AI132" i="37" s="1"/>
  <c r="AI204" i="37" a="1"/>
  <c r="AI204" i="37" s="1"/>
  <c r="AI188" i="37" a="1"/>
  <c r="AI188" i="37" s="1"/>
  <c r="AI130" i="37" a="1"/>
  <c r="AI130" i="37" s="1"/>
  <c r="AH300" i="37" a="1"/>
  <c r="AH300" i="37" s="1"/>
  <c r="AI296" i="37" a="1"/>
  <c r="AI296" i="37" s="1"/>
  <c r="AI46" i="37" a="1"/>
  <c r="AI46" i="37" s="1"/>
  <c r="AI86" i="37" a="1"/>
  <c r="AI86" i="37" s="1"/>
  <c r="AH134" i="37" a="1"/>
  <c r="AH134" i="37" s="1"/>
  <c r="AI139" i="37" a="1"/>
  <c r="AI139" i="37" s="1"/>
  <c r="AI102" i="37" a="1"/>
  <c r="AI102" i="37" s="1"/>
  <c r="AH169" i="37" a="1"/>
  <c r="AH169" i="37" s="1"/>
  <c r="AH209" i="37" a="1"/>
  <c r="AH209" i="37" s="1"/>
  <c r="AI145" i="37" a="1"/>
  <c r="AI145" i="37" s="1"/>
  <c r="AI172" i="37" a="1"/>
  <c r="AI172" i="37" s="1"/>
  <c r="AI60" i="37" a="1"/>
  <c r="AI60" i="37" s="1"/>
  <c r="AI116" i="37" a="1"/>
  <c r="AI116" i="37" s="1"/>
  <c r="AI205" i="37" a="1"/>
  <c r="AI205" i="37" s="1"/>
  <c r="AI78" i="37" a="1"/>
  <c r="AI78" i="37" s="1"/>
  <c r="AI177" i="37" a="1"/>
  <c r="AI177" i="37" s="1"/>
  <c r="AI234" i="37" a="1"/>
  <c r="AI234" i="37" s="1"/>
  <c r="AI55" i="37" a="1"/>
  <c r="AI55" i="37" s="1"/>
  <c r="AI133" i="37" a="1"/>
  <c r="AI133" i="37" s="1"/>
  <c r="AI42" i="37" a="1"/>
  <c r="AI42" i="37" s="1"/>
  <c r="AI183" i="37" a="1"/>
  <c r="AI183" i="37" s="1"/>
  <c r="AI41" i="37" a="1"/>
  <c r="AI41" i="37" s="1"/>
  <c r="AI174" i="37" a="1"/>
  <c r="AI174" i="37" s="1"/>
  <c r="AM213" i="37" a="1"/>
  <c r="AM213" i="37" s="1"/>
  <c r="AI94" i="37" a="1"/>
  <c r="AI94" i="37" s="1"/>
  <c r="AI153" i="37" a="1"/>
  <c r="AI153" i="37" s="1"/>
  <c r="AI187" i="37" a="1"/>
  <c r="AI187" i="37" s="1"/>
  <c r="AI201" i="37" a="1"/>
  <c r="AI201" i="37" s="1"/>
  <c r="AI144" i="37" a="1"/>
  <c r="AI144" i="37" s="1"/>
  <c r="AH233" i="37" a="1"/>
  <c r="AH233" i="37" s="1"/>
  <c r="AI129" i="37" a="1"/>
  <c r="AI129" i="37" s="1"/>
  <c r="AI171" i="37" a="1"/>
  <c r="AI171" i="37" s="1"/>
  <c r="AI220" i="37" a="1"/>
  <c r="AI220" i="37" s="1"/>
  <c r="AI89" i="37" a="1"/>
  <c r="AI89" i="37" s="1"/>
  <c r="AI170" i="37" a="1"/>
  <c r="AI170" i="37" s="1"/>
  <c r="AI127" i="37" a="1"/>
  <c r="AI127" i="37" s="1"/>
  <c r="H18" i="37"/>
  <c r="AI209" i="37" a="1"/>
  <c r="AI209" i="37" s="1"/>
  <c r="AH199" i="37" a="1"/>
  <c r="AH199" i="37" s="1"/>
  <c r="J18" i="98"/>
  <c r="J1" i="35"/>
  <c r="F35" i="20"/>
  <c r="G35" i="20" s="1"/>
  <c r="L2" i="37" l="1" a="1"/>
  <c r="L2" i="37" s="1"/>
  <c r="L5" i="37"/>
  <c r="L3" i="37"/>
  <c r="J19" i="98"/>
  <c r="C2" i="10"/>
  <c r="B2" i="10"/>
  <c r="J20" i="98" l="1"/>
  <c r="BS2" i="64"/>
  <c r="BR2" i="64"/>
  <c r="BQ2" i="64"/>
  <c r="BP2" i="64"/>
  <c r="BO2" i="64"/>
  <c r="BN2" i="64"/>
  <c r="B100" i="64"/>
  <c r="AZ2" i="64" s="1"/>
  <c r="B99" i="64"/>
  <c r="AY2" i="64" s="1"/>
  <c r="BA2" i="64"/>
  <c r="CE2" i="64"/>
  <c r="B30" i="64"/>
  <c r="K2" i="64" s="1"/>
  <c r="B28" i="64"/>
  <c r="J2" i="64" s="1"/>
  <c r="B31" i="64"/>
  <c r="D2" i="64"/>
  <c r="E2" i="64"/>
  <c r="BT2" i="64"/>
  <c r="T2" i="64"/>
  <c r="S2" i="64"/>
  <c r="CD2" i="64"/>
  <c r="J21" i="98" l="1"/>
  <c r="W2" i="64"/>
  <c r="B62" i="64"/>
  <c r="U2" i="64" s="1"/>
  <c r="B60" i="64"/>
  <c r="BV2" i="64" s="1"/>
  <c r="B55" i="64"/>
  <c r="B56" i="64" s="1"/>
  <c r="AK2" i="64" s="1"/>
  <c r="B47" i="64"/>
  <c r="B95" i="64"/>
  <c r="B27" i="64"/>
  <c r="BL2" i="64" s="1"/>
  <c r="F8" i="6"/>
  <c r="F7" i="6"/>
  <c r="F6" i="6"/>
  <c r="G6" i="6" s="1"/>
  <c r="H6" i="6" s="1"/>
  <c r="F5" i="6"/>
  <c r="G5" i="6" s="1"/>
  <c r="F4" i="6"/>
  <c r="G4" i="6" s="1"/>
  <c r="F17" i="1"/>
  <c r="E17" i="1"/>
  <c r="D17" i="1"/>
  <c r="AE2" i="64"/>
  <c r="AD2" i="64"/>
  <c r="B90" i="64"/>
  <c r="X2" i="64" s="1"/>
  <c r="F2" i="64"/>
  <c r="AM2" i="64"/>
  <c r="AG222" i="37" l="1"/>
  <c r="J22" i="98"/>
  <c r="H5" i="6"/>
  <c r="B97" i="64"/>
  <c r="B96" i="64"/>
  <c r="BB2" i="64" s="1"/>
  <c r="H4" i="6"/>
  <c r="G7" i="6"/>
  <c r="H7" i="6" s="1"/>
  <c r="G8" i="6"/>
  <c r="H8" i="6" s="1"/>
  <c r="B104" i="64"/>
  <c r="AX2" i="64" s="1"/>
  <c r="CN2" i="64"/>
  <c r="CM2" i="64"/>
  <c r="AC2" i="64"/>
  <c r="AB2" i="64"/>
  <c r="AA2" i="64"/>
  <c r="Z2" i="64"/>
  <c r="AI2" i="64"/>
  <c r="AH2" i="64"/>
  <c r="AN2" i="64"/>
  <c r="M2" i="64"/>
  <c r="L2" i="64"/>
  <c r="I2" i="64"/>
  <c r="BU2" i="64"/>
  <c r="AL2" i="64"/>
  <c r="CL2" i="64"/>
  <c r="G5" i="64"/>
  <c r="BY2" i="64"/>
  <c r="G2" i="64"/>
  <c r="BX2" i="64"/>
  <c r="Q2" i="64"/>
  <c r="B43" i="64"/>
  <c r="CA2" i="64" s="1"/>
  <c r="O2" i="64"/>
  <c r="B44" i="64"/>
  <c r="R2" i="64" s="1"/>
  <c r="C3" i="63"/>
  <c r="AC6" i="63" s="1"/>
  <c r="C2" i="63"/>
  <c r="BH2" i="64"/>
  <c r="B22" i="64"/>
  <c r="AR2" i="64" s="1"/>
  <c r="AP2" i="64"/>
  <c r="B23" i="64"/>
  <c r="AS2" i="64" s="1"/>
  <c r="X782" i="63"/>
  <c r="X781" i="63"/>
  <c r="X780" i="63"/>
  <c r="X779" i="63"/>
  <c r="X778" i="63"/>
  <c r="X777" i="63"/>
  <c r="X776" i="63"/>
  <c r="X775" i="63"/>
  <c r="X774" i="63"/>
  <c r="X773" i="63"/>
  <c r="X772" i="63"/>
  <c r="X771" i="63"/>
  <c r="X770" i="63"/>
  <c r="X769" i="63"/>
  <c r="X768" i="63"/>
  <c r="X767" i="63"/>
  <c r="X766" i="63"/>
  <c r="X765" i="63"/>
  <c r="X764" i="63"/>
  <c r="X763" i="63"/>
  <c r="X762" i="63"/>
  <c r="X761" i="63"/>
  <c r="X760" i="63"/>
  <c r="X759" i="63"/>
  <c r="X758" i="63"/>
  <c r="X757" i="63"/>
  <c r="X756" i="63"/>
  <c r="X755" i="63"/>
  <c r="X754" i="63"/>
  <c r="X753" i="63"/>
  <c r="X752" i="63"/>
  <c r="X751" i="63"/>
  <c r="X750" i="63"/>
  <c r="X749" i="63"/>
  <c r="X748" i="63"/>
  <c r="X747" i="63"/>
  <c r="X746" i="63"/>
  <c r="X745" i="63"/>
  <c r="X744" i="63"/>
  <c r="X743" i="63"/>
  <c r="X742" i="63"/>
  <c r="X741" i="63"/>
  <c r="X740" i="63"/>
  <c r="X739" i="63"/>
  <c r="X738" i="63"/>
  <c r="X737" i="63"/>
  <c r="X736" i="63"/>
  <c r="X735" i="63"/>
  <c r="X734" i="63"/>
  <c r="X733" i="63"/>
  <c r="X732" i="63"/>
  <c r="X731" i="63"/>
  <c r="X730" i="63"/>
  <c r="X729" i="63"/>
  <c r="X728" i="63"/>
  <c r="X727" i="63"/>
  <c r="X726" i="63"/>
  <c r="X725" i="63"/>
  <c r="X724" i="63"/>
  <c r="X723" i="63"/>
  <c r="X722" i="63"/>
  <c r="X721" i="63"/>
  <c r="X720" i="63"/>
  <c r="X719" i="63"/>
  <c r="X718" i="63"/>
  <c r="X717" i="63"/>
  <c r="X716" i="63"/>
  <c r="X715" i="63"/>
  <c r="X714" i="63"/>
  <c r="X713" i="63"/>
  <c r="X712" i="63"/>
  <c r="X711" i="63"/>
  <c r="X710" i="63"/>
  <c r="X709" i="63"/>
  <c r="X708" i="63"/>
  <c r="X707" i="63"/>
  <c r="X706" i="63"/>
  <c r="X705" i="63"/>
  <c r="X704" i="63"/>
  <c r="X703" i="63"/>
  <c r="X702" i="63"/>
  <c r="X701" i="63"/>
  <c r="X700" i="63"/>
  <c r="X699" i="63"/>
  <c r="X698" i="63"/>
  <c r="X697" i="63"/>
  <c r="X696" i="63"/>
  <c r="X695" i="63"/>
  <c r="X694" i="63"/>
  <c r="X693" i="63"/>
  <c r="X692" i="63"/>
  <c r="X691" i="63"/>
  <c r="X690" i="63"/>
  <c r="X689" i="63"/>
  <c r="X688" i="63"/>
  <c r="X687" i="63"/>
  <c r="X686" i="63"/>
  <c r="X685" i="63"/>
  <c r="X684" i="63"/>
  <c r="X683" i="63"/>
  <c r="X682" i="63"/>
  <c r="X681" i="63"/>
  <c r="X680" i="63"/>
  <c r="X679" i="63"/>
  <c r="X678" i="63"/>
  <c r="X677" i="63"/>
  <c r="X676" i="63"/>
  <c r="X675" i="63"/>
  <c r="X674" i="63"/>
  <c r="X673" i="63"/>
  <c r="X672" i="63"/>
  <c r="X671" i="63"/>
  <c r="X670" i="63"/>
  <c r="X669" i="63"/>
  <c r="X668" i="63"/>
  <c r="X667" i="63"/>
  <c r="X666" i="63"/>
  <c r="X665" i="63"/>
  <c r="X664" i="63"/>
  <c r="X663" i="63"/>
  <c r="X662" i="63"/>
  <c r="X661" i="63"/>
  <c r="X660" i="63"/>
  <c r="X659" i="63"/>
  <c r="X658" i="63"/>
  <c r="X657" i="63"/>
  <c r="X656" i="63"/>
  <c r="X655" i="63"/>
  <c r="X654" i="63"/>
  <c r="X653" i="63"/>
  <c r="X652" i="63"/>
  <c r="X651" i="63"/>
  <c r="X650" i="63"/>
  <c r="X649" i="63"/>
  <c r="X648" i="63"/>
  <c r="X647" i="63"/>
  <c r="X646" i="63"/>
  <c r="X645" i="63"/>
  <c r="X644" i="63"/>
  <c r="X643" i="63"/>
  <c r="X642" i="63"/>
  <c r="X641" i="63"/>
  <c r="X640" i="63"/>
  <c r="X639" i="63"/>
  <c r="X638" i="63"/>
  <c r="X637" i="63"/>
  <c r="X636" i="63"/>
  <c r="X635" i="63"/>
  <c r="X634" i="63"/>
  <c r="X633" i="63"/>
  <c r="X632" i="63"/>
  <c r="X631" i="63"/>
  <c r="X630" i="63"/>
  <c r="X629" i="63"/>
  <c r="X628" i="63"/>
  <c r="X627" i="63"/>
  <c r="X626" i="63"/>
  <c r="X625" i="63"/>
  <c r="X624" i="63"/>
  <c r="X623" i="63"/>
  <c r="X622" i="63"/>
  <c r="X621" i="63"/>
  <c r="X620" i="63"/>
  <c r="X619" i="63"/>
  <c r="X618" i="63"/>
  <c r="X617" i="63"/>
  <c r="X616" i="63"/>
  <c r="X615" i="63"/>
  <c r="X614" i="63"/>
  <c r="X613" i="63"/>
  <c r="X612" i="63"/>
  <c r="X611" i="63"/>
  <c r="X610" i="63"/>
  <c r="X609" i="63"/>
  <c r="X608" i="63"/>
  <c r="X607" i="63"/>
  <c r="X606" i="63"/>
  <c r="X605" i="63"/>
  <c r="X604" i="63"/>
  <c r="X603" i="63"/>
  <c r="X602" i="63"/>
  <c r="X601" i="63"/>
  <c r="X600" i="63"/>
  <c r="X599" i="63"/>
  <c r="X598" i="63"/>
  <c r="X597" i="63"/>
  <c r="X596" i="63"/>
  <c r="X595" i="63"/>
  <c r="X594" i="63"/>
  <c r="X593" i="63"/>
  <c r="X592" i="63"/>
  <c r="X591" i="63"/>
  <c r="X590" i="63"/>
  <c r="X589" i="63"/>
  <c r="X588" i="63"/>
  <c r="X587" i="63"/>
  <c r="X586" i="63"/>
  <c r="X585" i="63"/>
  <c r="X584" i="63"/>
  <c r="X583" i="63"/>
  <c r="X582" i="63"/>
  <c r="X581" i="63"/>
  <c r="X580" i="63"/>
  <c r="X579" i="63"/>
  <c r="X578" i="63"/>
  <c r="X577" i="63"/>
  <c r="X576" i="63"/>
  <c r="X575" i="63"/>
  <c r="X574" i="63"/>
  <c r="X573" i="63"/>
  <c r="X572" i="63"/>
  <c r="X571" i="63"/>
  <c r="X570" i="63"/>
  <c r="X569" i="63"/>
  <c r="X568" i="63"/>
  <c r="X567" i="63"/>
  <c r="X566" i="63"/>
  <c r="X565" i="63"/>
  <c r="X564" i="63"/>
  <c r="X563" i="63"/>
  <c r="X562" i="63"/>
  <c r="X561" i="63"/>
  <c r="X560" i="63"/>
  <c r="X559" i="63"/>
  <c r="X558" i="63"/>
  <c r="X557" i="63"/>
  <c r="X556" i="63"/>
  <c r="X555" i="63"/>
  <c r="X554" i="63"/>
  <c r="X553" i="63"/>
  <c r="X552" i="63"/>
  <c r="X551" i="63"/>
  <c r="X550" i="63"/>
  <c r="X549" i="63"/>
  <c r="X548" i="63"/>
  <c r="X547" i="63"/>
  <c r="X546" i="63"/>
  <c r="X545" i="63"/>
  <c r="X544" i="63"/>
  <c r="X543" i="63"/>
  <c r="X542" i="63"/>
  <c r="X541" i="63"/>
  <c r="X540" i="63"/>
  <c r="X539" i="63"/>
  <c r="X538" i="63"/>
  <c r="X537" i="63"/>
  <c r="X536" i="63"/>
  <c r="X535" i="63"/>
  <c r="X534" i="63"/>
  <c r="X533" i="63"/>
  <c r="X532" i="63"/>
  <c r="X531" i="63"/>
  <c r="X530" i="63"/>
  <c r="X529" i="63"/>
  <c r="X528" i="63"/>
  <c r="X527" i="63"/>
  <c r="X526" i="63"/>
  <c r="X525" i="63"/>
  <c r="X524" i="63"/>
  <c r="X523" i="63"/>
  <c r="X522" i="63"/>
  <c r="X521" i="63"/>
  <c r="X520" i="63"/>
  <c r="X519" i="63"/>
  <c r="X518" i="63"/>
  <c r="X517" i="63"/>
  <c r="X516" i="63"/>
  <c r="X515" i="63"/>
  <c r="X514" i="63"/>
  <c r="X513" i="63"/>
  <c r="X512" i="63"/>
  <c r="X511" i="63"/>
  <c r="X510" i="63"/>
  <c r="X509" i="63"/>
  <c r="X508" i="63"/>
  <c r="X507" i="63"/>
  <c r="X506" i="63"/>
  <c r="X505" i="63"/>
  <c r="X504" i="63"/>
  <c r="X503" i="63"/>
  <c r="X502" i="63"/>
  <c r="X501" i="63"/>
  <c r="X500" i="63"/>
  <c r="X499" i="63"/>
  <c r="X498" i="63"/>
  <c r="X497" i="63"/>
  <c r="X496" i="63"/>
  <c r="X495" i="63"/>
  <c r="X494" i="63"/>
  <c r="X493" i="63"/>
  <c r="X492" i="63"/>
  <c r="X491" i="63"/>
  <c r="X15" i="63"/>
  <c r="L782" i="63"/>
  <c r="L781" i="63"/>
  <c r="L780" i="63"/>
  <c r="L779" i="63"/>
  <c r="L778" i="63"/>
  <c r="L777" i="63"/>
  <c r="L776" i="63"/>
  <c r="L775" i="63"/>
  <c r="L774" i="63"/>
  <c r="L773" i="63"/>
  <c r="L772" i="63"/>
  <c r="L771" i="63"/>
  <c r="L770" i="63"/>
  <c r="L769" i="63"/>
  <c r="L768" i="63"/>
  <c r="L767" i="63"/>
  <c r="L766" i="63"/>
  <c r="L765" i="63"/>
  <c r="L764" i="63"/>
  <c r="L763" i="63"/>
  <c r="L762" i="63"/>
  <c r="L761" i="63"/>
  <c r="L760" i="63"/>
  <c r="L759" i="63"/>
  <c r="L758" i="63"/>
  <c r="L757" i="63"/>
  <c r="L756" i="63"/>
  <c r="L755" i="63"/>
  <c r="L754" i="63"/>
  <c r="L753" i="63"/>
  <c r="L752" i="63"/>
  <c r="L751" i="63"/>
  <c r="L750" i="63"/>
  <c r="L749" i="63"/>
  <c r="L748" i="63"/>
  <c r="L747" i="63"/>
  <c r="L746" i="63"/>
  <c r="L745" i="63"/>
  <c r="L744" i="63"/>
  <c r="L743" i="63"/>
  <c r="L742" i="63"/>
  <c r="L741" i="63"/>
  <c r="L740" i="63"/>
  <c r="L739" i="63"/>
  <c r="L738" i="63"/>
  <c r="L737" i="63"/>
  <c r="L736" i="63"/>
  <c r="L735" i="63"/>
  <c r="L734" i="63"/>
  <c r="L733" i="63"/>
  <c r="L732" i="63"/>
  <c r="L731" i="63"/>
  <c r="L730" i="63"/>
  <c r="L729" i="63"/>
  <c r="L728" i="63"/>
  <c r="L727" i="63"/>
  <c r="L726" i="63"/>
  <c r="L725" i="63"/>
  <c r="L724" i="63"/>
  <c r="L723" i="63"/>
  <c r="AM723" i="63" s="1"/>
  <c r="L722" i="63"/>
  <c r="AM722" i="63" s="1"/>
  <c r="L721" i="63"/>
  <c r="AM721" i="63" s="1"/>
  <c r="L720" i="63"/>
  <c r="AM720" i="63" s="1"/>
  <c r="L719" i="63"/>
  <c r="AM719" i="63" s="1"/>
  <c r="L718" i="63"/>
  <c r="AM718" i="63" s="1"/>
  <c r="L717" i="63"/>
  <c r="AM717" i="63" s="1"/>
  <c r="L716" i="63"/>
  <c r="AM716" i="63" s="1"/>
  <c r="L715" i="63"/>
  <c r="AM715" i="63" s="1"/>
  <c r="L714" i="63"/>
  <c r="AM714" i="63" s="1"/>
  <c r="L713" i="63"/>
  <c r="AM713" i="63" s="1"/>
  <c r="L712" i="63"/>
  <c r="AM712" i="63" s="1"/>
  <c r="L711" i="63"/>
  <c r="AM711" i="63" s="1"/>
  <c r="L710" i="63"/>
  <c r="AM710" i="63" s="1"/>
  <c r="L709" i="63"/>
  <c r="AM709" i="63" s="1"/>
  <c r="L708" i="63"/>
  <c r="AM708" i="63" s="1"/>
  <c r="L707" i="63"/>
  <c r="AM707" i="63" s="1"/>
  <c r="L706" i="63"/>
  <c r="AM706" i="63" s="1"/>
  <c r="L705" i="63"/>
  <c r="AM705" i="63" s="1"/>
  <c r="L704" i="63"/>
  <c r="AM704" i="63" s="1"/>
  <c r="L703" i="63"/>
  <c r="AM703" i="63" s="1"/>
  <c r="L702" i="63"/>
  <c r="AM702" i="63" s="1"/>
  <c r="L701" i="63"/>
  <c r="AM701" i="63" s="1"/>
  <c r="L700" i="63"/>
  <c r="AM700" i="63" s="1"/>
  <c r="L699" i="63"/>
  <c r="AM699" i="63" s="1"/>
  <c r="L698" i="63"/>
  <c r="AM698" i="63" s="1"/>
  <c r="L697" i="63"/>
  <c r="AM697" i="63" s="1"/>
  <c r="L696" i="63"/>
  <c r="AM696" i="63" s="1"/>
  <c r="L695" i="63"/>
  <c r="AM695" i="63" s="1"/>
  <c r="L694" i="63"/>
  <c r="AM694" i="63" s="1"/>
  <c r="L693" i="63"/>
  <c r="AM693" i="63" s="1"/>
  <c r="L692" i="63"/>
  <c r="AM692" i="63" s="1"/>
  <c r="L691" i="63"/>
  <c r="AM691" i="63" s="1"/>
  <c r="L690" i="63"/>
  <c r="AM690" i="63" s="1"/>
  <c r="L689" i="63"/>
  <c r="AM689" i="63" s="1"/>
  <c r="L688" i="63"/>
  <c r="AM688" i="63" s="1"/>
  <c r="L687" i="63"/>
  <c r="AM687" i="63" s="1"/>
  <c r="L686" i="63"/>
  <c r="AM686" i="63" s="1"/>
  <c r="L685" i="63"/>
  <c r="AM685" i="63" s="1"/>
  <c r="L684" i="63"/>
  <c r="AM684" i="63" s="1"/>
  <c r="L683" i="63"/>
  <c r="AM683" i="63" s="1"/>
  <c r="L682" i="63"/>
  <c r="AM682" i="63" s="1"/>
  <c r="L681" i="63"/>
  <c r="AM681" i="63" s="1"/>
  <c r="L680" i="63"/>
  <c r="AM680" i="63" s="1"/>
  <c r="L679" i="63"/>
  <c r="AM679" i="63" s="1"/>
  <c r="L678" i="63"/>
  <c r="AM678" i="63" s="1"/>
  <c r="L677" i="63"/>
  <c r="AM677" i="63" s="1"/>
  <c r="L676" i="63"/>
  <c r="AM676" i="63" s="1"/>
  <c r="L675" i="63"/>
  <c r="AM675" i="63" s="1"/>
  <c r="L674" i="63"/>
  <c r="AM674" i="63" s="1"/>
  <c r="L673" i="63"/>
  <c r="AM673" i="63" s="1"/>
  <c r="L672" i="63"/>
  <c r="AM672" i="63" s="1"/>
  <c r="L671" i="63"/>
  <c r="AM671" i="63" s="1"/>
  <c r="L670" i="63"/>
  <c r="AM670" i="63" s="1"/>
  <c r="L669" i="63"/>
  <c r="AM669" i="63" s="1"/>
  <c r="L668" i="63"/>
  <c r="AM668" i="63" s="1"/>
  <c r="L667" i="63"/>
  <c r="AM667" i="63" s="1"/>
  <c r="L666" i="63"/>
  <c r="AM666" i="63" s="1"/>
  <c r="L665" i="63"/>
  <c r="AM665" i="63" s="1"/>
  <c r="L664" i="63"/>
  <c r="AM664" i="63" s="1"/>
  <c r="L663" i="63"/>
  <c r="AM663" i="63" s="1"/>
  <c r="L662" i="63"/>
  <c r="AM662" i="63" s="1"/>
  <c r="L661" i="63"/>
  <c r="AM661" i="63" s="1"/>
  <c r="L660" i="63"/>
  <c r="AM660" i="63" s="1"/>
  <c r="L659" i="63"/>
  <c r="AM659" i="63" s="1"/>
  <c r="L658" i="63"/>
  <c r="AM658" i="63" s="1"/>
  <c r="L657" i="63"/>
  <c r="AM657" i="63" s="1"/>
  <c r="L656" i="63"/>
  <c r="AM656" i="63" s="1"/>
  <c r="L655" i="63"/>
  <c r="AM655" i="63" s="1"/>
  <c r="L654" i="63"/>
  <c r="AM654" i="63" s="1"/>
  <c r="L653" i="63"/>
  <c r="AM653" i="63" s="1"/>
  <c r="L652" i="63"/>
  <c r="AM652" i="63" s="1"/>
  <c r="L651" i="63"/>
  <c r="AM651" i="63" s="1"/>
  <c r="L650" i="63"/>
  <c r="AM650" i="63" s="1"/>
  <c r="L649" i="63"/>
  <c r="AM649" i="63" s="1"/>
  <c r="L648" i="63"/>
  <c r="AM648" i="63" s="1"/>
  <c r="L647" i="63"/>
  <c r="AM647" i="63" s="1"/>
  <c r="L646" i="63"/>
  <c r="AM646" i="63" s="1"/>
  <c r="L645" i="63"/>
  <c r="AM645" i="63" s="1"/>
  <c r="L644" i="63"/>
  <c r="AM644" i="63" s="1"/>
  <c r="L643" i="63"/>
  <c r="AM643" i="63" s="1"/>
  <c r="L642" i="63"/>
  <c r="AM642" i="63" s="1"/>
  <c r="L641" i="63"/>
  <c r="AM641" i="63" s="1"/>
  <c r="L640" i="63"/>
  <c r="AM640" i="63" s="1"/>
  <c r="L639" i="63"/>
  <c r="AM639" i="63" s="1"/>
  <c r="L638" i="63"/>
  <c r="AM638" i="63" s="1"/>
  <c r="L637" i="63"/>
  <c r="AM637" i="63" s="1"/>
  <c r="L636" i="63"/>
  <c r="AM636" i="63" s="1"/>
  <c r="L635" i="63"/>
  <c r="AM635" i="63" s="1"/>
  <c r="L634" i="63"/>
  <c r="AM634" i="63" s="1"/>
  <c r="L633" i="63"/>
  <c r="AM633" i="63" s="1"/>
  <c r="L632" i="63"/>
  <c r="AM632" i="63" s="1"/>
  <c r="L631" i="63"/>
  <c r="AM631" i="63" s="1"/>
  <c r="L630" i="63"/>
  <c r="AM630" i="63" s="1"/>
  <c r="L629" i="63"/>
  <c r="AM629" i="63" s="1"/>
  <c r="L628" i="63"/>
  <c r="AM628" i="63" s="1"/>
  <c r="L627" i="63"/>
  <c r="AM627" i="63" s="1"/>
  <c r="L626" i="63"/>
  <c r="AM626" i="63" s="1"/>
  <c r="L625" i="63"/>
  <c r="AM625" i="63" s="1"/>
  <c r="L624" i="63"/>
  <c r="AM624" i="63" s="1"/>
  <c r="L623" i="63"/>
  <c r="AM623" i="63" s="1"/>
  <c r="L622" i="63"/>
  <c r="AM622" i="63" s="1"/>
  <c r="L621" i="63"/>
  <c r="AM621" i="63" s="1"/>
  <c r="L620" i="63"/>
  <c r="AM620" i="63" s="1"/>
  <c r="L619" i="63"/>
  <c r="AM619" i="63" s="1"/>
  <c r="L618" i="63"/>
  <c r="AM618" i="63" s="1"/>
  <c r="L617" i="63"/>
  <c r="AM617" i="63" s="1"/>
  <c r="L616" i="63"/>
  <c r="AM616" i="63" s="1"/>
  <c r="L615" i="63"/>
  <c r="AM615" i="63" s="1"/>
  <c r="L614" i="63"/>
  <c r="AM614" i="63" s="1"/>
  <c r="L613" i="63"/>
  <c r="AM613" i="63" s="1"/>
  <c r="L612" i="63"/>
  <c r="AM612" i="63" s="1"/>
  <c r="L611" i="63"/>
  <c r="AM611" i="63" s="1"/>
  <c r="L610" i="63"/>
  <c r="AM610" i="63" s="1"/>
  <c r="L609" i="63"/>
  <c r="AM609" i="63" s="1"/>
  <c r="L608" i="63"/>
  <c r="AM608" i="63" s="1"/>
  <c r="L607" i="63"/>
  <c r="AM607" i="63" s="1"/>
  <c r="L606" i="63"/>
  <c r="AM606" i="63" s="1"/>
  <c r="L605" i="63"/>
  <c r="AM605" i="63" s="1"/>
  <c r="L604" i="63"/>
  <c r="AM604" i="63" s="1"/>
  <c r="L603" i="63"/>
  <c r="AM603" i="63" s="1"/>
  <c r="L602" i="63"/>
  <c r="AM602" i="63" s="1"/>
  <c r="L601" i="63"/>
  <c r="AM601" i="63" s="1"/>
  <c r="L600" i="63"/>
  <c r="AM600" i="63" s="1"/>
  <c r="L599" i="63"/>
  <c r="AM599" i="63" s="1"/>
  <c r="L598" i="63"/>
  <c r="AM598" i="63" s="1"/>
  <c r="L597" i="63"/>
  <c r="AM597" i="63" s="1"/>
  <c r="L596" i="63"/>
  <c r="AM596" i="63" s="1"/>
  <c r="L595" i="63"/>
  <c r="AM595" i="63" s="1"/>
  <c r="L594" i="63"/>
  <c r="AM594" i="63" s="1"/>
  <c r="L593" i="63"/>
  <c r="AM593" i="63" s="1"/>
  <c r="L592" i="63"/>
  <c r="AM592" i="63" s="1"/>
  <c r="L591" i="63"/>
  <c r="AM591" i="63" s="1"/>
  <c r="L590" i="63"/>
  <c r="AM590" i="63" s="1"/>
  <c r="L589" i="63"/>
  <c r="AM589" i="63" s="1"/>
  <c r="L588" i="63"/>
  <c r="AM588" i="63" s="1"/>
  <c r="L587" i="63"/>
  <c r="AM587" i="63" s="1"/>
  <c r="L586" i="63"/>
  <c r="AM586" i="63" s="1"/>
  <c r="L585" i="63"/>
  <c r="AM585" i="63" s="1"/>
  <c r="L584" i="63"/>
  <c r="AM584" i="63" s="1"/>
  <c r="L583" i="63"/>
  <c r="AM583" i="63" s="1"/>
  <c r="L582" i="63"/>
  <c r="AM582" i="63" s="1"/>
  <c r="L581" i="63"/>
  <c r="AM581" i="63" s="1"/>
  <c r="L580" i="63"/>
  <c r="AM580" i="63" s="1"/>
  <c r="L579" i="63"/>
  <c r="AM579" i="63" s="1"/>
  <c r="L578" i="63"/>
  <c r="AM578" i="63" s="1"/>
  <c r="L577" i="63"/>
  <c r="AM577" i="63" s="1"/>
  <c r="L576" i="63"/>
  <c r="AM576" i="63" s="1"/>
  <c r="L575" i="63"/>
  <c r="AM575" i="63" s="1"/>
  <c r="L574" i="63"/>
  <c r="AM574" i="63" s="1"/>
  <c r="L573" i="63"/>
  <c r="AM573" i="63" s="1"/>
  <c r="L572" i="63"/>
  <c r="AM572" i="63" s="1"/>
  <c r="L571" i="63"/>
  <c r="AM571" i="63" s="1"/>
  <c r="L570" i="63"/>
  <c r="AM570" i="63" s="1"/>
  <c r="L569" i="63"/>
  <c r="AM569" i="63" s="1"/>
  <c r="L568" i="63"/>
  <c r="AM568" i="63" s="1"/>
  <c r="L567" i="63"/>
  <c r="AM567" i="63" s="1"/>
  <c r="L566" i="63"/>
  <c r="AM566" i="63" s="1"/>
  <c r="L565" i="63"/>
  <c r="AM565" i="63" s="1"/>
  <c r="L564" i="63"/>
  <c r="AM564" i="63" s="1"/>
  <c r="L563" i="63"/>
  <c r="AM563" i="63" s="1"/>
  <c r="L562" i="63"/>
  <c r="AM562" i="63" s="1"/>
  <c r="L561" i="63"/>
  <c r="AM561" i="63" s="1"/>
  <c r="L560" i="63"/>
  <c r="AM560" i="63" s="1"/>
  <c r="L559" i="63"/>
  <c r="AM559" i="63" s="1"/>
  <c r="L558" i="63"/>
  <c r="AM558" i="63" s="1"/>
  <c r="L557" i="63"/>
  <c r="AM557" i="63" s="1"/>
  <c r="L556" i="63"/>
  <c r="AM556" i="63" s="1"/>
  <c r="L555" i="63"/>
  <c r="AM555" i="63" s="1"/>
  <c r="L554" i="63"/>
  <c r="AM554" i="63" s="1"/>
  <c r="L553" i="63"/>
  <c r="AM553" i="63" s="1"/>
  <c r="L552" i="63"/>
  <c r="AM552" i="63" s="1"/>
  <c r="L551" i="63"/>
  <c r="AM551" i="63" s="1"/>
  <c r="L550" i="63"/>
  <c r="AM550" i="63" s="1"/>
  <c r="L549" i="63"/>
  <c r="AM549" i="63" s="1"/>
  <c r="L548" i="63"/>
  <c r="AM548" i="63" s="1"/>
  <c r="L547" i="63"/>
  <c r="AM547" i="63" s="1"/>
  <c r="L546" i="63"/>
  <c r="AM546" i="63" s="1"/>
  <c r="L545" i="63"/>
  <c r="AM545" i="63" s="1"/>
  <c r="L544" i="63"/>
  <c r="AM544" i="63" s="1"/>
  <c r="L543" i="63"/>
  <c r="L542" i="63"/>
  <c r="L541" i="63"/>
  <c r="L540" i="63"/>
  <c r="L539" i="63"/>
  <c r="L538" i="63"/>
  <c r="L537" i="63"/>
  <c r="L536" i="63"/>
  <c r="AM536" i="63" s="1"/>
  <c r="L535" i="63"/>
  <c r="L534" i="63"/>
  <c r="L533" i="63"/>
  <c r="L532" i="63"/>
  <c r="L531" i="63"/>
  <c r="L530" i="63"/>
  <c r="L529" i="63"/>
  <c r="L528" i="63"/>
  <c r="AM528" i="63" s="1"/>
  <c r="L527" i="63"/>
  <c r="L526" i="63"/>
  <c r="L525" i="63"/>
  <c r="L524" i="63"/>
  <c r="L523" i="63"/>
  <c r="L522" i="63"/>
  <c r="L521" i="63"/>
  <c r="L520" i="63"/>
  <c r="AM520" i="63" s="1"/>
  <c r="L519" i="63"/>
  <c r="L518" i="63"/>
  <c r="L517" i="63"/>
  <c r="L516" i="63"/>
  <c r="L515" i="63"/>
  <c r="L514" i="63"/>
  <c r="L513" i="63"/>
  <c r="L512" i="63"/>
  <c r="AM512" i="63" s="1"/>
  <c r="L511" i="63"/>
  <c r="L510" i="63"/>
  <c r="L509" i="63"/>
  <c r="L508" i="63"/>
  <c r="L507" i="63"/>
  <c r="L506" i="63"/>
  <c r="L505" i="63"/>
  <c r="L504" i="63"/>
  <c r="AM504" i="63" s="1"/>
  <c r="L503" i="63"/>
  <c r="L502" i="63"/>
  <c r="L501" i="63"/>
  <c r="L500" i="63"/>
  <c r="L499" i="63"/>
  <c r="L498" i="63"/>
  <c r="L497" i="63"/>
  <c r="L496" i="63"/>
  <c r="AM496" i="63" s="1"/>
  <c r="L495" i="63"/>
  <c r="L494" i="63"/>
  <c r="L493" i="63"/>
  <c r="L492" i="63"/>
  <c r="L491" i="63"/>
  <c r="L15" i="63"/>
  <c r="AM15" i="63" s="1"/>
  <c r="AA543" i="63"/>
  <c r="AA542" i="63"/>
  <c r="AA541" i="63"/>
  <c r="AA540" i="63"/>
  <c r="AA539" i="63"/>
  <c r="AA538" i="63"/>
  <c r="AA537" i="63"/>
  <c r="AA536" i="63"/>
  <c r="AA535" i="63"/>
  <c r="AA534" i="63"/>
  <c r="AA533" i="63"/>
  <c r="AA532" i="63"/>
  <c r="AA531" i="63"/>
  <c r="AA530" i="63"/>
  <c r="AA529" i="63"/>
  <c r="AA528" i="63"/>
  <c r="AA527" i="63"/>
  <c r="AA526" i="63"/>
  <c r="AA525" i="63"/>
  <c r="AA524" i="63"/>
  <c r="AA523" i="63"/>
  <c r="AA522" i="63"/>
  <c r="AA521" i="63"/>
  <c r="AA520" i="63"/>
  <c r="AA519" i="63"/>
  <c r="AA518" i="63"/>
  <c r="AA517" i="63"/>
  <c r="AA516" i="63"/>
  <c r="AA515" i="63"/>
  <c r="AA514" i="63"/>
  <c r="AA513" i="63"/>
  <c r="AA512" i="63"/>
  <c r="AA511" i="63"/>
  <c r="AA510" i="63"/>
  <c r="AA509" i="63"/>
  <c r="AA508" i="63"/>
  <c r="AA507" i="63"/>
  <c r="AA506" i="63"/>
  <c r="AA505" i="63"/>
  <c r="AA504" i="63"/>
  <c r="AA503" i="63"/>
  <c r="AA502" i="63"/>
  <c r="AA501" i="63"/>
  <c r="AA500" i="63"/>
  <c r="AA499" i="63"/>
  <c r="AA498" i="63"/>
  <c r="AA497" i="63"/>
  <c r="AA496" i="63"/>
  <c r="AA495" i="63"/>
  <c r="AA494" i="63"/>
  <c r="AA493" i="63"/>
  <c r="AA492" i="63"/>
  <c r="AA491" i="63"/>
  <c r="AA15" i="63"/>
  <c r="AD15" i="63" s="1"/>
  <c r="AC543" i="63"/>
  <c r="AC542" i="63"/>
  <c r="AC541" i="63"/>
  <c r="AC540" i="63"/>
  <c r="AC539" i="63"/>
  <c r="AC538" i="63"/>
  <c r="AC537" i="63"/>
  <c r="AC536" i="63"/>
  <c r="AC535" i="63"/>
  <c r="AC534" i="63"/>
  <c r="AC533" i="63"/>
  <c r="AC532" i="63"/>
  <c r="AC531" i="63"/>
  <c r="AC530" i="63"/>
  <c r="AC529" i="63"/>
  <c r="AC528" i="63"/>
  <c r="AC527" i="63"/>
  <c r="AC526" i="63"/>
  <c r="AC525" i="63"/>
  <c r="AC524" i="63"/>
  <c r="AC523" i="63"/>
  <c r="AC522" i="63"/>
  <c r="AC521" i="63"/>
  <c r="AC520" i="63"/>
  <c r="AC519" i="63"/>
  <c r="AC518" i="63"/>
  <c r="AC517" i="63"/>
  <c r="AC516" i="63"/>
  <c r="AC515" i="63"/>
  <c r="AC514" i="63"/>
  <c r="AC513" i="63"/>
  <c r="AC512" i="63"/>
  <c r="AC511" i="63"/>
  <c r="AC510" i="63"/>
  <c r="AC509" i="63"/>
  <c r="AC508" i="63"/>
  <c r="AC507" i="63"/>
  <c r="AC506" i="63"/>
  <c r="AC505" i="63"/>
  <c r="AC504" i="63"/>
  <c r="AC503" i="63"/>
  <c r="AC502" i="63"/>
  <c r="AC501" i="63"/>
  <c r="AC500" i="63"/>
  <c r="AC499" i="63"/>
  <c r="AC498" i="63"/>
  <c r="AC497" i="63"/>
  <c r="AC496" i="63"/>
  <c r="AC495" i="63"/>
  <c r="AC494" i="63"/>
  <c r="AC493" i="63"/>
  <c r="AC492" i="63"/>
  <c r="AC491" i="63"/>
  <c r="AC15" i="63"/>
  <c r="Q15" i="63"/>
  <c r="P3" i="63"/>
  <c r="AC8" i="63"/>
  <c r="AC9" i="63" s="1"/>
  <c r="AA2" i="63"/>
  <c r="CC2" i="64"/>
  <c r="CB2" i="64"/>
  <c r="CI2" i="64"/>
  <c r="AW2" i="64"/>
  <c r="CO2" i="64"/>
  <c r="CK2" i="64"/>
  <c r="AQ2" i="64"/>
  <c r="CG2" i="64"/>
  <c r="AJ2" i="64"/>
  <c r="N2" i="64"/>
  <c r="B89" i="64"/>
  <c r="Y2" i="64" s="1"/>
  <c r="B65" i="64"/>
  <c r="BF2" i="64" s="1"/>
  <c r="V2" i="64" l="1"/>
  <c r="AD222" i="37"/>
  <c r="AM222" i="37" s="1" a="1"/>
  <c r="AM222" i="37" s="1"/>
  <c r="AJ222" i="37"/>
  <c r="AG223" i="37"/>
  <c r="AL222" i="37" a="1"/>
  <c r="AL222" i="37" s="1"/>
  <c r="AH222" i="37" a="1"/>
  <c r="AH222" i="37" s="1"/>
  <c r="AB6" i="63"/>
  <c r="AA9" i="63" s="1"/>
  <c r="Y9" i="63" s="1"/>
  <c r="J23" i="98"/>
  <c r="B98" i="64"/>
  <c r="BD2" i="64" s="1"/>
  <c r="BC2" i="64"/>
  <c r="BM2" i="64"/>
  <c r="AA8" i="63"/>
  <c r="Y8" i="63" s="1"/>
  <c r="AD6" i="63"/>
  <c r="AM515" i="63"/>
  <c r="CH2" i="64"/>
  <c r="AM523" i="63"/>
  <c r="AM510" i="63"/>
  <c r="AM531" i="63"/>
  <c r="AM539" i="63"/>
  <c r="AM494" i="63"/>
  <c r="AM507" i="63"/>
  <c r="AM511" i="63"/>
  <c r="AM527" i="63"/>
  <c r="AM543" i="63"/>
  <c r="AM499" i="63"/>
  <c r="AM506" i="63"/>
  <c r="AM491" i="63"/>
  <c r="AM525" i="63"/>
  <c r="AM509" i="63"/>
  <c r="AM533" i="63"/>
  <c r="AM493" i="63"/>
  <c r="AM540" i="63"/>
  <c r="AM517" i="63"/>
  <c r="AM541" i="63"/>
  <c r="AM501" i="63"/>
  <c r="AM508" i="63"/>
  <c r="AM524" i="63"/>
  <c r="AM500" i="63"/>
  <c r="AM532" i="63"/>
  <c r="AM516" i="63"/>
  <c r="AM503" i="63"/>
  <c r="AM492" i="63"/>
  <c r="AM519" i="63"/>
  <c r="AM535" i="63"/>
  <c r="AM505" i="63"/>
  <c r="AM538" i="63"/>
  <c r="AM530" i="63"/>
  <c r="AM497" i="63"/>
  <c r="AM529" i="63"/>
  <c r="AM521" i="63"/>
  <c r="AM514" i="63"/>
  <c r="AM522" i="63"/>
  <c r="AM498" i="63"/>
  <c r="AM502" i="63"/>
  <c r="AM518" i="63"/>
  <c r="AM526" i="63"/>
  <c r="AM534" i="63"/>
  <c r="AM542" i="63"/>
  <c r="AM513" i="63"/>
  <c r="AM537" i="63"/>
  <c r="AM495" i="63"/>
  <c r="AB495" i="63"/>
  <c r="AB503" i="63"/>
  <c r="AB519" i="63"/>
  <c r="AB527" i="63"/>
  <c r="AB543" i="63"/>
  <c r="AB511" i="63"/>
  <c r="AB538" i="63"/>
  <c r="AB528" i="63"/>
  <c r="AB536" i="63"/>
  <c r="AB537" i="63"/>
  <c r="AB529" i="63"/>
  <c r="AB498" i="63"/>
  <c r="AB502" i="63"/>
  <c r="AB506" i="63"/>
  <c r="AB499" i="63"/>
  <c r="AB531" i="63"/>
  <c r="AB535" i="63"/>
  <c r="AB496" i="63"/>
  <c r="AB504" i="63"/>
  <c r="AB512" i="63"/>
  <c r="AB520" i="63"/>
  <c r="AB505" i="63"/>
  <c r="AB510" i="63"/>
  <c r="AB497" i="63"/>
  <c r="AB513" i="63"/>
  <c r="AB517" i="63"/>
  <c r="AB524" i="63"/>
  <c r="AB491" i="63"/>
  <c r="AB516" i="63"/>
  <c r="AB523" i="63"/>
  <c r="AB530" i="63"/>
  <c r="AB534" i="63"/>
  <c r="AB507" i="63"/>
  <c r="AB514" i="63"/>
  <c r="AB518" i="63"/>
  <c r="AB521" i="63"/>
  <c r="AB525" i="63"/>
  <c r="AB532" i="63"/>
  <c r="AB542" i="63"/>
  <c r="AB494" i="63"/>
  <c r="AB508" i="63"/>
  <c r="AB515" i="63"/>
  <c r="AB522" i="63"/>
  <c r="AB526" i="63"/>
  <c r="AB533" i="63"/>
  <c r="AB539" i="63"/>
  <c r="AB492" i="63"/>
  <c r="AB501" i="63"/>
  <c r="AB541" i="63"/>
  <c r="AB500" i="63"/>
  <c r="AB509" i="63"/>
  <c r="AB540" i="63"/>
  <c r="AB493" i="63"/>
  <c r="AB15" i="63"/>
  <c r="BG2" i="64"/>
  <c r="B64" i="64"/>
  <c r="B85" i="64" s="1"/>
  <c r="H2" i="64"/>
  <c r="Z9" i="63" l="1"/>
  <c r="AI222" i="37" a="1"/>
  <c r="AI222" i="37" s="1"/>
  <c r="AH223" i="37" a="1"/>
  <c r="AH223" i="37" s="1"/>
  <c r="AL223" i="37" a="1"/>
  <c r="AL223" i="37" s="1"/>
  <c r="AG236" i="37"/>
  <c r="AJ223" i="37"/>
  <c r="AD223" i="37"/>
  <c r="AM223" i="37" s="1" a="1"/>
  <c r="AM223" i="37" s="1"/>
  <c r="Z502" i="63"/>
  <c r="Z542" i="63"/>
  <c r="Z500" i="63"/>
  <c r="Z512" i="63"/>
  <c r="Z492" i="63"/>
  <c r="Z498" i="63"/>
  <c r="Z509" i="63"/>
  <c r="Z501" i="63"/>
  <c r="Z520" i="63"/>
  <c r="Z493" i="63"/>
  <c r="Z530" i="63"/>
  <c r="Z15" i="63"/>
  <c r="Z531" i="63"/>
  <c r="AF2" i="64"/>
  <c r="Z534" i="63"/>
  <c r="Z523" i="63"/>
  <c r="Z495" i="63"/>
  <c r="Z504" i="63"/>
  <c r="Z522" i="63"/>
  <c r="Z526" i="63"/>
  <c r="Z505" i="63"/>
  <c r="Z518" i="63"/>
  <c r="Z514" i="63"/>
  <c r="Z516" i="63"/>
  <c r="Z543" i="63"/>
  <c r="Z536" i="63"/>
  <c r="Z528" i="63"/>
  <c r="Z508" i="63"/>
  <c r="J24" i="98"/>
  <c r="Z499" i="63"/>
  <c r="Z506" i="63"/>
  <c r="Z525" i="63"/>
  <c r="Z532" i="63"/>
  <c r="Z491" i="63"/>
  <c r="Z521" i="63"/>
  <c r="Z503" i="63"/>
  <c r="Y12" i="63"/>
  <c r="Z517" i="63"/>
  <c r="Z524" i="63"/>
  <c r="Z538" i="63"/>
  <c r="Z513" i="63"/>
  <c r="Z510" i="63"/>
  <c r="Z494" i="63"/>
  <c r="Z497" i="63"/>
  <c r="Z496" i="63"/>
  <c r="Z541" i="63"/>
  <c r="Z507" i="63"/>
  <c r="Z539" i="63"/>
  <c r="Z537" i="63"/>
  <c r="Z535" i="63"/>
  <c r="Z533" i="63"/>
  <c r="Z540" i="63"/>
  <c r="Z515" i="63"/>
  <c r="Z529" i="63"/>
  <c r="Z511" i="63"/>
  <c r="Z527" i="63"/>
  <c r="Z519" i="63"/>
  <c r="AE15" i="63"/>
  <c r="AF15" i="63" s="1"/>
  <c r="CJ2" i="64"/>
  <c r="BE2" i="64"/>
  <c r="AI223" i="37" l="1" a="1"/>
  <c r="AI223" i="37" s="1"/>
  <c r="AH236" i="37" a="1"/>
  <c r="AH236" i="37" s="1"/>
  <c r="AL236" i="37" a="1"/>
  <c r="AL236" i="37" s="1"/>
  <c r="AD236" i="37"/>
  <c r="AJ236" i="37"/>
  <c r="AG299" i="37"/>
  <c r="J25" i="98"/>
  <c r="G14" i="1"/>
  <c r="E8" i="3"/>
  <c r="F8" i="3" s="1"/>
  <c r="G8" i="3" s="1"/>
  <c r="F19" i="3"/>
  <c r="F18" i="3"/>
  <c r="F17" i="3"/>
  <c r="F16" i="3"/>
  <c r="F15" i="3"/>
  <c r="F14" i="3"/>
  <c r="F13" i="3"/>
  <c r="F12" i="3"/>
  <c r="F11" i="3"/>
  <c r="F10" i="3"/>
  <c r="F9" i="3"/>
  <c r="K1" i="18"/>
  <c r="K1" i="3"/>
  <c r="L1" i="4"/>
  <c r="L2" i="6"/>
  <c r="L2" i="20"/>
  <c r="J5" i="22"/>
  <c r="J4" i="15"/>
  <c r="I3" i="21"/>
  <c r="A9" i="1"/>
  <c r="O2" i="63"/>
  <c r="Q6" i="63"/>
  <c r="I9" i="6" l="1"/>
  <c r="AM236" i="37" a="1"/>
  <c r="AM236" i="37" s="1"/>
  <c r="AH299" i="37" a="1"/>
  <c r="AH299" i="37" s="1"/>
  <c r="AL299" i="37" a="1"/>
  <c r="AL299" i="37" s="1"/>
  <c r="AD299" i="37"/>
  <c r="AJ299" i="37"/>
  <c r="AG180" i="37"/>
  <c r="J26" i="98"/>
  <c r="P6" i="63"/>
  <c r="R6" i="63"/>
  <c r="AG71" i="37" l="1"/>
  <c r="AM299" i="37" a="1"/>
  <c r="AM299" i="37" s="1"/>
  <c r="AG93" i="37"/>
  <c r="AL180" i="37" a="1"/>
  <c r="AL180" i="37" s="1"/>
  <c r="AH180" i="37" a="1"/>
  <c r="AH180" i="37" s="1"/>
  <c r="AJ180" i="37"/>
  <c r="AD180" i="37"/>
  <c r="J27" i="98"/>
  <c r="H57" i="1"/>
  <c r="F11" i="1"/>
  <c r="AL71" i="37" l="1" a="1"/>
  <c r="AL71" i="37" s="1"/>
  <c r="AJ71" i="37"/>
  <c r="AD71" i="37"/>
  <c r="AM71" i="37" s="1" a="1"/>
  <c r="AM71" i="37" s="1"/>
  <c r="AH71" i="37" a="1"/>
  <c r="AH71" i="37" s="1"/>
  <c r="AG92" i="37"/>
  <c r="AL93" i="37" a="1"/>
  <c r="AL93" i="37" s="1"/>
  <c r="AH93" i="37" a="1"/>
  <c r="AH93" i="37" s="1"/>
  <c r="AJ93" i="37"/>
  <c r="AD93" i="37"/>
  <c r="AM180" i="37" a="1"/>
  <c r="AM180" i="37" s="1"/>
  <c r="J28" i="98"/>
  <c r="AM93" i="37" l="1" a="1"/>
  <c r="AM93" i="37" s="1"/>
  <c r="AL92" i="37" a="1"/>
  <c r="AL92" i="37" s="1"/>
  <c r="AH92" i="37" a="1"/>
  <c r="AH92" i="37" s="1"/>
  <c r="AJ92" i="37"/>
  <c r="AD92" i="37"/>
  <c r="AG155" i="37"/>
  <c r="J29" i="98"/>
  <c r="AM92" i="37" l="1" a="1"/>
  <c r="AM92" i="37" s="1"/>
  <c r="AJ155" i="37"/>
  <c r="AD155" i="37"/>
  <c r="AM155" i="37" s="1" a="1"/>
  <c r="AM155" i="37" s="1"/>
  <c r="AG230" i="37"/>
  <c r="AH155" i="37" a="1"/>
  <c r="AH155" i="37" s="1"/>
  <c r="AL155" i="37" a="1"/>
  <c r="AL155" i="37" s="1"/>
  <c r="J30" i="98"/>
  <c r="AI155" i="37" l="1" a="1"/>
  <c r="AI155" i="37" s="1"/>
  <c r="AH230" i="37" a="1"/>
  <c r="AH230" i="37" s="1"/>
  <c r="AD230" i="37"/>
  <c r="AI57" i="37" s="1" a="1"/>
  <c r="AI57" i="37" s="1"/>
  <c r="AJ230" i="37"/>
  <c r="AG235" i="37"/>
  <c r="J31" i="98"/>
  <c r="D14" i="1"/>
  <c r="I52" i="33"/>
  <c r="B37" i="33"/>
  <c r="C37" i="33" s="1"/>
  <c r="B24" i="33"/>
  <c r="O15" i="1"/>
  <c r="O12" i="1"/>
  <c r="O11" i="1"/>
  <c r="F5" i="58"/>
  <c r="F15" i="58"/>
  <c r="F14" i="58"/>
  <c r="F13" i="58"/>
  <c r="F12" i="58"/>
  <c r="AI299" i="37" l="1" a="1"/>
  <c r="AI299" i="37" s="1"/>
  <c r="AI30" i="37" a="1"/>
  <c r="AI30" i="37" s="1"/>
  <c r="AI71" i="37" a="1"/>
  <c r="AI71" i="37" s="1"/>
  <c r="AI93" i="37" a="1"/>
  <c r="AI93" i="37" s="1"/>
  <c r="AI92" i="37" a="1"/>
  <c r="AI92" i="37" s="1"/>
  <c r="AI300" i="37" a="1"/>
  <c r="AI300" i="37" s="1"/>
  <c r="AI180" i="37" a="1"/>
  <c r="AI180" i="37" s="1"/>
  <c r="AM230" i="37" a="1"/>
  <c r="AM230" i="37" s="1"/>
  <c r="AI219" i="37" a="1"/>
  <c r="AI219" i="37" s="1"/>
  <c r="AI230" i="37" a="1"/>
  <c r="AI230" i="37" s="1"/>
  <c r="AD235" i="37"/>
  <c r="AI236" i="37" s="1" a="1"/>
  <c r="AI236" i="37" s="1"/>
  <c r="AJ235" i="37"/>
  <c r="J32" i="98"/>
  <c r="O16" i="1"/>
  <c r="E7" i="35"/>
  <c r="F7" i="35" s="1"/>
  <c r="E6" i="35"/>
  <c r="F6" i="35" s="1"/>
  <c r="E5" i="35"/>
  <c r="F5" i="35" s="1"/>
  <c r="E4" i="35"/>
  <c r="F4" i="35" s="1"/>
  <c r="G4" i="18"/>
  <c r="H5" i="18" s="1"/>
  <c r="H46" i="4"/>
  <c r="I46" i="4" s="1"/>
  <c r="H45" i="4"/>
  <c r="I45" i="4" s="1"/>
  <c r="H44" i="4"/>
  <c r="I44" i="4" s="1"/>
  <c r="H43" i="4"/>
  <c r="I43" i="4" s="1"/>
  <c r="H42" i="4"/>
  <c r="I42" i="4" s="1"/>
  <c r="H39" i="4"/>
  <c r="I39" i="4" s="1"/>
  <c r="H38" i="4"/>
  <c r="I38" i="4" s="1"/>
  <c r="H36" i="4"/>
  <c r="I36" i="4" s="1"/>
  <c r="H35" i="4"/>
  <c r="I35" i="4" s="1"/>
  <c r="H33" i="4"/>
  <c r="I33" i="4" s="1"/>
  <c r="H32" i="4"/>
  <c r="I32" i="4" s="1"/>
  <c r="H30" i="4"/>
  <c r="I30" i="4" s="1"/>
  <c r="H26" i="4"/>
  <c r="I26" i="4" s="1"/>
  <c r="H22" i="4"/>
  <c r="I22" i="4" s="1"/>
  <c r="H21" i="4"/>
  <c r="I21" i="4" s="1"/>
  <c r="H20" i="4"/>
  <c r="I20" i="4" s="1"/>
  <c r="H19" i="4"/>
  <c r="I19" i="4" s="1"/>
  <c r="H15" i="4"/>
  <c r="I15" i="4" s="1"/>
  <c r="H25" i="4"/>
  <c r="G8" i="35" l="1"/>
  <c r="AH235" i="37" a="1"/>
  <c r="AH235" i="37" s="1"/>
  <c r="AI235" i="37" s="1" a="1"/>
  <c r="AI235" i="37" s="1"/>
  <c r="AM235" i="37" a="1"/>
  <c r="AM235" i="37" s="1"/>
  <c r="J33" i="98"/>
  <c r="J34" i="98" l="1"/>
  <c r="D3" i="4"/>
  <c r="G11" i="4" s="1"/>
  <c r="H11" i="4" s="1"/>
  <c r="E10" i="22"/>
  <c r="F10" i="22" s="1"/>
  <c r="F9" i="22"/>
  <c r="E7" i="22"/>
  <c r="F7" i="22" s="1"/>
  <c r="E6" i="22"/>
  <c r="F6" i="22" s="1"/>
  <c r="E5" i="22"/>
  <c r="F5" i="22" s="1"/>
  <c r="E7" i="15"/>
  <c r="F7" i="15" s="1"/>
  <c r="E6" i="15"/>
  <c r="F6" i="15" s="1"/>
  <c r="E5" i="15"/>
  <c r="F5" i="15" s="1"/>
  <c r="G8" i="15" l="1"/>
  <c r="J35" i="98"/>
  <c r="F6" i="4"/>
  <c r="H6" i="4" s="1"/>
  <c r="I6" i="4" s="1"/>
  <c r="F5" i="4"/>
  <c r="H5" i="4" s="1"/>
  <c r="I5" i="4" s="1"/>
  <c r="F4" i="4"/>
  <c r="H4" i="4" s="1"/>
  <c r="G11" i="22"/>
  <c r="I4" i="4" l="1"/>
  <c r="J12" i="4"/>
  <c r="J36" i="98"/>
  <c r="G5" i="21"/>
  <c r="J37" i="98" l="1"/>
  <c r="F47" i="1"/>
  <c r="F16" i="1"/>
  <c r="Q3" i="63"/>
  <c r="R3" i="63" s="1"/>
  <c r="B1" i="1"/>
  <c r="F19" i="1" s="1"/>
  <c r="B21" i="1" s="1"/>
  <c r="C1" i="1"/>
  <c r="D1" i="1"/>
  <c r="I9" i="1" l="1"/>
  <c r="J38" i="98"/>
  <c r="C22" i="1"/>
  <c r="H22" i="1" s="1"/>
  <c r="G8" i="1"/>
  <c r="F22" i="1"/>
  <c r="B59" i="1"/>
  <c r="J39" i="98" l="1"/>
  <c r="O3" i="63"/>
  <c r="O6" i="63"/>
  <c r="J40" i="98" l="1"/>
  <c r="P4" i="63"/>
  <c r="P5" i="63" s="1"/>
  <c r="AB4" i="63"/>
  <c r="AA4" i="63" s="1"/>
  <c r="AG2" i="64"/>
  <c r="N12" i="63"/>
  <c r="AC4" i="63"/>
  <c r="AD4" i="63"/>
  <c r="R4" i="63"/>
  <c r="R5" i="63" s="1"/>
  <c r="Q4" i="63"/>
  <c r="Q5" i="63" s="1"/>
  <c r="E80" i="1"/>
  <c r="G81" i="1"/>
  <c r="D81" i="1"/>
  <c r="B19" i="1"/>
  <c r="J41" i="98" l="1"/>
  <c r="O4" i="63"/>
  <c r="C7" i="1"/>
  <c r="E7" i="1" s="1"/>
  <c r="E10" i="1" s="1"/>
  <c r="G6" i="1"/>
  <c r="AA25" i="57"/>
  <c r="O5" i="63"/>
  <c r="J42" i="98" l="1"/>
  <c r="V15" i="63"/>
  <c r="O15" i="63"/>
  <c r="P7" i="63"/>
  <c r="B15" i="63"/>
  <c r="E15" i="63" s="1"/>
  <c r="J15" i="63" s="1"/>
  <c r="D4" i="63"/>
  <c r="C5" i="63" s="1"/>
  <c r="C15" i="63" s="1"/>
  <c r="J43" i="98" l="1"/>
  <c r="AN15" i="63"/>
  <c r="AP15" i="63"/>
  <c r="R15" i="63"/>
  <c r="P15" i="63"/>
  <c r="AI15" i="63" s="1"/>
  <c r="C11" i="62"/>
  <c r="C9" i="62"/>
  <c r="C8" i="62"/>
  <c r="C7" i="62"/>
  <c r="C10" i="62"/>
  <c r="C5" i="62"/>
  <c r="C4" i="62"/>
  <c r="C3" i="62"/>
  <c r="J44" i="98" l="1"/>
  <c r="S15" i="63"/>
  <c r="T15" i="63" s="1"/>
  <c r="D15" i="63"/>
  <c r="K15" i="63" s="1"/>
  <c r="I15" i="63"/>
  <c r="AS15" i="63"/>
  <c r="AT15" i="63" s="1"/>
  <c r="U15" i="63"/>
  <c r="C6" i="62"/>
  <c r="J45" i="98" l="1"/>
  <c r="C16" i="63"/>
  <c r="B16" i="63"/>
  <c r="E16" i="63" s="1"/>
  <c r="J16" i="63" s="1"/>
  <c r="J46" i="98" l="1"/>
  <c r="D16" i="63"/>
  <c r="I16" i="63" s="1"/>
  <c r="J47" i="98" l="1"/>
  <c r="K16" i="63"/>
  <c r="C17" i="63" s="1"/>
  <c r="AO213" i="37" l="1" a="1"/>
  <c r="AO213" i="37" s="1"/>
  <c r="AQ213" i="37" a="1"/>
  <c r="AQ213" i="37" s="1"/>
  <c r="AP213" i="37" a="1"/>
  <c r="AP213" i="37" s="1"/>
  <c r="AK223" i="37"/>
  <c r="AK222" i="37"/>
  <c r="J48" i="98"/>
  <c r="B17" i="63"/>
  <c r="E17" i="63" s="1"/>
  <c r="D17" i="63" s="1"/>
  <c r="A16" i="63"/>
  <c r="L25" i="57" l="1"/>
  <c r="J49" i="98"/>
  <c r="X16" i="63"/>
  <c r="J17" i="63"/>
  <c r="I17" i="63"/>
  <c r="K17" i="63"/>
  <c r="C18" i="63" s="1"/>
  <c r="J50" i="98" l="1"/>
  <c r="B18" i="63"/>
  <c r="E18" i="63" s="1"/>
  <c r="A17" i="63"/>
  <c r="J51" i="98" l="1"/>
  <c r="X17" i="63"/>
  <c r="D18" i="63"/>
  <c r="J18" i="63"/>
  <c r="J52" i="98" l="1"/>
  <c r="I18" i="63"/>
  <c r="K18" i="63"/>
  <c r="C19" i="63" s="1"/>
  <c r="J53" i="98" l="1"/>
  <c r="B19" i="63"/>
  <c r="E19" i="63" s="1"/>
  <c r="A18" i="63"/>
  <c r="J54" i="98" l="1"/>
  <c r="X18" i="63"/>
  <c r="J19" i="63"/>
  <c r="D19" i="63"/>
  <c r="AL300" i="37" l="1" a="1"/>
  <c r="AL300" i="37" s="1"/>
  <c r="J55" i="98"/>
  <c r="I19" i="63"/>
  <c r="K19" i="63"/>
  <c r="C20" i="63" s="1"/>
  <c r="J56" i="98" l="1"/>
  <c r="B20" i="63"/>
  <c r="E20" i="63" s="1"/>
  <c r="A19" i="63"/>
  <c r="X25" i="57"/>
  <c r="J57" i="98" l="1"/>
  <c r="X19" i="63"/>
  <c r="D20" i="63"/>
  <c r="J20" i="63"/>
  <c r="J58" i="98" l="1"/>
  <c r="I20" i="63"/>
  <c r="K20" i="63"/>
  <c r="C21" i="63" s="1"/>
  <c r="C25" i="57"/>
  <c r="E13" i="59"/>
  <c r="J59" i="98" l="1"/>
  <c r="B21" i="63"/>
  <c r="E21" i="63" s="1"/>
  <c r="A20" i="63"/>
  <c r="H13" i="59"/>
  <c r="J60" i="98" l="1"/>
  <c r="X20" i="63"/>
  <c r="D21" i="63"/>
  <c r="J21" i="63"/>
  <c r="E3" i="59"/>
  <c r="C4" i="59"/>
  <c r="H53" i="4"/>
  <c r="H52" i="4"/>
  <c r="E23" i="16"/>
  <c r="D79" i="1"/>
  <c r="D77" i="1"/>
  <c r="D78" i="1" s="1"/>
  <c r="E77" i="1"/>
  <c r="E78" i="1" s="1"/>
  <c r="E79" i="1" s="1"/>
  <c r="F6" i="20"/>
  <c r="F37" i="6"/>
  <c r="F36" i="6"/>
  <c r="F35" i="6"/>
  <c r="F34" i="6"/>
  <c r="F33" i="6"/>
  <c r="F29" i="6"/>
  <c r="F28" i="6"/>
  <c r="F27" i="6"/>
  <c r="F26" i="6"/>
  <c r="F25" i="6"/>
  <c r="F24" i="6"/>
  <c r="F23" i="6"/>
  <c r="F22" i="6"/>
  <c r="F21" i="6"/>
  <c r="F20" i="6"/>
  <c r="F19" i="6"/>
  <c r="F18" i="6"/>
  <c r="F17" i="6"/>
  <c r="F16" i="6"/>
  <c r="F15" i="6"/>
  <c r="F14" i="6"/>
  <c r="F13" i="6"/>
  <c r="F11" i="6"/>
  <c r="F12" i="6"/>
  <c r="G19" i="3"/>
  <c r="G18" i="3"/>
  <c r="G17" i="3"/>
  <c r="G16" i="3"/>
  <c r="G15" i="3"/>
  <c r="G14" i="3"/>
  <c r="G13" i="3"/>
  <c r="G12" i="3"/>
  <c r="G11" i="3"/>
  <c r="G9" i="3"/>
  <c r="E28" i="15"/>
  <c r="F28" i="15" s="1"/>
  <c r="E27" i="15"/>
  <c r="F27" i="15" s="1"/>
  <c r="E26" i="15"/>
  <c r="F26" i="15" s="1"/>
  <c r="E25" i="15"/>
  <c r="F25" i="15" s="1"/>
  <c r="E24" i="15"/>
  <c r="F24" i="15" s="1"/>
  <c r="F5" i="56"/>
  <c r="C5" i="56" s="1"/>
  <c r="G18" i="4"/>
  <c r="H18" i="4" s="1"/>
  <c r="I18" i="4" s="1"/>
  <c r="G17" i="4"/>
  <c r="H17" i="4" s="1"/>
  <c r="G31" i="4"/>
  <c r="H31" i="4" s="1"/>
  <c r="I31" i="4" s="1"/>
  <c r="G28" i="4"/>
  <c r="H28" i="4" s="1"/>
  <c r="I28" i="4" s="1"/>
  <c r="F20" i="58"/>
  <c r="F19" i="58"/>
  <c r="F18" i="58"/>
  <c r="F17" i="58"/>
  <c r="F16" i="58"/>
  <c r="E22" i="16"/>
  <c r="I17" i="4" l="1"/>
  <c r="J61" i="98"/>
  <c r="G6" i="20"/>
  <c r="H42" i="1"/>
  <c r="G27" i="58"/>
  <c r="I21" i="63"/>
  <c r="K21" i="63"/>
  <c r="C22" i="63" s="1"/>
  <c r="C13" i="59"/>
  <c r="I14" i="59"/>
  <c r="F14" i="59"/>
  <c r="C14" i="59"/>
  <c r="L3" i="59"/>
  <c r="M4" i="59" s="1"/>
  <c r="I13" i="59" s="1"/>
  <c r="H3" i="59"/>
  <c r="I4" i="59" s="1"/>
  <c r="F4" i="59"/>
  <c r="F13" i="59" s="1"/>
  <c r="D27" i="1"/>
  <c r="F72" i="1"/>
  <c r="B28" i="1" s="1"/>
  <c r="FA17" i="37"/>
  <c r="EZ17" i="37"/>
  <c r="EY17" i="37"/>
  <c r="EX17" i="37"/>
  <c r="EW17" i="37"/>
  <c r="EV17" i="37"/>
  <c r="EU17" i="37"/>
  <c r="ET17" i="37"/>
  <c r="ES17" i="37"/>
  <c r="ER17" i="37"/>
  <c r="EQ17" i="37"/>
  <c r="EP17" i="37"/>
  <c r="EO17" i="37"/>
  <c r="EN17" i="37"/>
  <c r="EM17" i="37"/>
  <c r="EL17" i="37"/>
  <c r="EK17" i="37"/>
  <c r="EJ17" i="37"/>
  <c r="EI17" i="37"/>
  <c r="EH17" i="37"/>
  <c r="EG17" i="37"/>
  <c r="EF17" i="37"/>
  <c r="EE17" i="37"/>
  <c r="ED17" i="37"/>
  <c r="EC17" i="37"/>
  <c r="EB17" i="37"/>
  <c r="EA17" i="37"/>
  <c r="DZ17" i="37"/>
  <c r="DY17" i="37"/>
  <c r="DX17" i="37"/>
  <c r="DW17" i="37"/>
  <c r="DV17" i="37"/>
  <c r="DU17" i="37"/>
  <c r="DT17" i="37"/>
  <c r="DS17" i="37"/>
  <c r="DR17" i="37"/>
  <c r="DQ17" i="37"/>
  <c r="DP17" i="37"/>
  <c r="DO17" i="37"/>
  <c r="DN17" i="37"/>
  <c r="DM17" i="37"/>
  <c r="DL17" i="37"/>
  <c r="DK17" i="37"/>
  <c r="DJ17" i="37"/>
  <c r="DI17" i="37"/>
  <c r="DH17" i="37"/>
  <c r="DG17" i="37"/>
  <c r="DF17" i="37"/>
  <c r="DE17" i="37"/>
  <c r="DD17" i="37"/>
  <c r="DC17" i="37"/>
  <c r="DB17" i="37"/>
  <c r="DA17" i="37"/>
  <c r="CZ17" i="37"/>
  <c r="CY17" i="37"/>
  <c r="CX17" i="37"/>
  <c r="CW17" i="37"/>
  <c r="CV17" i="37"/>
  <c r="CU17" i="37"/>
  <c r="CT17" i="37"/>
  <c r="CS17" i="37"/>
  <c r="CR17" i="37"/>
  <c r="CQ17" i="37"/>
  <c r="CP17" i="37"/>
  <c r="CO17" i="37"/>
  <c r="CN17" i="37"/>
  <c r="CM17" i="37"/>
  <c r="CL17" i="37"/>
  <c r="CK17" i="37"/>
  <c r="CJ17" i="37"/>
  <c r="CI17" i="37"/>
  <c r="CH17" i="37"/>
  <c r="CG17" i="37"/>
  <c r="CF17" i="37"/>
  <c r="CE17" i="37"/>
  <c r="CD17" i="37"/>
  <c r="CC17" i="37"/>
  <c r="CB17" i="37"/>
  <c r="CA17" i="37"/>
  <c r="BZ17" i="37"/>
  <c r="BY17" i="37"/>
  <c r="BX17" i="37"/>
  <c r="BW17" i="37"/>
  <c r="BV17" i="37"/>
  <c r="F24" i="58"/>
  <c r="F23" i="58"/>
  <c r="F22" i="58"/>
  <c r="F21" i="58"/>
  <c r="C8" i="55"/>
  <c r="C11" i="56"/>
  <c r="C10" i="56"/>
  <c r="C9" i="56"/>
  <c r="C8" i="56"/>
  <c r="C7" i="56"/>
  <c r="C6" i="56"/>
  <c r="C4" i="56"/>
  <c r="C3" i="56"/>
  <c r="C11" i="55"/>
  <c r="C10" i="55"/>
  <c r="C9" i="55"/>
  <c r="C7" i="55"/>
  <c r="C6" i="55"/>
  <c r="C5" i="55"/>
  <c r="C4" i="55"/>
  <c r="C3" i="55"/>
  <c r="C11" i="54"/>
  <c r="C10" i="54"/>
  <c r="C9" i="54"/>
  <c r="C8" i="54"/>
  <c r="C7" i="54"/>
  <c r="C6" i="54"/>
  <c r="C5" i="54"/>
  <c r="C4" i="54"/>
  <c r="C3" i="54"/>
  <c r="B37" i="1" l="1"/>
  <c r="B31" i="1"/>
  <c r="B34" i="1"/>
  <c r="B35" i="1"/>
  <c r="B33" i="1"/>
  <c r="B32" i="1"/>
  <c r="B41" i="1"/>
  <c r="B40" i="1"/>
  <c r="B36" i="1"/>
  <c r="B38" i="1"/>
  <c r="B39" i="1"/>
  <c r="J16" i="59"/>
  <c r="J62" i="98"/>
  <c r="B22" i="63"/>
  <c r="E22" i="63" s="1"/>
  <c r="A21" i="63"/>
  <c r="G16" i="59"/>
  <c r="K14" i="59"/>
  <c r="D16" i="59"/>
  <c r="K13" i="59"/>
  <c r="N6" i="59"/>
  <c r="C6" i="53"/>
  <c r="C11" i="53"/>
  <c r="C10" i="53"/>
  <c r="C9" i="53"/>
  <c r="C8" i="53"/>
  <c r="C5" i="53"/>
  <c r="C4" i="53"/>
  <c r="C3" i="53"/>
  <c r="C42" i="1" l="1"/>
  <c r="K41" i="1" s="1"/>
  <c r="K17" i="59"/>
  <c r="B29" i="1" s="1"/>
  <c r="H29" i="1" s="1"/>
  <c r="J63" i="98"/>
  <c r="X21" i="63"/>
  <c r="J22" i="63"/>
  <c r="D22" i="63"/>
  <c r="C7" i="53"/>
  <c r="E33" i="35"/>
  <c r="F33" i="35" s="1"/>
  <c r="E32" i="35"/>
  <c r="F32" i="35" s="1"/>
  <c r="E30" i="35"/>
  <c r="F30" i="35" s="1"/>
  <c r="E29" i="35"/>
  <c r="F29" i="35" s="1"/>
  <c r="F44" i="20"/>
  <c r="F43" i="20"/>
  <c r="G43" i="20" s="1"/>
  <c r="F42" i="20"/>
  <c r="G42" i="20" s="1"/>
  <c r="F41" i="20"/>
  <c r="G41" i="20" s="1"/>
  <c r="E21" i="16"/>
  <c r="F40" i="20"/>
  <c r="G40" i="20" s="1"/>
  <c r="E20" i="16"/>
  <c r="E19" i="16"/>
  <c r="F39" i="20"/>
  <c r="G39" i="20" s="1"/>
  <c r="F37" i="20"/>
  <c r="G37" i="20" s="1"/>
  <c r="F36" i="20"/>
  <c r="G36" i="20" s="1"/>
  <c r="E30" i="22"/>
  <c r="F30" i="22" s="1"/>
  <c r="E29" i="22"/>
  <c r="F29" i="22" s="1"/>
  <c r="E28" i="22"/>
  <c r="F28" i="22" s="1"/>
  <c r="E27" i="22"/>
  <c r="F27" i="22" s="1"/>
  <c r="E26" i="22"/>
  <c r="F26" i="22" s="1"/>
  <c r="E25" i="22"/>
  <c r="F25" i="22" s="1"/>
  <c r="E24" i="22"/>
  <c r="F24" i="22" s="1"/>
  <c r="E23" i="22"/>
  <c r="F23" i="22" s="1"/>
  <c r="E22" i="22"/>
  <c r="F22" i="22" s="1"/>
  <c r="E21" i="22"/>
  <c r="F21" i="22" s="1"/>
  <c r="E20" i="22"/>
  <c r="F20" i="22" s="1"/>
  <c r="E19" i="22"/>
  <c r="E18" i="16"/>
  <c r="E17" i="16"/>
  <c r="E16" i="16"/>
  <c r="E15" i="16"/>
  <c r="E14" i="16"/>
  <c r="E13" i="16"/>
  <c r="E9" i="16"/>
  <c r="E8" i="16"/>
  <c r="E7" i="16"/>
  <c r="E6" i="16"/>
  <c r="E5" i="16"/>
  <c r="E4" i="16"/>
  <c r="G9" i="13"/>
  <c r="G8" i="13"/>
  <c r="G11" i="13"/>
  <c r="G13" i="13"/>
  <c r="G7" i="13"/>
  <c r="G6" i="13"/>
  <c r="D5" i="13"/>
  <c r="G5" i="13" s="1"/>
  <c r="G4" i="13"/>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7" i="18"/>
  <c r="H18" i="18" s="1"/>
  <c r="G16" i="18"/>
  <c r="G15" i="18"/>
  <c r="G14" i="18"/>
  <c r="G13" i="18"/>
  <c r="G12" i="18"/>
  <c r="G10" i="18"/>
  <c r="G9" i="18"/>
  <c r="G8" i="18"/>
  <c r="B3" i="3"/>
  <c r="B4" i="3" s="1"/>
  <c r="D4" i="3" s="1"/>
  <c r="F4" i="3" s="1"/>
  <c r="G34" i="4"/>
  <c r="H34" i="4" s="1"/>
  <c r="I34" i="4" s="1"/>
  <c r="G27" i="4"/>
  <c r="H27" i="4" s="1"/>
  <c r="D51" i="4"/>
  <c r="H51" i="4" s="1"/>
  <c r="J54" i="4" s="1"/>
  <c r="F48" i="6"/>
  <c r="G48" i="6" s="1"/>
  <c r="F47" i="6"/>
  <c r="G47" i="6" s="1"/>
  <c r="F46" i="6"/>
  <c r="G46" i="6" s="1"/>
  <c r="F45" i="6"/>
  <c r="G45" i="6" s="1"/>
  <c r="F44" i="6"/>
  <c r="G44" i="6" s="1"/>
  <c r="F43" i="6"/>
  <c r="G37" i="6"/>
  <c r="G35" i="6"/>
  <c r="G34" i="6"/>
  <c r="G33" i="6"/>
  <c r="G29" i="6"/>
  <c r="G28" i="6"/>
  <c r="G27" i="6"/>
  <c r="G26" i="6"/>
  <c r="G25" i="6"/>
  <c r="G24" i="6"/>
  <c r="G23" i="6"/>
  <c r="G22" i="6"/>
  <c r="G21" i="6"/>
  <c r="G20" i="6"/>
  <c r="G19" i="6"/>
  <c r="G18" i="6"/>
  <c r="G17" i="6"/>
  <c r="G16" i="6"/>
  <c r="G15" i="6"/>
  <c r="G14" i="6"/>
  <c r="G13" i="6"/>
  <c r="G12" i="6"/>
  <c r="G11" i="6"/>
  <c r="F34" i="20"/>
  <c r="G34" i="20" s="1"/>
  <c r="F33" i="20"/>
  <c r="G33" i="20" s="1"/>
  <c r="F32" i="20"/>
  <c r="G32" i="20" s="1"/>
  <c r="F31" i="20"/>
  <c r="G31" i="20" s="1"/>
  <c r="F30" i="20"/>
  <c r="G30" i="20" s="1"/>
  <c r="F29" i="20"/>
  <c r="G29" i="20" s="1"/>
  <c r="F28" i="20"/>
  <c r="G28" i="20" s="1"/>
  <c r="F27" i="20"/>
  <c r="G27" i="20" s="1"/>
  <c r="F22" i="20"/>
  <c r="G22" i="20" s="1"/>
  <c r="F21" i="20"/>
  <c r="G21" i="20" s="1"/>
  <c r="F18" i="20"/>
  <c r="F17" i="20"/>
  <c r="G17" i="20" s="1"/>
  <c r="F16" i="20"/>
  <c r="G16" i="20" s="1"/>
  <c r="F15" i="20"/>
  <c r="F14" i="20"/>
  <c r="G14" i="20" s="1"/>
  <c r="F13" i="20"/>
  <c r="G13" i="20" s="1"/>
  <c r="F12" i="20"/>
  <c r="G12" i="20" s="1"/>
  <c r="F11" i="20"/>
  <c r="G11" i="20" s="1"/>
  <c r="F10" i="20"/>
  <c r="G10" i="20" s="1"/>
  <c r="F9" i="20"/>
  <c r="G9" i="20" s="1"/>
  <c r="F8" i="20"/>
  <c r="G8" i="20" s="1"/>
  <c r="F7" i="20"/>
  <c r="E31" i="22"/>
  <c r="F31" i="22" s="1"/>
  <c r="F18" i="22"/>
  <c r="E17" i="22"/>
  <c r="F17" i="22" s="1"/>
  <c r="E16" i="22"/>
  <c r="F16" i="22" s="1"/>
  <c r="E15" i="22"/>
  <c r="E14" i="22"/>
  <c r="F14" i="22" s="1"/>
  <c r="E29" i="15"/>
  <c r="F29" i="15" s="1"/>
  <c r="E23" i="15"/>
  <c r="F23" i="15" s="1"/>
  <c r="E22" i="15"/>
  <c r="F22" i="15" s="1"/>
  <c r="E20" i="15"/>
  <c r="F20" i="15" s="1"/>
  <c r="E19" i="15"/>
  <c r="F19" i="15" s="1"/>
  <c r="E18" i="15"/>
  <c r="F18" i="15" s="1"/>
  <c r="E17" i="15"/>
  <c r="F17" i="15" s="1"/>
  <c r="E16" i="15"/>
  <c r="F16" i="15" s="1"/>
  <c r="F14" i="15"/>
  <c r="E11" i="15"/>
  <c r="E10" i="15"/>
  <c r="F10" i="15" s="1"/>
  <c r="E9" i="15"/>
  <c r="F21" i="21"/>
  <c r="C6" i="9"/>
  <c r="E11" i="9" s="1"/>
  <c r="FA20" i="37"/>
  <c r="EZ20" i="37"/>
  <c r="EY20" i="37"/>
  <c r="EX20" i="37"/>
  <c r="EW20" i="37"/>
  <c r="EV20" i="37"/>
  <c r="EU20" i="37"/>
  <c r="ET20" i="37"/>
  <c r="ES20" i="37"/>
  <c r="ER20" i="37"/>
  <c r="EQ20" i="37"/>
  <c r="EP20" i="37"/>
  <c r="EO20" i="37"/>
  <c r="EN20" i="37"/>
  <c r="EM20" i="37"/>
  <c r="EL20" i="37"/>
  <c r="EK20" i="37"/>
  <c r="EJ20" i="37"/>
  <c r="EI20" i="37"/>
  <c r="EH20" i="37"/>
  <c r="EG20" i="37"/>
  <c r="EF20" i="37"/>
  <c r="EE20" i="37"/>
  <c r="ED20" i="37"/>
  <c r="EC20" i="37"/>
  <c r="EB20" i="37"/>
  <c r="EA20" i="37"/>
  <c r="DZ20" i="37"/>
  <c r="DY20" i="37"/>
  <c r="DX20" i="37"/>
  <c r="DW20" i="37"/>
  <c r="DV20" i="37"/>
  <c r="DU20" i="37"/>
  <c r="DT20" i="37"/>
  <c r="DS20" i="37"/>
  <c r="DR20" i="37"/>
  <c r="DQ20" i="37"/>
  <c r="DP20" i="37"/>
  <c r="DO20" i="37"/>
  <c r="DN20" i="37"/>
  <c r="DM20" i="37"/>
  <c r="DL20" i="37"/>
  <c r="DK20" i="37"/>
  <c r="DJ20" i="37"/>
  <c r="DI20" i="37"/>
  <c r="DH20" i="37"/>
  <c r="DG20" i="37"/>
  <c r="DF20" i="37"/>
  <c r="DE20" i="37"/>
  <c r="DD20" i="37"/>
  <c r="DC20" i="37"/>
  <c r="DB20" i="37"/>
  <c r="DA20" i="37"/>
  <c r="CZ20" i="37"/>
  <c r="CY20" i="37"/>
  <c r="CX20" i="37"/>
  <c r="CW20" i="37"/>
  <c r="CV20" i="37"/>
  <c r="CU20" i="37"/>
  <c r="CT20" i="37"/>
  <c r="CS20" i="37"/>
  <c r="CR20" i="37"/>
  <c r="CQ20" i="37"/>
  <c r="CP20" i="37"/>
  <c r="CO20" i="37"/>
  <c r="CN20" i="37"/>
  <c r="CM20" i="37"/>
  <c r="CL20" i="37"/>
  <c r="CK20" i="37"/>
  <c r="CJ20" i="37"/>
  <c r="CI20" i="37"/>
  <c r="CH20" i="37"/>
  <c r="CG20" i="37"/>
  <c r="CF20" i="37"/>
  <c r="CE20" i="37"/>
  <c r="CD20" i="37"/>
  <c r="CC20" i="37"/>
  <c r="CB20" i="37"/>
  <c r="CA20" i="37"/>
  <c r="BZ20" i="37"/>
  <c r="BY20" i="37"/>
  <c r="BX20" i="37"/>
  <c r="BW20" i="37"/>
  <c r="BV20" i="37"/>
  <c r="FA16" i="37"/>
  <c r="EZ16" i="37"/>
  <c r="EY16" i="37"/>
  <c r="EX16" i="37"/>
  <c r="EW16" i="37"/>
  <c r="EV16" i="37"/>
  <c r="EU16" i="37"/>
  <c r="ET16" i="37"/>
  <c r="ES16" i="37"/>
  <c r="ER16" i="37"/>
  <c r="EQ16" i="37"/>
  <c r="EP16" i="37"/>
  <c r="EO16" i="37"/>
  <c r="EN16" i="37"/>
  <c r="EM16" i="37"/>
  <c r="EL16" i="37"/>
  <c r="EK16" i="37"/>
  <c r="EJ16" i="37"/>
  <c r="EI16" i="37"/>
  <c r="EH16" i="37"/>
  <c r="EG16" i="37"/>
  <c r="EF16" i="37"/>
  <c r="EE16" i="37"/>
  <c r="ED16" i="37"/>
  <c r="EC16" i="37"/>
  <c r="EB16" i="37"/>
  <c r="EA16" i="37"/>
  <c r="DZ16" i="37"/>
  <c r="DY16" i="37"/>
  <c r="DX16" i="37"/>
  <c r="DW16" i="37"/>
  <c r="DV16" i="37"/>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FA15" i="37"/>
  <c r="EZ15" i="37"/>
  <c r="EY15" i="37"/>
  <c r="EX15" i="37"/>
  <c r="EW15" i="37"/>
  <c r="EV15" i="37"/>
  <c r="EU15" i="37"/>
  <c r="ET15" i="37"/>
  <c r="ES15" i="37"/>
  <c r="ER15" i="37"/>
  <c r="EQ15" i="37"/>
  <c r="EP15" i="37"/>
  <c r="EO15" i="37"/>
  <c r="EN15" i="37"/>
  <c r="EM15" i="37"/>
  <c r="EL15" i="37"/>
  <c r="EK15" i="37"/>
  <c r="EJ15" i="37"/>
  <c r="EI15" i="37"/>
  <c r="EH15" i="37"/>
  <c r="EG15" i="37"/>
  <c r="EF15" i="37"/>
  <c r="EE15" i="37"/>
  <c r="ED15" i="37"/>
  <c r="EC15" i="37"/>
  <c r="EB15" i="37"/>
  <c r="EA15" i="37"/>
  <c r="DZ15" i="37"/>
  <c r="DY15" i="37"/>
  <c r="DX15" i="37"/>
  <c r="DW15" i="37"/>
  <c r="DV15"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D7" i="37"/>
  <c r="D1" i="37"/>
  <c r="I74" i="33"/>
  <c r="A57" i="33"/>
  <c r="I61" i="33" s="1"/>
  <c r="C38" i="33"/>
  <c r="I31" i="33"/>
  <c r="H19" i="33"/>
  <c r="H25" i="33" s="1"/>
  <c r="H32" i="33" s="1"/>
  <c r="H41" i="33" s="1"/>
  <c r="I16" i="33"/>
  <c r="C14" i="33"/>
  <c r="I1" i="33"/>
  <c r="D98" i="1"/>
  <c r="B53" i="1" s="1"/>
  <c r="F53" i="1" s="1"/>
  <c r="D87" i="1"/>
  <c r="B52" i="1" s="1"/>
  <c r="D52" i="1" s="1"/>
  <c r="F51" i="1"/>
  <c r="D46" i="1"/>
  <c r="D26" i="1"/>
  <c r="F18" i="1"/>
  <c r="B45" i="64" s="1"/>
  <c r="P2" i="64" s="1"/>
  <c r="H16" i="1"/>
  <c r="D42" i="1" l="1"/>
  <c r="E42" i="1"/>
  <c r="F42" i="1" s="1"/>
  <c r="E8" i="58"/>
  <c r="F8" i="58" s="1"/>
  <c r="G11" i="58" s="1"/>
  <c r="H31" i="58" s="1"/>
  <c r="F17" i="37" s="1"/>
  <c r="G17" i="37" s="1"/>
  <c r="I27" i="4"/>
  <c r="I30" i="6"/>
  <c r="D17" i="13"/>
  <c r="D7" i="9"/>
  <c r="G43" i="6"/>
  <c r="I49" i="6" s="1"/>
  <c r="H17" i="13"/>
  <c r="F19" i="37" s="1"/>
  <c r="G19" i="37" s="1"/>
  <c r="H25" i="16"/>
  <c r="F18" i="37" s="1"/>
  <c r="G18" i="37" s="1"/>
  <c r="J64" i="98"/>
  <c r="G5" i="3"/>
  <c r="H6" i="3" s="1"/>
  <c r="I19" i="18"/>
  <c r="F20" i="37" s="1"/>
  <c r="G20" i="37" s="1"/>
  <c r="I35" i="1"/>
  <c r="H35" i="1"/>
  <c r="G38" i="20"/>
  <c r="F24" i="33"/>
  <c r="I26" i="33" s="1"/>
  <c r="F14" i="33"/>
  <c r="F15" i="22"/>
  <c r="G32" i="22" s="1"/>
  <c r="H32" i="22" s="1"/>
  <c r="F11" i="37" s="1"/>
  <c r="G11" i="37" s="1"/>
  <c r="F15" i="35"/>
  <c r="G35" i="35"/>
  <c r="G15" i="20"/>
  <c r="F9" i="15"/>
  <c r="I22" i="63"/>
  <c r="K22" i="63"/>
  <c r="C23" i="63" s="1"/>
  <c r="B20" i="3"/>
  <c r="F20" i="3" s="1"/>
  <c r="G20" i="3" s="1"/>
  <c r="I25" i="4"/>
  <c r="F10" i="1"/>
  <c r="G7" i="20"/>
  <c r="D53" i="4"/>
  <c r="F11" i="15"/>
  <c r="G36" i="6"/>
  <c r="I39" i="6" s="1"/>
  <c r="F19" i="22"/>
  <c r="D40" i="4"/>
  <c r="J48" i="4" l="1"/>
  <c r="I51" i="6"/>
  <c r="F13" i="37" s="1"/>
  <c r="G13" i="37" s="1"/>
  <c r="J65" i="98"/>
  <c r="H36" i="35"/>
  <c r="F16" i="37" s="1"/>
  <c r="G16" i="37" s="1"/>
  <c r="H44" i="20"/>
  <c r="F12" i="37" s="1"/>
  <c r="G12" i="37" s="1"/>
  <c r="G30" i="15"/>
  <c r="G13" i="15"/>
  <c r="F48" i="1"/>
  <c r="F49" i="1"/>
  <c r="K47" i="1"/>
  <c r="E22" i="1"/>
  <c r="B23" i="63"/>
  <c r="E23" i="63" s="1"/>
  <c r="A22" i="63"/>
  <c r="F25" i="57"/>
  <c r="G10" i="3"/>
  <c r="H21" i="3" s="1"/>
  <c r="I22" i="3" s="1"/>
  <c r="F15" i="37" s="1"/>
  <c r="G15" i="37" s="1"/>
  <c r="D37" i="33"/>
  <c r="F37" i="33" s="1"/>
  <c r="J66" i="98" l="1"/>
  <c r="H31" i="15"/>
  <c r="F10" i="37" s="1"/>
  <c r="G10" i="37" s="1"/>
  <c r="R25" i="57"/>
  <c r="X22" i="63"/>
  <c r="I31" i="1"/>
  <c r="H31" i="1"/>
  <c r="K55" i="4"/>
  <c r="F14" i="37" s="1"/>
  <c r="G14" i="37" s="1"/>
  <c r="D14" i="33"/>
  <c r="B14" i="33" s="1"/>
  <c r="I20" i="33" s="1"/>
  <c r="D23" i="63"/>
  <c r="J23" i="63"/>
  <c r="I33" i="33"/>
  <c r="J67" i="98" l="1"/>
  <c r="I23" i="63"/>
  <c r="K23" i="63"/>
  <c r="C24" i="63" s="1"/>
  <c r="J68" i="98" l="1"/>
  <c r="B64" i="1"/>
  <c r="D64" i="1" s="1"/>
  <c r="B24" i="63"/>
  <c r="E24" i="63" s="1"/>
  <c r="A23" i="63"/>
  <c r="J69" i="98" l="1"/>
  <c r="B66" i="1"/>
  <c r="D66" i="1" s="1"/>
  <c r="D67" i="1" s="1"/>
  <c r="X23" i="63"/>
  <c r="D24" i="63"/>
  <c r="J24" i="63"/>
  <c r="J70" i="98" l="1"/>
  <c r="B45" i="1"/>
  <c r="D45" i="1" s="1"/>
  <c r="I24" i="63"/>
  <c r="K24" i="63"/>
  <c r="C25" i="63" s="1"/>
  <c r="J71" i="98" l="1"/>
  <c r="B25" i="63"/>
  <c r="E25" i="63" s="1"/>
  <c r="A24" i="63"/>
  <c r="J72" i="98" l="1"/>
  <c r="X24" i="63"/>
  <c r="D25" i="63"/>
  <c r="J25" i="63"/>
  <c r="J73" i="98" l="1"/>
  <c r="I25" i="63"/>
  <c r="K25" i="63"/>
  <c r="C26" i="63" s="1"/>
  <c r="J74" i="98" l="1"/>
  <c r="B26" i="63"/>
  <c r="E26" i="63" s="1"/>
  <c r="A25" i="63"/>
  <c r="J75" i="98" l="1"/>
  <c r="X25" i="63"/>
  <c r="D26" i="63"/>
  <c r="J26" i="63"/>
  <c r="J76" i="98" l="1"/>
  <c r="I26" i="63"/>
  <c r="K26" i="63"/>
  <c r="C27" i="63" s="1"/>
  <c r="J77" i="98" l="1"/>
  <c r="B27" i="63"/>
  <c r="E27" i="63" s="1"/>
  <c r="A26" i="63"/>
  <c r="J78" i="98" l="1"/>
  <c r="X26" i="63"/>
  <c r="D27" i="63"/>
  <c r="J27" i="63"/>
  <c r="J79" i="98" l="1"/>
  <c r="I27" i="63"/>
  <c r="K27" i="63"/>
  <c r="C28" i="63" s="1"/>
  <c r="J80" i="98" l="1"/>
  <c r="B28" i="63"/>
  <c r="E28" i="63" s="1"/>
  <c r="A27" i="63"/>
  <c r="J81" i="98" l="1"/>
  <c r="X27" i="63"/>
  <c r="D28" i="63"/>
  <c r="J28" i="63"/>
  <c r="J82" i="98" l="1"/>
  <c r="I28" i="63"/>
  <c r="K28" i="63"/>
  <c r="C29" i="63" s="1"/>
  <c r="J83" i="98" l="1"/>
  <c r="B29" i="63"/>
  <c r="E29" i="63" s="1"/>
  <c r="A28" i="63"/>
  <c r="J84" i="98" l="1"/>
  <c r="X28" i="63"/>
  <c r="D29" i="63"/>
  <c r="J29" i="63"/>
  <c r="J85" i="98" l="1"/>
  <c r="I29" i="63"/>
  <c r="K29" i="63"/>
  <c r="C30" i="63" s="1"/>
  <c r="J86" i="98" l="1"/>
  <c r="B30" i="63"/>
  <c r="E30" i="63" s="1"/>
  <c r="A29" i="63"/>
  <c r="J87" i="98" l="1"/>
  <c r="X29" i="63"/>
  <c r="D30" i="63"/>
  <c r="J30" i="63"/>
  <c r="J88" i="98" l="1"/>
  <c r="I30" i="63"/>
  <c r="K30" i="63"/>
  <c r="C31" i="63" s="1"/>
  <c r="J89" i="98" l="1"/>
  <c r="B31" i="63"/>
  <c r="E31" i="63" s="1"/>
  <c r="A30" i="63"/>
  <c r="J90" i="98" l="1"/>
  <c r="X30" i="63"/>
  <c r="D31" i="63"/>
  <c r="J31" i="63"/>
  <c r="J91" i="98" l="1"/>
  <c r="I31" i="63"/>
  <c r="K31" i="63"/>
  <c r="C32" i="63" s="1"/>
  <c r="J92" i="98" l="1"/>
  <c r="B32" i="63"/>
  <c r="E32" i="63" s="1"/>
  <c r="A31" i="63"/>
  <c r="J93" i="98" l="1"/>
  <c r="X31" i="63"/>
  <c r="D32" i="63"/>
  <c r="J32" i="63"/>
  <c r="J94" i="98" l="1"/>
  <c r="K32" i="63"/>
  <c r="C33" i="63" s="1"/>
  <c r="I32" i="63"/>
  <c r="J95" i="98" l="1"/>
  <c r="B33" i="63"/>
  <c r="E33" i="63" s="1"/>
  <c r="A32" i="63"/>
  <c r="J96" i="98" l="1"/>
  <c r="X32" i="63"/>
  <c r="D33" i="63"/>
  <c r="J33" i="63"/>
  <c r="J97" i="98" l="1"/>
  <c r="I33" i="63"/>
  <c r="K33" i="63"/>
  <c r="C34" i="63" s="1"/>
  <c r="J98" i="98" l="1"/>
  <c r="B34" i="63"/>
  <c r="E34" i="63" s="1"/>
  <c r="A33" i="63"/>
  <c r="J99" i="98" l="1"/>
  <c r="X33" i="63"/>
  <c r="D34" i="63"/>
  <c r="J34" i="63"/>
  <c r="J100" i="98" l="1"/>
  <c r="K34" i="63"/>
  <c r="C35" i="63" s="1"/>
  <c r="I34" i="63"/>
  <c r="J101" i="98" l="1"/>
  <c r="B35" i="63"/>
  <c r="E35" i="63" s="1"/>
  <c r="A34" i="63"/>
  <c r="J102" i="98" l="1"/>
  <c r="X34" i="63"/>
  <c r="D35" i="63"/>
  <c r="J35" i="63"/>
  <c r="J103" i="98" l="1"/>
  <c r="I35" i="63"/>
  <c r="K35" i="63"/>
  <c r="C36" i="63" s="1"/>
  <c r="J104" i="98" l="1"/>
  <c r="B36" i="63"/>
  <c r="E36" i="63" s="1"/>
  <c r="A35" i="63"/>
  <c r="J105" i="98" l="1"/>
  <c r="X35" i="63"/>
  <c r="D36" i="63"/>
  <c r="J36" i="63"/>
  <c r="J106" i="98" l="1"/>
  <c r="K36" i="63"/>
  <c r="C37" i="63" s="1"/>
  <c r="I36" i="63"/>
  <c r="J107" i="98" l="1"/>
  <c r="B37" i="63"/>
  <c r="E37" i="63" s="1"/>
  <c r="A36" i="63"/>
  <c r="J108" i="98" l="1"/>
  <c r="X36" i="63"/>
  <c r="D37" i="63"/>
  <c r="J37" i="63"/>
  <c r="J109" i="98" l="1"/>
  <c r="I37" i="63"/>
  <c r="K37" i="63"/>
  <c r="C38" i="63" s="1"/>
  <c r="J110" i="98" l="1"/>
  <c r="B38" i="63"/>
  <c r="E38" i="63" s="1"/>
  <c r="A37" i="63"/>
  <c r="J111" i="98" l="1"/>
  <c r="X37" i="63"/>
  <c r="D38" i="63"/>
  <c r="J38" i="63"/>
  <c r="J112" i="98" l="1"/>
  <c r="K38" i="63"/>
  <c r="C39" i="63" s="1"/>
  <c r="I38" i="63"/>
  <c r="J113" i="98" l="1"/>
  <c r="B39" i="63"/>
  <c r="E39" i="63" s="1"/>
  <c r="A38" i="63"/>
  <c r="J114" i="98" l="1"/>
  <c r="X38" i="63"/>
  <c r="D39" i="63"/>
  <c r="J39" i="63"/>
  <c r="J115" i="98" l="1"/>
  <c r="I39" i="63"/>
  <c r="K39" i="63"/>
  <c r="C40" i="63" s="1"/>
  <c r="J116" i="98" l="1"/>
  <c r="B40" i="63"/>
  <c r="E40" i="63" s="1"/>
  <c r="A39" i="63"/>
  <c r="J117" i="98" l="1"/>
  <c r="X39" i="63"/>
  <c r="D40" i="63"/>
  <c r="J40" i="63"/>
  <c r="J118" i="98" l="1"/>
  <c r="K40" i="63"/>
  <c r="C41" i="63" s="1"/>
  <c r="I40" i="63"/>
  <c r="J119" i="98" l="1"/>
  <c r="B41" i="63"/>
  <c r="E41" i="63" s="1"/>
  <c r="A40" i="63"/>
  <c r="J120" i="98" l="1"/>
  <c r="X40" i="63"/>
  <c r="D41" i="63"/>
  <c r="J41" i="63"/>
  <c r="J121" i="98" l="1"/>
  <c r="I41" i="63"/>
  <c r="K41" i="63"/>
  <c r="C42" i="63" s="1"/>
  <c r="J122" i="98" l="1"/>
  <c r="B42" i="63"/>
  <c r="E42" i="63" s="1"/>
  <c r="A41" i="63"/>
  <c r="J123" i="98" l="1"/>
  <c r="X41" i="63"/>
  <c r="D42" i="63"/>
  <c r="J42" i="63"/>
  <c r="J124" i="98" l="1"/>
  <c r="K42" i="63"/>
  <c r="C43" i="63" s="1"/>
  <c r="I42" i="63"/>
  <c r="J125" i="98" l="1"/>
  <c r="B43" i="63"/>
  <c r="E43" i="63" s="1"/>
  <c r="A42" i="63"/>
  <c r="J126" i="98" l="1"/>
  <c r="X42" i="63"/>
  <c r="D43" i="63"/>
  <c r="J43" i="63"/>
  <c r="J127" i="98" l="1"/>
  <c r="I43" i="63"/>
  <c r="K43" i="63"/>
  <c r="C44" i="63" s="1"/>
  <c r="J128" i="98" l="1"/>
  <c r="B44" i="63"/>
  <c r="E44" i="63" s="1"/>
  <c r="A43" i="63"/>
  <c r="J129" i="98" l="1"/>
  <c r="X43" i="63"/>
  <c r="D44" i="63"/>
  <c r="J44" i="63"/>
  <c r="J130" i="98" l="1"/>
  <c r="I44" i="63"/>
  <c r="K44" i="63"/>
  <c r="C45" i="63" s="1"/>
  <c r="J131" i="98" l="1"/>
  <c r="B45" i="63"/>
  <c r="E45" i="63" s="1"/>
  <c r="A44" i="63"/>
  <c r="J132" i="98" l="1"/>
  <c r="X44" i="63"/>
  <c r="D45" i="63"/>
  <c r="J45" i="63"/>
  <c r="J133" i="98" l="1"/>
  <c r="K45" i="63"/>
  <c r="C46" i="63" s="1"/>
  <c r="I45" i="63"/>
  <c r="J134" i="98" l="1"/>
  <c r="B46" i="63"/>
  <c r="E46" i="63" s="1"/>
  <c r="A45" i="63"/>
  <c r="J135" i="98" l="1"/>
  <c r="X45" i="63"/>
  <c r="D46" i="63"/>
  <c r="J46" i="63"/>
  <c r="J136" i="98" l="1"/>
  <c r="I46" i="63"/>
  <c r="K46" i="63"/>
  <c r="C47" i="63" s="1"/>
  <c r="J137" i="98" l="1"/>
  <c r="B47" i="63"/>
  <c r="E47" i="63" s="1"/>
  <c r="A46" i="63"/>
  <c r="J138" i="98" l="1"/>
  <c r="X46" i="63"/>
  <c r="D47" i="63"/>
  <c r="J47" i="63"/>
  <c r="J139" i="98" l="1"/>
  <c r="K47" i="63"/>
  <c r="C48" i="63" s="1"/>
  <c r="I47" i="63"/>
  <c r="J140" i="98" l="1"/>
  <c r="AP24" i="37"/>
  <c r="B48" i="63"/>
  <c r="E48" i="63" s="1"/>
  <c r="A47" i="63"/>
  <c r="J141" i="98" l="1"/>
  <c r="AP151" i="37"/>
  <c r="AP141" i="37"/>
  <c r="AP127" i="37"/>
  <c r="AP115" i="37"/>
  <c r="AP105" i="37"/>
  <c r="AP95" i="37"/>
  <c r="AP87" i="37"/>
  <c r="AP77" i="37"/>
  <c r="AP67" i="37"/>
  <c r="AP47" i="37"/>
  <c r="AP37" i="37"/>
  <c r="AP25" i="37"/>
  <c r="AP152" i="37"/>
  <c r="AP150" i="37"/>
  <c r="AP148" i="37"/>
  <c r="AP146" i="37"/>
  <c r="AP144" i="37"/>
  <c r="AP142" i="37"/>
  <c r="AP140" i="37"/>
  <c r="AP138" i="37"/>
  <c r="AP136" i="37"/>
  <c r="AP134" i="37"/>
  <c r="AP132" i="37"/>
  <c r="AP130" i="37"/>
  <c r="AP128" i="37"/>
  <c r="AP126" i="37"/>
  <c r="AP124" i="37"/>
  <c r="AP122" i="37"/>
  <c r="AP120" i="37"/>
  <c r="AP118" i="37"/>
  <c r="AP116" i="37"/>
  <c r="AP114" i="37"/>
  <c r="AP112" i="37"/>
  <c r="AP110" i="37"/>
  <c r="AP108" i="37"/>
  <c r="AP106" i="37"/>
  <c r="AP104" i="37"/>
  <c r="AP102" i="37"/>
  <c r="AP100" i="37"/>
  <c r="AP98" i="37"/>
  <c r="AP96" i="37"/>
  <c r="AP94" i="37"/>
  <c r="AP92" i="37"/>
  <c r="AP90" i="37"/>
  <c r="AP88" i="37"/>
  <c r="AP86" i="37"/>
  <c r="AP84" i="37"/>
  <c r="AP82" i="37"/>
  <c r="AP80" i="37"/>
  <c r="AP78" i="37"/>
  <c r="AP76" i="37"/>
  <c r="AP74" i="37"/>
  <c r="AP72" i="37"/>
  <c r="AP70" i="37"/>
  <c r="AP68" i="37"/>
  <c r="AP66" i="37"/>
  <c r="AP64" i="37"/>
  <c r="AP62" i="37"/>
  <c r="AP60" i="37"/>
  <c r="AP58" i="37"/>
  <c r="AP56" i="37"/>
  <c r="AP54" i="37"/>
  <c r="AP52" i="37"/>
  <c r="AP50" i="37"/>
  <c r="AP48" i="37"/>
  <c r="AP46" i="37"/>
  <c r="AP44" i="37"/>
  <c r="AP42" i="37"/>
  <c r="AP40" i="37"/>
  <c r="AP38" i="37"/>
  <c r="AP36" i="37"/>
  <c r="AP34" i="37"/>
  <c r="AP32" i="37"/>
  <c r="AP30" i="37"/>
  <c r="AP28" i="37"/>
  <c r="AP26" i="37"/>
  <c r="AP147" i="37"/>
  <c r="AP135" i="37"/>
  <c r="AP125" i="37"/>
  <c r="AP117" i="37"/>
  <c r="AP109" i="37"/>
  <c r="AP99" i="37"/>
  <c r="AP89" i="37"/>
  <c r="AP79" i="37"/>
  <c r="AP71" i="37"/>
  <c r="AP59" i="37"/>
  <c r="AP49" i="37"/>
  <c r="AP39" i="37"/>
  <c r="AP31" i="37"/>
  <c r="AP149" i="37"/>
  <c r="AP139" i="37"/>
  <c r="AP129" i="37"/>
  <c r="AP123" i="37"/>
  <c r="AP113" i="37"/>
  <c r="AP103" i="37"/>
  <c r="AP91" i="37"/>
  <c r="AP81" i="37"/>
  <c r="AP73" i="37"/>
  <c r="AP63" i="37"/>
  <c r="AP55" i="37"/>
  <c r="AP45" i="37"/>
  <c r="AP35" i="37"/>
  <c r="AP27" i="37"/>
  <c r="AP143" i="37"/>
  <c r="AP133" i="37"/>
  <c r="AP119" i="37"/>
  <c r="AP107" i="37"/>
  <c r="AP97" i="37"/>
  <c r="AP85" i="37"/>
  <c r="AP75" i="37"/>
  <c r="AP65" i="37"/>
  <c r="AP53" i="37"/>
  <c r="AP41" i="37"/>
  <c r="AP29" i="37"/>
  <c r="AP145" i="37"/>
  <c r="AP137" i="37"/>
  <c r="AP131" i="37"/>
  <c r="AP121" i="37"/>
  <c r="AP111" i="37"/>
  <c r="AP101" i="37"/>
  <c r="AP93" i="37"/>
  <c r="AP83" i="37"/>
  <c r="AP69" i="37"/>
  <c r="AP61" i="37"/>
  <c r="AP51" i="37"/>
  <c r="AP43" i="37"/>
  <c r="AP33" i="37"/>
  <c r="BG23" i="37"/>
  <c r="BG7" i="37" s="1"/>
  <c r="AQ24" i="37"/>
  <c r="AV8" i="37"/>
  <c r="AW8" i="37" s="1"/>
  <c r="AX8" i="37" s="1"/>
  <c r="AY8" i="37" s="1"/>
  <c r="AZ8" i="37" s="1"/>
  <c r="X47" i="63"/>
  <c r="D48" i="63"/>
  <c r="J48" i="63"/>
  <c r="J142" i="98" l="1"/>
  <c r="AQ152" i="37"/>
  <c r="AQ150" i="37"/>
  <c r="AQ148" i="37"/>
  <c r="AQ146" i="37"/>
  <c r="AQ144" i="37"/>
  <c r="AQ142" i="37"/>
  <c r="AQ140" i="37"/>
  <c r="AQ138" i="37"/>
  <c r="AQ136" i="37"/>
  <c r="AQ134" i="37"/>
  <c r="AQ132" i="37"/>
  <c r="AQ130" i="37"/>
  <c r="AQ128" i="37"/>
  <c r="AQ126" i="37"/>
  <c r="AQ124" i="37"/>
  <c r="AQ122" i="37"/>
  <c r="AQ120" i="37"/>
  <c r="AQ118" i="37"/>
  <c r="AQ116" i="37"/>
  <c r="AQ114" i="37"/>
  <c r="AQ112" i="37"/>
  <c r="AQ110" i="37"/>
  <c r="AQ108" i="37"/>
  <c r="AQ106" i="37"/>
  <c r="AQ104" i="37"/>
  <c r="AQ102" i="37"/>
  <c r="AQ100" i="37"/>
  <c r="AQ98" i="37"/>
  <c r="AQ96" i="37"/>
  <c r="AQ94" i="37"/>
  <c r="AQ92" i="37"/>
  <c r="AQ90" i="37"/>
  <c r="AQ88" i="37"/>
  <c r="AQ86" i="37"/>
  <c r="AQ84" i="37"/>
  <c r="AQ82" i="37"/>
  <c r="AQ80" i="37"/>
  <c r="AQ78" i="37"/>
  <c r="AQ76" i="37"/>
  <c r="AQ74" i="37"/>
  <c r="AQ72" i="37"/>
  <c r="AQ70" i="37"/>
  <c r="AQ68" i="37"/>
  <c r="AQ66" i="37"/>
  <c r="AQ64" i="37"/>
  <c r="AQ62" i="37"/>
  <c r="AQ60" i="37"/>
  <c r="AQ58" i="37"/>
  <c r="AQ56" i="37"/>
  <c r="AQ54" i="37"/>
  <c r="AQ52" i="37"/>
  <c r="AQ50" i="37"/>
  <c r="AQ48" i="37"/>
  <c r="AQ46" i="37"/>
  <c r="AQ44" i="37"/>
  <c r="AQ42" i="37"/>
  <c r="AQ40" i="37"/>
  <c r="AQ38" i="37"/>
  <c r="AQ36" i="37"/>
  <c r="AQ34" i="37"/>
  <c r="AQ32" i="37"/>
  <c r="AQ30" i="37"/>
  <c r="AQ28" i="37"/>
  <c r="AQ26" i="37"/>
  <c r="AQ151" i="37"/>
  <c r="AQ149" i="37"/>
  <c r="AQ147" i="37"/>
  <c r="AQ145" i="37"/>
  <c r="AQ143" i="37"/>
  <c r="AQ141" i="37"/>
  <c r="AQ139" i="37"/>
  <c r="AQ137" i="37"/>
  <c r="AQ135" i="37"/>
  <c r="AQ133" i="37"/>
  <c r="AQ131" i="37"/>
  <c r="AQ129" i="37"/>
  <c r="AQ127" i="37"/>
  <c r="AQ125" i="37"/>
  <c r="AQ123" i="37"/>
  <c r="AQ121" i="37"/>
  <c r="AQ119" i="37"/>
  <c r="AQ117" i="37"/>
  <c r="AQ115" i="37"/>
  <c r="AQ113" i="37"/>
  <c r="AQ111" i="37"/>
  <c r="AQ109" i="37"/>
  <c r="AQ107" i="37"/>
  <c r="AQ105" i="37"/>
  <c r="AQ103" i="37"/>
  <c r="AQ101" i="37"/>
  <c r="AQ99" i="37"/>
  <c r="AQ97" i="37"/>
  <c r="AQ95" i="37"/>
  <c r="AQ93" i="37"/>
  <c r="AQ91" i="37"/>
  <c r="AQ89" i="37"/>
  <c r="AQ87" i="37"/>
  <c r="AQ85" i="37"/>
  <c r="AQ83" i="37"/>
  <c r="AQ81" i="37"/>
  <c r="AQ79" i="37"/>
  <c r="AQ77" i="37"/>
  <c r="AQ75" i="37"/>
  <c r="AQ73" i="37"/>
  <c r="AQ71" i="37"/>
  <c r="AQ69" i="37"/>
  <c r="AQ67" i="37"/>
  <c r="AQ65" i="37"/>
  <c r="AQ63" i="37"/>
  <c r="AQ61" i="37"/>
  <c r="AQ59" i="37"/>
  <c r="AQ57" i="37"/>
  <c r="AQ55" i="37"/>
  <c r="AQ53" i="37"/>
  <c r="AQ51" i="37"/>
  <c r="AQ49" i="37"/>
  <c r="AQ47" i="37"/>
  <c r="AQ45" i="37"/>
  <c r="AQ43" i="37"/>
  <c r="AQ41" i="37"/>
  <c r="AQ39" i="37"/>
  <c r="AQ37" i="37"/>
  <c r="AQ35" i="37"/>
  <c r="AQ33" i="37"/>
  <c r="AQ31" i="37"/>
  <c r="AQ29" i="37"/>
  <c r="AQ27" i="37"/>
  <c r="AQ25" i="37"/>
  <c r="I48" i="63"/>
  <c r="K48" i="63"/>
  <c r="C49" i="63" s="1"/>
  <c r="J143" i="98" l="1"/>
  <c r="B49" i="63"/>
  <c r="E49" i="63" s="1"/>
  <c r="A48" i="63"/>
  <c r="J144" i="98" l="1"/>
  <c r="X48" i="63"/>
  <c r="D49" i="63"/>
  <c r="J49" i="63"/>
  <c r="J145" i="98" l="1"/>
  <c r="I49" i="63"/>
  <c r="K49" i="63"/>
  <c r="C50" i="63" s="1"/>
  <c r="J146" i="98" l="1"/>
  <c r="BX23" i="37"/>
  <c r="BX7" i="37" s="1"/>
  <c r="BE8" i="37"/>
  <c r="B50" i="63"/>
  <c r="E50" i="63" s="1"/>
  <c r="A49" i="63"/>
  <c r="J147" i="98" l="1"/>
  <c r="BM23" i="37"/>
  <c r="BM7" i="37" s="1"/>
  <c r="BF8" i="37"/>
  <c r="AR24" i="37"/>
  <c r="BN23" i="37" s="1"/>
  <c r="BN7" i="37" s="1"/>
  <c r="X49" i="63"/>
  <c r="J50" i="63"/>
  <c r="D50" i="63"/>
  <c r="BY23" i="37" l="1"/>
  <c r="BY7" i="37" s="1"/>
  <c r="AR59" i="37"/>
  <c r="AR62" i="37"/>
  <c r="AR66" i="37"/>
  <c r="AR40" i="37"/>
  <c r="AR56" i="37"/>
  <c r="AR26" i="37"/>
  <c r="AR33" i="37"/>
  <c r="AR79" i="37"/>
  <c r="AR76" i="37"/>
  <c r="AR58" i="37"/>
  <c r="AR48" i="37"/>
  <c r="AR38" i="37"/>
  <c r="AR39" i="37"/>
  <c r="AR63" i="37"/>
  <c r="AR43" i="37"/>
  <c r="AR27" i="37"/>
  <c r="AR74" i="37"/>
  <c r="AR52" i="37"/>
  <c r="AR35" i="37"/>
  <c r="AR46" i="37"/>
  <c r="AR31" i="37"/>
  <c r="AR60" i="37"/>
  <c r="AR37" i="37"/>
  <c r="BG8" i="37"/>
  <c r="AR72" i="37"/>
  <c r="AR54" i="37"/>
  <c r="AR51" i="37"/>
  <c r="AR36" i="37"/>
  <c r="AR29" i="37"/>
  <c r="AR61" i="37"/>
  <c r="AS24" i="37"/>
  <c r="BZ23" i="37" s="1"/>
  <c r="BZ7" i="37" s="1"/>
  <c r="AR67" i="37"/>
  <c r="AR34" i="37"/>
  <c r="AR32" i="37"/>
  <c r="AR68" i="37"/>
  <c r="AR73" i="37"/>
  <c r="AR30" i="37"/>
  <c r="AR57" i="37"/>
  <c r="AR78" i="37"/>
  <c r="AR53" i="37"/>
  <c r="AR49" i="37"/>
  <c r="AR25" i="37"/>
  <c r="AR50" i="37"/>
  <c r="AR47" i="37"/>
  <c r="AR77" i="37"/>
  <c r="AR45" i="37"/>
  <c r="AR71" i="37"/>
  <c r="AR42" i="37"/>
  <c r="AR41" i="37"/>
  <c r="AR70" i="37"/>
  <c r="AR55" i="37"/>
  <c r="AR69" i="37"/>
  <c r="AR44" i="37"/>
  <c r="AR28" i="37"/>
  <c r="AR64" i="37"/>
  <c r="AR75" i="37"/>
  <c r="AR65" i="37"/>
  <c r="I50" i="63"/>
  <c r="K50" i="63"/>
  <c r="C51" i="63" s="1"/>
  <c r="BO23" i="37" l="1"/>
  <c r="BO7" i="37" s="1"/>
  <c r="AR90" i="37"/>
  <c r="AR81" i="37"/>
  <c r="AS79" i="37"/>
  <c r="AS56" i="37"/>
  <c r="AS47" i="37"/>
  <c r="AS34" i="37"/>
  <c r="AS32" i="37"/>
  <c r="AS43" i="37"/>
  <c r="AS28" i="37"/>
  <c r="AS41" i="37"/>
  <c r="AR83" i="37"/>
  <c r="AS37" i="37"/>
  <c r="AS78" i="37"/>
  <c r="AS30" i="37"/>
  <c r="AR85" i="37"/>
  <c r="AS39" i="37"/>
  <c r="AR89" i="37"/>
  <c r="AS77" i="37"/>
  <c r="AS69" i="37"/>
  <c r="AS54" i="37"/>
  <c r="AS51" i="37"/>
  <c r="AS70" i="37"/>
  <c r="AS25" i="37"/>
  <c r="AT24" i="37"/>
  <c r="CA23" i="37" s="1"/>
  <c r="CA7" i="37" s="1"/>
  <c r="AS40" i="37"/>
  <c r="AS68" i="37"/>
  <c r="AS62" i="37"/>
  <c r="AS49" i="37"/>
  <c r="AS27" i="37"/>
  <c r="BH8" i="37"/>
  <c r="AS76" i="37"/>
  <c r="AS74" i="37"/>
  <c r="AS75" i="37"/>
  <c r="AS52" i="37"/>
  <c r="AS46" i="37"/>
  <c r="AR86" i="37"/>
  <c r="AS35" i="37"/>
  <c r="AS58" i="37"/>
  <c r="AR87" i="37"/>
  <c r="AS72" i="37"/>
  <c r="AS60" i="37"/>
  <c r="AS50" i="37"/>
  <c r="AS44" i="37"/>
  <c r="AS55" i="37"/>
  <c r="AS31" i="37"/>
  <c r="AS29" i="37"/>
  <c r="AS66" i="37"/>
  <c r="AS61" i="37"/>
  <c r="AS65" i="37"/>
  <c r="AS48" i="37"/>
  <c r="AS63" i="37"/>
  <c r="AS38" i="37"/>
  <c r="AS45" i="37"/>
  <c r="AR80" i="37"/>
  <c r="AS26" i="37"/>
  <c r="AR91" i="37"/>
  <c r="AS67" i="37"/>
  <c r="AS59" i="37"/>
  <c r="AR84" i="37"/>
  <c r="AS42" i="37"/>
  <c r="AS64" i="37"/>
  <c r="AS71" i="37"/>
  <c r="AR82" i="37"/>
  <c r="AS33" i="37"/>
  <c r="AR88" i="37"/>
  <c r="AS73" i="37"/>
  <c r="AS53" i="37"/>
  <c r="AS57" i="37"/>
  <c r="AS36" i="37"/>
  <c r="B51" i="63"/>
  <c r="E51" i="63" s="1"/>
  <c r="A50" i="63"/>
  <c r="BP23" i="37" l="1"/>
  <c r="BP7" i="37" s="1"/>
  <c r="AS90" i="37"/>
  <c r="AT73" i="37"/>
  <c r="AT49" i="37"/>
  <c r="AS82" i="37"/>
  <c r="AT72" i="37"/>
  <c r="AS83" i="37"/>
  <c r="AS87" i="37"/>
  <c r="AT46" i="37"/>
  <c r="AT30" i="37"/>
  <c r="AT35" i="37"/>
  <c r="AT29" i="37"/>
  <c r="AT50" i="37"/>
  <c r="AT60" i="37"/>
  <c r="AT28" i="37"/>
  <c r="AT31" i="37"/>
  <c r="AU24" i="37"/>
  <c r="CB23" i="37" s="1"/>
  <c r="CB7" i="37" s="1"/>
  <c r="AT43" i="37"/>
  <c r="AT78" i="37"/>
  <c r="AT26" i="37"/>
  <c r="AT53" i="37"/>
  <c r="AT63" i="37"/>
  <c r="AT71" i="37"/>
  <c r="AT52" i="37"/>
  <c r="AT37" i="37"/>
  <c r="AT61" i="37"/>
  <c r="AT58" i="37"/>
  <c r="AT25" i="37"/>
  <c r="AT59" i="37"/>
  <c r="AT36" i="37"/>
  <c r="AT48" i="37"/>
  <c r="AT57" i="37"/>
  <c r="AT75" i="37"/>
  <c r="AS84" i="37"/>
  <c r="AS91" i="37"/>
  <c r="AT51" i="37"/>
  <c r="BI8" i="37"/>
  <c r="AS80" i="37"/>
  <c r="AT69" i="37"/>
  <c r="AT77" i="37"/>
  <c r="AT44" i="37"/>
  <c r="AS86" i="37"/>
  <c r="AT40" i="37"/>
  <c r="AT79" i="37"/>
  <c r="AT56" i="37"/>
  <c r="AT76" i="37"/>
  <c r="AT55" i="37"/>
  <c r="AS85" i="37"/>
  <c r="AT34" i="37"/>
  <c r="AT27" i="37"/>
  <c r="AT32" i="37"/>
  <c r="AT41" i="37"/>
  <c r="AS89" i="37"/>
  <c r="AT65" i="37"/>
  <c r="AT74" i="37"/>
  <c r="AT42" i="37"/>
  <c r="AT39" i="37"/>
  <c r="AT67" i="37"/>
  <c r="AT33" i="37"/>
  <c r="AS81" i="37"/>
  <c r="AT38" i="37"/>
  <c r="AT66" i="37"/>
  <c r="AT70" i="37"/>
  <c r="AS88" i="37"/>
  <c r="AT45" i="37"/>
  <c r="AT68" i="37"/>
  <c r="AT64" i="37"/>
  <c r="AT47" i="37"/>
  <c r="AT62" i="37"/>
  <c r="AT54" i="37"/>
  <c r="X50" i="63"/>
  <c r="J51" i="63"/>
  <c r="D51" i="63"/>
  <c r="BQ23" i="37" l="1"/>
  <c r="BQ7" i="37" s="1"/>
  <c r="AT91" i="37"/>
  <c r="AT82" i="37"/>
  <c r="AU46" i="37"/>
  <c r="AT89" i="37"/>
  <c r="AT88" i="37"/>
  <c r="AU60" i="37"/>
  <c r="AU78" i="37"/>
  <c r="AU49" i="37"/>
  <c r="AU33" i="37"/>
  <c r="AU37" i="37"/>
  <c r="AU35" i="37"/>
  <c r="AU38" i="37"/>
  <c r="AU68" i="37"/>
  <c r="AU31" i="37"/>
  <c r="AT81" i="37"/>
  <c r="AU61" i="37"/>
  <c r="AU48" i="37"/>
  <c r="AU39" i="37"/>
  <c r="AU44" i="37"/>
  <c r="BJ8" i="37"/>
  <c r="AT86" i="37"/>
  <c r="AU79" i="37"/>
  <c r="AT85" i="37"/>
  <c r="AU67" i="37"/>
  <c r="AU73" i="37"/>
  <c r="AU25" i="37"/>
  <c r="AU26" i="37"/>
  <c r="AU51" i="37"/>
  <c r="AU76" i="37"/>
  <c r="AU59" i="37"/>
  <c r="AU40" i="37"/>
  <c r="AU29" i="37"/>
  <c r="AU28" i="37"/>
  <c r="AU77" i="37"/>
  <c r="AU58" i="37"/>
  <c r="AU53" i="37"/>
  <c r="AU69" i="37"/>
  <c r="AU36" i="37"/>
  <c r="AU62" i="37"/>
  <c r="AU43" i="37"/>
  <c r="AT83" i="37"/>
  <c r="AT80" i="37"/>
  <c r="AU55" i="37"/>
  <c r="AU75" i="37"/>
  <c r="AU52" i="37"/>
  <c r="AV24" i="37"/>
  <c r="CC23" i="37" s="1"/>
  <c r="CC7" i="37" s="1"/>
  <c r="AU74" i="37"/>
  <c r="AU57" i="37"/>
  <c r="AU34" i="37"/>
  <c r="AU70" i="37"/>
  <c r="AT90" i="37"/>
  <c r="AU72" i="37"/>
  <c r="AU66" i="37"/>
  <c r="AU63" i="37"/>
  <c r="AU56" i="37"/>
  <c r="AU47" i="37"/>
  <c r="AU42" i="37"/>
  <c r="AU27" i="37"/>
  <c r="AU41" i="37"/>
  <c r="AT87" i="37"/>
  <c r="AT84" i="37"/>
  <c r="AU64" i="37"/>
  <c r="AU71" i="37"/>
  <c r="AU54" i="37"/>
  <c r="AU45" i="37"/>
  <c r="AU32" i="37"/>
  <c r="AU50" i="37"/>
  <c r="AU65" i="37"/>
  <c r="AU30" i="37"/>
  <c r="I51" i="63"/>
  <c r="K51" i="63"/>
  <c r="C52" i="63" s="1"/>
  <c r="BR23" i="37" l="1"/>
  <c r="BR7" i="37" s="1"/>
  <c r="AU84" i="37"/>
  <c r="AU90" i="37"/>
  <c r="AV70" i="37"/>
  <c r="AV65" i="37"/>
  <c r="AV52" i="37"/>
  <c r="AV35" i="37"/>
  <c r="AV42" i="37"/>
  <c r="AV27" i="37"/>
  <c r="AV44" i="37"/>
  <c r="AU89" i="37"/>
  <c r="AV68" i="37"/>
  <c r="AV64" i="37"/>
  <c r="AV73" i="37"/>
  <c r="AV49" i="37"/>
  <c r="AV33" i="37"/>
  <c r="AV32" i="37"/>
  <c r="AV67" i="37"/>
  <c r="AV28" i="37"/>
  <c r="AV76" i="37"/>
  <c r="AV62" i="37"/>
  <c r="AV46" i="37"/>
  <c r="AV56" i="37"/>
  <c r="AV43" i="37"/>
  <c r="AV38" i="37"/>
  <c r="AV71" i="37"/>
  <c r="AV41" i="37"/>
  <c r="AV25" i="37"/>
  <c r="AU81" i="37"/>
  <c r="AU86" i="37"/>
  <c r="AV40" i="37"/>
  <c r="AV57" i="37"/>
  <c r="AV48" i="37"/>
  <c r="BK8" i="37"/>
  <c r="AU88" i="37"/>
  <c r="AV79" i="37"/>
  <c r="AU83" i="37"/>
  <c r="AV77" i="37"/>
  <c r="AV47" i="37"/>
  <c r="AV31" i="37"/>
  <c r="AV58" i="37"/>
  <c r="AV30" i="37"/>
  <c r="AW24" i="37"/>
  <c r="BS23" i="37" s="1"/>
  <c r="BS7" i="37" s="1"/>
  <c r="AU85" i="37"/>
  <c r="AV61" i="37"/>
  <c r="AV45" i="37"/>
  <c r="AV50" i="37"/>
  <c r="AU91" i="37"/>
  <c r="AV59" i="37"/>
  <c r="AV78" i="37"/>
  <c r="AV34" i="37"/>
  <c r="AV55" i="37"/>
  <c r="AV60" i="37"/>
  <c r="AV69" i="37"/>
  <c r="AV53" i="37"/>
  <c r="AV63" i="37"/>
  <c r="AV37" i="37"/>
  <c r="AV29" i="37"/>
  <c r="AV39" i="37"/>
  <c r="AU87" i="37"/>
  <c r="AV75" i="37"/>
  <c r="AV72" i="37"/>
  <c r="AV26" i="37"/>
  <c r="AV66" i="37"/>
  <c r="AV36" i="37"/>
  <c r="AU82" i="37"/>
  <c r="AV54" i="37"/>
  <c r="AV74" i="37"/>
  <c r="AU80" i="37"/>
  <c r="AV51" i="37"/>
  <c r="B52" i="63"/>
  <c r="E52" i="63" s="1"/>
  <c r="A51" i="63"/>
  <c r="CD23" i="37" l="1"/>
  <c r="CD7" i="37" s="1"/>
  <c r="BL8" i="37"/>
  <c r="AV81" i="37"/>
  <c r="AW67" i="37"/>
  <c r="AV82" i="37"/>
  <c r="AV84" i="37"/>
  <c r="AV88" i="37"/>
  <c r="AW37" i="37"/>
  <c r="AW63" i="37"/>
  <c r="AW34" i="37"/>
  <c r="AW32" i="37"/>
  <c r="AW68" i="37"/>
  <c r="AW40" i="37"/>
  <c r="AV86" i="37"/>
  <c r="AW61" i="37"/>
  <c r="AW78" i="37"/>
  <c r="AV87" i="37"/>
  <c r="AW73" i="37"/>
  <c r="AW66" i="37"/>
  <c r="AW48" i="37"/>
  <c r="AW35" i="37"/>
  <c r="AW58" i="37"/>
  <c r="AW44" i="37"/>
  <c r="AW27" i="37"/>
  <c r="AW28" i="37"/>
  <c r="AW64" i="37"/>
  <c r="AW51" i="37"/>
  <c r="AX24" i="37"/>
  <c r="CE23" i="37" s="1"/>
  <c r="CE7" i="37" s="1"/>
  <c r="AW77" i="37"/>
  <c r="AW59" i="37"/>
  <c r="AW50" i="37"/>
  <c r="AW74" i="37"/>
  <c r="AW41" i="37"/>
  <c r="AV91" i="37"/>
  <c r="AW39" i="37"/>
  <c r="AV85" i="37"/>
  <c r="AW76" i="37"/>
  <c r="AV80" i="37"/>
  <c r="AW55" i="37"/>
  <c r="AW56" i="37"/>
  <c r="AW33" i="37"/>
  <c r="AW46" i="37"/>
  <c r="AW57" i="37"/>
  <c r="AW45" i="37"/>
  <c r="AW31" i="37"/>
  <c r="AW79" i="37"/>
  <c r="AW25" i="37"/>
  <c r="AW71" i="37"/>
  <c r="AW69" i="37"/>
  <c r="AW29" i="37"/>
  <c r="AW65" i="37"/>
  <c r="AW36" i="37"/>
  <c r="AV83" i="37"/>
  <c r="AW70" i="37"/>
  <c r="AW75" i="37"/>
  <c r="AW53" i="37"/>
  <c r="AW47" i="37"/>
  <c r="AW60" i="37"/>
  <c r="AW38" i="37"/>
  <c r="AW42" i="37"/>
  <c r="AV90" i="37"/>
  <c r="AW54" i="37"/>
  <c r="AW72" i="37"/>
  <c r="AW43" i="37"/>
  <c r="AW49" i="37"/>
  <c r="AV89" i="37"/>
  <c r="AW26" i="37"/>
  <c r="AW62" i="37"/>
  <c r="AW52" i="37"/>
  <c r="AW30" i="37"/>
  <c r="X51" i="63"/>
  <c r="J52" i="63"/>
  <c r="D52" i="63"/>
  <c r="BM8" i="37" l="1"/>
  <c r="AW88" i="37"/>
  <c r="AX71" i="37"/>
  <c r="AX60" i="37"/>
  <c r="AX63" i="37"/>
  <c r="AW87" i="37"/>
  <c r="AX69" i="37"/>
  <c r="AX58" i="37"/>
  <c r="AX76" i="37"/>
  <c r="AX56" i="37"/>
  <c r="AX33" i="37"/>
  <c r="AX50" i="37"/>
  <c r="AX26" i="37"/>
  <c r="AX78" i="37"/>
  <c r="AX52" i="37"/>
  <c r="AX27" i="37"/>
  <c r="AW85" i="37"/>
  <c r="AX65" i="37"/>
  <c r="AX34" i="37"/>
  <c r="AX59" i="37"/>
  <c r="AX68" i="37"/>
  <c r="AX51" i="37"/>
  <c r="AX79" i="37"/>
  <c r="AX67" i="37"/>
  <c r="AX70" i="37"/>
  <c r="AX77" i="37"/>
  <c r="AX47" i="37"/>
  <c r="AX31" i="37"/>
  <c r="AX53" i="37"/>
  <c r="AX44" i="37"/>
  <c r="AX46" i="37"/>
  <c r="AX49" i="37"/>
  <c r="AW89" i="37"/>
  <c r="AX32" i="37"/>
  <c r="AX66" i="37"/>
  <c r="AX41" i="37"/>
  <c r="AX30" i="37"/>
  <c r="AX61" i="37"/>
  <c r="AX40" i="37"/>
  <c r="AX28" i="37"/>
  <c r="AW81" i="37"/>
  <c r="AW82" i="37"/>
  <c r="AW84" i="37"/>
  <c r="AX55" i="37"/>
  <c r="AX45" i="37"/>
  <c r="AX29" i="37"/>
  <c r="AX75" i="37"/>
  <c r="AX43" i="37"/>
  <c r="AX38" i="37"/>
  <c r="AW86" i="37"/>
  <c r="AX48" i="37"/>
  <c r="AX36" i="37"/>
  <c r="AX73" i="37"/>
  <c r="AX37" i="37"/>
  <c r="AX35" i="37"/>
  <c r="AW80" i="37"/>
  <c r="AX42" i="37"/>
  <c r="AW90" i="37"/>
  <c r="AX57" i="37"/>
  <c r="AX25" i="37"/>
  <c r="AW91" i="37"/>
  <c r="AW83" i="37"/>
  <c r="AX64" i="37"/>
  <c r="AX72" i="37"/>
  <c r="AX74" i="37"/>
  <c r="AX39" i="37"/>
  <c r="AX62" i="37"/>
  <c r="AY24" i="37"/>
  <c r="CF23" i="37" s="1"/>
  <c r="CF7" i="37" s="1"/>
  <c r="AX54" i="37"/>
  <c r="I52" i="63"/>
  <c r="K52" i="63"/>
  <c r="C53" i="63" s="1"/>
  <c r="BN8" i="37" l="1"/>
  <c r="AX87" i="37"/>
  <c r="AY78" i="37"/>
  <c r="AY63" i="37"/>
  <c r="AY70" i="37"/>
  <c r="AY60" i="37"/>
  <c r="AY28" i="37"/>
  <c r="AY56" i="37"/>
  <c r="AY32" i="37"/>
  <c r="AY40" i="37"/>
  <c r="AX83" i="37"/>
  <c r="AX82" i="37"/>
  <c r="AY61" i="37"/>
  <c r="AY69" i="37"/>
  <c r="AY64" i="37"/>
  <c r="AY43" i="37"/>
  <c r="AY49" i="37"/>
  <c r="AY31" i="37"/>
  <c r="AY62" i="37"/>
  <c r="AY44" i="37"/>
  <c r="AY75" i="37"/>
  <c r="AY50" i="37"/>
  <c r="AY30" i="37"/>
  <c r="AY65" i="37"/>
  <c r="AY47" i="37"/>
  <c r="AX89" i="37"/>
  <c r="AX80" i="37"/>
  <c r="AY71" i="37"/>
  <c r="AY72" i="37"/>
  <c r="AY48" i="37"/>
  <c r="AY27" i="37"/>
  <c r="AY45" i="37"/>
  <c r="AY39" i="37"/>
  <c r="AY58" i="37"/>
  <c r="AX86" i="37"/>
  <c r="AY36" i="37"/>
  <c r="AY41" i="37"/>
  <c r="AY53" i="37"/>
  <c r="AY25" i="37"/>
  <c r="AX84" i="37"/>
  <c r="AY77" i="37"/>
  <c r="AY66" i="37"/>
  <c r="AY51" i="37"/>
  <c r="AY46" i="37"/>
  <c r="AY68" i="37"/>
  <c r="AY35" i="37"/>
  <c r="AY52" i="37"/>
  <c r="AY76" i="37"/>
  <c r="AY57" i="37"/>
  <c r="AY42" i="37"/>
  <c r="AY74" i="37"/>
  <c r="AX81" i="37"/>
  <c r="AY26" i="37"/>
  <c r="AX90" i="37"/>
  <c r="AY67" i="37"/>
  <c r="AY79" i="37"/>
  <c r="AY37" i="37"/>
  <c r="AX88" i="37"/>
  <c r="AY34" i="37"/>
  <c r="AX91" i="37"/>
  <c r="AY73" i="37"/>
  <c r="AX85" i="37"/>
  <c r="AY55" i="37"/>
  <c r="AY59" i="37"/>
  <c r="AZ24" i="37"/>
  <c r="CG23" i="37" s="1"/>
  <c r="CG7" i="37" s="1"/>
  <c r="AY38" i="37"/>
  <c r="AY29" i="37"/>
  <c r="AY33" i="37"/>
  <c r="AY54" i="37"/>
  <c r="B53" i="63"/>
  <c r="E53" i="63" s="1"/>
  <c r="A52" i="63"/>
  <c r="O25" i="57"/>
  <c r="BO8" i="37" l="1"/>
  <c r="AY85" i="37"/>
  <c r="AZ76" i="37"/>
  <c r="AZ75" i="37"/>
  <c r="AZ51" i="37"/>
  <c r="AZ54" i="37"/>
  <c r="AZ38" i="37"/>
  <c r="AZ47" i="37"/>
  <c r="AZ35" i="37"/>
  <c r="AZ39" i="37"/>
  <c r="AY90" i="37"/>
  <c r="AZ72" i="37"/>
  <c r="AY87" i="37"/>
  <c r="AZ61" i="37"/>
  <c r="AZ65" i="37"/>
  <c r="AZ36" i="37"/>
  <c r="AZ41" i="37"/>
  <c r="AZ68" i="37"/>
  <c r="AZ37" i="37"/>
  <c r="AZ26" i="37"/>
  <c r="AZ33" i="37"/>
  <c r="AZ64" i="37"/>
  <c r="AZ30" i="37"/>
  <c r="AZ59" i="37"/>
  <c r="AZ44" i="37"/>
  <c r="AZ52" i="37"/>
  <c r="AY80" i="37"/>
  <c r="AZ29" i="37"/>
  <c r="AZ78" i="37"/>
  <c r="AZ58" i="37"/>
  <c r="AY84" i="37"/>
  <c r="AZ71" i="37"/>
  <c r="AZ63" i="37"/>
  <c r="AZ57" i="37"/>
  <c r="AZ60" i="37"/>
  <c r="AZ34" i="37"/>
  <c r="AZ74" i="37"/>
  <c r="AZ45" i="37"/>
  <c r="AZ66" i="37"/>
  <c r="AZ53" i="37"/>
  <c r="AY88" i="37"/>
  <c r="AZ31" i="37"/>
  <c r="AY81" i="37"/>
  <c r="AZ69" i="37"/>
  <c r="AZ55" i="37"/>
  <c r="AZ50" i="37"/>
  <c r="AZ48" i="37"/>
  <c r="AZ32" i="37"/>
  <c r="AZ43" i="37"/>
  <c r="AZ25" i="37"/>
  <c r="AZ46" i="37"/>
  <c r="AZ27" i="37"/>
  <c r="AZ73" i="37"/>
  <c r="AZ28" i="37"/>
  <c r="AZ79" i="37"/>
  <c r="AY89" i="37"/>
  <c r="AZ62" i="37"/>
  <c r="AZ49" i="37"/>
  <c r="AZ77" i="37"/>
  <c r="AY86" i="37"/>
  <c r="AZ70" i="37"/>
  <c r="BA24" i="37"/>
  <c r="CH23" i="37" s="1"/>
  <c r="CH7" i="37" s="1"/>
  <c r="AY91" i="37"/>
  <c r="AZ67" i="37"/>
  <c r="AY83" i="37"/>
  <c r="AZ56" i="37"/>
  <c r="AZ42" i="37"/>
  <c r="AY82" i="37"/>
  <c r="AZ40" i="37"/>
  <c r="X52" i="63"/>
  <c r="I34" i="1"/>
  <c r="H34" i="1"/>
  <c r="H54" i="1" s="1"/>
  <c r="J53" i="63"/>
  <c r="D53" i="63"/>
  <c r="BP8" i="37" l="1"/>
  <c r="AZ87" i="37"/>
  <c r="BA28" i="37"/>
  <c r="AZ84" i="37"/>
  <c r="BA75" i="37"/>
  <c r="BA71" i="37"/>
  <c r="BA52" i="37"/>
  <c r="BA49" i="37"/>
  <c r="BA42" i="37"/>
  <c r="BA27" i="37"/>
  <c r="BA37" i="37"/>
  <c r="BA26" i="37"/>
  <c r="AZ80" i="37"/>
  <c r="BA44" i="37"/>
  <c r="BA76" i="37"/>
  <c r="BA70" i="37"/>
  <c r="BA64" i="37"/>
  <c r="BA50" i="37"/>
  <c r="BA47" i="37"/>
  <c r="BA40" i="37"/>
  <c r="BA45" i="37"/>
  <c r="BA33" i="37"/>
  <c r="BA62" i="37"/>
  <c r="BA36" i="37"/>
  <c r="BB24" i="37"/>
  <c r="CI23" i="37" s="1"/>
  <c r="CI7" i="37" s="1"/>
  <c r="AZ85" i="37"/>
  <c r="BA72" i="37"/>
  <c r="BA74" i="37"/>
  <c r="BA51" i="37"/>
  <c r="BA46" i="37"/>
  <c r="BA30" i="37"/>
  <c r="BA59" i="37"/>
  <c r="AZ83" i="37"/>
  <c r="BA78" i="37"/>
  <c r="BA65" i="37"/>
  <c r="BA61" i="37"/>
  <c r="BA69" i="37"/>
  <c r="BA38" i="37"/>
  <c r="BA41" i="37"/>
  <c r="BA25" i="37"/>
  <c r="BA73" i="37"/>
  <c r="BA57" i="37"/>
  <c r="AZ91" i="37"/>
  <c r="BA60" i="37"/>
  <c r="BA34" i="37"/>
  <c r="BA79" i="37"/>
  <c r="BA32" i="37"/>
  <c r="BA63" i="37"/>
  <c r="AZ88" i="37"/>
  <c r="AZ82" i="37"/>
  <c r="BA77" i="37"/>
  <c r="BA29" i="37"/>
  <c r="BA55" i="37"/>
  <c r="BA56" i="37"/>
  <c r="AZ86" i="37"/>
  <c r="AZ90" i="37"/>
  <c r="AZ81" i="37"/>
  <c r="BA68" i="37"/>
  <c r="BA58" i="37"/>
  <c r="BA66" i="37"/>
  <c r="BA48" i="37"/>
  <c r="BA67" i="37"/>
  <c r="BA39" i="37"/>
  <c r="BA35" i="37"/>
  <c r="AZ89" i="37"/>
  <c r="BA53" i="37"/>
  <c r="BA43" i="37"/>
  <c r="BA54" i="37"/>
  <c r="BA31" i="37"/>
  <c r="I53" i="63"/>
  <c r="K53" i="63"/>
  <c r="C54" i="63" s="1"/>
  <c r="BQ8" i="37" l="1"/>
  <c r="BA82" i="37"/>
  <c r="BA83" i="37"/>
  <c r="BB60" i="37"/>
  <c r="BB67" i="37"/>
  <c r="BB54" i="37"/>
  <c r="BB36" i="37"/>
  <c r="BB76" i="37"/>
  <c r="BB31" i="37"/>
  <c r="BB27" i="37"/>
  <c r="BA80" i="37"/>
  <c r="BB79" i="37"/>
  <c r="BB75" i="37"/>
  <c r="BB74" i="37"/>
  <c r="BB55" i="37"/>
  <c r="BB34" i="37"/>
  <c r="BB45" i="37"/>
  <c r="BB25" i="37"/>
  <c r="BB62" i="37"/>
  <c r="BB53" i="37"/>
  <c r="BB46" i="37"/>
  <c r="BB29" i="37"/>
  <c r="BB33" i="37"/>
  <c r="BC24" i="37"/>
  <c r="CJ23" i="37" s="1"/>
  <c r="CJ7" i="37" s="1"/>
  <c r="BB59" i="37"/>
  <c r="BB26" i="37"/>
  <c r="BA90" i="37"/>
  <c r="BB64" i="37"/>
  <c r="BB68" i="37"/>
  <c r="BB58" i="37"/>
  <c r="BB37" i="37"/>
  <c r="BA88" i="37"/>
  <c r="BB65" i="37"/>
  <c r="BB73" i="37"/>
  <c r="BB72" i="37"/>
  <c r="BB48" i="37"/>
  <c r="BB32" i="37"/>
  <c r="BB41" i="37"/>
  <c r="BB71" i="37"/>
  <c r="BA85" i="37"/>
  <c r="BB56" i="37"/>
  <c r="BB70" i="37"/>
  <c r="BB49" i="37"/>
  <c r="BB52" i="37"/>
  <c r="BB69" i="37"/>
  <c r="BB35" i="37"/>
  <c r="BB78" i="37"/>
  <c r="BB63" i="37"/>
  <c r="BB77" i="37"/>
  <c r="BB30" i="37"/>
  <c r="BB42" i="37"/>
  <c r="BB43" i="37"/>
  <c r="BB57" i="37"/>
  <c r="BB39" i="37"/>
  <c r="BA86" i="37"/>
  <c r="BB51" i="37"/>
  <c r="BA91" i="37"/>
  <c r="BB61" i="37"/>
  <c r="BA81" i="37"/>
  <c r="BB50" i="37"/>
  <c r="BB44" i="37"/>
  <c r="BB28" i="37"/>
  <c r="BA84" i="37"/>
  <c r="BB66" i="37"/>
  <c r="BB47" i="37"/>
  <c r="BA89" i="37"/>
  <c r="BB40" i="37"/>
  <c r="BA87" i="37"/>
  <c r="BB38" i="37"/>
  <c r="B54" i="63"/>
  <c r="E54" i="63" s="1"/>
  <c r="A53" i="63"/>
  <c r="BR8" i="37" l="1"/>
  <c r="BB91" i="37"/>
  <c r="BC79" i="37"/>
  <c r="BC62" i="37"/>
  <c r="BC70" i="37"/>
  <c r="BC50" i="37"/>
  <c r="BC77" i="37"/>
  <c r="BB89" i="37"/>
  <c r="BC60" i="37"/>
  <c r="BC58" i="37"/>
  <c r="BC53" i="37"/>
  <c r="BC37" i="37"/>
  <c r="BC33" i="37"/>
  <c r="BC32" i="37"/>
  <c r="BC44" i="37"/>
  <c r="BB85" i="37"/>
  <c r="BC64" i="37"/>
  <c r="BC27" i="37"/>
  <c r="BC36" i="37"/>
  <c r="BC74" i="37"/>
  <c r="BB81" i="37"/>
  <c r="BC75" i="37"/>
  <c r="BC56" i="37"/>
  <c r="BC51" i="37"/>
  <c r="BC31" i="37"/>
  <c r="BD24" i="37"/>
  <c r="CK23" i="37" s="1"/>
  <c r="CK7" i="37" s="1"/>
  <c r="BC59" i="37"/>
  <c r="BC45" i="37"/>
  <c r="BC30" i="37"/>
  <c r="BC38" i="37"/>
  <c r="BC25" i="37"/>
  <c r="BC55" i="37"/>
  <c r="BC52" i="37"/>
  <c r="BB88" i="37"/>
  <c r="BC40" i="37"/>
  <c r="BC76" i="37"/>
  <c r="BC68" i="37"/>
  <c r="BC72" i="37"/>
  <c r="BC69" i="37"/>
  <c r="BC73" i="37"/>
  <c r="BC54" i="37"/>
  <c r="BC42" i="37"/>
  <c r="BC35" i="37"/>
  <c r="BB90" i="37"/>
  <c r="BB80" i="37"/>
  <c r="BC63" i="37"/>
  <c r="BC26" i="37"/>
  <c r="BB86" i="37"/>
  <c r="BB84" i="37"/>
  <c r="BC78" i="37"/>
  <c r="BC61" i="37"/>
  <c r="BC71" i="37"/>
  <c r="BC29" i="37"/>
  <c r="BC66" i="37"/>
  <c r="BC39" i="37"/>
  <c r="BB83" i="37"/>
  <c r="BC48" i="37"/>
  <c r="BC41" i="37"/>
  <c r="BB82" i="37"/>
  <c r="BC67" i="37"/>
  <c r="BC65" i="37"/>
  <c r="BC57" i="37"/>
  <c r="BC47" i="37"/>
  <c r="BC28" i="37"/>
  <c r="BC49" i="37"/>
  <c r="BC43" i="37"/>
  <c r="BB87" i="37"/>
  <c r="BC34" i="37"/>
  <c r="BC46" i="37"/>
  <c r="X53" i="63"/>
  <c r="J54" i="63"/>
  <c r="D54" i="63"/>
  <c r="K79" i="1"/>
  <c r="K77" i="1"/>
  <c r="BS8" i="37" l="1"/>
  <c r="BC89" i="37"/>
  <c r="BD76" i="37"/>
  <c r="BD74" i="37"/>
  <c r="BD54" i="37"/>
  <c r="BC81" i="37"/>
  <c r="BD37" i="37"/>
  <c r="BD47" i="37"/>
  <c r="BD46" i="37"/>
  <c r="BD38" i="37"/>
  <c r="BD65" i="37"/>
  <c r="BD71" i="37"/>
  <c r="BD36" i="37"/>
  <c r="BC87" i="37"/>
  <c r="BD58" i="37"/>
  <c r="BD41" i="37"/>
  <c r="BD34" i="37"/>
  <c r="BC84" i="37"/>
  <c r="BD62" i="37"/>
  <c r="BD50" i="37"/>
  <c r="BD49" i="37"/>
  <c r="BD69" i="37"/>
  <c r="BC88" i="37"/>
  <c r="BD75" i="37"/>
  <c r="BD72" i="37"/>
  <c r="BD59" i="37"/>
  <c r="BD64" i="37"/>
  <c r="BD35" i="37"/>
  <c r="BD30" i="37"/>
  <c r="BD48" i="37"/>
  <c r="BE24" i="37"/>
  <c r="CL23" i="37" s="1"/>
  <c r="CL7" i="37" s="1"/>
  <c r="BC83" i="37"/>
  <c r="BD73" i="37"/>
  <c r="BD68" i="37"/>
  <c r="BD63" i="37"/>
  <c r="BD53" i="37"/>
  <c r="BD33" i="37"/>
  <c r="BD25" i="37"/>
  <c r="BD55" i="37"/>
  <c r="BC86" i="37"/>
  <c r="BC82" i="37"/>
  <c r="BC91" i="37"/>
  <c r="BC90" i="37"/>
  <c r="BD51" i="37"/>
  <c r="BD31" i="37"/>
  <c r="BD44" i="37"/>
  <c r="BD40" i="37"/>
  <c r="BD79" i="37"/>
  <c r="BD61" i="37"/>
  <c r="BD70" i="37"/>
  <c r="BD60" i="37"/>
  <c r="BD45" i="37"/>
  <c r="BD29" i="37"/>
  <c r="BD32" i="37"/>
  <c r="BD27" i="37"/>
  <c r="BC85" i="37"/>
  <c r="BD77" i="37"/>
  <c r="BD66" i="37"/>
  <c r="BD43" i="37"/>
  <c r="BD42" i="37"/>
  <c r="BC80" i="37"/>
  <c r="BD67" i="37"/>
  <c r="BD57" i="37"/>
  <c r="BD52" i="37"/>
  <c r="BD26" i="37"/>
  <c r="BD78" i="37"/>
  <c r="BD56" i="37"/>
  <c r="BD39" i="37"/>
  <c r="BD28" i="37"/>
  <c r="K78" i="1"/>
  <c r="I54" i="63"/>
  <c r="K54" i="63"/>
  <c r="C55" i="63" s="1"/>
  <c r="BT8" i="37" l="1"/>
  <c r="BD85" i="37"/>
  <c r="BE68" i="37"/>
  <c r="BE69" i="37"/>
  <c r="BE51" i="37"/>
  <c r="BE52" i="37"/>
  <c r="BE33" i="37"/>
  <c r="BE65" i="37"/>
  <c r="BE36" i="37"/>
  <c r="BD82" i="37"/>
  <c r="BE71" i="37"/>
  <c r="BD86" i="37"/>
  <c r="BE66" i="37"/>
  <c r="BE48" i="37"/>
  <c r="BE49" i="37"/>
  <c r="BE50" i="37"/>
  <c r="BE61" i="37"/>
  <c r="BE43" i="37"/>
  <c r="BE38" i="37"/>
  <c r="BE40" i="37"/>
  <c r="BD80" i="37"/>
  <c r="BE39" i="37"/>
  <c r="BE62" i="37"/>
  <c r="BE37" i="37"/>
  <c r="BE75" i="37"/>
  <c r="BE53" i="37"/>
  <c r="BE46" i="37"/>
  <c r="BE78" i="37"/>
  <c r="BD87" i="37"/>
  <c r="BE76" i="37"/>
  <c r="BE56" i="37"/>
  <c r="BE45" i="37"/>
  <c r="BE47" i="37"/>
  <c r="BE29" i="37"/>
  <c r="BE28" i="37"/>
  <c r="BE59" i="37"/>
  <c r="BE31" i="37"/>
  <c r="BF24" i="37"/>
  <c r="CM23" i="37" s="1"/>
  <c r="CM7" i="37" s="1"/>
  <c r="BD91" i="37"/>
  <c r="BE54" i="37"/>
  <c r="BD83" i="37"/>
  <c r="BE32" i="37"/>
  <c r="BD90" i="37"/>
  <c r="BE64" i="37"/>
  <c r="BE34" i="37"/>
  <c r="BD88" i="37"/>
  <c r="BE77" i="37"/>
  <c r="BE70" i="37"/>
  <c r="BE25" i="37"/>
  <c r="BE67" i="37"/>
  <c r="BE30" i="37"/>
  <c r="BD81" i="37"/>
  <c r="BE79" i="37"/>
  <c r="BE72" i="37"/>
  <c r="BE35" i="37"/>
  <c r="BD89" i="37"/>
  <c r="BD84" i="37"/>
  <c r="BE74" i="37"/>
  <c r="BE60" i="37"/>
  <c r="BE58" i="37"/>
  <c r="BE41" i="37"/>
  <c r="BE27" i="37"/>
  <c r="BE57" i="37"/>
  <c r="BE44" i="37"/>
  <c r="BE73" i="37"/>
  <c r="BE55" i="37"/>
  <c r="BE26" i="37"/>
  <c r="BE63" i="37"/>
  <c r="BE42" i="37"/>
  <c r="B55" i="63"/>
  <c r="E55" i="63" s="1"/>
  <c r="A54" i="63"/>
  <c r="BU8" i="37" l="1"/>
  <c r="BE89" i="37"/>
  <c r="BE87" i="37"/>
  <c r="BF64" i="37"/>
  <c r="BF72" i="37"/>
  <c r="BF52" i="37"/>
  <c r="BF37" i="37"/>
  <c r="BF47" i="37"/>
  <c r="BF40" i="37"/>
  <c r="BF46" i="37"/>
  <c r="BF32" i="37"/>
  <c r="BF74" i="37"/>
  <c r="BF59" i="37"/>
  <c r="BF76" i="37"/>
  <c r="BF45" i="37"/>
  <c r="BF65" i="37"/>
  <c r="BF73" i="37"/>
  <c r="BE86" i="37"/>
  <c r="BE82" i="37"/>
  <c r="BF62" i="37"/>
  <c r="BF68" i="37"/>
  <c r="BF48" i="37"/>
  <c r="BF35" i="37"/>
  <c r="BF44" i="37"/>
  <c r="BF56" i="37"/>
  <c r="BE83" i="37"/>
  <c r="BE91" i="37"/>
  <c r="BF77" i="37"/>
  <c r="BF60" i="37"/>
  <c r="BF70" i="37"/>
  <c r="BF53" i="37"/>
  <c r="BF33" i="37"/>
  <c r="BF30" i="37"/>
  <c r="BF58" i="37"/>
  <c r="BF51" i="37"/>
  <c r="BF28" i="37"/>
  <c r="BE85" i="37"/>
  <c r="BF29" i="37"/>
  <c r="BF69" i="37"/>
  <c r="BF27" i="37"/>
  <c r="BF34" i="37"/>
  <c r="BF42" i="37"/>
  <c r="BE90" i="37"/>
  <c r="BF31" i="37"/>
  <c r="BF61" i="37"/>
  <c r="BE88" i="37"/>
  <c r="BF43" i="37"/>
  <c r="BE81" i="37"/>
  <c r="BF67" i="37"/>
  <c r="BF63" i="37"/>
  <c r="BF54" i="37"/>
  <c r="BF41" i="37"/>
  <c r="BF25" i="37"/>
  <c r="BG24" i="37"/>
  <c r="CN23" i="37" s="1"/>
  <c r="CN7" i="37" s="1"/>
  <c r="BF26" i="37"/>
  <c r="BE84" i="37"/>
  <c r="BF66" i="37"/>
  <c r="BF78" i="37"/>
  <c r="BF79" i="37"/>
  <c r="BF39" i="37"/>
  <c r="BF49" i="37"/>
  <c r="BE80" i="37"/>
  <c r="BF38" i="37"/>
  <c r="BF57" i="37"/>
  <c r="BF36" i="37"/>
  <c r="BF71" i="37"/>
  <c r="BF50" i="37"/>
  <c r="BF75" i="37"/>
  <c r="BF55" i="37"/>
  <c r="X54" i="63"/>
  <c r="J55" i="63"/>
  <c r="D55" i="63"/>
  <c r="BV8" i="37" l="1"/>
  <c r="BF83" i="37"/>
  <c r="BG77" i="37"/>
  <c r="BF80" i="37"/>
  <c r="BG79" i="37"/>
  <c r="BG76" i="37"/>
  <c r="BG72" i="37"/>
  <c r="BG58" i="37"/>
  <c r="BF89" i="37"/>
  <c r="BG50" i="37"/>
  <c r="BG66" i="37"/>
  <c r="BG30" i="37"/>
  <c r="BG42" i="37"/>
  <c r="BG36" i="37"/>
  <c r="BG63" i="37"/>
  <c r="BG37" i="37"/>
  <c r="BG34" i="37"/>
  <c r="BG55" i="37"/>
  <c r="BG28" i="37"/>
  <c r="BG33" i="37"/>
  <c r="BG75" i="37"/>
  <c r="BG74" i="37"/>
  <c r="BG68" i="37"/>
  <c r="BG52" i="37"/>
  <c r="BF84" i="37"/>
  <c r="BG40" i="37"/>
  <c r="BG41" i="37"/>
  <c r="BG25" i="37"/>
  <c r="BG64" i="37"/>
  <c r="BG38" i="37"/>
  <c r="BF91" i="37"/>
  <c r="BF90" i="37"/>
  <c r="BG45" i="37"/>
  <c r="BG67" i="37"/>
  <c r="BG56" i="37"/>
  <c r="BG53" i="37"/>
  <c r="BG73" i="37"/>
  <c r="BG70" i="37"/>
  <c r="BG69" i="37"/>
  <c r="BG48" i="37"/>
  <c r="BG46" i="37"/>
  <c r="BG35" i="37"/>
  <c r="BG32" i="37"/>
  <c r="BG39" i="37"/>
  <c r="BF86" i="37"/>
  <c r="BF82" i="37"/>
  <c r="BG65" i="37"/>
  <c r="BG71" i="37"/>
  <c r="BG31" i="37"/>
  <c r="BF85" i="37"/>
  <c r="BG51" i="37"/>
  <c r="BG27" i="37"/>
  <c r="BG59" i="37"/>
  <c r="BG62" i="37"/>
  <c r="BG47" i="37"/>
  <c r="BG44" i="37"/>
  <c r="BF88" i="37"/>
  <c r="BG78" i="37"/>
  <c r="BG61" i="37"/>
  <c r="BG60" i="37"/>
  <c r="BF81" i="37"/>
  <c r="BH24" i="37"/>
  <c r="CO23" i="37" s="1"/>
  <c r="CO7" i="37" s="1"/>
  <c r="BG26" i="37"/>
  <c r="BG54" i="37"/>
  <c r="BG57" i="37"/>
  <c r="BF87" i="37"/>
  <c r="BG49" i="37"/>
  <c r="BG29" i="37"/>
  <c r="BG43" i="37"/>
  <c r="K76" i="1"/>
  <c r="K81" i="1" s="1"/>
  <c r="I55" i="63"/>
  <c r="K55" i="63"/>
  <c r="C56" i="63" s="1"/>
  <c r="BW8" i="37" l="1"/>
  <c r="BG88" i="37"/>
  <c r="BH75" i="37"/>
  <c r="BH70" i="37"/>
  <c r="BH51" i="37"/>
  <c r="BH42" i="37"/>
  <c r="BG82" i="37"/>
  <c r="BG83" i="37"/>
  <c r="BH39" i="37"/>
  <c r="BH54" i="37"/>
  <c r="BG90" i="37"/>
  <c r="BG87" i="37"/>
  <c r="BH65" i="37"/>
  <c r="BH50" i="37"/>
  <c r="BH40" i="37"/>
  <c r="BH76" i="37"/>
  <c r="BH66" i="37"/>
  <c r="BH37" i="37"/>
  <c r="BH56" i="37"/>
  <c r="BG86" i="37"/>
  <c r="BH73" i="37"/>
  <c r="BH71" i="37"/>
  <c r="BH72" i="37"/>
  <c r="BH38" i="37"/>
  <c r="BH68" i="37"/>
  <c r="BH48" i="37"/>
  <c r="BI24" i="37"/>
  <c r="CP23" i="37" s="1"/>
  <c r="CP7" i="37" s="1"/>
  <c r="BH26" i="37"/>
  <c r="BG89" i="37"/>
  <c r="BG80" i="37"/>
  <c r="BG85" i="37"/>
  <c r="BH67" i="37"/>
  <c r="BH36" i="37"/>
  <c r="BH63" i="37"/>
  <c r="BH41" i="37"/>
  <c r="BH57" i="37"/>
  <c r="BH79" i="37"/>
  <c r="BH77" i="37"/>
  <c r="BH58" i="37"/>
  <c r="BH35" i="37"/>
  <c r="BH43" i="37"/>
  <c r="BG81" i="37"/>
  <c r="BH55" i="37"/>
  <c r="BH32" i="37"/>
  <c r="BH25" i="37"/>
  <c r="BH47" i="37"/>
  <c r="BH78" i="37"/>
  <c r="BH64" i="37"/>
  <c r="BH62" i="37"/>
  <c r="BH46" i="37"/>
  <c r="BH30" i="37"/>
  <c r="BH59" i="37"/>
  <c r="BH29" i="37"/>
  <c r="BH53" i="37"/>
  <c r="BG91" i="37"/>
  <c r="BG84" i="37"/>
  <c r="BH74" i="37"/>
  <c r="BH60" i="37"/>
  <c r="BH44" i="37"/>
  <c r="BH28" i="37"/>
  <c r="BH33" i="37"/>
  <c r="BH49" i="37"/>
  <c r="BH45" i="37"/>
  <c r="BH61" i="37"/>
  <c r="BH34" i="37"/>
  <c r="BH31" i="37"/>
  <c r="BH69" i="37"/>
  <c r="BH52" i="37"/>
  <c r="BH27" i="37"/>
  <c r="B56" i="63"/>
  <c r="E56" i="63" s="1"/>
  <c r="A55" i="63"/>
  <c r="BX8" i="37" l="1"/>
  <c r="BH89" i="37"/>
  <c r="BI74" i="37"/>
  <c r="BI70" i="37"/>
  <c r="BI52" i="37"/>
  <c r="BI49" i="37"/>
  <c r="BI36" i="37"/>
  <c r="BI26" i="37"/>
  <c r="BI45" i="37"/>
  <c r="BI31" i="37"/>
  <c r="BI39" i="37"/>
  <c r="BI55" i="37"/>
  <c r="BI41" i="37"/>
  <c r="BH86" i="37"/>
  <c r="BH81" i="37"/>
  <c r="BI65" i="37"/>
  <c r="BI50" i="37"/>
  <c r="BI47" i="37"/>
  <c r="BI34" i="37"/>
  <c r="BI32" i="37"/>
  <c r="BI30" i="37"/>
  <c r="BI43" i="37"/>
  <c r="BI71" i="37"/>
  <c r="BI46" i="37"/>
  <c r="BI75" i="37"/>
  <c r="BI44" i="37"/>
  <c r="BI37" i="37"/>
  <c r="BI69" i="37"/>
  <c r="BI42" i="37"/>
  <c r="BI38" i="37"/>
  <c r="BH84" i="37"/>
  <c r="BI72" i="37"/>
  <c r="BI66" i="37"/>
  <c r="BI79" i="37"/>
  <c r="BI58" i="37"/>
  <c r="BI61" i="37"/>
  <c r="BI48" i="37"/>
  <c r="BI60" i="37"/>
  <c r="BI33" i="37"/>
  <c r="BI73" i="37"/>
  <c r="BH91" i="37"/>
  <c r="BI51" i="37"/>
  <c r="BI28" i="37"/>
  <c r="BH88" i="37"/>
  <c r="BI63" i="37"/>
  <c r="BJ24" i="37"/>
  <c r="CQ23" i="37" s="1"/>
  <c r="CQ7" i="37" s="1"/>
  <c r="BI53" i="37"/>
  <c r="BI76" i="37"/>
  <c r="BI67" i="37"/>
  <c r="BI35" i="37"/>
  <c r="BI68" i="37"/>
  <c r="BI25" i="37"/>
  <c r="BH87" i="37"/>
  <c r="BI64" i="37"/>
  <c r="BH80" i="37"/>
  <c r="BI54" i="37"/>
  <c r="BH85" i="37"/>
  <c r="BH83" i="37"/>
  <c r="BH82" i="37"/>
  <c r="BI56" i="37"/>
  <c r="BI59" i="37"/>
  <c r="BI40" i="37"/>
  <c r="BI62" i="37"/>
  <c r="BI57" i="37"/>
  <c r="BI29" i="37"/>
  <c r="BH90" i="37"/>
  <c r="BI77" i="37"/>
  <c r="BI78" i="37"/>
  <c r="BI27" i="37"/>
  <c r="X55" i="63"/>
  <c r="D56" i="63"/>
  <c r="J56" i="63"/>
  <c r="BY8" i="37" l="1"/>
  <c r="BI90" i="37"/>
  <c r="BJ76" i="37"/>
  <c r="BJ79" i="37"/>
  <c r="BJ69" i="37"/>
  <c r="BJ60" i="37"/>
  <c r="BJ32" i="37"/>
  <c r="BJ56" i="37"/>
  <c r="BJ33" i="37"/>
  <c r="BJ31" i="37"/>
  <c r="BI80" i="37"/>
  <c r="BJ55" i="37"/>
  <c r="BJ29" i="37"/>
  <c r="BI83" i="37"/>
  <c r="BJ38" i="37"/>
  <c r="BJ25" i="37"/>
  <c r="BI87" i="37"/>
  <c r="BJ70" i="37"/>
  <c r="BJ73" i="37"/>
  <c r="BJ62" i="37"/>
  <c r="BJ46" i="37"/>
  <c r="BJ30" i="37"/>
  <c r="BJ48" i="37"/>
  <c r="BI81" i="37"/>
  <c r="BJ54" i="37"/>
  <c r="BI84" i="37"/>
  <c r="BJ68" i="37"/>
  <c r="BJ74" i="37"/>
  <c r="BJ64" i="37"/>
  <c r="BJ44" i="37"/>
  <c r="BJ28" i="37"/>
  <c r="BJ27" i="37"/>
  <c r="BJ51" i="37"/>
  <c r="BK24" i="37"/>
  <c r="CR23" i="37" s="1"/>
  <c r="CR7" i="37" s="1"/>
  <c r="BI82" i="37"/>
  <c r="BJ65" i="37"/>
  <c r="BJ66" i="37"/>
  <c r="BJ58" i="37"/>
  <c r="BJ42" i="37"/>
  <c r="BJ26" i="37"/>
  <c r="BJ43" i="37"/>
  <c r="BJ37" i="37"/>
  <c r="BJ63" i="37"/>
  <c r="BJ40" i="37"/>
  <c r="BJ35" i="37"/>
  <c r="BJ61" i="37"/>
  <c r="BJ50" i="37"/>
  <c r="BJ39" i="37"/>
  <c r="BI89" i="37"/>
  <c r="BJ59" i="37"/>
  <c r="BJ67" i="37"/>
  <c r="BJ49" i="37"/>
  <c r="BJ36" i="37"/>
  <c r="BJ77" i="37"/>
  <c r="BJ72" i="37"/>
  <c r="BJ47" i="37"/>
  <c r="BI85" i="37"/>
  <c r="BI86" i="37"/>
  <c r="BJ57" i="37"/>
  <c r="BI88" i="37"/>
  <c r="BJ53" i="37"/>
  <c r="BJ34" i="37"/>
  <c r="BJ75" i="37"/>
  <c r="BJ41" i="37"/>
  <c r="BJ45" i="37"/>
  <c r="BJ71" i="37"/>
  <c r="BJ52" i="37"/>
  <c r="BI91" i="37"/>
  <c r="BJ78" i="37"/>
  <c r="I56" i="63"/>
  <c r="K56" i="63"/>
  <c r="C57" i="63" s="1"/>
  <c r="F57" i="63" s="1"/>
  <c r="F58" i="63" s="1"/>
  <c r="F59" i="63" s="1"/>
  <c r="F60" i="63" s="1"/>
  <c r="F61" i="63" s="1"/>
  <c r="F62" i="63" s="1"/>
  <c r="F63" i="63" s="1"/>
  <c r="F64" i="63" s="1"/>
  <c r="F65" i="63" s="1"/>
  <c r="F66" i="63" s="1"/>
  <c r="F67" i="63" s="1"/>
  <c r="F68" i="63" s="1"/>
  <c r="F69" i="63" s="1"/>
  <c r="F70" i="63" s="1"/>
  <c r="F71" i="63" s="1"/>
  <c r="F72" i="63" s="1"/>
  <c r="F73" i="63" s="1"/>
  <c r="F74" i="63" s="1"/>
  <c r="F75" i="63" s="1"/>
  <c r="F76" i="63" s="1"/>
  <c r="F77" i="63" s="1"/>
  <c r="F78" i="63" s="1"/>
  <c r="F79" i="63" s="1"/>
  <c r="F80" i="63" s="1"/>
  <c r="F81" i="63" s="1"/>
  <c r="F82" i="63" s="1"/>
  <c r="F83" i="63" s="1"/>
  <c r="F84" i="63" s="1"/>
  <c r="F85" i="63" s="1"/>
  <c r="F86" i="63" s="1"/>
  <c r="F87" i="63" s="1"/>
  <c r="F88" i="63" s="1"/>
  <c r="F89" i="63" s="1"/>
  <c r="F90" i="63" s="1"/>
  <c r="F91" i="63" s="1"/>
  <c r="F92" i="63" s="1"/>
  <c r="F93" i="63" s="1"/>
  <c r="F94" i="63" s="1"/>
  <c r="F95" i="63" s="1"/>
  <c r="F96" i="63" s="1"/>
  <c r="F97" i="63" s="1"/>
  <c r="F98" i="63" s="1"/>
  <c r="F99" i="63" s="1"/>
  <c r="F100" i="63" s="1"/>
  <c r="F101" i="63" s="1"/>
  <c r="F102" i="63" s="1"/>
  <c r="F103" i="63" s="1"/>
  <c r="F104" i="63" s="1"/>
  <c r="F105" i="63" s="1"/>
  <c r="F106" i="63" s="1"/>
  <c r="F107" i="63" s="1"/>
  <c r="F108" i="63" s="1"/>
  <c r="F109" i="63" s="1"/>
  <c r="F110" i="63" s="1"/>
  <c r="F111" i="63" s="1"/>
  <c r="F112" i="63" s="1"/>
  <c r="F113" i="63" s="1"/>
  <c r="F114" i="63" s="1"/>
  <c r="F115" i="63" s="1"/>
  <c r="F116" i="63" s="1"/>
  <c r="F117" i="63" s="1"/>
  <c r="F118" i="63" s="1"/>
  <c r="F119" i="63" s="1"/>
  <c r="F120" i="63" s="1"/>
  <c r="F121" i="63" s="1"/>
  <c r="F122" i="63" s="1"/>
  <c r="F123" i="63" s="1"/>
  <c r="F124" i="63" s="1"/>
  <c r="F125" i="63" s="1"/>
  <c r="F126" i="63" s="1"/>
  <c r="F127" i="63" s="1"/>
  <c r="F128" i="63" s="1"/>
  <c r="F129" i="63" s="1"/>
  <c r="F130" i="63" s="1"/>
  <c r="F131" i="63" s="1"/>
  <c r="F132" i="63" s="1"/>
  <c r="F133" i="63" s="1"/>
  <c r="F134" i="63" s="1"/>
  <c r="F135" i="63" s="1"/>
  <c r="F136" i="63" s="1"/>
  <c r="F137" i="63" s="1"/>
  <c r="F138" i="63" s="1"/>
  <c r="F139" i="63" s="1"/>
  <c r="F140" i="63" s="1"/>
  <c r="F141" i="63" s="1"/>
  <c r="F142" i="63" s="1"/>
  <c r="F143" i="63" s="1"/>
  <c r="F144" i="63" s="1"/>
  <c r="F145" i="63" s="1"/>
  <c r="F146" i="63" s="1"/>
  <c r="F147" i="63" s="1"/>
  <c r="F148" i="63" s="1"/>
  <c r="F149" i="63" s="1"/>
  <c r="F150" i="63" s="1"/>
  <c r="F151" i="63" s="1"/>
  <c r="F152" i="63" s="1"/>
  <c r="F153" i="63" s="1"/>
  <c r="F154" i="63" s="1"/>
  <c r="F155" i="63" s="1"/>
  <c r="F156" i="63" s="1"/>
  <c r="F157" i="63" s="1"/>
  <c r="F158" i="63" s="1"/>
  <c r="F159" i="63" s="1"/>
  <c r="F160" i="63" s="1"/>
  <c r="F161" i="63" s="1"/>
  <c r="F162" i="63" s="1"/>
  <c r="F163" i="63" s="1"/>
  <c r="F164" i="63" s="1"/>
  <c r="F165" i="63" s="1"/>
  <c r="F166" i="63" s="1"/>
  <c r="F167" i="63" s="1"/>
  <c r="F168" i="63" s="1"/>
  <c r="F169" i="63" s="1"/>
  <c r="F170" i="63" s="1"/>
  <c r="F171" i="63" s="1"/>
  <c r="F172" i="63" s="1"/>
  <c r="F173" i="63" s="1"/>
  <c r="F174" i="63" s="1"/>
  <c r="F175" i="63" s="1"/>
  <c r="F176" i="63" s="1"/>
  <c r="F177" i="63" s="1"/>
  <c r="F178" i="63" s="1"/>
  <c r="F179" i="63" s="1"/>
  <c r="F180" i="63" s="1"/>
  <c r="F181" i="63" s="1"/>
  <c r="F182" i="63" s="1"/>
  <c r="F183" i="63" s="1"/>
  <c r="F184" i="63" s="1"/>
  <c r="F185" i="63" s="1"/>
  <c r="F186" i="63" s="1"/>
  <c r="F187" i="63" s="1"/>
  <c r="F188" i="63" s="1"/>
  <c r="F189" i="63" s="1"/>
  <c r="F190" i="63" s="1"/>
  <c r="F191" i="63" s="1"/>
  <c r="F192" i="63" s="1"/>
  <c r="F193" i="63" s="1"/>
  <c r="F194" i="63" s="1"/>
  <c r="F195" i="63" s="1"/>
  <c r="F196" i="63" s="1"/>
  <c r="F197" i="63" s="1"/>
  <c r="F198" i="63" s="1"/>
  <c r="F199" i="63" s="1"/>
  <c r="F200" i="63" s="1"/>
  <c r="F201" i="63" s="1"/>
  <c r="F202" i="63" s="1"/>
  <c r="F203" i="63" s="1"/>
  <c r="F204" i="63" s="1"/>
  <c r="F205" i="63" s="1"/>
  <c r="F206" i="63" s="1"/>
  <c r="F207" i="63" s="1"/>
  <c r="F208" i="63" s="1"/>
  <c r="F209" i="63" s="1"/>
  <c r="F210" i="63" s="1"/>
  <c r="F211" i="63" s="1"/>
  <c r="F212" i="63" s="1"/>
  <c r="F213" i="63" s="1"/>
  <c r="F214" i="63" s="1"/>
  <c r="F215" i="63" s="1"/>
  <c r="F216" i="63" s="1"/>
  <c r="F217" i="63" s="1"/>
  <c r="F218" i="63" s="1"/>
  <c r="F219" i="63" s="1"/>
  <c r="F220" i="63" s="1"/>
  <c r="F221" i="63" s="1"/>
  <c r="F222" i="63" s="1"/>
  <c r="F223" i="63" s="1"/>
  <c r="F224" i="63" s="1"/>
  <c r="F225" i="63" s="1"/>
  <c r="F226" i="63" s="1"/>
  <c r="F227" i="63" s="1"/>
  <c r="F228" i="63" s="1"/>
  <c r="F229" i="63" s="1"/>
  <c r="F230" i="63" s="1"/>
  <c r="F231" i="63" s="1"/>
  <c r="F232" i="63" s="1"/>
  <c r="F233" i="63" s="1"/>
  <c r="F234" i="63" s="1"/>
  <c r="F235" i="63" s="1"/>
  <c r="F236" i="63" s="1"/>
  <c r="F237" i="63" s="1"/>
  <c r="F238" i="63" s="1"/>
  <c r="F239" i="63" s="1"/>
  <c r="F240" i="63" s="1"/>
  <c r="F241" i="63" s="1"/>
  <c r="F242" i="63" s="1"/>
  <c r="F243" i="63" s="1"/>
  <c r="F244" i="63" s="1"/>
  <c r="F245" i="63" s="1"/>
  <c r="F246" i="63" s="1"/>
  <c r="F247" i="63" s="1"/>
  <c r="F248" i="63" s="1"/>
  <c r="F249" i="63" s="1"/>
  <c r="F250" i="63" s="1"/>
  <c r="F251" i="63" s="1"/>
  <c r="F252" i="63" s="1"/>
  <c r="F253" i="63" s="1"/>
  <c r="F254" i="63" s="1"/>
  <c r="F255" i="63" s="1"/>
  <c r="F256" i="63" s="1"/>
  <c r="F257" i="63" s="1"/>
  <c r="F258" i="63" s="1"/>
  <c r="F259" i="63" s="1"/>
  <c r="F260" i="63" s="1"/>
  <c r="F261" i="63" s="1"/>
  <c r="F262" i="63" s="1"/>
  <c r="F263" i="63" s="1"/>
  <c r="F264" i="63" s="1"/>
  <c r="F265" i="63" s="1"/>
  <c r="F266" i="63" s="1"/>
  <c r="F267" i="63" s="1"/>
  <c r="F268" i="63" s="1"/>
  <c r="F269" i="63" s="1"/>
  <c r="F270" i="63" s="1"/>
  <c r="F271" i="63" s="1"/>
  <c r="F272" i="63" s="1"/>
  <c r="F273" i="63" s="1"/>
  <c r="F274" i="63" s="1"/>
  <c r="F275" i="63" s="1"/>
  <c r="F276" i="63" s="1"/>
  <c r="F277" i="63" s="1"/>
  <c r="F278" i="63" s="1"/>
  <c r="F279" i="63" s="1"/>
  <c r="F280" i="63" s="1"/>
  <c r="F281" i="63" s="1"/>
  <c r="F282" i="63" s="1"/>
  <c r="F283" i="63" s="1"/>
  <c r="F284" i="63" s="1"/>
  <c r="F285" i="63" s="1"/>
  <c r="F286" i="63" s="1"/>
  <c r="F287" i="63" s="1"/>
  <c r="F288" i="63" s="1"/>
  <c r="F289" i="63" s="1"/>
  <c r="F290" i="63" s="1"/>
  <c r="F291" i="63" s="1"/>
  <c r="F292" i="63" s="1"/>
  <c r="F293" i="63" s="1"/>
  <c r="F294" i="63" s="1"/>
  <c r="F295" i="63" s="1"/>
  <c r="F296" i="63" s="1"/>
  <c r="F297" i="63" s="1"/>
  <c r="F298" i="63" s="1"/>
  <c r="F299" i="63" s="1"/>
  <c r="F300" i="63" s="1"/>
  <c r="F301" i="63" s="1"/>
  <c r="F302" i="63" s="1"/>
  <c r="F303" i="63" s="1"/>
  <c r="F304" i="63" s="1"/>
  <c r="F305" i="63" s="1"/>
  <c r="F306" i="63" s="1"/>
  <c r="F307" i="63" s="1"/>
  <c r="F308" i="63" s="1"/>
  <c r="F309" i="63" s="1"/>
  <c r="F310" i="63" s="1"/>
  <c r="F311" i="63" s="1"/>
  <c r="F312" i="63" s="1"/>
  <c r="F313" i="63" s="1"/>
  <c r="F314" i="63" s="1"/>
  <c r="F315" i="63" s="1"/>
  <c r="F316" i="63" s="1"/>
  <c r="F317" i="63" s="1"/>
  <c r="F318" i="63" s="1"/>
  <c r="F319" i="63" s="1"/>
  <c r="F320" i="63" s="1"/>
  <c r="F321" i="63" s="1"/>
  <c r="F322" i="63" s="1"/>
  <c r="F323" i="63" s="1"/>
  <c r="F324" i="63" s="1"/>
  <c r="F325" i="63" s="1"/>
  <c r="F326" i="63" s="1"/>
  <c r="F327" i="63" s="1"/>
  <c r="F328" i="63" s="1"/>
  <c r="F329" i="63" s="1"/>
  <c r="F330" i="63" s="1"/>
  <c r="F331" i="63" s="1"/>
  <c r="F332" i="63" s="1"/>
  <c r="F333" i="63" s="1"/>
  <c r="F334" i="63" s="1"/>
  <c r="F335" i="63" s="1"/>
  <c r="F336" i="63" s="1"/>
  <c r="F337" i="63" s="1"/>
  <c r="F338" i="63" s="1"/>
  <c r="F339" i="63" s="1"/>
  <c r="F340" i="63" s="1"/>
  <c r="F341" i="63" s="1"/>
  <c r="F342" i="63" s="1"/>
  <c r="F343" i="63" s="1"/>
  <c r="F344" i="63" s="1"/>
  <c r="F345" i="63" s="1"/>
  <c r="F346" i="63" s="1"/>
  <c r="F347" i="63" s="1"/>
  <c r="F348" i="63" s="1"/>
  <c r="F349" i="63" s="1"/>
  <c r="F350" i="63" s="1"/>
  <c r="F351" i="63" s="1"/>
  <c r="F352" i="63" s="1"/>
  <c r="F353" i="63" s="1"/>
  <c r="F354" i="63" s="1"/>
  <c r="F355" i="63" s="1"/>
  <c r="F356" i="63" s="1"/>
  <c r="F357" i="63" s="1"/>
  <c r="F358" i="63" s="1"/>
  <c r="F359" i="63" s="1"/>
  <c r="F360" i="63" s="1"/>
  <c r="F361" i="63" s="1"/>
  <c r="F362" i="63" s="1"/>
  <c r="F363" i="63" s="1"/>
  <c r="F364" i="63" s="1"/>
  <c r="F365" i="63" s="1"/>
  <c r="F366" i="63" s="1"/>
  <c r="F367" i="63" s="1"/>
  <c r="F368" i="63" s="1"/>
  <c r="F369" i="63" s="1"/>
  <c r="F370" i="63" s="1"/>
  <c r="F371" i="63" s="1"/>
  <c r="F372" i="63" s="1"/>
  <c r="F373" i="63" s="1"/>
  <c r="F374" i="63" s="1"/>
  <c r="F375" i="63" s="1"/>
  <c r="F376" i="63" s="1"/>
  <c r="F377" i="63" s="1"/>
  <c r="F378" i="63" s="1"/>
  <c r="F379" i="63" s="1"/>
  <c r="F380" i="63" s="1"/>
  <c r="F381" i="63" s="1"/>
  <c r="F382" i="63" s="1"/>
  <c r="F383" i="63" s="1"/>
  <c r="F384" i="63" s="1"/>
  <c r="F385" i="63" s="1"/>
  <c r="F386" i="63" s="1"/>
  <c r="F387" i="63" s="1"/>
  <c r="F388" i="63" s="1"/>
  <c r="F389" i="63" s="1"/>
  <c r="F390" i="63" s="1"/>
  <c r="F391" i="63" s="1"/>
  <c r="F392" i="63" s="1"/>
  <c r="F393" i="63" s="1"/>
  <c r="F394" i="63" s="1"/>
  <c r="F395" i="63" s="1"/>
  <c r="F396" i="63" s="1"/>
  <c r="F397" i="63" s="1"/>
  <c r="F398" i="63" s="1"/>
  <c r="F399" i="63" s="1"/>
  <c r="F400" i="63" s="1"/>
  <c r="F401" i="63" s="1"/>
  <c r="F402" i="63" s="1"/>
  <c r="F403" i="63" s="1"/>
  <c r="F404" i="63" s="1"/>
  <c r="F405" i="63" s="1"/>
  <c r="F406" i="63" s="1"/>
  <c r="F407" i="63" s="1"/>
  <c r="F408" i="63" s="1"/>
  <c r="F409" i="63" s="1"/>
  <c r="F410" i="63" s="1"/>
  <c r="F411" i="63" s="1"/>
  <c r="F412" i="63" s="1"/>
  <c r="F413" i="63" s="1"/>
  <c r="F414" i="63" s="1"/>
  <c r="F415" i="63" s="1"/>
  <c r="F416" i="63" s="1"/>
  <c r="F417" i="63" s="1"/>
  <c r="F418" i="63" s="1"/>
  <c r="F419" i="63" s="1"/>
  <c r="F420" i="63" s="1"/>
  <c r="F421" i="63" s="1"/>
  <c r="F422" i="63" s="1"/>
  <c r="F423" i="63" s="1"/>
  <c r="F424" i="63" s="1"/>
  <c r="F425" i="63" s="1"/>
  <c r="F426" i="63" s="1"/>
  <c r="F427" i="63" s="1"/>
  <c r="F428" i="63" s="1"/>
  <c r="F429" i="63" s="1"/>
  <c r="F430" i="63" s="1"/>
  <c r="F431" i="63" s="1"/>
  <c r="F432" i="63" s="1"/>
  <c r="F433" i="63" s="1"/>
  <c r="F434" i="63" s="1"/>
  <c r="F435" i="63" s="1"/>
  <c r="F436" i="63" s="1"/>
  <c r="F437" i="63" s="1"/>
  <c r="F438" i="63" s="1"/>
  <c r="F439" i="63" s="1"/>
  <c r="F440" i="63" s="1"/>
  <c r="F441" i="63" s="1"/>
  <c r="F442" i="63" s="1"/>
  <c r="F443" i="63" s="1"/>
  <c r="F444" i="63" s="1"/>
  <c r="F445" i="63" s="1"/>
  <c r="F446" i="63" s="1"/>
  <c r="F447" i="63" s="1"/>
  <c r="F448" i="63" s="1"/>
  <c r="F449" i="63" s="1"/>
  <c r="F450" i="63" s="1"/>
  <c r="F451" i="63" s="1"/>
  <c r="F452" i="63" s="1"/>
  <c r="F453" i="63" s="1"/>
  <c r="F454" i="63" s="1"/>
  <c r="F455" i="63" s="1"/>
  <c r="F456" i="63" s="1"/>
  <c r="F457" i="63" s="1"/>
  <c r="F458" i="63" s="1"/>
  <c r="F459" i="63" s="1"/>
  <c r="F460" i="63" s="1"/>
  <c r="F461" i="63" s="1"/>
  <c r="F462" i="63" s="1"/>
  <c r="F463" i="63" s="1"/>
  <c r="F464" i="63" s="1"/>
  <c r="F465" i="63" s="1"/>
  <c r="F466" i="63" s="1"/>
  <c r="F467" i="63" s="1"/>
  <c r="F468" i="63" s="1"/>
  <c r="F469" i="63" s="1"/>
  <c r="F470" i="63" s="1"/>
  <c r="F471" i="63" s="1"/>
  <c r="F472" i="63" s="1"/>
  <c r="F473" i="63" s="1"/>
  <c r="F474" i="63" s="1"/>
  <c r="F475" i="63" s="1"/>
  <c r="F476" i="63" s="1"/>
  <c r="F477" i="63" s="1"/>
  <c r="F478" i="63" s="1"/>
  <c r="F479" i="63" s="1"/>
  <c r="F480" i="63" s="1"/>
  <c r="F481" i="63" s="1"/>
  <c r="F482" i="63" s="1"/>
  <c r="F483" i="63" s="1"/>
  <c r="F484" i="63" s="1"/>
  <c r="F485" i="63" s="1"/>
  <c r="F486" i="63" s="1"/>
  <c r="F487" i="63" s="1"/>
  <c r="F488" i="63" s="1"/>
  <c r="F489" i="63" s="1"/>
  <c r="F490" i="63" s="1"/>
  <c r="BZ8" i="37" l="1"/>
  <c r="BJ89" i="37"/>
  <c r="BJ80" i="37"/>
  <c r="BK62" i="37"/>
  <c r="BK54" i="37"/>
  <c r="BK58" i="37"/>
  <c r="BK41" i="37"/>
  <c r="BK36" i="37"/>
  <c r="BK44" i="37"/>
  <c r="BK32" i="37"/>
  <c r="BK29" i="37"/>
  <c r="BK51" i="37"/>
  <c r="BK77" i="37"/>
  <c r="BK79" i="37"/>
  <c r="BK60" i="37"/>
  <c r="BK55" i="37"/>
  <c r="BK52" i="37"/>
  <c r="BK25" i="37"/>
  <c r="BL24" i="37"/>
  <c r="CS23" i="37" s="1"/>
  <c r="CS7" i="37" s="1"/>
  <c r="BK33" i="37"/>
  <c r="BK34" i="37"/>
  <c r="BK65" i="37"/>
  <c r="BK49" i="37"/>
  <c r="BK39" i="37"/>
  <c r="BJ82" i="37"/>
  <c r="BJ84" i="37"/>
  <c r="BK38" i="37"/>
  <c r="BJ86" i="37"/>
  <c r="BK53" i="37"/>
  <c r="BK35" i="37"/>
  <c r="BK74" i="37"/>
  <c r="BJ85" i="37"/>
  <c r="BJ88" i="37"/>
  <c r="BK50" i="37"/>
  <c r="BK61" i="37"/>
  <c r="BJ83" i="37"/>
  <c r="BK48" i="37"/>
  <c r="BK42" i="37"/>
  <c r="BK59" i="37"/>
  <c r="BK46" i="37"/>
  <c r="BK68" i="37"/>
  <c r="BK76" i="37"/>
  <c r="BK27" i="37"/>
  <c r="BK30" i="37"/>
  <c r="BK72" i="37"/>
  <c r="BK70" i="37"/>
  <c r="BK71" i="37"/>
  <c r="BK43" i="37"/>
  <c r="BK73" i="37"/>
  <c r="BK63" i="37"/>
  <c r="BK37" i="37"/>
  <c r="BJ90" i="37"/>
  <c r="BK45" i="37"/>
  <c r="BK26" i="37"/>
  <c r="BJ87" i="37"/>
  <c r="BJ81" i="37"/>
  <c r="BK66" i="37"/>
  <c r="BK69" i="37"/>
  <c r="BK75" i="37"/>
  <c r="BK40" i="37"/>
  <c r="BK28" i="37"/>
  <c r="BK57" i="37"/>
  <c r="BK31" i="37"/>
  <c r="BJ91" i="37"/>
  <c r="BK78" i="37"/>
  <c r="BK64" i="37"/>
  <c r="BK56" i="37"/>
  <c r="BK67" i="37"/>
  <c r="BK47" i="37"/>
  <c r="B57" i="63"/>
  <c r="E57" i="63" s="1"/>
  <c r="A56" i="63"/>
  <c r="CA8" i="37" l="1"/>
  <c r="BK88" i="37"/>
  <c r="BL75" i="37"/>
  <c r="BK81" i="37"/>
  <c r="BL71" i="37"/>
  <c r="BL48" i="37"/>
  <c r="BL33" i="37"/>
  <c r="BL49" i="37"/>
  <c r="BK90" i="37"/>
  <c r="BL74" i="37"/>
  <c r="BL59" i="37"/>
  <c r="BL65" i="37"/>
  <c r="BK86" i="37"/>
  <c r="BL31" i="37"/>
  <c r="BL30" i="37"/>
  <c r="BL27" i="37"/>
  <c r="BL43" i="37"/>
  <c r="BM24" i="37"/>
  <c r="CT23" i="37" s="1"/>
  <c r="CT7" i="37" s="1"/>
  <c r="BK80" i="37"/>
  <c r="BL41" i="37"/>
  <c r="BK87" i="37"/>
  <c r="BL53" i="37"/>
  <c r="BL44" i="37"/>
  <c r="BL67" i="37"/>
  <c r="BL37" i="37"/>
  <c r="BL60" i="37"/>
  <c r="BL76" i="37"/>
  <c r="BL26" i="37"/>
  <c r="BL42" i="37"/>
  <c r="BK85" i="37"/>
  <c r="BL69" i="37"/>
  <c r="BL62" i="37"/>
  <c r="BL57" i="37"/>
  <c r="BL45" i="37"/>
  <c r="BL29" i="37"/>
  <c r="BL51" i="37"/>
  <c r="BL32" i="37"/>
  <c r="BL36" i="37"/>
  <c r="BL54" i="37"/>
  <c r="BL50" i="37"/>
  <c r="BL52" i="37"/>
  <c r="BL72" i="37"/>
  <c r="BL73" i="37"/>
  <c r="BL38" i="37"/>
  <c r="BK84" i="37"/>
  <c r="BL63" i="37"/>
  <c r="BL28" i="37"/>
  <c r="BK89" i="37"/>
  <c r="BL58" i="37"/>
  <c r="BL35" i="37"/>
  <c r="BL47" i="37"/>
  <c r="BK91" i="37"/>
  <c r="BK82" i="37"/>
  <c r="BL56" i="37"/>
  <c r="BL70" i="37"/>
  <c r="BL66" i="37"/>
  <c r="BL79" i="37"/>
  <c r="BL64" i="37"/>
  <c r="BL25" i="37"/>
  <c r="BL78" i="37"/>
  <c r="BL39" i="37"/>
  <c r="BL46" i="37"/>
  <c r="BL77" i="37"/>
  <c r="BL68" i="37"/>
  <c r="BL34" i="37"/>
  <c r="BK83" i="37"/>
  <c r="BL61" i="37"/>
  <c r="BL55" i="37"/>
  <c r="BL40" i="37"/>
  <c r="X56" i="63"/>
  <c r="J57" i="63"/>
  <c r="D57" i="63"/>
  <c r="CB8" i="37" l="1"/>
  <c r="BL83" i="37"/>
  <c r="BL88" i="37"/>
  <c r="BL82" i="37"/>
  <c r="BM55" i="37"/>
  <c r="BM61" i="37"/>
  <c r="BM33" i="37"/>
  <c r="BM52" i="37"/>
  <c r="BM38" i="37"/>
  <c r="BM42" i="37"/>
  <c r="BM78" i="37"/>
  <c r="BL87" i="37"/>
  <c r="BM77" i="37"/>
  <c r="BM53" i="37"/>
  <c r="BM70" i="37"/>
  <c r="BM56" i="37"/>
  <c r="BM31" i="37"/>
  <c r="BM54" i="37"/>
  <c r="BM49" i="37"/>
  <c r="BM47" i="37"/>
  <c r="BM40" i="37"/>
  <c r="BM62" i="37"/>
  <c r="BM27" i="37"/>
  <c r="BM73" i="37"/>
  <c r="BM65" i="37"/>
  <c r="BM69" i="37"/>
  <c r="BM66" i="37"/>
  <c r="BM29" i="37"/>
  <c r="BM58" i="37"/>
  <c r="BM25" i="37"/>
  <c r="BL85" i="37"/>
  <c r="BM60" i="37"/>
  <c r="BM68" i="37"/>
  <c r="BM51" i="37"/>
  <c r="BM45" i="37"/>
  <c r="BM50" i="37"/>
  <c r="BM26" i="37"/>
  <c r="BM67" i="37"/>
  <c r="BM75" i="37"/>
  <c r="BM39" i="37"/>
  <c r="BL81" i="37"/>
  <c r="BM37" i="37"/>
  <c r="BL84" i="37"/>
  <c r="BM48" i="37"/>
  <c r="BM79" i="37"/>
  <c r="BL90" i="37"/>
  <c r="BM64" i="37"/>
  <c r="BM71" i="37"/>
  <c r="BM43" i="37"/>
  <c r="BM46" i="37"/>
  <c r="BM34" i="37"/>
  <c r="BL89" i="37"/>
  <c r="BM36" i="37"/>
  <c r="BL86" i="37"/>
  <c r="BM57" i="37"/>
  <c r="BM44" i="37"/>
  <c r="BM59" i="37"/>
  <c r="BM32" i="37"/>
  <c r="BM76" i="37"/>
  <c r="BL80" i="37"/>
  <c r="BM74" i="37"/>
  <c r="BM41" i="37"/>
  <c r="BM72" i="37"/>
  <c r="BM30" i="37"/>
  <c r="BM63" i="37"/>
  <c r="BN24" i="37"/>
  <c r="CU23" i="37" s="1"/>
  <c r="CU7" i="37" s="1"/>
  <c r="BL91" i="37"/>
  <c r="BM35" i="37"/>
  <c r="BM28" i="37"/>
  <c r="G57" i="63"/>
  <c r="G58" i="63" s="1"/>
  <c r="G59" i="63" s="1"/>
  <c r="G60" i="63" s="1"/>
  <c r="G61" i="63" s="1"/>
  <c r="G62" i="63" s="1"/>
  <c r="G63" i="63" s="1"/>
  <c r="G64" i="63" s="1"/>
  <c r="G65" i="63" s="1"/>
  <c r="G66" i="63" s="1"/>
  <c r="G67" i="63" s="1"/>
  <c r="G68" i="63" s="1"/>
  <c r="G69" i="63" s="1"/>
  <c r="G70" i="63" s="1"/>
  <c r="G71" i="63" s="1"/>
  <c r="G72" i="63" s="1"/>
  <c r="G73" i="63" s="1"/>
  <c r="G74" i="63" s="1"/>
  <c r="G75" i="63" s="1"/>
  <c r="G76" i="63" s="1"/>
  <c r="G77" i="63" s="1"/>
  <c r="G78" i="63" s="1"/>
  <c r="G79" i="63" s="1"/>
  <c r="G80" i="63" s="1"/>
  <c r="G81" i="63" s="1"/>
  <c r="G82" i="63" s="1"/>
  <c r="G83" i="63" s="1"/>
  <c r="G84" i="63" s="1"/>
  <c r="G85" i="63" s="1"/>
  <c r="G86" i="63" s="1"/>
  <c r="G87" i="63" s="1"/>
  <c r="G88" i="63" s="1"/>
  <c r="G89" i="63" s="1"/>
  <c r="G90" i="63" s="1"/>
  <c r="G91" i="63" s="1"/>
  <c r="G92" i="63" s="1"/>
  <c r="G93" i="63" s="1"/>
  <c r="G94" i="63" s="1"/>
  <c r="G95" i="63" s="1"/>
  <c r="G96" i="63" s="1"/>
  <c r="G97" i="63" s="1"/>
  <c r="G98" i="63" s="1"/>
  <c r="G99" i="63" s="1"/>
  <c r="G100" i="63" s="1"/>
  <c r="G101" i="63" s="1"/>
  <c r="G102" i="63" s="1"/>
  <c r="G103" i="63" s="1"/>
  <c r="G104" i="63" s="1"/>
  <c r="G105" i="63" s="1"/>
  <c r="G106" i="63" s="1"/>
  <c r="G107" i="63" s="1"/>
  <c r="G108" i="63" s="1"/>
  <c r="G109" i="63" s="1"/>
  <c r="G110" i="63" s="1"/>
  <c r="G111" i="63" s="1"/>
  <c r="G112" i="63" s="1"/>
  <c r="G113" i="63" s="1"/>
  <c r="G114" i="63" s="1"/>
  <c r="G115" i="63" s="1"/>
  <c r="G116" i="63" s="1"/>
  <c r="G117" i="63" s="1"/>
  <c r="G118" i="63" s="1"/>
  <c r="G119" i="63" s="1"/>
  <c r="G120" i="63" s="1"/>
  <c r="G121" i="63" s="1"/>
  <c r="G122" i="63" s="1"/>
  <c r="G123" i="63" s="1"/>
  <c r="G124" i="63" s="1"/>
  <c r="G125" i="63" s="1"/>
  <c r="G126" i="63" s="1"/>
  <c r="G127" i="63" s="1"/>
  <c r="G128" i="63" s="1"/>
  <c r="G129" i="63" s="1"/>
  <c r="G130" i="63" s="1"/>
  <c r="G131" i="63" s="1"/>
  <c r="G132" i="63" s="1"/>
  <c r="G133" i="63" s="1"/>
  <c r="G134" i="63" s="1"/>
  <c r="G135" i="63" s="1"/>
  <c r="G136" i="63" s="1"/>
  <c r="G137" i="63" s="1"/>
  <c r="G138" i="63" s="1"/>
  <c r="G139" i="63" s="1"/>
  <c r="G140" i="63" s="1"/>
  <c r="G141" i="63" s="1"/>
  <c r="G142" i="63" s="1"/>
  <c r="G143" i="63" s="1"/>
  <c r="G144" i="63" s="1"/>
  <c r="G145" i="63" s="1"/>
  <c r="G146" i="63" s="1"/>
  <c r="G147" i="63" s="1"/>
  <c r="G148" i="63" s="1"/>
  <c r="G149" i="63" s="1"/>
  <c r="G150" i="63" s="1"/>
  <c r="G151" i="63" s="1"/>
  <c r="G152" i="63" s="1"/>
  <c r="G153" i="63" s="1"/>
  <c r="G154" i="63" s="1"/>
  <c r="G155" i="63" s="1"/>
  <c r="G156" i="63" s="1"/>
  <c r="G157" i="63" s="1"/>
  <c r="G158" i="63" s="1"/>
  <c r="G159" i="63" s="1"/>
  <c r="G160" i="63" s="1"/>
  <c r="G161" i="63" s="1"/>
  <c r="G162" i="63" s="1"/>
  <c r="G163" i="63" s="1"/>
  <c r="G164" i="63" s="1"/>
  <c r="G165" i="63" s="1"/>
  <c r="G166" i="63" s="1"/>
  <c r="G167" i="63" s="1"/>
  <c r="G168" i="63" s="1"/>
  <c r="G169" i="63" s="1"/>
  <c r="G170" i="63" s="1"/>
  <c r="G171" i="63" s="1"/>
  <c r="G172" i="63" s="1"/>
  <c r="G173" i="63" s="1"/>
  <c r="G174" i="63" s="1"/>
  <c r="G175" i="63" s="1"/>
  <c r="G176" i="63" s="1"/>
  <c r="G177" i="63" s="1"/>
  <c r="G178" i="63" s="1"/>
  <c r="G179" i="63" s="1"/>
  <c r="G180" i="63" s="1"/>
  <c r="G181" i="63" s="1"/>
  <c r="G182" i="63" s="1"/>
  <c r="G183" i="63" s="1"/>
  <c r="G184" i="63" s="1"/>
  <c r="G185" i="63" s="1"/>
  <c r="G186" i="63" s="1"/>
  <c r="G187" i="63" s="1"/>
  <c r="G188" i="63" s="1"/>
  <c r="G189" i="63" s="1"/>
  <c r="G190" i="63" s="1"/>
  <c r="G191" i="63" s="1"/>
  <c r="G192" i="63" s="1"/>
  <c r="G193" i="63" s="1"/>
  <c r="G194" i="63" s="1"/>
  <c r="G195" i="63" s="1"/>
  <c r="G196" i="63" s="1"/>
  <c r="G197" i="63" s="1"/>
  <c r="G198" i="63" s="1"/>
  <c r="G199" i="63" s="1"/>
  <c r="G200" i="63" s="1"/>
  <c r="G201" i="63" s="1"/>
  <c r="G202" i="63" s="1"/>
  <c r="G203" i="63" s="1"/>
  <c r="G204" i="63" s="1"/>
  <c r="G205" i="63" s="1"/>
  <c r="G206" i="63" s="1"/>
  <c r="G207" i="63" s="1"/>
  <c r="G208" i="63" s="1"/>
  <c r="G209" i="63" s="1"/>
  <c r="G210" i="63" s="1"/>
  <c r="G211" i="63" s="1"/>
  <c r="G212" i="63" s="1"/>
  <c r="G213" i="63" s="1"/>
  <c r="G214" i="63" s="1"/>
  <c r="G215" i="63" s="1"/>
  <c r="G216" i="63" s="1"/>
  <c r="G217" i="63" s="1"/>
  <c r="G218" i="63" s="1"/>
  <c r="G219" i="63" s="1"/>
  <c r="G220" i="63" s="1"/>
  <c r="G221" i="63" s="1"/>
  <c r="G222" i="63" s="1"/>
  <c r="G223" i="63" s="1"/>
  <c r="G224" i="63" s="1"/>
  <c r="G225" i="63" s="1"/>
  <c r="G226" i="63" s="1"/>
  <c r="G227" i="63" s="1"/>
  <c r="G228" i="63" s="1"/>
  <c r="G229" i="63" s="1"/>
  <c r="G230" i="63" s="1"/>
  <c r="G231" i="63" s="1"/>
  <c r="G232" i="63" s="1"/>
  <c r="G233" i="63" s="1"/>
  <c r="G234" i="63" s="1"/>
  <c r="G235" i="63" s="1"/>
  <c r="G236" i="63" s="1"/>
  <c r="G237" i="63" s="1"/>
  <c r="G238" i="63" s="1"/>
  <c r="G239" i="63" s="1"/>
  <c r="G240" i="63" s="1"/>
  <c r="G241" i="63" s="1"/>
  <c r="G242" i="63" s="1"/>
  <c r="G243" i="63" s="1"/>
  <c r="G244" i="63" s="1"/>
  <c r="G245" i="63" s="1"/>
  <c r="G246" i="63" s="1"/>
  <c r="G247" i="63" s="1"/>
  <c r="G248" i="63" s="1"/>
  <c r="G249" i="63" s="1"/>
  <c r="G250" i="63" s="1"/>
  <c r="G251" i="63" s="1"/>
  <c r="G252" i="63" s="1"/>
  <c r="G253" i="63" s="1"/>
  <c r="G254" i="63" s="1"/>
  <c r="G255" i="63" s="1"/>
  <c r="G256" i="63" s="1"/>
  <c r="G257" i="63" s="1"/>
  <c r="G258" i="63" s="1"/>
  <c r="G259" i="63" s="1"/>
  <c r="G260" i="63" s="1"/>
  <c r="G261" i="63" s="1"/>
  <c r="G262" i="63" s="1"/>
  <c r="G263" i="63" s="1"/>
  <c r="G264" i="63" s="1"/>
  <c r="G265" i="63" s="1"/>
  <c r="G266" i="63" s="1"/>
  <c r="G267" i="63" s="1"/>
  <c r="G268" i="63" s="1"/>
  <c r="G269" i="63" s="1"/>
  <c r="G270" i="63" s="1"/>
  <c r="G271" i="63" s="1"/>
  <c r="G272" i="63" s="1"/>
  <c r="G273" i="63" s="1"/>
  <c r="G274" i="63" s="1"/>
  <c r="G275" i="63" s="1"/>
  <c r="G276" i="63" s="1"/>
  <c r="G277" i="63" s="1"/>
  <c r="G278" i="63" s="1"/>
  <c r="G279" i="63" s="1"/>
  <c r="G280" i="63" s="1"/>
  <c r="G281" i="63" s="1"/>
  <c r="G282" i="63" s="1"/>
  <c r="G283" i="63" s="1"/>
  <c r="G284" i="63" s="1"/>
  <c r="G285" i="63" s="1"/>
  <c r="G286" i="63" s="1"/>
  <c r="G287" i="63" s="1"/>
  <c r="G288" i="63" s="1"/>
  <c r="G289" i="63" s="1"/>
  <c r="G290" i="63" s="1"/>
  <c r="G291" i="63" s="1"/>
  <c r="G292" i="63" s="1"/>
  <c r="G293" i="63" s="1"/>
  <c r="G294" i="63" s="1"/>
  <c r="G295" i="63" s="1"/>
  <c r="G296" i="63" s="1"/>
  <c r="G297" i="63" s="1"/>
  <c r="G298" i="63" s="1"/>
  <c r="G299" i="63" s="1"/>
  <c r="G300" i="63" s="1"/>
  <c r="G301" i="63" s="1"/>
  <c r="G302" i="63" s="1"/>
  <c r="G303" i="63" s="1"/>
  <c r="G304" i="63" s="1"/>
  <c r="G305" i="63" s="1"/>
  <c r="G306" i="63" s="1"/>
  <c r="G307" i="63" s="1"/>
  <c r="G308" i="63" s="1"/>
  <c r="G309" i="63" s="1"/>
  <c r="G310" i="63" s="1"/>
  <c r="G311" i="63" s="1"/>
  <c r="G312" i="63" s="1"/>
  <c r="G313" i="63" s="1"/>
  <c r="G314" i="63" s="1"/>
  <c r="G315" i="63" s="1"/>
  <c r="G316" i="63" s="1"/>
  <c r="G317" i="63" s="1"/>
  <c r="G318" i="63" s="1"/>
  <c r="G319" i="63" s="1"/>
  <c r="G320" i="63" s="1"/>
  <c r="G321" i="63" s="1"/>
  <c r="G322" i="63" s="1"/>
  <c r="G323" i="63" s="1"/>
  <c r="G324" i="63" s="1"/>
  <c r="G325" i="63" s="1"/>
  <c r="G326" i="63" s="1"/>
  <c r="G327" i="63" s="1"/>
  <c r="G328" i="63" s="1"/>
  <c r="G329" i="63" s="1"/>
  <c r="G330" i="63" s="1"/>
  <c r="G331" i="63" s="1"/>
  <c r="G332" i="63" s="1"/>
  <c r="G333" i="63" s="1"/>
  <c r="G334" i="63" s="1"/>
  <c r="G335" i="63" s="1"/>
  <c r="G336" i="63" s="1"/>
  <c r="G337" i="63" s="1"/>
  <c r="G338" i="63" s="1"/>
  <c r="G339" i="63" s="1"/>
  <c r="G340" i="63" s="1"/>
  <c r="G341" i="63" s="1"/>
  <c r="G342" i="63" s="1"/>
  <c r="G343" i="63" s="1"/>
  <c r="G344" i="63" s="1"/>
  <c r="G345" i="63" s="1"/>
  <c r="G346" i="63" s="1"/>
  <c r="G347" i="63" s="1"/>
  <c r="G348" i="63" s="1"/>
  <c r="G349" i="63" s="1"/>
  <c r="G350" i="63" s="1"/>
  <c r="G351" i="63" s="1"/>
  <c r="G352" i="63" s="1"/>
  <c r="G353" i="63" s="1"/>
  <c r="G354" i="63" s="1"/>
  <c r="G355" i="63" s="1"/>
  <c r="G356" i="63" s="1"/>
  <c r="G357" i="63" s="1"/>
  <c r="G358" i="63" s="1"/>
  <c r="G359" i="63" s="1"/>
  <c r="G360" i="63" s="1"/>
  <c r="G361" i="63" s="1"/>
  <c r="G362" i="63" s="1"/>
  <c r="G363" i="63" s="1"/>
  <c r="G364" i="63" s="1"/>
  <c r="G365" i="63" s="1"/>
  <c r="G366" i="63" s="1"/>
  <c r="G367" i="63" s="1"/>
  <c r="G368" i="63" s="1"/>
  <c r="G369" i="63" s="1"/>
  <c r="G370" i="63" s="1"/>
  <c r="G371" i="63" s="1"/>
  <c r="G372" i="63" s="1"/>
  <c r="G373" i="63" s="1"/>
  <c r="G374" i="63" s="1"/>
  <c r="G375" i="63" s="1"/>
  <c r="G376" i="63" s="1"/>
  <c r="G377" i="63" s="1"/>
  <c r="G378" i="63" s="1"/>
  <c r="G379" i="63" s="1"/>
  <c r="G380" i="63" s="1"/>
  <c r="G381" i="63" s="1"/>
  <c r="G382" i="63" s="1"/>
  <c r="G383" i="63" s="1"/>
  <c r="G384" i="63" s="1"/>
  <c r="G385" i="63" s="1"/>
  <c r="G386" i="63" s="1"/>
  <c r="G387" i="63" s="1"/>
  <c r="G388" i="63" s="1"/>
  <c r="G389" i="63" s="1"/>
  <c r="G390" i="63" s="1"/>
  <c r="G391" i="63" s="1"/>
  <c r="G392" i="63" s="1"/>
  <c r="G393" i="63" s="1"/>
  <c r="G394" i="63" s="1"/>
  <c r="G395" i="63" s="1"/>
  <c r="G396" i="63" s="1"/>
  <c r="G397" i="63" s="1"/>
  <c r="G398" i="63" s="1"/>
  <c r="G399" i="63" s="1"/>
  <c r="G400" i="63" s="1"/>
  <c r="G401" i="63" s="1"/>
  <c r="G402" i="63" s="1"/>
  <c r="G403" i="63" s="1"/>
  <c r="G404" i="63" s="1"/>
  <c r="G405" i="63" s="1"/>
  <c r="G406" i="63" s="1"/>
  <c r="G407" i="63" s="1"/>
  <c r="G408" i="63" s="1"/>
  <c r="G409" i="63" s="1"/>
  <c r="G410" i="63" s="1"/>
  <c r="G411" i="63" s="1"/>
  <c r="G412" i="63" s="1"/>
  <c r="G413" i="63" s="1"/>
  <c r="G414" i="63" s="1"/>
  <c r="G415" i="63" s="1"/>
  <c r="G416" i="63" s="1"/>
  <c r="G417" i="63" s="1"/>
  <c r="G418" i="63" s="1"/>
  <c r="G419" i="63" s="1"/>
  <c r="G420" i="63" s="1"/>
  <c r="G421" i="63" s="1"/>
  <c r="G422" i="63" s="1"/>
  <c r="G423" i="63" s="1"/>
  <c r="G424" i="63" s="1"/>
  <c r="G425" i="63" s="1"/>
  <c r="G426" i="63" s="1"/>
  <c r="G427" i="63" s="1"/>
  <c r="G428" i="63" s="1"/>
  <c r="G429" i="63" s="1"/>
  <c r="G430" i="63" s="1"/>
  <c r="G431" i="63" s="1"/>
  <c r="G432" i="63" s="1"/>
  <c r="G433" i="63" s="1"/>
  <c r="G434" i="63" s="1"/>
  <c r="G435" i="63" s="1"/>
  <c r="G436" i="63" s="1"/>
  <c r="G437" i="63" s="1"/>
  <c r="G438" i="63" s="1"/>
  <c r="G439" i="63" s="1"/>
  <c r="G440" i="63" s="1"/>
  <c r="G441" i="63" s="1"/>
  <c r="G442" i="63" s="1"/>
  <c r="G443" i="63" s="1"/>
  <c r="G444" i="63" s="1"/>
  <c r="G445" i="63" s="1"/>
  <c r="G446" i="63" s="1"/>
  <c r="G447" i="63" s="1"/>
  <c r="G448" i="63" s="1"/>
  <c r="G449" i="63" s="1"/>
  <c r="G450" i="63" s="1"/>
  <c r="G451" i="63" s="1"/>
  <c r="G452" i="63" s="1"/>
  <c r="G453" i="63" s="1"/>
  <c r="G454" i="63" s="1"/>
  <c r="G455" i="63" s="1"/>
  <c r="G456" i="63" s="1"/>
  <c r="G457" i="63" s="1"/>
  <c r="G458" i="63" s="1"/>
  <c r="G459" i="63" s="1"/>
  <c r="G460" i="63" s="1"/>
  <c r="G461" i="63" s="1"/>
  <c r="G462" i="63" s="1"/>
  <c r="G463" i="63" s="1"/>
  <c r="G464" i="63" s="1"/>
  <c r="G465" i="63" s="1"/>
  <c r="G466" i="63" s="1"/>
  <c r="G467" i="63" s="1"/>
  <c r="G468" i="63" s="1"/>
  <c r="G469" i="63" s="1"/>
  <c r="G470" i="63" s="1"/>
  <c r="G471" i="63" s="1"/>
  <c r="G472" i="63" s="1"/>
  <c r="G473" i="63" s="1"/>
  <c r="G474" i="63" s="1"/>
  <c r="G475" i="63" s="1"/>
  <c r="G476" i="63" s="1"/>
  <c r="G477" i="63" s="1"/>
  <c r="G478" i="63" s="1"/>
  <c r="G479" i="63" s="1"/>
  <c r="G480" i="63" s="1"/>
  <c r="G481" i="63" s="1"/>
  <c r="G482" i="63" s="1"/>
  <c r="G483" i="63" s="1"/>
  <c r="G484" i="63" s="1"/>
  <c r="G485" i="63" s="1"/>
  <c r="G486" i="63" s="1"/>
  <c r="G487" i="63" s="1"/>
  <c r="G488" i="63" s="1"/>
  <c r="G489" i="63" s="1"/>
  <c r="G490" i="63" s="1"/>
  <c r="I57" i="63"/>
  <c r="K57" i="63"/>
  <c r="C58" i="63" s="1"/>
  <c r="CC8" i="37" l="1"/>
  <c r="BM90" i="37"/>
  <c r="BN71" i="37"/>
  <c r="BN60" i="37"/>
  <c r="BN59" i="37"/>
  <c r="BN43" i="37"/>
  <c r="BN27" i="37"/>
  <c r="BN51" i="37"/>
  <c r="BN38" i="37"/>
  <c r="BN53" i="37"/>
  <c r="BM88" i="37"/>
  <c r="BN69" i="37"/>
  <c r="BN58" i="37"/>
  <c r="BN75" i="37"/>
  <c r="BN41" i="37"/>
  <c r="BN25" i="37"/>
  <c r="BN49" i="37"/>
  <c r="BN44" i="37"/>
  <c r="BN39" i="37"/>
  <c r="BN46" i="37"/>
  <c r="BN36" i="37"/>
  <c r="BN37" i="37"/>
  <c r="BN34" i="37"/>
  <c r="BN42" i="37"/>
  <c r="BN35" i="37"/>
  <c r="BM89" i="37"/>
  <c r="BN77" i="37"/>
  <c r="BN64" i="37"/>
  <c r="BN70" i="37"/>
  <c r="BN79" i="37"/>
  <c r="BN57" i="37"/>
  <c r="BN72" i="37"/>
  <c r="BM82" i="37"/>
  <c r="BN67" i="37"/>
  <c r="BN61" i="37"/>
  <c r="BN48" i="37"/>
  <c r="BN63" i="37"/>
  <c r="BM85" i="37"/>
  <c r="BN47" i="37"/>
  <c r="BM84" i="37"/>
  <c r="BN52" i="37"/>
  <c r="BN40" i="37"/>
  <c r="BN65" i="37"/>
  <c r="BN54" i="37"/>
  <c r="BM91" i="37"/>
  <c r="BN74" i="37"/>
  <c r="BM87" i="37"/>
  <c r="BN73" i="37"/>
  <c r="BN76" i="37"/>
  <c r="BN78" i="37"/>
  <c r="BN50" i="37"/>
  <c r="BN30" i="37"/>
  <c r="BN66" i="37"/>
  <c r="BN55" i="37"/>
  <c r="BM81" i="37"/>
  <c r="BO24" i="37"/>
  <c r="CV23" i="37" s="1"/>
  <c r="CV7" i="37" s="1"/>
  <c r="BN62" i="37"/>
  <c r="BN29" i="37"/>
  <c r="BM80" i="37"/>
  <c r="BN68" i="37"/>
  <c r="BN56" i="37"/>
  <c r="BN26" i="37"/>
  <c r="BN33" i="37"/>
  <c r="BN32" i="37"/>
  <c r="BM86" i="37"/>
  <c r="BN31" i="37"/>
  <c r="BM83" i="37"/>
  <c r="BN45" i="37"/>
  <c r="BN28" i="37"/>
  <c r="H57" i="63"/>
  <c r="H58" i="63" s="1"/>
  <c r="B58" i="63"/>
  <c r="E58" i="63" s="1"/>
  <c r="A57" i="63"/>
  <c r="CD8" i="37" l="1"/>
  <c r="BN86" i="37"/>
  <c r="BO73" i="37"/>
  <c r="BO63" i="37"/>
  <c r="BN84" i="37"/>
  <c r="BO60" i="37"/>
  <c r="BO66" i="37"/>
  <c r="BO32" i="37"/>
  <c r="BO27" i="37"/>
  <c r="BO40" i="37"/>
  <c r="BN91" i="37"/>
  <c r="BN82" i="37"/>
  <c r="BO61" i="37"/>
  <c r="BO62" i="37"/>
  <c r="BO67" i="37"/>
  <c r="BO51" i="37"/>
  <c r="BO31" i="37"/>
  <c r="BO38" i="37"/>
  <c r="BO42" i="37"/>
  <c r="BN88" i="37"/>
  <c r="BO77" i="37"/>
  <c r="BO59" i="37"/>
  <c r="BO68" i="37"/>
  <c r="BO48" i="37"/>
  <c r="BO49" i="37"/>
  <c r="BO44" i="37"/>
  <c r="BO36" i="37"/>
  <c r="BO34" i="37"/>
  <c r="BN87" i="37"/>
  <c r="BO74" i="37"/>
  <c r="BN90" i="37"/>
  <c r="BO64" i="37"/>
  <c r="BO56" i="37"/>
  <c r="BO46" i="37"/>
  <c r="BO37" i="37"/>
  <c r="BO69" i="37"/>
  <c r="BO25" i="37"/>
  <c r="BN81" i="37"/>
  <c r="BO78" i="37"/>
  <c r="BO54" i="37"/>
  <c r="BO30" i="37"/>
  <c r="BO71" i="37"/>
  <c r="BO76" i="37"/>
  <c r="BO39" i="37"/>
  <c r="BO26" i="37"/>
  <c r="BO65" i="37"/>
  <c r="BO70" i="37"/>
  <c r="BO41" i="37"/>
  <c r="BO29" i="37"/>
  <c r="BN83" i="37"/>
  <c r="BN80" i="37"/>
  <c r="BN89" i="37"/>
  <c r="BO57" i="37"/>
  <c r="BO52" i="37"/>
  <c r="BO43" i="37"/>
  <c r="BO33" i="37"/>
  <c r="BO35" i="37"/>
  <c r="BO72" i="37"/>
  <c r="BO55" i="37"/>
  <c r="BP24" i="37"/>
  <c r="CW23" i="37" s="1"/>
  <c r="CW7" i="37" s="1"/>
  <c r="BO28" i="37"/>
  <c r="BO79" i="37"/>
  <c r="BO53" i="37"/>
  <c r="BO50" i="37"/>
  <c r="BO45" i="37"/>
  <c r="BO75" i="37"/>
  <c r="BN85" i="37"/>
  <c r="BO47" i="37"/>
  <c r="BO58" i="37"/>
  <c r="X57" i="63"/>
  <c r="D58" i="63"/>
  <c r="J58" i="63"/>
  <c r="CE8" i="37" l="1"/>
  <c r="BO89" i="37"/>
  <c r="BO82" i="37"/>
  <c r="BP68" i="37"/>
  <c r="BP59" i="37"/>
  <c r="BP64" i="37"/>
  <c r="BP44" i="37"/>
  <c r="BP28" i="37"/>
  <c r="BP69" i="37"/>
  <c r="BP58" i="37"/>
  <c r="BO87" i="37"/>
  <c r="BP67" i="37"/>
  <c r="BP65" i="37"/>
  <c r="BP75" i="37"/>
  <c r="BP50" i="37"/>
  <c r="BP42" i="37"/>
  <c r="BP41" i="37"/>
  <c r="BP35" i="37"/>
  <c r="BP48" i="37"/>
  <c r="BP31" i="37"/>
  <c r="BP25" i="37"/>
  <c r="BO81" i="37"/>
  <c r="BP47" i="37"/>
  <c r="BP43" i="37"/>
  <c r="BO84" i="37"/>
  <c r="BP74" i="37"/>
  <c r="BP77" i="37"/>
  <c r="BP37" i="37"/>
  <c r="BP62" i="37"/>
  <c r="BP57" i="37"/>
  <c r="BP39" i="37"/>
  <c r="BO88" i="37"/>
  <c r="BP71" i="37"/>
  <c r="BQ24" i="37"/>
  <c r="CX23" i="37" s="1"/>
  <c r="CX7" i="37" s="1"/>
  <c r="BP78" i="37"/>
  <c r="BP66" i="37"/>
  <c r="BP26" i="37"/>
  <c r="BP49" i="37"/>
  <c r="BO90" i="37"/>
  <c r="BO83" i="37"/>
  <c r="BP55" i="37"/>
  <c r="BP61" i="37"/>
  <c r="BP40" i="37"/>
  <c r="BP53" i="37"/>
  <c r="BP56" i="37"/>
  <c r="BP38" i="37"/>
  <c r="BP70" i="37"/>
  <c r="BP52" i="37"/>
  <c r="BP36" i="37"/>
  <c r="BO80" i="37"/>
  <c r="BP72" i="37"/>
  <c r="BP34" i="37"/>
  <c r="BP33" i="37"/>
  <c r="BP63" i="37"/>
  <c r="BP32" i="37"/>
  <c r="BO85" i="37"/>
  <c r="BP51" i="37"/>
  <c r="BP60" i="37"/>
  <c r="BO86" i="37"/>
  <c r="BP45" i="37"/>
  <c r="BP27" i="37"/>
  <c r="BO91" i="37"/>
  <c r="BP76" i="37"/>
  <c r="BP79" i="37"/>
  <c r="BP54" i="37"/>
  <c r="BP29" i="37"/>
  <c r="BP73" i="37"/>
  <c r="BP46" i="37"/>
  <c r="BP30" i="37"/>
  <c r="I58" i="63"/>
  <c r="K58" i="63"/>
  <c r="C59" i="63" s="1"/>
  <c r="CF8" i="37" l="1"/>
  <c r="BP85" i="37"/>
  <c r="BQ78" i="37"/>
  <c r="BQ68" i="37"/>
  <c r="BQ66" i="37"/>
  <c r="BQ65" i="37"/>
  <c r="BQ46" i="37"/>
  <c r="BQ39" i="37"/>
  <c r="BQ28" i="37"/>
  <c r="BR24" i="37"/>
  <c r="CY23" i="37" s="1"/>
  <c r="CY7" i="37" s="1"/>
  <c r="BP84" i="37"/>
  <c r="BQ52" i="37"/>
  <c r="BQ36" i="37"/>
  <c r="BQ53" i="37"/>
  <c r="BP82" i="37"/>
  <c r="BQ34" i="37"/>
  <c r="BP83" i="37"/>
  <c r="BQ71" i="37"/>
  <c r="BQ55" i="37"/>
  <c r="BQ70" i="37"/>
  <c r="BP90" i="37"/>
  <c r="BQ75" i="37"/>
  <c r="BQ67" i="37"/>
  <c r="BQ59" i="37"/>
  <c r="BQ51" i="37"/>
  <c r="BQ44" i="37"/>
  <c r="BQ32" i="37"/>
  <c r="BQ25" i="37"/>
  <c r="BQ43" i="37"/>
  <c r="BP89" i="37"/>
  <c r="BQ73" i="37"/>
  <c r="BQ64" i="37"/>
  <c r="BQ60" i="37"/>
  <c r="BP86" i="37"/>
  <c r="BQ42" i="37"/>
  <c r="BQ35" i="37"/>
  <c r="BQ33" i="37"/>
  <c r="BQ30" i="37"/>
  <c r="BP87" i="37"/>
  <c r="BQ77" i="37"/>
  <c r="BP81" i="37"/>
  <c r="BQ56" i="37"/>
  <c r="BQ62" i="37"/>
  <c r="BQ40" i="37"/>
  <c r="BQ45" i="37"/>
  <c r="BQ29" i="37"/>
  <c r="BQ76" i="37"/>
  <c r="BQ74" i="37"/>
  <c r="BQ72" i="37"/>
  <c r="BQ54" i="37"/>
  <c r="BQ61" i="37"/>
  <c r="BQ38" i="37"/>
  <c r="BQ37" i="37"/>
  <c r="BQ26" i="37"/>
  <c r="BQ69" i="37"/>
  <c r="BQ58" i="37"/>
  <c r="BQ27" i="37"/>
  <c r="BQ63" i="37"/>
  <c r="BQ49" i="37"/>
  <c r="BQ31" i="37"/>
  <c r="BP88" i="37"/>
  <c r="BQ47" i="37"/>
  <c r="BQ79" i="37"/>
  <c r="BP91" i="37"/>
  <c r="BQ50" i="37"/>
  <c r="BQ48" i="37"/>
  <c r="BP80" i="37"/>
  <c r="BQ57" i="37"/>
  <c r="BQ41" i="37"/>
  <c r="B59" i="63"/>
  <c r="E59" i="63" s="1"/>
  <c r="A58" i="63"/>
  <c r="X58" i="63" s="1"/>
  <c r="CG8" i="37" l="1"/>
  <c r="BQ87" i="37"/>
  <c r="BR72" i="37"/>
  <c r="BR62" i="37"/>
  <c r="BQ82" i="37"/>
  <c r="BR70" i="37"/>
  <c r="BR78" i="37"/>
  <c r="BQ83" i="37"/>
  <c r="BR58" i="37"/>
  <c r="BR36" i="37"/>
  <c r="BR55" i="37"/>
  <c r="BR33" i="37"/>
  <c r="BR41" i="37"/>
  <c r="BR71" i="37"/>
  <c r="BQ88" i="37"/>
  <c r="BR32" i="37"/>
  <c r="BR39" i="37"/>
  <c r="BR29" i="37"/>
  <c r="BR64" i="37"/>
  <c r="BR28" i="37"/>
  <c r="BQ85" i="37"/>
  <c r="BR54" i="37"/>
  <c r="BR43" i="37"/>
  <c r="BR59" i="37"/>
  <c r="BR40" i="37"/>
  <c r="BS24" i="37"/>
  <c r="CZ23" i="37" s="1"/>
  <c r="CZ7" i="37" s="1"/>
  <c r="BQ86" i="37"/>
  <c r="BR31" i="37"/>
  <c r="BQ80" i="37"/>
  <c r="BR68" i="37"/>
  <c r="BR69" i="37"/>
  <c r="BR75" i="37"/>
  <c r="BR49" i="37"/>
  <c r="BR34" i="37"/>
  <c r="BR53" i="37"/>
  <c r="BR25" i="37"/>
  <c r="BQ84" i="37"/>
  <c r="BR76" i="37"/>
  <c r="BR50" i="37"/>
  <c r="BR45" i="37"/>
  <c r="BR37" i="37"/>
  <c r="BQ89" i="37"/>
  <c r="BR79" i="37"/>
  <c r="BR48" i="37"/>
  <c r="BR77" i="37"/>
  <c r="BQ91" i="37"/>
  <c r="BR26" i="37"/>
  <c r="BR74" i="37"/>
  <c r="BR73" i="37"/>
  <c r="BR66" i="37"/>
  <c r="BR57" i="37"/>
  <c r="BR56" i="37"/>
  <c r="BQ81" i="37"/>
  <c r="BR65" i="37"/>
  <c r="BR67" i="37"/>
  <c r="BR60" i="37"/>
  <c r="BR46" i="37"/>
  <c r="BR30" i="37"/>
  <c r="BR63" i="37"/>
  <c r="BR44" i="37"/>
  <c r="BR47" i="37"/>
  <c r="BR61" i="37"/>
  <c r="BR42" i="37"/>
  <c r="BR52" i="37"/>
  <c r="BQ90" i="37"/>
  <c r="BR51" i="37"/>
  <c r="BR35" i="37"/>
  <c r="BR38" i="37"/>
  <c r="BR27" i="37"/>
  <c r="J59" i="63"/>
  <c r="D59" i="63"/>
  <c r="H59" i="63" s="1"/>
  <c r="CH8" i="37" l="1"/>
  <c r="BR87" i="37"/>
  <c r="BR88" i="37"/>
  <c r="BS62" i="37"/>
  <c r="BS65" i="37"/>
  <c r="BS78" i="37"/>
  <c r="BS45" i="37"/>
  <c r="BS44" i="37"/>
  <c r="BS34" i="37"/>
  <c r="BS38" i="37"/>
  <c r="BR91" i="37"/>
  <c r="BR83" i="37"/>
  <c r="BS60" i="37"/>
  <c r="BS70" i="37"/>
  <c r="BS50" i="37"/>
  <c r="BS59" i="37"/>
  <c r="BS33" i="37"/>
  <c r="BS31" i="37"/>
  <c r="BS37" i="37"/>
  <c r="BR86" i="37"/>
  <c r="BR89" i="37"/>
  <c r="BS75" i="37"/>
  <c r="BS61" i="37"/>
  <c r="BS55" i="37"/>
  <c r="BS52" i="37"/>
  <c r="BS47" i="37"/>
  <c r="BS30" i="37"/>
  <c r="BS25" i="37"/>
  <c r="BR84" i="37"/>
  <c r="BR82" i="37"/>
  <c r="BR80" i="37"/>
  <c r="BS56" i="37"/>
  <c r="BS67" i="37"/>
  <c r="BS35" i="37"/>
  <c r="BS36" i="37"/>
  <c r="BS40" i="37"/>
  <c r="BR85" i="37"/>
  <c r="BS76" i="37"/>
  <c r="BS73" i="37"/>
  <c r="BS54" i="37"/>
  <c r="BS63" i="37"/>
  <c r="BS27" i="37"/>
  <c r="BS29" i="37"/>
  <c r="BS41" i="37"/>
  <c r="BS77" i="37"/>
  <c r="BS79" i="37"/>
  <c r="BS68" i="37"/>
  <c r="BS58" i="37"/>
  <c r="BS42" i="37"/>
  <c r="BS28" i="37"/>
  <c r="BS32" i="37"/>
  <c r="BS66" i="37"/>
  <c r="BS71" i="37"/>
  <c r="BS26" i="37"/>
  <c r="BS39" i="37"/>
  <c r="BS72" i="37"/>
  <c r="BS49" i="37"/>
  <c r="BS46" i="37"/>
  <c r="BS53" i="37"/>
  <c r="BS74" i="37"/>
  <c r="BR81" i="37"/>
  <c r="BS51" i="37"/>
  <c r="BS43" i="37"/>
  <c r="BR90" i="37"/>
  <c r="BS69" i="37"/>
  <c r="BS57" i="37"/>
  <c r="BS48" i="37"/>
  <c r="BT24" i="37"/>
  <c r="DA23" i="37" s="1"/>
  <c r="DA7" i="37" s="1"/>
  <c r="BS64" i="37"/>
  <c r="I59" i="63"/>
  <c r="K59" i="63"/>
  <c r="CI8" i="37" l="1"/>
  <c r="BS88" i="37"/>
  <c r="BS81" i="37"/>
  <c r="BT73" i="37"/>
  <c r="BT56" i="37"/>
  <c r="BT53" i="37"/>
  <c r="BT37" i="37"/>
  <c r="BU24" i="37"/>
  <c r="DB23" i="37" s="1"/>
  <c r="DB7" i="37" s="1"/>
  <c r="BS86" i="37"/>
  <c r="BT70" i="37"/>
  <c r="BT69" i="37"/>
  <c r="BT54" i="37"/>
  <c r="BT51" i="37"/>
  <c r="BT35" i="37"/>
  <c r="BT40" i="37"/>
  <c r="BT64" i="37"/>
  <c r="BS80" i="37"/>
  <c r="BT66" i="37"/>
  <c r="BT29" i="37"/>
  <c r="BS83" i="37"/>
  <c r="BT50" i="37"/>
  <c r="BT28" i="37"/>
  <c r="BS82" i="37"/>
  <c r="BT77" i="37"/>
  <c r="BT65" i="37"/>
  <c r="BT67" i="37"/>
  <c r="BT49" i="37"/>
  <c r="BT33" i="37"/>
  <c r="BT47" i="37"/>
  <c r="BT38" i="37"/>
  <c r="BT76" i="37"/>
  <c r="BT72" i="37"/>
  <c r="BT57" i="37"/>
  <c r="BT31" i="37"/>
  <c r="BT42" i="37"/>
  <c r="BT75" i="37"/>
  <c r="BT58" i="37"/>
  <c r="BT26" i="37"/>
  <c r="BS87" i="37"/>
  <c r="BT79" i="37"/>
  <c r="BT59" i="37"/>
  <c r="BT36" i="37"/>
  <c r="BT78" i="37"/>
  <c r="BT62" i="37"/>
  <c r="BT46" i="37"/>
  <c r="BT45" i="37"/>
  <c r="BT34" i="37"/>
  <c r="BT74" i="37"/>
  <c r="BT43" i="37"/>
  <c r="BT30" i="37"/>
  <c r="BS84" i="37"/>
  <c r="BS90" i="37"/>
  <c r="BT68" i="37"/>
  <c r="BT71" i="37"/>
  <c r="BT55" i="37"/>
  <c r="BT41" i="37"/>
  <c r="BT52" i="37"/>
  <c r="BT25" i="37"/>
  <c r="BT32" i="37"/>
  <c r="BS89" i="37"/>
  <c r="BS85" i="37"/>
  <c r="BS91" i="37"/>
  <c r="BT61" i="37"/>
  <c r="BT63" i="37"/>
  <c r="BT39" i="37"/>
  <c r="BT48" i="37"/>
  <c r="BT27" i="37"/>
  <c r="BT60" i="37"/>
  <c r="BT44" i="37"/>
  <c r="C60" i="63"/>
  <c r="A59" i="63"/>
  <c r="X59" i="63" s="1"/>
  <c r="B60" i="63"/>
  <c r="E60" i="63" s="1"/>
  <c r="CJ8" i="37" l="1"/>
  <c r="BT89" i="37"/>
  <c r="BT82" i="37"/>
  <c r="BU79" i="37"/>
  <c r="BU57" i="37"/>
  <c r="BU48" i="37"/>
  <c r="BU43" i="37"/>
  <c r="BU52" i="37"/>
  <c r="BU25" i="37"/>
  <c r="BU64" i="37"/>
  <c r="BU56" i="37"/>
  <c r="BU50" i="37"/>
  <c r="BT85" i="37"/>
  <c r="BU58" i="37"/>
  <c r="BV24" i="37"/>
  <c r="DC23" i="37" s="1"/>
  <c r="DC7" i="37" s="1"/>
  <c r="BU62" i="37"/>
  <c r="BU32" i="37"/>
  <c r="BT91" i="37"/>
  <c r="BU69" i="37"/>
  <c r="BU75" i="37"/>
  <c r="BU55" i="37"/>
  <c r="BU46" i="37"/>
  <c r="BU41" i="37"/>
  <c r="BU47" i="37"/>
  <c r="BU29" i="37"/>
  <c r="BU60" i="37"/>
  <c r="BT81" i="37"/>
  <c r="BT90" i="37"/>
  <c r="BU71" i="37"/>
  <c r="BU53" i="37"/>
  <c r="BT87" i="37"/>
  <c r="BU39" i="37"/>
  <c r="BU42" i="37"/>
  <c r="BU34" i="37"/>
  <c r="BU27" i="37"/>
  <c r="BT84" i="37"/>
  <c r="BU73" i="37"/>
  <c r="BU70" i="37"/>
  <c r="BU51" i="37"/>
  <c r="BU37" i="37"/>
  <c r="BU26" i="37"/>
  <c r="BU30" i="37"/>
  <c r="BT83" i="37"/>
  <c r="BU33" i="37"/>
  <c r="BU44" i="37"/>
  <c r="BU54" i="37"/>
  <c r="BU68" i="37"/>
  <c r="BU45" i="37"/>
  <c r="BU78" i="37"/>
  <c r="BU67" i="37"/>
  <c r="BU74" i="37"/>
  <c r="BU65" i="37"/>
  <c r="BU49" i="37"/>
  <c r="BU35" i="37"/>
  <c r="BU38" i="37"/>
  <c r="BU36" i="37"/>
  <c r="BU77" i="37"/>
  <c r="BU63" i="37"/>
  <c r="BT88" i="37"/>
  <c r="BU72" i="37"/>
  <c r="BT80" i="37"/>
  <c r="BU61" i="37"/>
  <c r="BU76" i="37"/>
  <c r="BU59" i="37"/>
  <c r="BU40" i="37"/>
  <c r="BU31" i="37"/>
  <c r="BT86" i="37"/>
  <c r="BU66" i="37"/>
  <c r="BU28" i="37"/>
  <c r="J60" i="63"/>
  <c r="D60" i="63"/>
  <c r="H60" i="63" s="1"/>
  <c r="CK8" i="37" l="1"/>
  <c r="BU90" i="37"/>
  <c r="BU88" i="37"/>
  <c r="BV62" i="37"/>
  <c r="BV78" i="37"/>
  <c r="BV45" i="37"/>
  <c r="BV29" i="37"/>
  <c r="BV40" i="37"/>
  <c r="BV32" i="37"/>
  <c r="BV50" i="37"/>
  <c r="BU83" i="37"/>
  <c r="BU84" i="37"/>
  <c r="BV60" i="37"/>
  <c r="BV63" i="37"/>
  <c r="BV43" i="37"/>
  <c r="BV27" i="37"/>
  <c r="BV28" i="37"/>
  <c r="BV26" i="37"/>
  <c r="BW24" i="37"/>
  <c r="DD23" i="37" s="1"/>
  <c r="DD7" i="37" s="1"/>
  <c r="BV48" i="37"/>
  <c r="BV30" i="37"/>
  <c r="BU82" i="37"/>
  <c r="BV33" i="37"/>
  <c r="BV77" i="37"/>
  <c r="BV31" i="37"/>
  <c r="BU81" i="37"/>
  <c r="BV75" i="37"/>
  <c r="BV58" i="37"/>
  <c r="BV68" i="37"/>
  <c r="BV41" i="37"/>
  <c r="BV25" i="37"/>
  <c r="BV36" i="37"/>
  <c r="BV73" i="37"/>
  <c r="BV71" i="37"/>
  <c r="BV72" i="37"/>
  <c r="BV61" i="37"/>
  <c r="BV39" i="37"/>
  <c r="BV38" i="37"/>
  <c r="BV42" i="37"/>
  <c r="BU80" i="37"/>
  <c r="BV37" i="37"/>
  <c r="BV54" i="37"/>
  <c r="BV65" i="37"/>
  <c r="BV52" i="37"/>
  <c r="BV49" i="37"/>
  <c r="BU86" i="37"/>
  <c r="BV64" i="37"/>
  <c r="BV47" i="37"/>
  <c r="BU85" i="37"/>
  <c r="BV57" i="37"/>
  <c r="BV53" i="37"/>
  <c r="BV34" i="37"/>
  <c r="BV76" i="37"/>
  <c r="BV79" i="37"/>
  <c r="BV69" i="37"/>
  <c r="BV55" i="37"/>
  <c r="BV59" i="37"/>
  <c r="BV74" i="37"/>
  <c r="BV51" i="37"/>
  <c r="BV56" i="37"/>
  <c r="BU89" i="37"/>
  <c r="BU87" i="37"/>
  <c r="BV67" i="37"/>
  <c r="BV70" i="37"/>
  <c r="BV35" i="37"/>
  <c r="BV66" i="37"/>
  <c r="BV46" i="37"/>
  <c r="BU91" i="37"/>
  <c r="BV44" i="37"/>
  <c r="I60" i="63"/>
  <c r="K60" i="63"/>
  <c r="C61" i="63" s="1"/>
  <c r="CL8" i="37" l="1"/>
  <c r="BV91" i="37"/>
  <c r="BW73" i="37"/>
  <c r="BW65" i="37"/>
  <c r="BV84" i="37"/>
  <c r="BW66" i="37"/>
  <c r="BW33" i="37"/>
  <c r="BW51" i="37"/>
  <c r="BW42" i="37"/>
  <c r="BW45" i="37"/>
  <c r="BV88" i="37"/>
  <c r="BV80" i="37"/>
  <c r="BW63" i="37"/>
  <c r="BW70" i="37"/>
  <c r="BW60" i="37"/>
  <c r="BW25" i="37"/>
  <c r="BW43" i="37"/>
  <c r="BW41" i="37"/>
  <c r="BW40" i="37"/>
  <c r="BV87" i="37"/>
  <c r="BV81" i="37"/>
  <c r="BW61" i="37"/>
  <c r="BW57" i="37"/>
  <c r="BW52" i="37"/>
  <c r="BX24" i="37"/>
  <c r="DE23" i="37" s="1"/>
  <c r="DE7" i="37" s="1"/>
  <c r="BW35" i="37"/>
  <c r="BW27" i="37"/>
  <c r="BW28" i="37"/>
  <c r="BV83" i="37"/>
  <c r="BW78" i="37"/>
  <c r="BW59" i="37"/>
  <c r="BW55" i="37"/>
  <c r="BW67" i="37"/>
  <c r="BW56" i="37"/>
  <c r="BW32" i="37"/>
  <c r="BW39" i="37"/>
  <c r="BV90" i="37"/>
  <c r="BW77" i="37"/>
  <c r="BV85" i="37"/>
  <c r="BW53" i="37"/>
  <c r="BW54" i="37"/>
  <c r="BW31" i="37"/>
  <c r="BW50" i="37"/>
  <c r="BV82" i="37"/>
  <c r="BW74" i="37"/>
  <c r="BW71" i="37"/>
  <c r="BW48" i="37"/>
  <c r="BW36" i="37"/>
  <c r="BW49" i="37"/>
  <c r="BW46" i="37"/>
  <c r="BW34" i="37"/>
  <c r="BW47" i="37"/>
  <c r="BW26" i="37"/>
  <c r="BW38" i="37"/>
  <c r="BW64" i="37"/>
  <c r="BW79" i="37"/>
  <c r="BW68" i="37"/>
  <c r="BW72" i="37"/>
  <c r="BW76" i="37"/>
  <c r="BW62" i="37"/>
  <c r="BW30" i="37"/>
  <c r="BW37" i="37"/>
  <c r="BW44" i="37"/>
  <c r="BV86" i="37"/>
  <c r="BW75" i="37"/>
  <c r="BV89" i="37"/>
  <c r="BW58" i="37"/>
  <c r="BW69" i="37"/>
  <c r="BW29" i="37"/>
  <c r="B61" i="63"/>
  <c r="E61" i="63" s="1"/>
  <c r="A60" i="63"/>
  <c r="X60" i="63" s="1"/>
  <c r="CM8" i="37" l="1"/>
  <c r="BW90" i="37"/>
  <c r="BX74" i="37"/>
  <c r="BX70" i="37"/>
  <c r="BX66" i="37"/>
  <c r="BX42" i="37"/>
  <c r="BX73" i="37"/>
  <c r="BX31" i="37"/>
  <c r="BX45" i="37"/>
  <c r="BX61" i="37"/>
  <c r="BW81" i="37"/>
  <c r="BX76" i="37"/>
  <c r="BX57" i="37"/>
  <c r="BX63" i="37"/>
  <c r="BX40" i="37"/>
  <c r="BX65" i="37"/>
  <c r="BW87" i="37"/>
  <c r="BX50" i="37"/>
  <c r="BX25" i="37"/>
  <c r="BX36" i="37"/>
  <c r="BX26" i="37"/>
  <c r="BX34" i="37"/>
  <c r="BX51" i="37"/>
  <c r="BX72" i="37"/>
  <c r="BW91" i="37"/>
  <c r="BX69" i="37"/>
  <c r="BX68" i="37"/>
  <c r="BX64" i="37"/>
  <c r="BX27" i="37"/>
  <c r="BW85" i="37"/>
  <c r="BX71" i="37"/>
  <c r="BX55" i="37"/>
  <c r="BX52" i="37"/>
  <c r="BX38" i="37"/>
  <c r="BX48" i="37"/>
  <c r="BX35" i="37"/>
  <c r="BX49" i="37"/>
  <c r="BW84" i="37"/>
  <c r="BX53" i="37"/>
  <c r="BX59" i="37"/>
  <c r="BX46" i="37"/>
  <c r="BX37" i="37"/>
  <c r="BX47" i="37"/>
  <c r="BX54" i="37"/>
  <c r="BX32" i="37"/>
  <c r="BX58" i="37"/>
  <c r="BX78" i="37"/>
  <c r="BW83" i="37"/>
  <c r="BX30" i="37"/>
  <c r="BX44" i="37"/>
  <c r="BX28" i="37"/>
  <c r="BW86" i="37"/>
  <c r="BX56" i="37"/>
  <c r="BX77" i="37"/>
  <c r="BW80" i="37"/>
  <c r="BX75" i="37"/>
  <c r="BX67" i="37"/>
  <c r="BX29" i="37"/>
  <c r="BX33" i="37"/>
  <c r="BW89" i="37"/>
  <c r="BX43" i="37"/>
  <c r="BX79" i="37"/>
  <c r="BX60" i="37"/>
  <c r="BX62" i="37"/>
  <c r="BW82" i="37"/>
  <c r="BX41" i="37"/>
  <c r="BX39" i="37"/>
  <c r="BW88" i="37"/>
  <c r="BY24" i="37"/>
  <c r="DF23" i="37" s="1"/>
  <c r="DF7" i="37" s="1"/>
  <c r="J61" i="63"/>
  <c r="D61" i="63"/>
  <c r="H61" i="63" s="1"/>
  <c r="CN8" i="37" l="1"/>
  <c r="BX89" i="37"/>
  <c r="BY72" i="37"/>
  <c r="BY77" i="37"/>
  <c r="BY52" i="37"/>
  <c r="BY76" i="37"/>
  <c r="BY67" i="37"/>
  <c r="BY62" i="37"/>
  <c r="BY50" i="37"/>
  <c r="BY49" i="37"/>
  <c r="BY40" i="37"/>
  <c r="BY30" i="37"/>
  <c r="BY45" i="37"/>
  <c r="BY69" i="37"/>
  <c r="BY75" i="37"/>
  <c r="BY25" i="37"/>
  <c r="BY53" i="37"/>
  <c r="BY46" i="37"/>
  <c r="BX91" i="37"/>
  <c r="BX80" i="37"/>
  <c r="BY74" i="37"/>
  <c r="BY78" i="37"/>
  <c r="BY47" i="37"/>
  <c r="BY38" i="37"/>
  <c r="BY43" i="37"/>
  <c r="BY64" i="37"/>
  <c r="BY41" i="37"/>
  <c r="BX82" i="37"/>
  <c r="BY61" i="37"/>
  <c r="BY71" i="37"/>
  <c r="BX86" i="37"/>
  <c r="BY44" i="37"/>
  <c r="BY51" i="37"/>
  <c r="BX84" i="37"/>
  <c r="BY70" i="37"/>
  <c r="BY63" i="37"/>
  <c r="BY66" i="37"/>
  <c r="BY57" i="37"/>
  <c r="BY36" i="37"/>
  <c r="BY31" i="37"/>
  <c r="BY58" i="37"/>
  <c r="BY32" i="37"/>
  <c r="BY56" i="37"/>
  <c r="BY27" i="37"/>
  <c r="BY54" i="37"/>
  <c r="BY35" i="37"/>
  <c r="BY42" i="37"/>
  <c r="BX87" i="37"/>
  <c r="BX81" i="37"/>
  <c r="BY65" i="37"/>
  <c r="BY55" i="37"/>
  <c r="BZ24" i="37"/>
  <c r="DG23" i="37" s="1"/>
  <c r="DG7" i="37" s="1"/>
  <c r="BY34" i="37"/>
  <c r="BY39" i="37"/>
  <c r="BY28" i="37"/>
  <c r="BX85" i="37"/>
  <c r="BY60" i="37"/>
  <c r="BX90" i="37"/>
  <c r="BY48" i="37"/>
  <c r="BY29" i="37"/>
  <c r="BX88" i="37"/>
  <c r="BX83" i="37"/>
  <c r="BY79" i="37"/>
  <c r="BY59" i="37"/>
  <c r="BY33" i="37"/>
  <c r="BY68" i="37"/>
  <c r="BY73" i="37"/>
  <c r="BY37" i="37"/>
  <c r="BY26" i="37"/>
  <c r="I61" i="63"/>
  <c r="K61" i="63"/>
  <c r="C62" i="63" s="1"/>
  <c r="CO8" i="37" l="1"/>
  <c r="BZ30" i="37"/>
  <c r="BY80" i="37"/>
  <c r="BZ73" i="37"/>
  <c r="BY83" i="37"/>
  <c r="BZ66" i="37"/>
  <c r="BZ44" i="37"/>
  <c r="BZ28" i="37"/>
  <c r="BZ43" i="37"/>
  <c r="CA24" i="37"/>
  <c r="DH23" i="37" s="1"/>
  <c r="DH7" i="37" s="1"/>
  <c r="BZ55" i="37"/>
  <c r="BY87" i="37"/>
  <c r="BZ56" i="37"/>
  <c r="BY88" i="37"/>
  <c r="BY91" i="37"/>
  <c r="BZ70" i="37"/>
  <c r="BZ77" i="37"/>
  <c r="BZ60" i="37"/>
  <c r="BZ42" i="37"/>
  <c r="BZ26" i="37"/>
  <c r="BZ31" i="37"/>
  <c r="BZ35" i="37"/>
  <c r="BZ27" i="37"/>
  <c r="BZ25" i="37"/>
  <c r="BZ49" i="37"/>
  <c r="BZ29" i="37"/>
  <c r="BZ59" i="37"/>
  <c r="BY81" i="37"/>
  <c r="BZ47" i="37"/>
  <c r="BZ45" i="37"/>
  <c r="BY89" i="37"/>
  <c r="BZ68" i="37"/>
  <c r="BZ62" i="37"/>
  <c r="BZ53" i="37"/>
  <c r="BZ40" i="37"/>
  <c r="BZ71" i="37"/>
  <c r="BZ69" i="37"/>
  <c r="BZ39" i="37"/>
  <c r="BZ64" i="37"/>
  <c r="BZ33" i="37"/>
  <c r="BZ76" i="37"/>
  <c r="BY85" i="37"/>
  <c r="BY84" i="37"/>
  <c r="BZ65" i="37"/>
  <c r="BZ74" i="37"/>
  <c r="BZ52" i="37"/>
  <c r="BZ38" i="37"/>
  <c r="BZ48" i="37"/>
  <c r="BZ41" i="37"/>
  <c r="BZ37" i="37"/>
  <c r="BZ79" i="37"/>
  <c r="BZ34" i="37"/>
  <c r="BZ78" i="37"/>
  <c r="BZ32" i="37"/>
  <c r="BZ57" i="37"/>
  <c r="BY90" i="37"/>
  <c r="BY86" i="37"/>
  <c r="BZ63" i="37"/>
  <c r="BZ67" i="37"/>
  <c r="BZ51" i="37"/>
  <c r="BZ36" i="37"/>
  <c r="BZ46" i="37"/>
  <c r="BZ54" i="37"/>
  <c r="BZ61" i="37"/>
  <c r="BZ58" i="37"/>
  <c r="BY82" i="37"/>
  <c r="BZ50" i="37"/>
  <c r="BZ75" i="37"/>
  <c r="BZ72" i="37"/>
  <c r="B62" i="63"/>
  <c r="A61" i="63"/>
  <c r="X61" i="63" s="1"/>
  <c r="CP8" i="37" l="1"/>
  <c r="BZ89" i="37"/>
  <c r="BZ81" i="37"/>
  <c r="CA63" i="37"/>
  <c r="CA49" i="37"/>
  <c r="CA46" i="37"/>
  <c r="CA55" i="37"/>
  <c r="CA38" i="37"/>
  <c r="CA29" i="37"/>
  <c r="CA31" i="37"/>
  <c r="CA50" i="37"/>
  <c r="CA25" i="37"/>
  <c r="CA64" i="37"/>
  <c r="CA45" i="37"/>
  <c r="CA26" i="37"/>
  <c r="CA32" i="37"/>
  <c r="CA51" i="37"/>
  <c r="CA42" i="37"/>
  <c r="CA77" i="37"/>
  <c r="CA71" i="37"/>
  <c r="CA78" i="37"/>
  <c r="BZ88" i="37"/>
  <c r="CA73" i="37"/>
  <c r="CA39" i="37"/>
  <c r="CA35" i="37"/>
  <c r="CA70" i="37"/>
  <c r="CA28" i="37"/>
  <c r="CA72" i="37"/>
  <c r="CA54" i="37"/>
  <c r="CA58" i="37"/>
  <c r="BZ83" i="37"/>
  <c r="CA61" i="37"/>
  <c r="CA75" i="37"/>
  <c r="CA33" i="37"/>
  <c r="CA48" i="37"/>
  <c r="CA40" i="37"/>
  <c r="CA74" i="37"/>
  <c r="CA69" i="37"/>
  <c r="CA56" i="37"/>
  <c r="CA76" i="37"/>
  <c r="CA65" i="37"/>
  <c r="CA34" i="37"/>
  <c r="CA57" i="37"/>
  <c r="CA66" i="37"/>
  <c r="CA30" i="37"/>
  <c r="BZ86" i="37"/>
  <c r="CA59" i="37"/>
  <c r="CA47" i="37"/>
  <c r="CA52" i="37"/>
  <c r="BZ85" i="37"/>
  <c r="CA43" i="37"/>
  <c r="CA27" i="37"/>
  <c r="CA67" i="37"/>
  <c r="BZ91" i="37"/>
  <c r="BZ90" i="37"/>
  <c r="BZ84" i="37"/>
  <c r="CA62" i="37"/>
  <c r="CA68" i="37"/>
  <c r="CA53" i="37"/>
  <c r="BZ80" i="37"/>
  <c r="CA37" i="37"/>
  <c r="CB24" i="37"/>
  <c r="DI23" i="37" s="1"/>
  <c r="DI7" i="37" s="1"/>
  <c r="CA44" i="37"/>
  <c r="BZ87" i="37"/>
  <c r="BZ82" i="37"/>
  <c r="CA60" i="37"/>
  <c r="CA41" i="37"/>
  <c r="CA79" i="37"/>
  <c r="CA36" i="37"/>
  <c r="E62" i="63"/>
  <c r="CQ8" i="37" l="1"/>
  <c r="CB71" i="37"/>
  <c r="CA85" i="37"/>
  <c r="CB74" i="37"/>
  <c r="CA82" i="37"/>
  <c r="CB59" i="37"/>
  <c r="CB66" i="37"/>
  <c r="CB31" i="37"/>
  <c r="CC24" i="37"/>
  <c r="DJ23" i="37" s="1"/>
  <c r="CB52" i="37"/>
  <c r="CB43" i="37"/>
  <c r="CB42" i="37"/>
  <c r="CB60" i="37"/>
  <c r="CB70" i="37"/>
  <c r="CA80" i="37"/>
  <c r="CB55" i="37"/>
  <c r="CB67" i="37"/>
  <c r="CB38" i="37"/>
  <c r="CB33" i="37"/>
  <c r="CA83" i="37"/>
  <c r="CB76" i="37"/>
  <c r="CB68" i="37"/>
  <c r="CB61" i="37"/>
  <c r="CB45" i="37"/>
  <c r="CB29" i="37"/>
  <c r="CB25" i="37"/>
  <c r="CB40" i="37"/>
  <c r="CB72" i="37"/>
  <c r="CB34" i="37"/>
  <c r="CB28" i="37"/>
  <c r="CB62" i="37"/>
  <c r="CB27" i="37"/>
  <c r="CA87" i="37"/>
  <c r="CB56" i="37"/>
  <c r="CB44" i="37"/>
  <c r="CB78" i="37"/>
  <c r="CB35" i="37"/>
  <c r="CB77" i="37"/>
  <c r="CB30" i="37"/>
  <c r="CA90" i="37"/>
  <c r="CB69" i="37"/>
  <c r="CB58" i="37"/>
  <c r="CB46" i="37"/>
  <c r="CA86" i="37"/>
  <c r="CB39" i="37"/>
  <c r="CA89" i="37"/>
  <c r="CB51" i="37"/>
  <c r="CB65" i="37"/>
  <c r="CB48" i="37"/>
  <c r="CA81" i="37"/>
  <c r="CA91" i="37"/>
  <c r="CB41" i="37"/>
  <c r="CB50" i="37"/>
  <c r="CB53" i="37"/>
  <c r="CB75" i="37"/>
  <c r="CB26" i="37"/>
  <c r="CB64" i="37"/>
  <c r="CA84" i="37"/>
  <c r="CB79" i="37"/>
  <c r="CB63" i="37"/>
  <c r="CB54" i="37"/>
  <c r="CB73" i="37"/>
  <c r="CB37" i="37"/>
  <c r="CB32" i="37"/>
  <c r="CB36" i="37"/>
  <c r="CB49" i="37"/>
  <c r="CB57" i="37"/>
  <c r="CA88" i="37"/>
  <c r="CB47" i="37"/>
  <c r="J62" i="63"/>
  <c r="D62" i="63"/>
  <c r="H62" i="63" s="1"/>
  <c r="CR8" i="37" l="1"/>
  <c r="CB81" i="37"/>
  <c r="CC70" i="37"/>
  <c r="CC65" i="37"/>
  <c r="CC73" i="37"/>
  <c r="CC72" i="37"/>
  <c r="CC41" i="37"/>
  <c r="CC44" i="37"/>
  <c r="CC30" i="37"/>
  <c r="CD24" i="37"/>
  <c r="DK23" i="37" s="1"/>
  <c r="CC78" i="37"/>
  <c r="CC79" i="37"/>
  <c r="CC76" i="37"/>
  <c r="CC71" i="37"/>
  <c r="CC54" i="37"/>
  <c r="CC39" i="37"/>
  <c r="CC25" i="37"/>
  <c r="CC42" i="37"/>
  <c r="CB90" i="37"/>
  <c r="CC33" i="37"/>
  <c r="CC29" i="37"/>
  <c r="CC59" i="37"/>
  <c r="CC62" i="37"/>
  <c r="CC67" i="37"/>
  <c r="CC49" i="37"/>
  <c r="CC64" i="37"/>
  <c r="CC32" i="37"/>
  <c r="CB87" i="37"/>
  <c r="CC68" i="37"/>
  <c r="CC69" i="37"/>
  <c r="CC55" i="37"/>
  <c r="CC48" i="37"/>
  <c r="CC37" i="37"/>
  <c r="CC61" i="37"/>
  <c r="CC34" i="37"/>
  <c r="CC75" i="37"/>
  <c r="CC46" i="37"/>
  <c r="CC35" i="37"/>
  <c r="CC26" i="37"/>
  <c r="CC63" i="37"/>
  <c r="CC77" i="37"/>
  <c r="CC52" i="37"/>
  <c r="CC74" i="37"/>
  <c r="CC58" i="37"/>
  <c r="CC40" i="37"/>
  <c r="CB83" i="37"/>
  <c r="CC45" i="37"/>
  <c r="CB80" i="37"/>
  <c r="CC43" i="37"/>
  <c r="CB82" i="37"/>
  <c r="CB91" i="37"/>
  <c r="CC53" i="37"/>
  <c r="CC28" i="37"/>
  <c r="CC31" i="37"/>
  <c r="CB86" i="37"/>
  <c r="CC60" i="37"/>
  <c r="CC27" i="37"/>
  <c r="CB88" i="37"/>
  <c r="CC51" i="37"/>
  <c r="CC66" i="37"/>
  <c r="CC38" i="37"/>
  <c r="CB84" i="37"/>
  <c r="CC36" i="37"/>
  <c r="CB89" i="37"/>
  <c r="CB85" i="37"/>
  <c r="CC50" i="37"/>
  <c r="CC57" i="37"/>
  <c r="CC47" i="37"/>
  <c r="CC56" i="37"/>
  <c r="I62" i="63"/>
  <c r="K62" i="63"/>
  <c r="C63" i="63" s="1"/>
  <c r="CS8" i="37" l="1"/>
  <c r="CC90" i="37"/>
  <c r="CD67" i="37"/>
  <c r="CD77" i="37"/>
  <c r="CD61" i="37"/>
  <c r="CD70" i="37"/>
  <c r="CD33" i="37"/>
  <c r="CD55" i="37"/>
  <c r="CD34" i="37"/>
  <c r="CD40" i="37"/>
  <c r="CC88" i="37"/>
  <c r="CD66" i="37"/>
  <c r="CD76" i="37"/>
  <c r="CC81" i="37"/>
  <c r="CD59" i="37"/>
  <c r="CD31" i="37"/>
  <c r="CD26" i="37"/>
  <c r="CD52" i="37"/>
  <c r="CD60" i="37"/>
  <c r="CD56" i="37"/>
  <c r="CD25" i="37"/>
  <c r="CD47" i="37"/>
  <c r="CC86" i="37"/>
  <c r="CD68" i="37"/>
  <c r="CD49" i="37"/>
  <c r="CC82" i="37"/>
  <c r="CD79" i="37"/>
  <c r="CC85" i="37"/>
  <c r="CD64" i="37"/>
  <c r="CD75" i="37"/>
  <c r="CD57" i="37"/>
  <c r="CD45" i="37"/>
  <c r="CD29" i="37"/>
  <c r="CD46" i="37"/>
  <c r="CD32" i="37"/>
  <c r="CD78" i="37"/>
  <c r="CD62" i="37"/>
  <c r="CD74" i="37"/>
  <c r="CD63" i="37"/>
  <c r="CD43" i="37"/>
  <c r="CD27" i="37"/>
  <c r="CD42" i="37"/>
  <c r="CD38" i="37"/>
  <c r="CD73" i="37"/>
  <c r="CD41" i="37"/>
  <c r="CD30" i="37"/>
  <c r="CD50" i="37"/>
  <c r="CD71" i="37"/>
  <c r="CD54" i="37"/>
  <c r="CD53" i="37"/>
  <c r="CD69" i="37"/>
  <c r="CD35" i="37"/>
  <c r="CC87" i="37"/>
  <c r="CD28" i="37"/>
  <c r="CD36" i="37"/>
  <c r="CC80" i="37"/>
  <c r="CE24" i="37"/>
  <c r="DL23" i="37" s="1"/>
  <c r="CC89" i="37"/>
  <c r="CC83" i="37"/>
  <c r="CD58" i="37"/>
  <c r="CD65" i="37"/>
  <c r="CD72" i="37"/>
  <c r="CD39" i="37"/>
  <c r="CD44" i="37"/>
  <c r="CC84" i="37"/>
  <c r="CD37" i="37"/>
  <c r="CC91" i="37"/>
  <c r="CD48" i="37"/>
  <c r="CD51" i="37"/>
  <c r="B63" i="63"/>
  <c r="A62" i="63"/>
  <c r="X62" i="63" s="1"/>
  <c r="CT8" i="37" l="1"/>
  <c r="CD83" i="37"/>
  <c r="CD80" i="37"/>
  <c r="CE61" i="37"/>
  <c r="CE70" i="37"/>
  <c r="CE48" i="37"/>
  <c r="CE39" i="37"/>
  <c r="CE35" i="37"/>
  <c r="CE32" i="37"/>
  <c r="CD84" i="37"/>
  <c r="CE69" i="37"/>
  <c r="CE59" i="37"/>
  <c r="CE64" i="37"/>
  <c r="CE62" i="37"/>
  <c r="CE46" i="37"/>
  <c r="CE41" i="37"/>
  <c r="CE27" i="37"/>
  <c r="CE79" i="37"/>
  <c r="CD81" i="37"/>
  <c r="CE60" i="37"/>
  <c r="CE50" i="37"/>
  <c r="CE42" i="37"/>
  <c r="CE38" i="37"/>
  <c r="CE58" i="37"/>
  <c r="CE49" i="37"/>
  <c r="CE45" i="37"/>
  <c r="CE29" i="37"/>
  <c r="CD82" i="37"/>
  <c r="CE36" i="37"/>
  <c r="CE65" i="37"/>
  <c r="CE57" i="37"/>
  <c r="CE52" i="37"/>
  <c r="CE66" i="37"/>
  <c r="CE40" i="37"/>
  <c r="CD85" i="37"/>
  <c r="CE30" i="37"/>
  <c r="CE53" i="37"/>
  <c r="CE33" i="37"/>
  <c r="CE78" i="37"/>
  <c r="CE34" i="37"/>
  <c r="CE76" i="37"/>
  <c r="CE44" i="37"/>
  <c r="CE75" i="37"/>
  <c r="CE77" i="37"/>
  <c r="CE72" i="37"/>
  <c r="CE37" i="37"/>
  <c r="CD89" i="37"/>
  <c r="CE25" i="37"/>
  <c r="CD90" i="37"/>
  <c r="CF24" i="37"/>
  <c r="DM23" i="37" s="1"/>
  <c r="CE63" i="37"/>
  <c r="CE31" i="37"/>
  <c r="CD86" i="37"/>
  <c r="CE73" i="37"/>
  <c r="CE74" i="37"/>
  <c r="CE68" i="37"/>
  <c r="CE55" i="37"/>
  <c r="CE51" i="37"/>
  <c r="CE28" i="37"/>
  <c r="CE71" i="37"/>
  <c r="CE26" i="37"/>
  <c r="CD91" i="37"/>
  <c r="CE67" i="37"/>
  <c r="CE47" i="37"/>
  <c r="CD88" i="37"/>
  <c r="CE56" i="37"/>
  <c r="CD87" i="37"/>
  <c r="CE54" i="37"/>
  <c r="CE43" i="37"/>
  <c r="E63" i="63"/>
  <c r="CU8" i="37" l="1"/>
  <c r="CE90" i="37"/>
  <c r="CF76" i="37"/>
  <c r="CE84" i="37"/>
  <c r="CF59" i="37"/>
  <c r="CF47" i="37"/>
  <c r="CF30" i="37"/>
  <c r="CF45" i="37"/>
  <c r="CF41" i="37"/>
  <c r="CE81" i="37"/>
  <c r="CF73" i="37"/>
  <c r="CF65" i="37"/>
  <c r="CF64" i="37"/>
  <c r="CF44" i="37"/>
  <c r="CF28" i="37"/>
  <c r="CF33" i="37"/>
  <c r="CF39" i="37"/>
  <c r="CF53" i="37"/>
  <c r="CF49" i="37"/>
  <c r="CF43" i="37"/>
  <c r="CF26" i="37"/>
  <c r="CE85" i="37"/>
  <c r="CE80" i="37"/>
  <c r="CF72" i="37"/>
  <c r="CF61" i="37"/>
  <c r="CF52" i="37"/>
  <c r="CF42" i="37"/>
  <c r="CF60" i="37"/>
  <c r="CF29" i="37"/>
  <c r="CF63" i="37"/>
  <c r="CF35" i="37"/>
  <c r="CE88" i="37"/>
  <c r="CE87" i="37"/>
  <c r="CF71" i="37"/>
  <c r="CF32" i="37"/>
  <c r="CF79" i="37"/>
  <c r="CF78" i="37"/>
  <c r="CF58" i="37"/>
  <c r="CF62" i="37"/>
  <c r="CF40" i="37"/>
  <c r="CF56" i="37"/>
  <c r="CF54" i="37"/>
  <c r="CF48" i="37"/>
  <c r="CF46" i="37"/>
  <c r="CF75" i="37"/>
  <c r="CF37" i="37"/>
  <c r="CE82" i="37"/>
  <c r="CG24" i="37"/>
  <c r="DN23" i="37" s="1"/>
  <c r="CE91" i="37"/>
  <c r="CE86" i="37"/>
  <c r="CF66" i="37"/>
  <c r="CF55" i="37"/>
  <c r="CF50" i="37"/>
  <c r="CF38" i="37"/>
  <c r="CF31" i="37"/>
  <c r="CF36" i="37"/>
  <c r="CF67" i="37"/>
  <c r="CF68" i="37"/>
  <c r="CF77" i="37"/>
  <c r="CF70" i="37"/>
  <c r="CE83" i="37"/>
  <c r="CE89" i="37"/>
  <c r="CF69" i="37"/>
  <c r="CF57" i="37"/>
  <c r="CF74" i="37"/>
  <c r="CF34" i="37"/>
  <c r="CF25" i="37"/>
  <c r="CF51" i="37"/>
  <c r="CF27" i="37"/>
  <c r="D63" i="63"/>
  <c r="H63" i="63" s="1"/>
  <c r="J63" i="63"/>
  <c r="CV8" i="37" l="1"/>
  <c r="CF90" i="37"/>
  <c r="CF82" i="37"/>
  <c r="CG59" i="37"/>
  <c r="CG54" i="37"/>
  <c r="CH24" i="37"/>
  <c r="DO23" i="37" s="1"/>
  <c r="CG34" i="37"/>
  <c r="CG28" i="37"/>
  <c r="CG63" i="37"/>
  <c r="CG31" i="37"/>
  <c r="CG25" i="37"/>
  <c r="CG27" i="37"/>
  <c r="CG72" i="37"/>
  <c r="CG60" i="37"/>
  <c r="CG75" i="37"/>
  <c r="CG42" i="37"/>
  <c r="CG71" i="37"/>
  <c r="CF83" i="37"/>
  <c r="CG70" i="37"/>
  <c r="CG61" i="37"/>
  <c r="CG69" i="37"/>
  <c r="CG68" i="37"/>
  <c r="CG48" i="37"/>
  <c r="CF89" i="37"/>
  <c r="CG77" i="37"/>
  <c r="CG73" i="37"/>
  <c r="CG52" i="37"/>
  <c r="CG65" i="37"/>
  <c r="CG32" i="37"/>
  <c r="CG30" i="37"/>
  <c r="CG51" i="37"/>
  <c r="CG67" i="37"/>
  <c r="CF86" i="37"/>
  <c r="CG58" i="37"/>
  <c r="CG45" i="37"/>
  <c r="CF81" i="37"/>
  <c r="CG40" i="37"/>
  <c r="CG76" i="37"/>
  <c r="CG38" i="37"/>
  <c r="CF84" i="37"/>
  <c r="CG36" i="37"/>
  <c r="CF87" i="37"/>
  <c r="CG74" i="37"/>
  <c r="CG50" i="37"/>
  <c r="CG37" i="37"/>
  <c r="CG43" i="37"/>
  <c r="CG57" i="37"/>
  <c r="CG41" i="37"/>
  <c r="CG79" i="37"/>
  <c r="CG29" i="37"/>
  <c r="CF85" i="37"/>
  <c r="CG39" i="37"/>
  <c r="CF91" i="37"/>
  <c r="CG78" i="37"/>
  <c r="CF80" i="37"/>
  <c r="CG64" i="37"/>
  <c r="CG44" i="37"/>
  <c r="CG55" i="37"/>
  <c r="CG53" i="37"/>
  <c r="CG26" i="37"/>
  <c r="CG66" i="37"/>
  <c r="CG46" i="37"/>
  <c r="CG49" i="37"/>
  <c r="CG33" i="37"/>
  <c r="CF88" i="37"/>
  <c r="CG47" i="37"/>
  <c r="CG62" i="37"/>
  <c r="CG56" i="37"/>
  <c r="CG35" i="37"/>
  <c r="I63" i="63"/>
  <c r="K63" i="63"/>
  <c r="C64" i="63" s="1"/>
  <c r="CW8" i="37" l="1"/>
  <c r="CG82" i="37"/>
  <c r="CH79" i="37"/>
  <c r="CG81" i="37"/>
  <c r="CH62" i="37"/>
  <c r="CH44" i="37"/>
  <c r="CH28" i="37"/>
  <c r="CH54" i="37"/>
  <c r="CH37" i="37"/>
  <c r="CH39" i="37"/>
  <c r="CG89" i="37"/>
  <c r="CH67" i="37"/>
  <c r="CH78" i="37"/>
  <c r="CH69" i="37"/>
  <c r="CH42" i="37"/>
  <c r="CH26" i="37"/>
  <c r="CH53" i="37"/>
  <c r="CH48" i="37"/>
  <c r="CH35" i="37"/>
  <c r="CG87" i="37"/>
  <c r="CH46" i="37"/>
  <c r="CG80" i="37"/>
  <c r="CH65" i="37"/>
  <c r="CH60" i="37"/>
  <c r="CH64" i="37"/>
  <c r="CH40" i="37"/>
  <c r="CG84" i="37"/>
  <c r="CH45" i="37"/>
  <c r="CH66" i="37"/>
  <c r="CH50" i="37"/>
  <c r="CH36" i="37"/>
  <c r="CH43" i="37"/>
  <c r="CH59" i="37"/>
  <c r="CH72" i="37"/>
  <c r="CH31" i="37"/>
  <c r="CH56" i="37"/>
  <c r="CG88" i="37"/>
  <c r="CI24" i="37"/>
  <c r="DP23" i="37" s="1"/>
  <c r="CG83" i="37"/>
  <c r="CH63" i="37"/>
  <c r="CH76" i="37"/>
  <c r="CH58" i="37"/>
  <c r="CH38" i="37"/>
  <c r="CH74" i="37"/>
  <c r="CH33" i="37"/>
  <c r="CH29" i="37"/>
  <c r="CH70" i="37"/>
  <c r="CH75" i="37"/>
  <c r="CH25" i="37"/>
  <c r="CG86" i="37"/>
  <c r="CG91" i="37"/>
  <c r="CH61" i="37"/>
  <c r="CH73" i="37"/>
  <c r="CH52" i="37"/>
  <c r="CH47" i="37"/>
  <c r="CH49" i="37"/>
  <c r="CH27" i="37"/>
  <c r="CH51" i="37"/>
  <c r="CH30" i="37"/>
  <c r="CG85" i="37"/>
  <c r="CH34" i="37"/>
  <c r="CG90" i="37"/>
  <c r="CH68" i="37"/>
  <c r="CH57" i="37"/>
  <c r="CH71" i="37"/>
  <c r="CH55" i="37"/>
  <c r="CH32" i="37"/>
  <c r="CH77" i="37"/>
  <c r="CH41" i="37"/>
  <c r="B64" i="63"/>
  <c r="A63" i="63"/>
  <c r="X63" i="63" s="1"/>
  <c r="CX8" i="37" l="1"/>
  <c r="CI77" i="37"/>
  <c r="CI73" i="37"/>
  <c r="CH83" i="37"/>
  <c r="CI58" i="37"/>
  <c r="CI65" i="37"/>
  <c r="CI42" i="37"/>
  <c r="CI27" i="37"/>
  <c r="CI35" i="37"/>
  <c r="CI32" i="37"/>
  <c r="CI74" i="37"/>
  <c r="CH84" i="37"/>
  <c r="CH86" i="37"/>
  <c r="CI52" i="37"/>
  <c r="CI47" i="37"/>
  <c r="CI43" i="37"/>
  <c r="CI63" i="37"/>
  <c r="CI29" i="37"/>
  <c r="CI72" i="37"/>
  <c r="CH82" i="37"/>
  <c r="CI38" i="37"/>
  <c r="CI79" i="37"/>
  <c r="CI70" i="37"/>
  <c r="CI71" i="37"/>
  <c r="CI55" i="37"/>
  <c r="CH80" i="37"/>
  <c r="CI40" i="37"/>
  <c r="CI33" i="37"/>
  <c r="CI44" i="37"/>
  <c r="CI66" i="37"/>
  <c r="CI51" i="37"/>
  <c r="CI69" i="37"/>
  <c r="CI31" i="37"/>
  <c r="CI25" i="37"/>
  <c r="CH88" i="37"/>
  <c r="CI62" i="37"/>
  <c r="CI67" i="37"/>
  <c r="CI36" i="37"/>
  <c r="CI75" i="37"/>
  <c r="CI53" i="37"/>
  <c r="CI26" i="37"/>
  <c r="CI76" i="37"/>
  <c r="CI37" i="37"/>
  <c r="CH89" i="37"/>
  <c r="CI68" i="37"/>
  <c r="CJ24" i="37"/>
  <c r="DQ23" i="37" s="1"/>
  <c r="CI48" i="37"/>
  <c r="CI34" i="37"/>
  <c r="CI60" i="37"/>
  <c r="CI50" i="37"/>
  <c r="CI49" i="37"/>
  <c r="CI28" i="37"/>
  <c r="CH90" i="37"/>
  <c r="CI78" i="37"/>
  <c r="CI64" i="37"/>
  <c r="CI56" i="37"/>
  <c r="CH81" i="37"/>
  <c r="CI61" i="37"/>
  <c r="CI30" i="37"/>
  <c r="CI39" i="37"/>
  <c r="CH85" i="37"/>
  <c r="CH87" i="37"/>
  <c r="CI54" i="37"/>
  <c r="CI57" i="37"/>
  <c r="CH91" i="37"/>
  <c r="CI59" i="37"/>
  <c r="CI45" i="37"/>
  <c r="CI41" i="37"/>
  <c r="CI46" i="37"/>
  <c r="E64" i="63"/>
  <c r="CY8" i="37" l="1"/>
  <c r="CI89" i="37"/>
  <c r="CJ67" i="37"/>
  <c r="CI88" i="37"/>
  <c r="CI85" i="37"/>
  <c r="CJ69" i="37"/>
  <c r="CJ63" i="37"/>
  <c r="CJ46" i="37"/>
  <c r="CJ37" i="37"/>
  <c r="CJ30" i="37"/>
  <c r="CJ25" i="37"/>
  <c r="CJ47" i="37"/>
  <c r="CJ31" i="37"/>
  <c r="CJ53" i="37"/>
  <c r="CK24" i="37"/>
  <c r="DR23" i="37" s="1"/>
  <c r="CJ66" i="37"/>
  <c r="CJ71" i="37"/>
  <c r="CJ52" i="37"/>
  <c r="CJ78" i="37"/>
  <c r="CJ32" i="37"/>
  <c r="CI90" i="37"/>
  <c r="CJ77" i="37"/>
  <c r="CJ61" i="37"/>
  <c r="CJ55" i="37"/>
  <c r="CJ75" i="37"/>
  <c r="CJ35" i="37"/>
  <c r="CJ36" i="37"/>
  <c r="CJ28" i="37"/>
  <c r="CJ70" i="37"/>
  <c r="CJ73" i="37"/>
  <c r="CJ68" i="37"/>
  <c r="CJ27" i="37"/>
  <c r="CJ43" i="37"/>
  <c r="CJ79" i="37"/>
  <c r="CJ50" i="37"/>
  <c r="CJ59" i="37"/>
  <c r="CJ39" i="37"/>
  <c r="CJ44" i="37"/>
  <c r="CI86" i="37"/>
  <c r="CJ76" i="37"/>
  <c r="CI82" i="37"/>
  <c r="CJ51" i="37"/>
  <c r="CJ60" i="37"/>
  <c r="CJ33" i="37"/>
  <c r="CJ57" i="37"/>
  <c r="CJ49" i="37"/>
  <c r="CJ38" i="37"/>
  <c r="CI81" i="37"/>
  <c r="CJ45" i="37"/>
  <c r="CJ64" i="37"/>
  <c r="CI84" i="37"/>
  <c r="CJ41" i="37"/>
  <c r="CJ58" i="37"/>
  <c r="CI83" i="37"/>
  <c r="CJ74" i="37"/>
  <c r="CJ62" i="37"/>
  <c r="CJ48" i="37"/>
  <c r="CJ34" i="37"/>
  <c r="CJ29" i="37"/>
  <c r="CJ65" i="37"/>
  <c r="CJ42" i="37"/>
  <c r="CJ54" i="37"/>
  <c r="CJ26" i="37"/>
  <c r="CI91" i="37"/>
  <c r="CJ40" i="37"/>
  <c r="CI87" i="37"/>
  <c r="CI80" i="37"/>
  <c r="CJ72" i="37"/>
  <c r="CJ56" i="37"/>
  <c r="J64" i="63"/>
  <c r="D64" i="63"/>
  <c r="H64" i="63" s="1"/>
  <c r="CZ8" i="37" l="1"/>
  <c r="CJ89" i="37"/>
  <c r="CJ83" i="37"/>
  <c r="CK73" i="37"/>
  <c r="CK59" i="37"/>
  <c r="CK50" i="37"/>
  <c r="CK41" i="37"/>
  <c r="CK57" i="37"/>
  <c r="CK49" i="37"/>
  <c r="CK68" i="37"/>
  <c r="CJ91" i="37"/>
  <c r="CJ82" i="37"/>
  <c r="CK62" i="37"/>
  <c r="CK58" i="37"/>
  <c r="CK61" i="37"/>
  <c r="CK39" i="37"/>
  <c r="CK38" i="37"/>
  <c r="CK34" i="37"/>
  <c r="CK25" i="37"/>
  <c r="CJ81" i="37"/>
  <c r="CK77" i="37"/>
  <c r="CK63" i="37"/>
  <c r="CK55" i="37"/>
  <c r="CK48" i="37"/>
  <c r="CK37" i="37"/>
  <c r="CK31" i="37"/>
  <c r="CK28" i="37"/>
  <c r="CK32" i="37"/>
  <c r="CJ87" i="37"/>
  <c r="CK74" i="37"/>
  <c r="CJ80" i="37"/>
  <c r="CK53" i="37"/>
  <c r="CK46" i="37"/>
  <c r="CK35" i="37"/>
  <c r="CK27" i="37"/>
  <c r="CK40" i="37"/>
  <c r="CL24" i="37"/>
  <c r="DS23" i="37" s="1"/>
  <c r="CK42" i="37"/>
  <c r="CK78" i="37"/>
  <c r="CK76" i="37"/>
  <c r="CK79" i="37"/>
  <c r="CK51" i="37"/>
  <c r="CK60" i="37"/>
  <c r="CK33" i="37"/>
  <c r="CK47" i="37"/>
  <c r="CK29" i="37"/>
  <c r="CJ88" i="37"/>
  <c r="CK72" i="37"/>
  <c r="CK71" i="37"/>
  <c r="CJ86" i="37"/>
  <c r="CK56" i="37"/>
  <c r="CK69" i="37"/>
  <c r="CK26" i="37"/>
  <c r="CK44" i="37"/>
  <c r="CJ84" i="37"/>
  <c r="CK65" i="37"/>
  <c r="CK54" i="37"/>
  <c r="CJ85" i="37"/>
  <c r="CK75" i="37"/>
  <c r="CK70" i="37"/>
  <c r="CK67" i="37"/>
  <c r="CK45" i="37"/>
  <c r="CK52" i="37"/>
  <c r="CK66" i="37"/>
  <c r="CK30" i="37"/>
  <c r="CJ90" i="37"/>
  <c r="CK64" i="37"/>
  <c r="CK43" i="37"/>
  <c r="CK36" i="37"/>
  <c r="I64" i="63"/>
  <c r="K64" i="63"/>
  <c r="C65" i="63" s="1"/>
  <c r="DA8" i="37" l="1"/>
  <c r="CK91" i="37"/>
  <c r="CL67" i="37"/>
  <c r="CL68" i="37"/>
  <c r="CL65" i="37"/>
  <c r="CL56" i="37"/>
  <c r="CL33" i="37"/>
  <c r="CL54" i="37"/>
  <c r="CL26" i="37"/>
  <c r="CL42" i="37"/>
  <c r="CK90" i="37"/>
  <c r="CL70" i="37"/>
  <c r="CL72" i="37"/>
  <c r="CL53" i="37"/>
  <c r="CL51" i="37"/>
  <c r="CL31" i="37"/>
  <c r="CL57" i="37"/>
  <c r="CL40" i="37"/>
  <c r="CL46" i="37"/>
  <c r="CK85" i="37"/>
  <c r="CL66" i="37"/>
  <c r="CL63" i="37"/>
  <c r="CL50" i="37"/>
  <c r="CL45" i="37"/>
  <c r="CL29" i="37"/>
  <c r="CL36" i="37"/>
  <c r="CL44" i="37"/>
  <c r="CK82" i="37"/>
  <c r="CL75" i="37"/>
  <c r="CL61" i="37"/>
  <c r="CL25" i="37"/>
  <c r="CL59" i="37"/>
  <c r="CL60" i="37"/>
  <c r="CL48" i="37"/>
  <c r="CL49" i="37"/>
  <c r="CK81" i="37"/>
  <c r="CL39" i="37"/>
  <c r="CM24" i="37"/>
  <c r="DT23" i="37" s="1"/>
  <c r="CK84" i="37"/>
  <c r="CL64" i="37"/>
  <c r="CK88" i="37"/>
  <c r="CL73" i="37"/>
  <c r="CL43" i="37"/>
  <c r="CL27" i="37"/>
  <c r="CL32" i="37"/>
  <c r="CL30" i="37"/>
  <c r="CL62" i="37"/>
  <c r="CL41" i="37"/>
  <c r="CK87" i="37"/>
  <c r="CK80" i="37"/>
  <c r="CL52" i="37"/>
  <c r="CL28" i="37"/>
  <c r="CK89" i="37"/>
  <c r="CL71" i="37"/>
  <c r="CL58" i="37"/>
  <c r="CL78" i="37"/>
  <c r="CL77" i="37"/>
  <c r="CL37" i="37"/>
  <c r="CL79" i="37"/>
  <c r="CL47" i="37"/>
  <c r="CL38" i="37"/>
  <c r="CK86" i="37"/>
  <c r="CL69" i="37"/>
  <c r="CK83" i="37"/>
  <c r="CL76" i="37"/>
  <c r="CL74" i="37"/>
  <c r="CL35" i="37"/>
  <c r="CL55" i="37"/>
  <c r="CL34" i="37"/>
  <c r="B65" i="63"/>
  <c r="A64" i="63"/>
  <c r="X64" i="63" s="1"/>
  <c r="DB8" i="37" l="1"/>
  <c r="CM73" i="37"/>
  <c r="CL84" i="37"/>
  <c r="CM76" i="37"/>
  <c r="CM70" i="37"/>
  <c r="CM49" i="37"/>
  <c r="CM32" i="37"/>
  <c r="CM38" i="37"/>
  <c r="CM51" i="37"/>
  <c r="CM78" i="37"/>
  <c r="CM55" i="37"/>
  <c r="CM34" i="37"/>
  <c r="CM37" i="37"/>
  <c r="CL88" i="37"/>
  <c r="CM63" i="37"/>
  <c r="CM56" i="37"/>
  <c r="CM44" i="37"/>
  <c r="CM40" i="37"/>
  <c r="CL82" i="37"/>
  <c r="CM74" i="37"/>
  <c r="CM41" i="37"/>
  <c r="CM35" i="37"/>
  <c r="CM45" i="37"/>
  <c r="CL83" i="37"/>
  <c r="CL81" i="37"/>
  <c r="CM72" i="37"/>
  <c r="CN24" i="37"/>
  <c r="DU23" i="37" s="1"/>
  <c r="CM42" i="37"/>
  <c r="CL86" i="37"/>
  <c r="CM71" i="37"/>
  <c r="CL90" i="37"/>
  <c r="CM67" i="37"/>
  <c r="CM48" i="37"/>
  <c r="CM47" i="37"/>
  <c r="CM68" i="37"/>
  <c r="CM28" i="37"/>
  <c r="CM46" i="37"/>
  <c r="CL91" i="37"/>
  <c r="CM65" i="37"/>
  <c r="CM62" i="37"/>
  <c r="CM25" i="37"/>
  <c r="CM33" i="37"/>
  <c r="CL85" i="37"/>
  <c r="CM53" i="37"/>
  <c r="CM26" i="37"/>
  <c r="CM58" i="37"/>
  <c r="CL87" i="37"/>
  <c r="CM61" i="37"/>
  <c r="CM52" i="37"/>
  <c r="CM36" i="37"/>
  <c r="CM59" i="37"/>
  <c r="CM69" i="37"/>
  <c r="CM30" i="37"/>
  <c r="CM79" i="37"/>
  <c r="CM77" i="37"/>
  <c r="CL80" i="37"/>
  <c r="CM60" i="37"/>
  <c r="CM54" i="37"/>
  <c r="CM50" i="37"/>
  <c r="CM29" i="37"/>
  <c r="CM31" i="37"/>
  <c r="CM75" i="37"/>
  <c r="CL89" i="37"/>
  <c r="CM64" i="37"/>
  <c r="CM57" i="37"/>
  <c r="CM66" i="37"/>
  <c r="CM43" i="37"/>
  <c r="CM39" i="37"/>
  <c r="CM27" i="37"/>
  <c r="E65" i="63"/>
  <c r="DC8" i="37" l="1"/>
  <c r="CM86" i="37"/>
  <c r="CN67" i="37"/>
  <c r="CN55" i="37"/>
  <c r="CN58" i="37"/>
  <c r="CN48" i="37"/>
  <c r="CN32" i="37"/>
  <c r="CN41" i="37"/>
  <c r="CN60" i="37"/>
  <c r="CM87" i="37"/>
  <c r="CM89" i="37"/>
  <c r="CN53" i="37"/>
  <c r="CN66" i="37"/>
  <c r="CN57" i="37"/>
  <c r="CN30" i="37"/>
  <c r="CN25" i="37"/>
  <c r="CN33" i="37"/>
  <c r="CN79" i="37"/>
  <c r="CM82" i="37"/>
  <c r="CM83" i="37"/>
  <c r="CN61" i="37"/>
  <c r="CN44" i="37"/>
  <c r="CN28" i="37"/>
  <c r="CO24" i="37"/>
  <c r="DV23" i="37" s="1"/>
  <c r="CN29" i="37"/>
  <c r="CN76" i="37"/>
  <c r="CN64" i="37"/>
  <c r="CN77" i="37"/>
  <c r="CN72" i="37"/>
  <c r="CN42" i="37"/>
  <c r="CN49" i="37"/>
  <c r="CN26" i="37"/>
  <c r="CM91" i="37"/>
  <c r="CM85" i="37"/>
  <c r="CN75" i="37"/>
  <c r="CN73" i="37"/>
  <c r="CN56" i="37"/>
  <c r="CN40" i="37"/>
  <c r="CN47" i="37"/>
  <c r="CN35" i="37"/>
  <c r="CN46" i="37"/>
  <c r="CN50" i="37"/>
  <c r="CN45" i="37"/>
  <c r="CM90" i="37"/>
  <c r="CN68" i="37"/>
  <c r="CN54" i="37"/>
  <c r="CN31" i="37"/>
  <c r="CM80" i="37"/>
  <c r="CN71" i="37"/>
  <c r="CM84" i="37"/>
  <c r="CN27" i="37"/>
  <c r="CN63" i="37"/>
  <c r="CM88" i="37"/>
  <c r="CM81" i="37"/>
  <c r="CN65" i="37"/>
  <c r="CN70" i="37"/>
  <c r="CN74" i="37"/>
  <c r="CN38" i="37"/>
  <c r="CN52" i="37"/>
  <c r="CN78" i="37"/>
  <c r="CN62" i="37"/>
  <c r="CN36" i="37"/>
  <c r="CN43" i="37"/>
  <c r="CN37" i="37"/>
  <c r="CN69" i="37"/>
  <c r="CN59" i="37"/>
  <c r="CN34" i="37"/>
  <c r="CN39" i="37"/>
  <c r="CN51" i="37"/>
  <c r="D65" i="63"/>
  <c r="H65" i="63" s="1"/>
  <c r="J65" i="63"/>
  <c r="DD8" i="37" l="1"/>
  <c r="CN90" i="37"/>
  <c r="CO79" i="37"/>
  <c r="CO73" i="37"/>
  <c r="CO59" i="37"/>
  <c r="CO52" i="37"/>
  <c r="CO44" i="37"/>
  <c r="CO53" i="37"/>
  <c r="CO27" i="37"/>
  <c r="CO35" i="37"/>
  <c r="CO67" i="37"/>
  <c r="CO60" i="37"/>
  <c r="CO37" i="37"/>
  <c r="CO57" i="37"/>
  <c r="CO51" i="37"/>
  <c r="CN82" i="37"/>
  <c r="CO48" i="37"/>
  <c r="CN89" i="37"/>
  <c r="CN81" i="37"/>
  <c r="CO72" i="37"/>
  <c r="CO58" i="37"/>
  <c r="CO50" i="37"/>
  <c r="CO42" i="37"/>
  <c r="CO41" i="37"/>
  <c r="CO71" i="37"/>
  <c r="CO30" i="37"/>
  <c r="CN86" i="37"/>
  <c r="CN80" i="37"/>
  <c r="CO65" i="37"/>
  <c r="CO63" i="37"/>
  <c r="CO61" i="37"/>
  <c r="CO40" i="37"/>
  <c r="CO25" i="37"/>
  <c r="CO33" i="37"/>
  <c r="CN84" i="37"/>
  <c r="CO38" i="37"/>
  <c r="CN83" i="37"/>
  <c r="CO66" i="37"/>
  <c r="CO36" i="37"/>
  <c r="CO69" i="37"/>
  <c r="CO39" i="37"/>
  <c r="CO75" i="37"/>
  <c r="CN88" i="37"/>
  <c r="CO76" i="37"/>
  <c r="CO68" i="37"/>
  <c r="CO70" i="37"/>
  <c r="CO56" i="37"/>
  <c r="CP24" i="37"/>
  <c r="DW23" i="37" s="1"/>
  <c r="CO32" i="37"/>
  <c r="CO28" i="37"/>
  <c r="CO29" i="37"/>
  <c r="CN85" i="37"/>
  <c r="CN91" i="37"/>
  <c r="CO74" i="37"/>
  <c r="CO62" i="37"/>
  <c r="CO54" i="37"/>
  <c r="CO55" i="37"/>
  <c r="CO64" i="37"/>
  <c r="CO31" i="37"/>
  <c r="CO26" i="37"/>
  <c r="CO78" i="37"/>
  <c r="CO49" i="37"/>
  <c r="CO46" i="37"/>
  <c r="CN87" i="37"/>
  <c r="CO47" i="37"/>
  <c r="CO43" i="37"/>
  <c r="CO77" i="37"/>
  <c r="CO34" i="37"/>
  <c r="CO45" i="37"/>
  <c r="I65" i="63"/>
  <c r="K65" i="63"/>
  <c r="C66" i="63" s="1"/>
  <c r="DE8" i="37" l="1"/>
  <c r="CO82" i="37"/>
  <c r="CP68" i="37"/>
  <c r="CP73" i="37"/>
  <c r="CP78" i="37"/>
  <c r="CP71" i="37"/>
  <c r="CP34" i="37"/>
  <c r="CP50" i="37"/>
  <c r="CP29" i="37"/>
  <c r="CP41" i="37"/>
  <c r="CP32" i="37"/>
  <c r="CP46" i="37"/>
  <c r="CO89" i="37"/>
  <c r="CO86" i="37"/>
  <c r="CP77" i="37"/>
  <c r="CP64" i="37"/>
  <c r="CP30" i="37"/>
  <c r="CP25" i="37"/>
  <c r="CP75" i="37"/>
  <c r="CP76" i="37"/>
  <c r="CP39" i="37"/>
  <c r="CP56" i="37"/>
  <c r="CQ24" i="37"/>
  <c r="DX23" i="37" s="1"/>
  <c r="CP40" i="37"/>
  <c r="CP31" i="37"/>
  <c r="CP38" i="37"/>
  <c r="CP27" i="37"/>
  <c r="CP69" i="37"/>
  <c r="CP45" i="37"/>
  <c r="CO81" i="37"/>
  <c r="CO91" i="37"/>
  <c r="CP72" i="37"/>
  <c r="CP60" i="37"/>
  <c r="CP52" i="37"/>
  <c r="CP33" i="37"/>
  <c r="CP55" i="37"/>
  <c r="CP51" i="37"/>
  <c r="CP65" i="37"/>
  <c r="CP44" i="37"/>
  <c r="CP48" i="37"/>
  <c r="CP42" i="37"/>
  <c r="CP43" i="37"/>
  <c r="CP35" i="37"/>
  <c r="CO88" i="37"/>
  <c r="CP70" i="37"/>
  <c r="CP47" i="37"/>
  <c r="CO90" i="37"/>
  <c r="CO80" i="37"/>
  <c r="CP28" i="37"/>
  <c r="CP74" i="37"/>
  <c r="CP37" i="37"/>
  <c r="CP57" i="37"/>
  <c r="CP36" i="37"/>
  <c r="CO84" i="37"/>
  <c r="CP63" i="37"/>
  <c r="CP67" i="37"/>
  <c r="CP26" i="37"/>
  <c r="CP59" i="37"/>
  <c r="CP53" i="37"/>
  <c r="CP49" i="37"/>
  <c r="CO85" i="37"/>
  <c r="CO83" i="37"/>
  <c r="CP61" i="37"/>
  <c r="CP66" i="37"/>
  <c r="CP62" i="37"/>
  <c r="CP79" i="37"/>
  <c r="CP54" i="37"/>
  <c r="CO87" i="37"/>
  <c r="CP58" i="37"/>
  <c r="B66" i="63"/>
  <c r="A65" i="63"/>
  <c r="X65" i="63" s="1"/>
  <c r="DF8" i="37" l="1"/>
  <c r="CP88" i="37"/>
  <c r="CP85" i="37"/>
  <c r="CQ67" i="37"/>
  <c r="CQ75" i="37"/>
  <c r="CQ61" i="37"/>
  <c r="CQ53" i="37"/>
  <c r="CQ58" i="37"/>
  <c r="CQ26" i="37"/>
  <c r="CP84" i="37"/>
  <c r="CQ50" i="37"/>
  <c r="CQ29" i="37"/>
  <c r="CP90" i="37"/>
  <c r="CQ65" i="37"/>
  <c r="CQ59" i="37"/>
  <c r="CQ62" i="37"/>
  <c r="CP83" i="37"/>
  <c r="CQ45" i="37"/>
  <c r="CQ38" i="37"/>
  <c r="CQ39" i="37"/>
  <c r="CP80" i="37"/>
  <c r="CQ71" i="37"/>
  <c r="CQ69" i="37"/>
  <c r="CQ56" i="37"/>
  <c r="CQ47" i="37"/>
  <c r="CQ35" i="37"/>
  <c r="CQ55" i="37"/>
  <c r="CQ36" i="37"/>
  <c r="CQ54" i="37"/>
  <c r="CQ31" i="37"/>
  <c r="CQ74" i="37"/>
  <c r="CQ64" i="37"/>
  <c r="CQ70" i="37"/>
  <c r="CQ28" i="37"/>
  <c r="CP87" i="37"/>
  <c r="CQ49" i="37"/>
  <c r="CQ42" i="37"/>
  <c r="CQ78" i="37"/>
  <c r="CQ77" i="37"/>
  <c r="CQ66" i="37"/>
  <c r="CQ68" i="37"/>
  <c r="CQ40" i="37"/>
  <c r="CQ46" i="37"/>
  <c r="CQ25" i="37"/>
  <c r="CQ72" i="37"/>
  <c r="CQ44" i="37"/>
  <c r="CQ30" i="37"/>
  <c r="CQ41" i="37"/>
  <c r="CP91" i="37"/>
  <c r="CP86" i="37"/>
  <c r="CQ60" i="37"/>
  <c r="CQ73" i="37"/>
  <c r="CQ52" i="37"/>
  <c r="CQ37" i="37"/>
  <c r="CQ33" i="37"/>
  <c r="CQ34" i="37"/>
  <c r="CP89" i="37"/>
  <c r="CP81" i="37"/>
  <c r="CQ79" i="37"/>
  <c r="CQ63" i="37"/>
  <c r="CQ51" i="37"/>
  <c r="CQ32" i="37"/>
  <c r="CQ43" i="37"/>
  <c r="CR24" i="37"/>
  <c r="DY23" i="37" s="1"/>
  <c r="CQ27" i="37"/>
  <c r="CP82" i="37"/>
  <c r="CQ76" i="37"/>
  <c r="CQ57" i="37"/>
  <c r="CQ48" i="37"/>
  <c r="E66" i="63"/>
  <c r="DG8" i="37" l="1"/>
  <c r="CQ90" i="37"/>
  <c r="CR73" i="37"/>
  <c r="CR59" i="37"/>
  <c r="CR65" i="37"/>
  <c r="CR53" i="37"/>
  <c r="CR39" i="37"/>
  <c r="CR28" i="37"/>
  <c r="CQ85" i="37"/>
  <c r="CQ86" i="37"/>
  <c r="CQ83" i="37"/>
  <c r="CQ81" i="37"/>
  <c r="CR62" i="37"/>
  <c r="CR47" i="37"/>
  <c r="CR37" i="37"/>
  <c r="CR27" i="37"/>
  <c r="CR40" i="37"/>
  <c r="CR74" i="37"/>
  <c r="CR42" i="37"/>
  <c r="CR70" i="37"/>
  <c r="CR66" i="37"/>
  <c r="CR29" i="37"/>
  <c r="CR26" i="37"/>
  <c r="CR43" i="37"/>
  <c r="CR41" i="37"/>
  <c r="CQ91" i="37"/>
  <c r="CQ80" i="37"/>
  <c r="CR67" i="37"/>
  <c r="CR52" i="37"/>
  <c r="CR50" i="37"/>
  <c r="CR35" i="37"/>
  <c r="CR48" i="37"/>
  <c r="CR32" i="37"/>
  <c r="CR44" i="37"/>
  <c r="CR25" i="37"/>
  <c r="CR61" i="37"/>
  <c r="CR31" i="37"/>
  <c r="CQ84" i="37"/>
  <c r="CR63" i="37"/>
  <c r="CR57" i="37"/>
  <c r="CQ82" i="37"/>
  <c r="CR76" i="37"/>
  <c r="CR64" i="37"/>
  <c r="CR71" i="37"/>
  <c r="CR46" i="37"/>
  <c r="CR33" i="37"/>
  <c r="CR49" i="37"/>
  <c r="CR38" i="37"/>
  <c r="CR78" i="37"/>
  <c r="CR30" i="37"/>
  <c r="CR72" i="37"/>
  <c r="CR36" i="37"/>
  <c r="CQ87" i="37"/>
  <c r="CR79" i="37"/>
  <c r="CR51" i="37"/>
  <c r="CR56" i="37"/>
  <c r="CR45" i="37"/>
  <c r="CR54" i="37"/>
  <c r="CR34" i="37"/>
  <c r="CR58" i="37"/>
  <c r="CQ89" i="37"/>
  <c r="CR75" i="37"/>
  <c r="CR69" i="37"/>
  <c r="CR60" i="37"/>
  <c r="CR55" i="37"/>
  <c r="CQ88" i="37"/>
  <c r="CR77" i="37"/>
  <c r="CR68" i="37"/>
  <c r="CS24" i="37"/>
  <c r="DZ23" i="37" s="1"/>
  <c r="D66" i="63"/>
  <c r="H66" i="63" s="1"/>
  <c r="J66" i="63"/>
  <c r="DH8" i="37" l="1"/>
  <c r="CR85" i="37"/>
  <c r="CS75" i="37"/>
  <c r="CS72" i="37"/>
  <c r="CS54" i="37"/>
  <c r="CS48" i="37"/>
  <c r="CS39" i="37"/>
  <c r="CS42" i="37"/>
  <c r="CS32" i="37"/>
  <c r="CS28" i="37"/>
  <c r="CS49" i="37"/>
  <c r="CS26" i="37"/>
  <c r="CS58" i="37"/>
  <c r="CS78" i="37"/>
  <c r="CR83" i="37"/>
  <c r="CS69" i="37"/>
  <c r="CS65" i="37"/>
  <c r="CR90" i="37"/>
  <c r="CS46" i="37"/>
  <c r="CS37" i="37"/>
  <c r="CS30" i="37"/>
  <c r="CS25" i="37"/>
  <c r="CT24" i="37"/>
  <c r="EA23" i="37" s="1"/>
  <c r="CR84" i="37"/>
  <c r="CS68" i="37"/>
  <c r="CS38" i="37"/>
  <c r="CS74" i="37"/>
  <c r="CS62" i="37"/>
  <c r="CS71" i="37"/>
  <c r="CS36" i="37"/>
  <c r="CR88" i="37"/>
  <c r="CS60" i="37"/>
  <c r="CS66" i="37"/>
  <c r="CS57" i="37"/>
  <c r="CS76" i="37"/>
  <c r="CS35" i="37"/>
  <c r="CS27" i="37"/>
  <c r="CS47" i="37"/>
  <c r="CS64" i="37"/>
  <c r="CS52" i="37"/>
  <c r="CS53" i="37"/>
  <c r="CS31" i="37"/>
  <c r="CS79" i="37"/>
  <c r="CS43" i="37"/>
  <c r="CS67" i="37"/>
  <c r="CS34" i="37"/>
  <c r="CR91" i="37"/>
  <c r="CR80" i="37"/>
  <c r="CS55" i="37"/>
  <c r="CR82" i="37"/>
  <c r="CS33" i="37"/>
  <c r="CS70" i="37"/>
  <c r="CS61" i="37"/>
  <c r="CR81" i="37"/>
  <c r="CS29" i="37"/>
  <c r="CS77" i="37"/>
  <c r="CS41" i="37"/>
  <c r="CR89" i="37"/>
  <c r="CR86" i="37"/>
  <c r="CR87" i="37"/>
  <c r="CS51" i="37"/>
  <c r="CS63" i="37"/>
  <c r="CS45" i="37"/>
  <c r="CS44" i="37"/>
  <c r="CS59" i="37"/>
  <c r="CS73" i="37"/>
  <c r="CS56" i="37"/>
  <c r="CS50" i="37"/>
  <c r="CS40" i="37"/>
  <c r="I66" i="63"/>
  <c r="K66" i="63"/>
  <c r="C67" i="63" s="1"/>
  <c r="DI8" i="37" l="1"/>
  <c r="CS90" i="37"/>
  <c r="CT69" i="37"/>
  <c r="CT58" i="37"/>
  <c r="CT57" i="37"/>
  <c r="CT78" i="37"/>
  <c r="CT39" i="37"/>
  <c r="CT59" i="37"/>
  <c r="CT36" i="37"/>
  <c r="CU24" i="37"/>
  <c r="EB23" i="37" s="1"/>
  <c r="CS88" i="37"/>
  <c r="CT67" i="37"/>
  <c r="CT56" i="37"/>
  <c r="CT51" i="37"/>
  <c r="CT75" i="37"/>
  <c r="CT37" i="37"/>
  <c r="CT42" i="37"/>
  <c r="CT34" i="37"/>
  <c r="CT52" i="37"/>
  <c r="CT63" i="37"/>
  <c r="CT40" i="37"/>
  <c r="CS81" i="37"/>
  <c r="CT26" i="37"/>
  <c r="CT60" i="37"/>
  <c r="CT55" i="37"/>
  <c r="CT65" i="37"/>
  <c r="CS87" i="37"/>
  <c r="CT73" i="37"/>
  <c r="CS80" i="37"/>
  <c r="CS82" i="37"/>
  <c r="CT54" i="37"/>
  <c r="CT35" i="37"/>
  <c r="CT30" i="37"/>
  <c r="CT44" i="37"/>
  <c r="CS83" i="37"/>
  <c r="CT71" i="37"/>
  <c r="CT70" i="37"/>
  <c r="CT68" i="37"/>
  <c r="CT49" i="37"/>
  <c r="CT33" i="37"/>
  <c r="CS85" i="37"/>
  <c r="CT46" i="37"/>
  <c r="CT53" i="37"/>
  <c r="CT62" i="37"/>
  <c r="CT43" i="37"/>
  <c r="CT47" i="37"/>
  <c r="CT79" i="37"/>
  <c r="CT25" i="37"/>
  <c r="CS84" i="37"/>
  <c r="CT66" i="37"/>
  <c r="CT61" i="37"/>
  <c r="CT31" i="37"/>
  <c r="CS91" i="37"/>
  <c r="CT32" i="37"/>
  <c r="CS89" i="37"/>
  <c r="CT74" i="37"/>
  <c r="CT64" i="37"/>
  <c r="CT77" i="37"/>
  <c r="CT50" i="37"/>
  <c r="CT45" i="37"/>
  <c r="CT29" i="37"/>
  <c r="CT38" i="37"/>
  <c r="CT28" i="37"/>
  <c r="CS86" i="37"/>
  <c r="CT76" i="37"/>
  <c r="CT48" i="37"/>
  <c r="CT27" i="37"/>
  <c r="CT72" i="37"/>
  <c r="CT41" i="37"/>
  <c r="B67" i="63"/>
  <c r="A66" i="63"/>
  <c r="X66" i="63" s="1"/>
  <c r="DJ8" i="37" l="1"/>
  <c r="CT88" i="37"/>
  <c r="CT82" i="37"/>
  <c r="CU63" i="37"/>
  <c r="CU55" i="37"/>
  <c r="CU64" i="37"/>
  <c r="CU38" i="37"/>
  <c r="CU37" i="37"/>
  <c r="CV24" i="37"/>
  <c r="EC23" i="37" s="1"/>
  <c r="CU30" i="37"/>
  <c r="CT87" i="37"/>
  <c r="CT85" i="37"/>
  <c r="CU61" i="37"/>
  <c r="CU53" i="37"/>
  <c r="CU57" i="37"/>
  <c r="CU33" i="37"/>
  <c r="CU29" i="37"/>
  <c r="CU44" i="37"/>
  <c r="CU26" i="37"/>
  <c r="CU72" i="37"/>
  <c r="CU50" i="37"/>
  <c r="CU36" i="37"/>
  <c r="CU76" i="37"/>
  <c r="CU47" i="37"/>
  <c r="CU62" i="37"/>
  <c r="CU45" i="37"/>
  <c r="CU65" i="37"/>
  <c r="CU34" i="37"/>
  <c r="CT84" i="37"/>
  <c r="CU77" i="37"/>
  <c r="CU59" i="37"/>
  <c r="CT90" i="37"/>
  <c r="CU51" i="37"/>
  <c r="CU31" i="37"/>
  <c r="CU49" i="37"/>
  <c r="CU43" i="37"/>
  <c r="CU79" i="37"/>
  <c r="CU78" i="37"/>
  <c r="CU58" i="37"/>
  <c r="CU67" i="37"/>
  <c r="CU32" i="37"/>
  <c r="CU75" i="37"/>
  <c r="CT81" i="37"/>
  <c r="CU52" i="37"/>
  <c r="CU41" i="37"/>
  <c r="CU48" i="37"/>
  <c r="CU56" i="37"/>
  <c r="CU60" i="37"/>
  <c r="CT83" i="37"/>
  <c r="CU27" i="37"/>
  <c r="CT80" i="37"/>
  <c r="CU46" i="37"/>
  <c r="CU54" i="37"/>
  <c r="CU68" i="37"/>
  <c r="CU39" i="37"/>
  <c r="CU66" i="37"/>
  <c r="CU28" i="37"/>
  <c r="CU69" i="37"/>
  <c r="CT86" i="37"/>
  <c r="CU73" i="37"/>
  <c r="CU70" i="37"/>
  <c r="CU74" i="37"/>
  <c r="CU40" i="37"/>
  <c r="CU42" i="37"/>
  <c r="CT89" i="37"/>
  <c r="CU25" i="37"/>
  <c r="CT91" i="37"/>
  <c r="CU71" i="37"/>
  <c r="CU35" i="37"/>
  <c r="E67" i="63"/>
  <c r="DK8" i="37" l="1"/>
  <c r="CU83" i="37"/>
  <c r="CV79" i="37"/>
  <c r="CV55" i="37"/>
  <c r="CV66" i="37"/>
  <c r="CV40" i="37"/>
  <c r="CV67" i="37"/>
  <c r="CV25" i="37"/>
  <c r="CV64" i="37"/>
  <c r="CV54" i="37"/>
  <c r="CU80" i="37"/>
  <c r="CV71" i="37"/>
  <c r="CV53" i="37"/>
  <c r="CV58" i="37"/>
  <c r="CV38" i="37"/>
  <c r="CV52" i="37"/>
  <c r="CV45" i="37"/>
  <c r="CV47" i="37"/>
  <c r="CV68" i="37"/>
  <c r="CV31" i="37"/>
  <c r="CU81" i="37"/>
  <c r="CV57" i="37"/>
  <c r="CV26" i="37"/>
  <c r="CU82" i="37"/>
  <c r="CV35" i="37"/>
  <c r="CU84" i="37"/>
  <c r="CV76" i="37"/>
  <c r="CU89" i="37"/>
  <c r="CV59" i="37"/>
  <c r="CV36" i="37"/>
  <c r="CV48" i="37"/>
  <c r="CW24" i="37"/>
  <c r="ED23" i="37" s="1"/>
  <c r="CV56" i="37"/>
  <c r="CV74" i="37"/>
  <c r="CV69" i="37"/>
  <c r="CV34" i="37"/>
  <c r="CV33" i="37"/>
  <c r="CV39" i="37"/>
  <c r="CU87" i="37"/>
  <c r="CV61" i="37"/>
  <c r="CU91" i="37"/>
  <c r="CV30" i="37"/>
  <c r="CV70" i="37"/>
  <c r="CV42" i="37"/>
  <c r="CV37" i="37"/>
  <c r="CV78" i="37"/>
  <c r="CV50" i="37"/>
  <c r="CV49" i="37"/>
  <c r="CU90" i="37"/>
  <c r="CV32" i="37"/>
  <c r="CV75" i="37"/>
  <c r="CV77" i="37"/>
  <c r="CV51" i="37"/>
  <c r="CV29" i="37"/>
  <c r="CV63" i="37"/>
  <c r="CV46" i="37"/>
  <c r="CV41" i="37"/>
  <c r="CU88" i="37"/>
  <c r="CV73" i="37"/>
  <c r="CV62" i="37"/>
  <c r="CU86" i="37"/>
  <c r="CV44" i="37"/>
  <c r="CV28" i="37"/>
  <c r="CV65" i="37"/>
  <c r="CV27" i="37"/>
  <c r="CV43" i="37"/>
  <c r="CU85" i="37"/>
  <c r="CV60" i="37"/>
  <c r="CV72" i="37"/>
  <c r="J67" i="63"/>
  <c r="D67" i="63"/>
  <c r="H67" i="63" s="1"/>
  <c r="DL8" i="37" l="1"/>
  <c r="CV88" i="37"/>
  <c r="CV80" i="37"/>
  <c r="CW63" i="37"/>
  <c r="CV82" i="37"/>
  <c r="CW53" i="37"/>
  <c r="CW44" i="37"/>
  <c r="CW48" i="37"/>
  <c r="CW35" i="37"/>
  <c r="CW41" i="37"/>
  <c r="CW79" i="37"/>
  <c r="CW49" i="37"/>
  <c r="CW42" i="37"/>
  <c r="CW31" i="37"/>
  <c r="CW33" i="37"/>
  <c r="CV90" i="37"/>
  <c r="CW71" i="37"/>
  <c r="CW54" i="37"/>
  <c r="CW43" i="37"/>
  <c r="CW37" i="37"/>
  <c r="CW64" i="37"/>
  <c r="CW52" i="37"/>
  <c r="CW38" i="37"/>
  <c r="CW29" i="37"/>
  <c r="CW67" i="37"/>
  <c r="CW72" i="37"/>
  <c r="CW45" i="37"/>
  <c r="CV85" i="37"/>
  <c r="CV83" i="37"/>
  <c r="CW59" i="37"/>
  <c r="CW60" i="37"/>
  <c r="CW78" i="37"/>
  <c r="CW40" i="37"/>
  <c r="CW56" i="37"/>
  <c r="CW75" i="37"/>
  <c r="CW61" i="37"/>
  <c r="CW65" i="37"/>
  <c r="CW76" i="37"/>
  <c r="CW68" i="37"/>
  <c r="CW34" i="37"/>
  <c r="CW62" i="37"/>
  <c r="CW47" i="37"/>
  <c r="CV89" i="37"/>
  <c r="CW39" i="37"/>
  <c r="CX24" i="37"/>
  <c r="EE23" i="37" s="1"/>
  <c r="CW26" i="37"/>
  <c r="CV87" i="37"/>
  <c r="CW69" i="37"/>
  <c r="CV84" i="37"/>
  <c r="CW50" i="37"/>
  <c r="CW57" i="37"/>
  <c r="CW36" i="37"/>
  <c r="CW46" i="37"/>
  <c r="CW28" i="37"/>
  <c r="CV91" i="37"/>
  <c r="CW77" i="37"/>
  <c r="CW58" i="37"/>
  <c r="CW66" i="37"/>
  <c r="CW73" i="37"/>
  <c r="CW32" i="37"/>
  <c r="CW25" i="37"/>
  <c r="CW27" i="37"/>
  <c r="CV81" i="37"/>
  <c r="CW74" i="37"/>
  <c r="CV86" i="37"/>
  <c r="CW55" i="37"/>
  <c r="CW51" i="37"/>
  <c r="CW70" i="37"/>
  <c r="CW30" i="37"/>
  <c r="I67" i="63"/>
  <c r="K67" i="63"/>
  <c r="C68" i="63" s="1"/>
  <c r="DM8" i="37" l="1"/>
  <c r="CW82" i="37"/>
  <c r="CX75" i="37"/>
  <c r="CX57" i="37"/>
  <c r="CX69" i="37"/>
  <c r="CX49" i="37"/>
  <c r="CX36" i="37"/>
  <c r="CX48" i="37"/>
  <c r="CX39" i="37"/>
  <c r="CX31" i="37"/>
  <c r="CW91" i="37"/>
  <c r="CX70" i="37"/>
  <c r="CX78" i="37"/>
  <c r="CX58" i="37"/>
  <c r="CX47" i="37"/>
  <c r="CX34" i="37"/>
  <c r="CX66" i="37"/>
  <c r="CX50" i="37"/>
  <c r="CX26" i="37"/>
  <c r="CX54" i="37"/>
  <c r="CX61" i="37"/>
  <c r="CX40" i="37"/>
  <c r="CX59" i="37"/>
  <c r="CX27" i="37"/>
  <c r="CX79" i="37"/>
  <c r="CX68" i="37"/>
  <c r="CW84" i="37"/>
  <c r="CX74" i="37"/>
  <c r="CW83" i="37"/>
  <c r="CX32" i="37"/>
  <c r="CX46" i="37"/>
  <c r="CX37" i="37"/>
  <c r="CW81" i="37"/>
  <c r="CW87" i="37"/>
  <c r="CX38" i="37"/>
  <c r="CW89" i="37"/>
  <c r="CX77" i="37"/>
  <c r="CW88" i="37"/>
  <c r="CX62" i="37"/>
  <c r="CX51" i="37"/>
  <c r="CX30" i="37"/>
  <c r="CX45" i="37"/>
  <c r="CX29" i="37"/>
  <c r="CX65" i="37"/>
  <c r="CX71" i="37"/>
  <c r="CX60" i="37"/>
  <c r="CX44" i="37"/>
  <c r="CX28" i="37"/>
  <c r="CX35" i="37"/>
  <c r="CX56" i="37"/>
  <c r="CX41" i="37"/>
  <c r="CW90" i="37"/>
  <c r="CX43" i="37"/>
  <c r="CX53" i="37"/>
  <c r="CY24" i="37"/>
  <c r="EF23" i="37" s="1"/>
  <c r="CW86" i="37"/>
  <c r="CX25" i="37"/>
  <c r="CX55" i="37"/>
  <c r="CX67" i="37"/>
  <c r="CW80" i="37"/>
  <c r="CW85" i="37"/>
  <c r="CX76" i="37"/>
  <c r="CX63" i="37"/>
  <c r="CX64" i="37"/>
  <c r="CX42" i="37"/>
  <c r="CX72" i="37"/>
  <c r="CX33" i="37"/>
  <c r="CX73" i="37"/>
  <c r="CX52" i="37"/>
  <c r="B68" i="63"/>
  <c r="A67" i="63"/>
  <c r="X67" i="63" s="1"/>
  <c r="DN8" i="37" l="1"/>
  <c r="CX87" i="37"/>
  <c r="CY77" i="37"/>
  <c r="CY62" i="37"/>
  <c r="CY54" i="37"/>
  <c r="CY59" i="37"/>
  <c r="CY43" i="37"/>
  <c r="CY33" i="37"/>
  <c r="CY27" i="37"/>
  <c r="CY32" i="37"/>
  <c r="CY75" i="37"/>
  <c r="CZ24" i="37"/>
  <c r="EG23" i="37" s="1"/>
  <c r="CY55" i="37"/>
  <c r="CY65" i="37"/>
  <c r="CY35" i="37"/>
  <c r="CY41" i="37"/>
  <c r="CY67" i="37"/>
  <c r="CY28" i="37"/>
  <c r="CY57" i="37"/>
  <c r="CY49" i="37"/>
  <c r="CX91" i="37"/>
  <c r="CY74" i="37"/>
  <c r="CY60" i="37"/>
  <c r="CY52" i="37"/>
  <c r="CX80" i="37"/>
  <c r="CY38" i="37"/>
  <c r="CY78" i="37"/>
  <c r="CY61" i="37"/>
  <c r="CY42" i="37"/>
  <c r="CX86" i="37"/>
  <c r="CY72" i="37"/>
  <c r="CX88" i="37"/>
  <c r="CY48" i="37"/>
  <c r="CY50" i="37"/>
  <c r="CY25" i="37"/>
  <c r="CY56" i="37"/>
  <c r="CY76" i="37"/>
  <c r="CY31" i="37"/>
  <c r="CX82" i="37"/>
  <c r="CY46" i="37"/>
  <c r="CX90" i="37"/>
  <c r="CY69" i="37"/>
  <c r="CX89" i="37"/>
  <c r="CX85" i="37"/>
  <c r="CY73" i="37"/>
  <c r="CY71" i="37"/>
  <c r="CY70" i="37"/>
  <c r="CY39" i="37"/>
  <c r="CY40" i="37"/>
  <c r="CY51" i="37"/>
  <c r="CX84" i="37"/>
  <c r="CY79" i="37"/>
  <c r="CY63" i="37"/>
  <c r="CY37" i="37"/>
  <c r="CY47" i="37"/>
  <c r="CY29" i="37"/>
  <c r="CY66" i="37"/>
  <c r="CY53" i="37"/>
  <c r="CY36" i="37"/>
  <c r="CX81" i="37"/>
  <c r="CY45" i="37"/>
  <c r="CY34" i="37"/>
  <c r="CY26" i="37"/>
  <c r="CX83" i="37"/>
  <c r="CY68" i="37"/>
  <c r="CY58" i="37"/>
  <c r="CY30" i="37"/>
  <c r="CY64" i="37"/>
  <c r="CY44" i="37"/>
  <c r="E68" i="63"/>
  <c r="DO8" i="37" l="1"/>
  <c r="CY86" i="37"/>
  <c r="CZ73" i="37"/>
  <c r="CZ54" i="37"/>
  <c r="CZ69" i="37"/>
  <c r="CZ45" i="37"/>
  <c r="CZ29" i="37"/>
  <c r="CZ50" i="37"/>
  <c r="CZ30" i="37"/>
  <c r="CZ26" i="37"/>
  <c r="CY89" i="37"/>
  <c r="CZ60" i="37"/>
  <c r="CY83" i="37"/>
  <c r="CZ34" i="37"/>
  <c r="CZ67" i="37"/>
  <c r="CZ33" i="37"/>
  <c r="CZ57" i="37"/>
  <c r="CY82" i="37"/>
  <c r="CZ72" i="37"/>
  <c r="CZ68" i="37"/>
  <c r="CZ64" i="37"/>
  <c r="CZ43" i="37"/>
  <c r="CZ58" i="37"/>
  <c r="CZ40" i="37"/>
  <c r="CZ44" i="37"/>
  <c r="CZ48" i="37"/>
  <c r="CZ55" i="37"/>
  <c r="CZ70" i="37"/>
  <c r="CZ62" i="37"/>
  <c r="CZ63" i="37"/>
  <c r="CZ27" i="37"/>
  <c r="CY81" i="37"/>
  <c r="CZ32" i="37"/>
  <c r="CY87" i="37"/>
  <c r="CZ79" i="37"/>
  <c r="CZ65" i="37"/>
  <c r="CZ59" i="37"/>
  <c r="CZ52" i="37"/>
  <c r="CZ41" i="37"/>
  <c r="CZ36" i="37"/>
  <c r="CZ25" i="37"/>
  <c r="CY90" i="37"/>
  <c r="CY85" i="37"/>
  <c r="CZ42" i="37"/>
  <c r="CZ71" i="37"/>
  <c r="CZ53" i="37"/>
  <c r="CZ77" i="37"/>
  <c r="CZ47" i="37"/>
  <c r="CZ61" i="37"/>
  <c r="CZ38" i="37"/>
  <c r="CY84" i="37"/>
  <c r="CZ78" i="37"/>
  <c r="CZ76" i="37"/>
  <c r="CZ56" i="37"/>
  <c r="CZ51" i="37"/>
  <c r="CZ39" i="37"/>
  <c r="CZ28" i="37"/>
  <c r="DA24" i="37"/>
  <c r="EH23" i="37" s="1"/>
  <c r="CZ49" i="37"/>
  <c r="CZ37" i="37"/>
  <c r="CZ74" i="37"/>
  <c r="CZ35" i="37"/>
  <c r="CY91" i="37"/>
  <c r="CZ75" i="37"/>
  <c r="CZ46" i="37"/>
  <c r="CZ66" i="37"/>
  <c r="CY88" i="37"/>
  <c r="CY80" i="37"/>
  <c r="CZ31" i="37"/>
  <c r="J68" i="63"/>
  <c r="D68" i="63"/>
  <c r="H68" i="63" s="1"/>
  <c r="DP8" i="37" l="1"/>
  <c r="CZ88" i="37"/>
  <c r="DA72" i="37"/>
  <c r="DA69" i="37"/>
  <c r="DA55" i="37"/>
  <c r="DA45" i="37"/>
  <c r="DA58" i="37"/>
  <c r="DA42" i="37"/>
  <c r="DA31" i="37"/>
  <c r="DA68" i="37"/>
  <c r="DA53" i="37"/>
  <c r="DA65" i="37"/>
  <c r="DA25" i="37"/>
  <c r="DA61" i="37"/>
  <c r="DB24" i="37"/>
  <c r="EI23" i="37" s="1"/>
  <c r="CZ83" i="37"/>
  <c r="DA48" i="37"/>
  <c r="DA26" i="37"/>
  <c r="DA60" i="37"/>
  <c r="DA27" i="37"/>
  <c r="DA64" i="37"/>
  <c r="DA57" i="37"/>
  <c r="CZ80" i="37"/>
  <c r="DA71" i="37"/>
  <c r="DA43" i="37"/>
  <c r="CZ82" i="37"/>
  <c r="DA40" i="37"/>
  <c r="CZ81" i="37"/>
  <c r="DA35" i="37"/>
  <c r="DA78" i="37"/>
  <c r="DA73" i="37"/>
  <c r="CZ84" i="37"/>
  <c r="DA79" i="37"/>
  <c r="DA70" i="37"/>
  <c r="DA74" i="37"/>
  <c r="DA51" i="37"/>
  <c r="DA41" i="37"/>
  <c r="DA34" i="37"/>
  <c r="DA49" i="37"/>
  <c r="DA44" i="37"/>
  <c r="DA59" i="37"/>
  <c r="DA29" i="37"/>
  <c r="DA36" i="37"/>
  <c r="CZ87" i="37"/>
  <c r="DA52" i="37"/>
  <c r="DA28" i="37"/>
  <c r="DA75" i="37"/>
  <c r="DA33" i="37"/>
  <c r="DA47" i="37"/>
  <c r="CZ89" i="37"/>
  <c r="CZ86" i="37"/>
  <c r="CZ85" i="37"/>
  <c r="DA77" i="37"/>
  <c r="DA39" i="37"/>
  <c r="DA50" i="37"/>
  <c r="DA56" i="37"/>
  <c r="DA32" i="37"/>
  <c r="CZ91" i="37"/>
  <c r="DA37" i="37"/>
  <c r="DA62" i="37"/>
  <c r="DA38" i="37"/>
  <c r="DA66" i="37"/>
  <c r="DA30" i="37"/>
  <c r="CZ90" i="37"/>
  <c r="DA63" i="37"/>
  <c r="DA76" i="37"/>
  <c r="DA46" i="37"/>
  <c r="DA67" i="37"/>
  <c r="DA54" i="37"/>
  <c r="I68" i="63"/>
  <c r="K68" i="63"/>
  <c r="C69" i="63" s="1"/>
  <c r="DQ8" i="37" l="1"/>
  <c r="DA88" i="37"/>
  <c r="DB66" i="37"/>
  <c r="DB76" i="37"/>
  <c r="DB61" i="37"/>
  <c r="DB50" i="37"/>
  <c r="DB33" i="37"/>
  <c r="DB32" i="37"/>
  <c r="DB57" i="37"/>
  <c r="DB74" i="37"/>
  <c r="DB47" i="37"/>
  <c r="DB28" i="37"/>
  <c r="DB36" i="37"/>
  <c r="DB44" i="37"/>
  <c r="DB42" i="37"/>
  <c r="DB59" i="37"/>
  <c r="DB41" i="37"/>
  <c r="DB77" i="37"/>
  <c r="DB26" i="37"/>
  <c r="DA87" i="37"/>
  <c r="DB48" i="37"/>
  <c r="DB38" i="37"/>
  <c r="DB35" i="37"/>
  <c r="DA81" i="37"/>
  <c r="DB64" i="37"/>
  <c r="DB70" i="37"/>
  <c r="DB31" i="37"/>
  <c r="DA91" i="37"/>
  <c r="DB25" i="37"/>
  <c r="DB68" i="37"/>
  <c r="DB53" i="37"/>
  <c r="DB69" i="37"/>
  <c r="DB73" i="37"/>
  <c r="DB34" i="37"/>
  <c r="DA89" i="37"/>
  <c r="DA83" i="37"/>
  <c r="DB62" i="37"/>
  <c r="DB79" i="37"/>
  <c r="DB65" i="37"/>
  <c r="DB45" i="37"/>
  <c r="DB29" i="37"/>
  <c r="DC24" i="37"/>
  <c r="EJ23" i="37" s="1"/>
  <c r="DA80" i="37"/>
  <c r="DB40" i="37"/>
  <c r="DB56" i="37"/>
  <c r="DB51" i="37"/>
  <c r="DB37" i="37"/>
  <c r="DB63" i="37"/>
  <c r="DA86" i="37"/>
  <c r="DB78" i="37"/>
  <c r="DB60" i="37"/>
  <c r="DB72" i="37"/>
  <c r="DB52" i="37"/>
  <c r="DB43" i="37"/>
  <c r="DB27" i="37"/>
  <c r="DB30" i="37"/>
  <c r="DA82" i="37"/>
  <c r="DB71" i="37"/>
  <c r="DA90" i="37"/>
  <c r="DB46" i="37"/>
  <c r="DB75" i="37"/>
  <c r="DB55" i="37"/>
  <c r="DA85" i="37"/>
  <c r="DB49" i="37"/>
  <c r="DB58" i="37"/>
  <c r="DB39" i="37"/>
  <c r="DA84" i="37"/>
  <c r="DB67" i="37"/>
  <c r="DB54" i="37"/>
  <c r="B69" i="63"/>
  <c r="A68" i="63"/>
  <c r="X68" i="63" s="1"/>
  <c r="DR8" i="37" l="1"/>
  <c r="DC79" i="37"/>
  <c r="DC76" i="37"/>
  <c r="DC68" i="37"/>
  <c r="DC55" i="37"/>
  <c r="DC50" i="37"/>
  <c r="DC42" i="37"/>
  <c r="DC57" i="37"/>
  <c r="DC33" i="37"/>
  <c r="DC52" i="37"/>
  <c r="DB83" i="37"/>
  <c r="DC30" i="37"/>
  <c r="DC59" i="37"/>
  <c r="DC74" i="37"/>
  <c r="DC35" i="37"/>
  <c r="DC75" i="37"/>
  <c r="DC72" i="37"/>
  <c r="DC67" i="37"/>
  <c r="DC53" i="37"/>
  <c r="DC56" i="37"/>
  <c r="DC37" i="37"/>
  <c r="DC47" i="37"/>
  <c r="DC25" i="37"/>
  <c r="DC32" i="37"/>
  <c r="DB91" i="37"/>
  <c r="DB89" i="37"/>
  <c r="DC62" i="37"/>
  <c r="DC38" i="37"/>
  <c r="DC27" i="37"/>
  <c r="DC73" i="37"/>
  <c r="DC69" i="37"/>
  <c r="DB84" i="37"/>
  <c r="DB90" i="37"/>
  <c r="DC46" i="37"/>
  <c r="DC26" i="37"/>
  <c r="DC28" i="37"/>
  <c r="DC34" i="37"/>
  <c r="DC70" i="37"/>
  <c r="DC51" i="37"/>
  <c r="DC43" i="37"/>
  <c r="DC61" i="37"/>
  <c r="DC31" i="37"/>
  <c r="DC64" i="37"/>
  <c r="DC41" i="37"/>
  <c r="DB86" i="37"/>
  <c r="DC71" i="37"/>
  <c r="DC65" i="37"/>
  <c r="DC78" i="37"/>
  <c r="DC77" i="37"/>
  <c r="DC58" i="37"/>
  <c r="DC44" i="37"/>
  <c r="DC45" i="37"/>
  <c r="DC63" i="37"/>
  <c r="DC39" i="37"/>
  <c r="DB85" i="37"/>
  <c r="DC48" i="37"/>
  <c r="DC40" i="37"/>
  <c r="DC49" i="37"/>
  <c r="DB87" i="37"/>
  <c r="DC54" i="37"/>
  <c r="DB82" i="37"/>
  <c r="DC36" i="37"/>
  <c r="DC66" i="37"/>
  <c r="DC29" i="37"/>
  <c r="DB88" i="37"/>
  <c r="DB80" i="37"/>
  <c r="DD24" i="37"/>
  <c r="EK23" i="37" s="1"/>
  <c r="DB81" i="37"/>
  <c r="DC60" i="37"/>
  <c r="E69" i="63"/>
  <c r="DS8" i="37" l="1"/>
  <c r="DC84" i="37"/>
  <c r="DD68" i="37"/>
  <c r="DF78" i="37"/>
  <c r="DD64" i="37"/>
  <c r="DD57" i="37"/>
  <c r="DD40" i="37"/>
  <c r="DD62" i="37"/>
  <c r="DD26" i="37"/>
  <c r="DD25" i="37"/>
  <c r="DD69" i="37"/>
  <c r="DD79" i="37"/>
  <c r="DD38" i="37"/>
  <c r="DD48" i="37"/>
  <c r="DD43" i="37"/>
  <c r="DD70" i="37"/>
  <c r="DD49" i="37"/>
  <c r="DD54" i="37"/>
  <c r="DC82" i="37"/>
  <c r="DD44" i="37"/>
  <c r="DC83" i="37"/>
  <c r="DD37" i="37"/>
  <c r="DC81" i="37"/>
  <c r="DC89" i="37"/>
  <c r="DD67" i="37"/>
  <c r="DD39" i="37"/>
  <c r="DD61" i="37"/>
  <c r="DD47" i="37"/>
  <c r="DC80" i="37"/>
  <c r="DD55" i="37"/>
  <c r="DD35" i="37"/>
  <c r="DD53" i="37"/>
  <c r="DD31" i="37"/>
  <c r="DC87" i="37"/>
  <c r="DD42" i="37"/>
  <c r="DC91" i="37"/>
  <c r="DF77" i="37"/>
  <c r="DF79" i="37"/>
  <c r="DF75" i="37"/>
  <c r="DD66" i="37"/>
  <c r="DD52" i="37"/>
  <c r="DD36" i="37"/>
  <c r="DD29" i="37"/>
  <c r="DD46" i="37"/>
  <c r="DD41" i="37"/>
  <c r="DD58" i="37"/>
  <c r="DD34" i="37"/>
  <c r="DD45" i="37"/>
  <c r="DE24" i="37"/>
  <c r="EL23" i="37" s="1"/>
  <c r="DC85" i="37"/>
  <c r="DD72" i="37"/>
  <c r="DF76" i="37"/>
  <c r="DD76" i="37"/>
  <c r="DD28" i="37"/>
  <c r="DD65" i="37"/>
  <c r="DC88" i="37"/>
  <c r="DD78" i="37"/>
  <c r="DD77" i="37"/>
  <c r="DD63" i="37"/>
  <c r="DC86" i="37"/>
  <c r="DD27" i="37"/>
  <c r="DD75" i="37"/>
  <c r="DD32" i="37"/>
  <c r="DD73" i="37"/>
  <c r="DD30" i="37"/>
  <c r="DD60" i="37"/>
  <c r="DD51" i="37"/>
  <c r="DD74" i="37"/>
  <c r="DD56" i="37"/>
  <c r="DC90" i="37"/>
  <c r="DD59" i="37"/>
  <c r="DD50" i="37"/>
  <c r="DD71" i="37"/>
  <c r="DD33" i="37"/>
  <c r="J69" i="63"/>
  <c r="D69" i="63"/>
  <c r="H69" i="63" s="1"/>
  <c r="DT8" i="37" l="1"/>
  <c r="DD83" i="37"/>
  <c r="DG76" i="37"/>
  <c r="DG78" i="37"/>
  <c r="DE57" i="37"/>
  <c r="DE49" i="37"/>
  <c r="DE40" i="37"/>
  <c r="DE37" i="37"/>
  <c r="DE27" i="37"/>
  <c r="DE48" i="37"/>
  <c r="DE38" i="37"/>
  <c r="DE53" i="37"/>
  <c r="DE33" i="37"/>
  <c r="DD91" i="37"/>
  <c r="DE75" i="37"/>
  <c r="DE29" i="37"/>
  <c r="DD86" i="37"/>
  <c r="DE73" i="37"/>
  <c r="DE69" i="37"/>
  <c r="DE54" i="37"/>
  <c r="DE47" i="37"/>
  <c r="DE30" i="37"/>
  <c r="DE39" i="37"/>
  <c r="DE72" i="37"/>
  <c r="DE66" i="37"/>
  <c r="DE68" i="37"/>
  <c r="DE31" i="37"/>
  <c r="DG79" i="37"/>
  <c r="DE44" i="37"/>
  <c r="DD84" i="37"/>
  <c r="DE42" i="37"/>
  <c r="DG77" i="37"/>
  <c r="DG75" i="37"/>
  <c r="DE61" i="37"/>
  <c r="DE52" i="37"/>
  <c r="DE58" i="37"/>
  <c r="DE36" i="37"/>
  <c r="DE26" i="37"/>
  <c r="DE51" i="37"/>
  <c r="DE28" i="37"/>
  <c r="DE34" i="37"/>
  <c r="DD85" i="37"/>
  <c r="DE35" i="37"/>
  <c r="DD87" i="37"/>
  <c r="DE59" i="37"/>
  <c r="DD88" i="37"/>
  <c r="DE76" i="37"/>
  <c r="DE71" i="37"/>
  <c r="DE70" i="37"/>
  <c r="DE50" i="37"/>
  <c r="DE67" i="37"/>
  <c r="DE41" i="37"/>
  <c r="DE62" i="37"/>
  <c r="DD80" i="37"/>
  <c r="DE32" i="37"/>
  <c r="DE78" i="37"/>
  <c r="DE46" i="37"/>
  <c r="DD82" i="37"/>
  <c r="DE55" i="37"/>
  <c r="DE77" i="37"/>
  <c r="DE60" i="37"/>
  <c r="DE43" i="37"/>
  <c r="DD81" i="37"/>
  <c r="DD90" i="37"/>
  <c r="DE63" i="37"/>
  <c r="DE64" i="37"/>
  <c r="DE25" i="37"/>
  <c r="DE79" i="37"/>
  <c r="DE56" i="37"/>
  <c r="DD89" i="37"/>
  <c r="DE74" i="37"/>
  <c r="DE45" i="37"/>
  <c r="DE65" i="37"/>
  <c r="I69" i="63"/>
  <c r="K69" i="63"/>
  <c r="C70" i="63" s="1"/>
  <c r="B70" i="63" l="1"/>
  <c r="A69" i="63"/>
  <c r="X69" i="63" s="1"/>
  <c r="E70" i="63" l="1"/>
  <c r="D70" i="63" l="1"/>
  <c r="H70" i="63" s="1"/>
  <c r="J70" i="63"/>
  <c r="I70" i="63" l="1"/>
  <c r="K70" i="63"/>
  <c r="C71" i="63" s="1"/>
  <c r="B71" i="63" l="1"/>
  <c r="A70" i="63"/>
  <c r="X70" i="63" s="1"/>
  <c r="E71" i="63" l="1"/>
  <c r="D71" i="63" l="1"/>
  <c r="H71" i="63" s="1"/>
  <c r="J71" i="63"/>
  <c r="I71" i="63" l="1"/>
  <c r="K71" i="63"/>
  <c r="C72" i="63" s="1"/>
  <c r="B72" i="63" l="1"/>
  <c r="A71" i="63"/>
  <c r="X71" i="63" s="1"/>
  <c r="E72" i="63" l="1"/>
  <c r="D72" i="63" l="1"/>
  <c r="H72" i="63" s="1"/>
  <c r="J72" i="63"/>
  <c r="I72" i="63" l="1"/>
  <c r="K72" i="63"/>
  <c r="C73" i="63" s="1"/>
  <c r="B73" i="63" l="1"/>
  <c r="A72" i="63"/>
  <c r="X72" i="63" s="1"/>
  <c r="E73" i="63" l="1"/>
  <c r="J73" i="63" l="1"/>
  <c r="D73" i="63"/>
  <c r="H73" i="63" s="1"/>
  <c r="I73" i="63" l="1"/>
  <c r="K73" i="63"/>
  <c r="C74" i="63" s="1"/>
  <c r="B74" i="63" l="1"/>
  <c r="A73" i="63"/>
  <c r="X73" i="63" s="1"/>
  <c r="E74" i="63" l="1"/>
  <c r="J74" i="63" l="1"/>
  <c r="D74" i="63"/>
  <c r="H74" i="63" s="1"/>
  <c r="I74" i="63" l="1"/>
  <c r="K74" i="63"/>
  <c r="C75" i="63" s="1"/>
  <c r="B75" i="63" l="1"/>
  <c r="A74" i="63"/>
  <c r="X74" i="63" s="1"/>
  <c r="E75" i="63" l="1"/>
  <c r="D75" i="63" l="1"/>
  <c r="H75" i="63" s="1"/>
  <c r="J75" i="63"/>
  <c r="I75" i="63" l="1"/>
  <c r="K75" i="63"/>
  <c r="C76" i="63" s="1"/>
  <c r="B76" i="63" l="1"/>
  <c r="A75" i="63"/>
  <c r="X75" i="63" s="1"/>
  <c r="E76" i="63" l="1"/>
  <c r="J76" i="63" l="1"/>
  <c r="D76" i="63"/>
  <c r="H76" i="63" s="1"/>
  <c r="I76" i="63" l="1"/>
  <c r="K76" i="63"/>
  <c r="C77" i="63" s="1"/>
  <c r="B77" i="63" l="1"/>
  <c r="A76" i="63"/>
  <c r="X76" i="63" s="1"/>
  <c r="E77" i="63" l="1"/>
  <c r="J77" i="63" l="1"/>
  <c r="D77" i="63"/>
  <c r="H77" i="63" s="1"/>
  <c r="I77" i="63" l="1"/>
  <c r="K77" i="63"/>
  <c r="C78" i="63" s="1"/>
  <c r="B78" i="63" l="1"/>
  <c r="A77" i="63"/>
  <c r="X77" i="63" s="1"/>
  <c r="E78" i="63" l="1"/>
  <c r="J78" i="63" l="1"/>
  <c r="D78" i="63"/>
  <c r="H78" i="63" s="1"/>
  <c r="I78" i="63" l="1"/>
  <c r="K78" i="63"/>
  <c r="C79" i="63" s="1"/>
  <c r="B79" i="63" l="1"/>
  <c r="A78" i="63"/>
  <c r="X78" i="63" s="1"/>
  <c r="E79" i="63" l="1"/>
  <c r="J79" i="63" l="1"/>
  <c r="D79" i="63"/>
  <c r="H79" i="63" s="1"/>
  <c r="I79" i="63" l="1"/>
  <c r="K79" i="63"/>
  <c r="C80" i="63" s="1"/>
  <c r="B80" i="63" l="1"/>
  <c r="A79" i="63"/>
  <c r="X79" i="63" s="1"/>
  <c r="E80" i="63" l="1"/>
  <c r="D80" i="63" l="1"/>
  <c r="H80" i="63" s="1"/>
  <c r="J80" i="63"/>
  <c r="I80" i="63" l="1"/>
  <c r="K80" i="63"/>
  <c r="C81" i="63" s="1"/>
  <c r="B81" i="63" l="1"/>
  <c r="A80" i="63"/>
  <c r="X80" i="63" s="1"/>
  <c r="E81" i="63" l="1"/>
  <c r="J81" i="63" l="1"/>
  <c r="D81" i="63"/>
  <c r="H81" i="63" s="1"/>
  <c r="I81" i="63" l="1"/>
  <c r="K81" i="63"/>
  <c r="C82" i="63" s="1"/>
  <c r="B82" i="63" l="1"/>
  <c r="A81" i="63"/>
  <c r="X81" i="63" s="1"/>
  <c r="E82" i="63" l="1"/>
  <c r="D82" i="63" l="1"/>
  <c r="H82" i="63" s="1"/>
  <c r="J82" i="63"/>
  <c r="I82" i="63" l="1"/>
  <c r="K82" i="63"/>
  <c r="C83" i="63" s="1"/>
  <c r="B83" i="63" l="1"/>
  <c r="A82" i="63"/>
  <c r="X82" i="63" s="1"/>
  <c r="E83" i="63" l="1"/>
  <c r="D83" i="63" l="1"/>
  <c r="H83" i="63" s="1"/>
  <c r="J83" i="63"/>
  <c r="I83" i="63" l="1"/>
  <c r="K83" i="63"/>
  <c r="C84" i="63" s="1"/>
  <c r="B84" i="63" l="1"/>
  <c r="A83" i="63"/>
  <c r="X83" i="63" s="1"/>
  <c r="E84" i="63" l="1"/>
  <c r="J84" i="63" l="1"/>
  <c r="D84" i="63"/>
  <c r="H84" i="63" s="1"/>
  <c r="I84" i="63" l="1"/>
  <c r="K84" i="63"/>
  <c r="C85" i="63" s="1"/>
  <c r="B85" i="63" l="1"/>
  <c r="A84" i="63"/>
  <c r="X84" i="63" s="1"/>
  <c r="E85" i="63" l="1"/>
  <c r="J85" i="63" l="1"/>
  <c r="D85" i="63"/>
  <c r="H85" i="63" s="1"/>
  <c r="I85" i="63" l="1"/>
  <c r="K85" i="63"/>
  <c r="C86" i="63" s="1"/>
  <c r="B86" i="63" l="1"/>
  <c r="A85" i="63"/>
  <c r="X85" i="63" s="1"/>
  <c r="E86" i="63" l="1"/>
  <c r="J86" i="63" l="1"/>
  <c r="D86" i="63"/>
  <c r="H86" i="63" s="1"/>
  <c r="I86" i="63" l="1"/>
  <c r="K86" i="63"/>
  <c r="C87" i="63" s="1"/>
  <c r="B87" i="63" l="1"/>
  <c r="A86" i="63"/>
  <c r="X86" i="63" s="1"/>
  <c r="E87" i="63" l="1"/>
  <c r="J87" i="63" l="1"/>
  <c r="D87" i="63"/>
  <c r="H87" i="63" s="1"/>
  <c r="I87" i="63" l="1"/>
  <c r="K87" i="63"/>
  <c r="C88" i="63" s="1"/>
  <c r="B88" i="63" l="1"/>
  <c r="A87" i="63"/>
  <c r="X87" i="63" s="1"/>
  <c r="E88" i="63" l="1"/>
  <c r="D88" i="63" l="1"/>
  <c r="H88" i="63" s="1"/>
  <c r="J88" i="63"/>
  <c r="I88" i="63" l="1"/>
  <c r="K88" i="63"/>
  <c r="C89" i="63" s="1"/>
  <c r="B89" i="63" l="1"/>
  <c r="A88" i="63"/>
  <c r="X88" i="63" s="1"/>
  <c r="E89" i="63" l="1"/>
  <c r="D89" i="63" l="1"/>
  <c r="H89" i="63" s="1"/>
  <c r="J89" i="63"/>
  <c r="I89" i="63" l="1"/>
  <c r="K89" i="63"/>
  <c r="C90" i="63" s="1"/>
  <c r="B90" i="63" l="1"/>
  <c r="A89" i="63"/>
  <c r="X89" i="63" s="1"/>
  <c r="E90" i="63" l="1"/>
  <c r="J90" i="63" l="1"/>
  <c r="D90" i="63"/>
  <c r="H90" i="63" s="1"/>
  <c r="I90" i="63" l="1"/>
  <c r="K90" i="63"/>
  <c r="C91" i="63" s="1"/>
  <c r="B91" i="63" l="1"/>
  <c r="A90" i="63"/>
  <c r="X90" i="63" s="1"/>
  <c r="E91" i="63" l="1"/>
  <c r="J91" i="63" l="1"/>
  <c r="D91" i="63"/>
  <c r="H91" i="63" s="1"/>
  <c r="I91" i="63" l="1"/>
  <c r="K91" i="63"/>
  <c r="C92" i="63" s="1"/>
  <c r="B92" i="63" l="1"/>
  <c r="A91" i="63"/>
  <c r="X91" i="63" s="1"/>
  <c r="E92" i="63" l="1"/>
  <c r="J92" i="63" l="1"/>
  <c r="D92" i="63"/>
  <c r="H92" i="63" s="1"/>
  <c r="I92" i="63" l="1"/>
  <c r="K92" i="63"/>
  <c r="C93" i="63" s="1"/>
  <c r="B93" i="63" l="1"/>
  <c r="A92" i="63"/>
  <c r="X92" i="63" s="1"/>
  <c r="E93" i="63" l="1"/>
  <c r="J93" i="63" l="1"/>
  <c r="D93" i="63"/>
  <c r="H93" i="63" s="1"/>
  <c r="I93" i="63" l="1"/>
  <c r="K93" i="63"/>
  <c r="C94" i="63" s="1"/>
  <c r="B94" i="63" l="1"/>
  <c r="A93" i="63"/>
  <c r="X93" i="63" s="1"/>
  <c r="E94" i="63" l="1"/>
  <c r="J94" i="63" l="1"/>
  <c r="D94" i="63"/>
  <c r="H94" i="63" s="1"/>
  <c r="I94" i="63" l="1"/>
  <c r="K94" i="63"/>
  <c r="C95" i="63" s="1"/>
  <c r="B95" i="63" l="1"/>
  <c r="A94" i="63"/>
  <c r="X94" i="63" s="1"/>
  <c r="E95" i="63" l="1"/>
  <c r="J95" i="63" l="1"/>
  <c r="D95" i="63"/>
  <c r="H95" i="63" s="1"/>
  <c r="I95" i="63" l="1"/>
  <c r="K95" i="63"/>
  <c r="C96" i="63" s="1"/>
  <c r="B96" i="63" l="1"/>
  <c r="A95" i="63"/>
  <c r="X95" i="63" s="1"/>
  <c r="E96" i="63" l="1"/>
  <c r="D96" i="63" l="1"/>
  <c r="H96" i="63" s="1"/>
  <c r="J96" i="63"/>
  <c r="I96" i="63" l="1"/>
  <c r="K96" i="63"/>
  <c r="C97" i="63" s="1"/>
  <c r="B97" i="63" l="1"/>
  <c r="A96" i="63"/>
  <c r="X96" i="63" s="1"/>
  <c r="E97" i="63" l="1"/>
  <c r="J97" i="63" l="1"/>
  <c r="D97" i="63"/>
  <c r="H97" i="63" s="1"/>
  <c r="I97" i="63" l="1"/>
  <c r="K97" i="63"/>
  <c r="C98" i="63" s="1"/>
  <c r="B98" i="63" l="1"/>
  <c r="A97" i="63"/>
  <c r="X97" i="63" s="1"/>
  <c r="E98" i="63" l="1"/>
  <c r="J98" i="63" l="1"/>
  <c r="D98" i="63"/>
  <c r="H98" i="63" s="1"/>
  <c r="I98" i="63" l="1"/>
  <c r="K98" i="63"/>
  <c r="C99" i="63" s="1"/>
  <c r="B99" i="63" l="1"/>
  <c r="A98" i="63"/>
  <c r="X98" i="63" s="1"/>
  <c r="E99" i="63" l="1"/>
  <c r="J99" i="63" l="1"/>
  <c r="D99" i="63"/>
  <c r="H99" i="63" s="1"/>
  <c r="I99" i="63" l="1"/>
  <c r="K99" i="63"/>
  <c r="C100" i="63" s="1"/>
  <c r="B100" i="63" l="1"/>
  <c r="A99" i="63"/>
  <c r="X99" i="63" s="1"/>
  <c r="E100" i="63" l="1"/>
  <c r="J100" i="63" l="1"/>
  <c r="D100" i="63"/>
  <c r="H100" i="63" s="1"/>
  <c r="I100" i="63" l="1"/>
  <c r="K100" i="63"/>
  <c r="C101" i="63" s="1"/>
  <c r="B101" i="63" l="1"/>
  <c r="A100" i="63"/>
  <c r="X100" i="63" s="1"/>
  <c r="E101" i="63" l="1"/>
  <c r="J101" i="63" l="1"/>
  <c r="D101" i="63"/>
  <c r="H101" i="63" s="1"/>
  <c r="I101" i="63" l="1"/>
  <c r="K101" i="63"/>
  <c r="C102" i="63" s="1"/>
  <c r="B102" i="63" l="1"/>
  <c r="A101" i="63"/>
  <c r="X101" i="63" s="1"/>
  <c r="E102" i="63" l="1"/>
  <c r="J102" i="63" l="1"/>
  <c r="D102" i="63"/>
  <c r="H102" i="63" s="1"/>
  <c r="I102" i="63" l="1"/>
  <c r="K102" i="63"/>
  <c r="C103" i="63" s="1"/>
  <c r="B103" i="63" l="1"/>
  <c r="A102" i="63"/>
  <c r="X102" i="63" s="1"/>
  <c r="E103" i="63" l="1"/>
  <c r="J103" i="63" l="1"/>
  <c r="D103" i="63"/>
  <c r="H103" i="63" s="1"/>
  <c r="I103" i="63" l="1"/>
  <c r="K103" i="63"/>
  <c r="C104" i="63" s="1"/>
  <c r="B104" i="63" l="1"/>
  <c r="A103" i="63"/>
  <c r="X103" i="63" s="1"/>
  <c r="E104" i="63" l="1"/>
  <c r="J104" i="63" l="1"/>
  <c r="D104" i="63"/>
  <c r="H104" i="63" s="1"/>
  <c r="I104" i="63" l="1"/>
  <c r="K104" i="63"/>
  <c r="C105" i="63" s="1"/>
  <c r="B105" i="63" l="1"/>
  <c r="A104" i="63"/>
  <c r="X104" i="63" s="1"/>
  <c r="E105" i="63" l="1"/>
  <c r="J105" i="63" l="1"/>
  <c r="D105" i="63"/>
  <c r="H105" i="63" s="1"/>
  <c r="I105" i="63" l="1"/>
  <c r="K105" i="63"/>
  <c r="C106" i="63" s="1"/>
  <c r="B106" i="63" l="1"/>
  <c r="A105" i="63"/>
  <c r="X105" i="63" s="1"/>
  <c r="E106" i="63" l="1"/>
  <c r="J106" i="63" l="1"/>
  <c r="D106" i="63"/>
  <c r="H106" i="63" s="1"/>
  <c r="I106" i="63" l="1"/>
  <c r="K106" i="63"/>
  <c r="C107" i="63" s="1"/>
  <c r="B107" i="63" l="1"/>
  <c r="A106" i="63"/>
  <c r="X106" i="63" s="1"/>
  <c r="E107" i="63" l="1"/>
  <c r="J107" i="63" l="1"/>
  <c r="D107" i="63"/>
  <c r="H107" i="63" s="1"/>
  <c r="I107" i="63" l="1"/>
  <c r="K107" i="63"/>
  <c r="C108" i="63" s="1"/>
  <c r="B108" i="63" l="1"/>
  <c r="A107" i="63"/>
  <c r="X107" i="63" s="1"/>
  <c r="E108" i="63" l="1"/>
  <c r="J108" i="63" l="1"/>
  <c r="D108" i="63"/>
  <c r="H108" i="63" s="1"/>
  <c r="I108" i="63" l="1"/>
  <c r="K108" i="63"/>
  <c r="C109" i="63" s="1"/>
  <c r="B109" i="63" l="1"/>
  <c r="A108" i="63"/>
  <c r="X108" i="63" s="1"/>
  <c r="E109" i="63" l="1"/>
  <c r="J109" i="63" l="1"/>
  <c r="D109" i="63"/>
  <c r="H109" i="63" s="1"/>
  <c r="I109" i="63" l="1"/>
  <c r="K109" i="63"/>
  <c r="C110" i="63" s="1"/>
  <c r="B110" i="63" l="1"/>
  <c r="A109" i="63"/>
  <c r="X109" i="63" s="1"/>
  <c r="E110" i="63" l="1"/>
  <c r="J110" i="63" l="1"/>
  <c r="D110" i="63"/>
  <c r="H110" i="63" s="1"/>
  <c r="I110" i="63" l="1"/>
  <c r="K110" i="63"/>
  <c r="C111" i="63" s="1"/>
  <c r="B111" i="63" l="1"/>
  <c r="A110" i="63"/>
  <c r="X110" i="63" s="1"/>
  <c r="E111" i="63" l="1"/>
  <c r="J111" i="63" l="1"/>
  <c r="D111" i="63"/>
  <c r="H111" i="63" s="1"/>
  <c r="I111" i="63" l="1"/>
  <c r="K111" i="63"/>
  <c r="C112" i="63" s="1"/>
  <c r="B112" i="63" l="1"/>
  <c r="A111" i="63"/>
  <c r="X111" i="63" s="1"/>
  <c r="E112" i="63" l="1"/>
  <c r="J112" i="63" l="1"/>
  <c r="D112" i="63"/>
  <c r="H112" i="63" s="1"/>
  <c r="I112" i="63" l="1"/>
  <c r="K112" i="63"/>
  <c r="C113" i="63" s="1"/>
  <c r="B113" i="63" l="1"/>
  <c r="A112" i="63"/>
  <c r="X112" i="63" s="1"/>
  <c r="E113" i="63" l="1"/>
  <c r="J113" i="63" l="1"/>
  <c r="D113" i="63"/>
  <c r="H113" i="63" s="1"/>
  <c r="I113" i="63" l="1"/>
  <c r="K113" i="63"/>
  <c r="C114" i="63" s="1"/>
  <c r="B114" i="63" l="1"/>
  <c r="A113" i="63"/>
  <c r="X113" i="63" s="1"/>
  <c r="E114" i="63" l="1"/>
  <c r="J114" i="63" l="1"/>
  <c r="D114" i="63"/>
  <c r="H114" i="63" s="1"/>
  <c r="I114" i="63" l="1"/>
  <c r="K114" i="63"/>
  <c r="C115" i="63" s="1"/>
  <c r="B115" i="63" l="1"/>
  <c r="A114" i="63"/>
  <c r="X114" i="63" s="1"/>
  <c r="E115" i="63" l="1"/>
  <c r="J115" i="63" l="1"/>
  <c r="D115" i="63"/>
  <c r="H115" i="63" s="1"/>
  <c r="I115" i="63" l="1"/>
  <c r="K115" i="63"/>
  <c r="C116" i="63" s="1"/>
  <c r="B116" i="63" l="1"/>
  <c r="A115" i="63"/>
  <c r="X115" i="63" s="1"/>
  <c r="E116" i="63" l="1"/>
  <c r="J116" i="63" l="1"/>
  <c r="D116" i="63"/>
  <c r="H116" i="63" s="1"/>
  <c r="I116" i="63" l="1"/>
  <c r="K116" i="63"/>
  <c r="C117" i="63" s="1"/>
  <c r="B117" i="63" l="1"/>
  <c r="A116" i="63"/>
  <c r="X116" i="63" s="1"/>
  <c r="E117" i="63" l="1"/>
  <c r="D117" i="63" l="1"/>
  <c r="H117" i="63" s="1"/>
  <c r="J117" i="63"/>
  <c r="I117" i="63" l="1"/>
  <c r="K117" i="63"/>
  <c r="C118" i="63" s="1"/>
  <c r="B118" i="63" l="1"/>
  <c r="A117" i="63"/>
  <c r="X117" i="63" s="1"/>
  <c r="E118" i="63" l="1"/>
  <c r="J118" i="63" l="1"/>
  <c r="D118" i="63"/>
  <c r="H118" i="63" s="1"/>
  <c r="I118" i="63" l="1"/>
  <c r="K118" i="63"/>
  <c r="C119" i="63" s="1"/>
  <c r="B119" i="63" l="1"/>
  <c r="A118" i="63"/>
  <c r="X118" i="63" s="1"/>
  <c r="E119" i="63" l="1"/>
  <c r="J119" i="63" l="1"/>
  <c r="D119" i="63"/>
  <c r="H119" i="63" s="1"/>
  <c r="I119" i="63" l="1"/>
  <c r="K119" i="63"/>
  <c r="C120" i="63" s="1"/>
  <c r="B120" i="63" l="1"/>
  <c r="A119" i="63"/>
  <c r="X119" i="63" s="1"/>
  <c r="E120" i="63" l="1"/>
  <c r="D120" i="63" l="1"/>
  <c r="H120" i="63" s="1"/>
  <c r="J120" i="63"/>
  <c r="I120" i="63" l="1"/>
  <c r="K120" i="63"/>
  <c r="C121" i="63" s="1"/>
  <c r="B121" i="63" l="1"/>
  <c r="A120" i="63"/>
  <c r="X120" i="63" s="1"/>
  <c r="E121" i="63" l="1"/>
  <c r="J121" i="63" l="1"/>
  <c r="D121" i="63"/>
  <c r="H121" i="63" s="1"/>
  <c r="I121" i="63" l="1"/>
  <c r="K121" i="63"/>
  <c r="C122" i="63" s="1"/>
  <c r="B122" i="63" l="1"/>
  <c r="A121" i="63"/>
  <c r="X121" i="63" s="1"/>
  <c r="E122" i="63" l="1"/>
  <c r="J122" i="63" l="1"/>
  <c r="D122" i="63"/>
  <c r="H122" i="63" s="1"/>
  <c r="I122" i="63" l="1"/>
  <c r="K122" i="63"/>
  <c r="C123" i="63" s="1"/>
  <c r="B123" i="63" l="1"/>
  <c r="A122" i="63"/>
  <c r="X122" i="63" s="1"/>
  <c r="E123" i="63" l="1"/>
  <c r="J123" i="63" l="1"/>
  <c r="D123" i="63"/>
  <c r="H123" i="63" s="1"/>
  <c r="I123" i="63" l="1"/>
  <c r="K123" i="63"/>
  <c r="C124" i="63" s="1"/>
  <c r="B124" i="63" l="1"/>
  <c r="A123" i="63"/>
  <c r="X123" i="63" s="1"/>
  <c r="E124" i="63" l="1"/>
  <c r="J124" i="63" l="1"/>
  <c r="D124" i="63"/>
  <c r="H124" i="63" s="1"/>
  <c r="I124" i="63" l="1"/>
  <c r="K124" i="63"/>
  <c r="C125" i="63" s="1"/>
  <c r="B125" i="63" l="1"/>
  <c r="A124" i="63"/>
  <c r="X124" i="63" s="1"/>
  <c r="E125" i="63" l="1"/>
  <c r="J125" i="63" l="1"/>
  <c r="D125" i="63"/>
  <c r="H125" i="63" s="1"/>
  <c r="I125" i="63" l="1"/>
  <c r="K125" i="63"/>
  <c r="C126" i="63" s="1"/>
  <c r="B126" i="63" l="1"/>
  <c r="A125" i="63"/>
  <c r="X125" i="63" s="1"/>
  <c r="E126" i="63" l="1"/>
  <c r="J126" i="63" l="1"/>
  <c r="D126" i="63"/>
  <c r="H126" i="63" s="1"/>
  <c r="I126" i="63" l="1"/>
  <c r="K126" i="63"/>
  <c r="C127" i="63" s="1"/>
  <c r="B127" i="63" l="1"/>
  <c r="A126" i="63"/>
  <c r="X126" i="63" s="1"/>
  <c r="E127" i="63" l="1"/>
  <c r="J127" i="63" l="1"/>
  <c r="D127" i="63"/>
  <c r="H127" i="63" s="1"/>
  <c r="I127" i="63" l="1"/>
  <c r="K127" i="63"/>
  <c r="C128" i="63" s="1"/>
  <c r="B128" i="63" l="1"/>
  <c r="A127" i="63"/>
  <c r="X127" i="63" s="1"/>
  <c r="E128" i="63" l="1"/>
  <c r="J128" i="63" l="1"/>
  <c r="D128" i="63"/>
  <c r="H128" i="63" s="1"/>
  <c r="I128" i="63" l="1"/>
  <c r="K128" i="63"/>
  <c r="C129" i="63" s="1"/>
  <c r="B129" i="63" l="1"/>
  <c r="A128" i="63"/>
  <c r="X128" i="63" s="1"/>
  <c r="E129" i="63" l="1"/>
  <c r="J129" i="63" l="1"/>
  <c r="D129" i="63"/>
  <c r="H129" i="63" s="1"/>
  <c r="I129" i="63" l="1"/>
  <c r="K129" i="63"/>
  <c r="C130" i="63" s="1"/>
  <c r="B130" i="63" l="1"/>
  <c r="A129" i="63"/>
  <c r="X129" i="63" s="1"/>
  <c r="E130" i="63" l="1"/>
  <c r="J130" i="63" l="1"/>
  <c r="D130" i="63"/>
  <c r="H130" i="63" s="1"/>
  <c r="I130" i="63" l="1"/>
  <c r="K130" i="63"/>
  <c r="C131" i="63" s="1"/>
  <c r="B131" i="63" l="1"/>
  <c r="A130" i="63"/>
  <c r="X130" i="63" s="1"/>
  <c r="E131" i="63" l="1"/>
  <c r="D131" i="63" l="1"/>
  <c r="H131" i="63" s="1"/>
  <c r="J131" i="63"/>
  <c r="I131" i="63" l="1"/>
  <c r="K131" i="63"/>
  <c r="C132" i="63" s="1"/>
  <c r="B132" i="63" l="1"/>
  <c r="A131" i="63"/>
  <c r="X131" i="63" s="1"/>
  <c r="E132" i="63" l="1"/>
  <c r="D132" i="63" l="1"/>
  <c r="H132" i="63" s="1"/>
  <c r="J132" i="63"/>
  <c r="I132" i="63" l="1"/>
  <c r="K132" i="63"/>
  <c r="C133" i="63" s="1"/>
  <c r="B133" i="63" l="1"/>
  <c r="A132" i="63"/>
  <c r="X132" i="63" s="1"/>
  <c r="E133" i="63" l="1"/>
  <c r="J133" i="63" l="1"/>
  <c r="D133" i="63"/>
  <c r="H133" i="63" s="1"/>
  <c r="I133" i="63" l="1"/>
  <c r="K133" i="63"/>
  <c r="C134" i="63" s="1"/>
  <c r="B134" i="63" l="1"/>
  <c r="A133" i="63"/>
  <c r="X133" i="63" s="1"/>
  <c r="E134" i="63" l="1"/>
  <c r="J134" i="63" l="1"/>
  <c r="D134" i="63"/>
  <c r="H134" i="63" s="1"/>
  <c r="I134" i="63" l="1"/>
  <c r="K134" i="63"/>
  <c r="C135" i="63" s="1"/>
  <c r="B135" i="63" l="1"/>
  <c r="A134" i="63"/>
  <c r="X134" i="63" s="1"/>
  <c r="E135" i="63" l="1"/>
  <c r="D135" i="63" l="1"/>
  <c r="H135" i="63" s="1"/>
  <c r="J135" i="63"/>
  <c r="I135" i="63" l="1"/>
  <c r="K135" i="63"/>
  <c r="C136" i="63" s="1"/>
  <c r="B136" i="63" l="1"/>
  <c r="A135" i="63"/>
  <c r="X135" i="63" s="1"/>
  <c r="E136" i="63" l="1"/>
  <c r="J136" i="63" l="1"/>
  <c r="D136" i="63"/>
  <c r="H136" i="63" s="1"/>
  <c r="I136" i="63" l="1"/>
  <c r="K136" i="63"/>
  <c r="C137" i="63" s="1"/>
  <c r="B137" i="63" l="1"/>
  <c r="A136" i="63"/>
  <c r="X136" i="63" s="1"/>
  <c r="E137" i="63" l="1"/>
  <c r="J137" i="63" l="1"/>
  <c r="D137" i="63"/>
  <c r="H137" i="63" s="1"/>
  <c r="I137" i="63" l="1"/>
  <c r="K137" i="63"/>
  <c r="C138" i="63" s="1"/>
  <c r="B138" i="63" l="1"/>
  <c r="A137" i="63"/>
  <c r="X137" i="63" s="1"/>
  <c r="E138" i="63" l="1"/>
  <c r="J138" i="63" l="1"/>
  <c r="D138" i="63"/>
  <c r="H138" i="63" s="1"/>
  <c r="I138" i="63" l="1"/>
  <c r="K138" i="63"/>
  <c r="C139" i="63" s="1"/>
  <c r="B139" i="63" l="1"/>
  <c r="A138" i="63"/>
  <c r="X138" i="63" s="1"/>
  <c r="E139" i="63" l="1"/>
  <c r="J139" i="63" l="1"/>
  <c r="D139" i="63"/>
  <c r="H139" i="63" s="1"/>
  <c r="I139" i="63" l="1"/>
  <c r="K139" i="63"/>
  <c r="C140" i="63" s="1"/>
  <c r="B140" i="63" l="1"/>
  <c r="A139" i="63"/>
  <c r="X139" i="63" s="1"/>
  <c r="E140" i="63" l="1"/>
  <c r="D140" i="63" l="1"/>
  <c r="H140" i="63" s="1"/>
  <c r="J140" i="63"/>
  <c r="I140" i="63" l="1"/>
  <c r="K140" i="63"/>
  <c r="C141" i="63" s="1"/>
  <c r="B141" i="63" l="1"/>
  <c r="A140" i="63"/>
  <c r="X140" i="63" s="1"/>
  <c r="E141" i="63" l="1"/>
  <c r="J141" i="63" l="1"/>
  <c r="D141" i="63"/>
  <c r="H141" i="63" s="1"/>
  <c r="I141" i="63" l="1"/>
  <c r="K141" i="63"/>
  <c r="C142" i="63" s="1"/>
  <c r="B142" i="63" l="1"/>
  <c r="A141" i="63"/>
  <c r="X141" i="63" s="1"/>
  <c r="E142" i="63" l="1"/>
  <c r="D142" i="63" l="1"/>
  <c r="H142" i="63" s="1"/>
  <c r="J142" i="63"/>
  <c r="I142" i="63" l="1"/>
  <c r="K142" i="63"/>
  <c r="C143" i="63" s="1"/>
  <c r="B143" i="63" l="1"/>
  <c r="A142" i="63"/>
  <c r="X142" i="63" s="1"/>
  <c r="E143" i="63" l="1"/>
  <c r="J143" i="63" l="1"/>
  <c r="D143" i="63"/>
  <c r="H143" i="63" s="1"/>
  <c r="I143" i="63" l="1"/>
  <c r="K143" i="63"/>
  <c r="C144" i="63" s="1"/>
  <c r="B144" i="63" l="1"/>
  <c r="A143" i="63"/>
  <c r="X143" i="63" s="1"/>
  <c r="E144" i="63" l="1"/>
  <c r="D144" i="63" l="1"/>
  <c r="H144" i="63" s="1"/>
  <c r="J144" i="63"/>
  <c r="I144" i="63" l="1"/>
  <c r="K144" i="63"/>
  <c r="C145" i="63" s="1"/>
  <c r="B145" i="63" l="1"/>
  <c r="A144" i="63"/>
  <c r="X144" i="63" s="1"/>
  <c r="E145" i="63" l="1"/>
  <c r="D145" i="63" l="1"/>
  <c r="H145" i="63" s="1"/>
  <c r="J145" i="63"/>
  <c r="I145" i="63" l="1"/>
  <c r="K145" i="63"/>
  <c r="C146" i="63" s="1"/>
  <c r="B146" i="63" l="1"/>
  <c r="A145" i="63"/>
  <c r="X145" i="63" s="1"/>
  <c r="E146" i="63" l="1"/>
  <c r="J146" i="63" l="1"/>
  <c r="D146" i="63"/>
  <c r="H146" i="63" s="1"/>
  <c r="I146" i="63" l="1"/>
  <c r="K146" i="63"/>
  <c r="C147" i="63" s="1"/>
  <c r="B147" i="63" l="1"/>
  <c r="A146" i="63"/>
  <c r="X146" i="63" s="1"/>
  <c r="E147" i="63" l="1"/>
  <c r="J147" i="63" l="1"/>
  <c r="D147" i="63"/>
  <c r="H147" i="63" s="1"/>
  <c r="I147" i="63" l="1"/>
  <c r="K147" i="63"/>
  <c r="C148" i="63" s="1"/>
  <c r="B148" i="63" l="1"/>
  <c r="A147" i="63"/>
  <c r="X147" i="63" s="1"/>
  <c r="E148" i="63" l="1"/>
  <c r="D148" i="63" l="1"/>
  <c r="H148" i="63" s="1"/>
  <c r="J148" i="63"/>
  <c r="I148" i="63" l="1"/>
  <c r="K148" i="63"/>
  <c r="C149" i="63" s="1"/>
  <c r="B149" i="63" l="1"/>
  <c r="A148" i="63"/>
  <c r="X148" i="63" s="1"/>
  <c r="E149" i="63" l="1"/>
  <c r="J149" i="63" l="1"/>
  <c r="D149" i="63"/>
  <c r="H149" i="63" s="1"/>
  <c r="I149" i="63" l="1"/>
  <c r="K149" i="63"/>
  <c r="C150" i="63" s="1"/>
  <c r="B150" i="63" l="1"/>
  <c r="A149" i="63"/>
  <c r="X149" i="63" s="1"/>
  <c r="E150" i="63" l="1"/>
  <c r="J150" i="63" l="1"/>
  <c r="D150" i="63"/>
  <c r="H150" i="63" s="1"/>
  <c r="I150" i="63" l="1"/>
  <c r="K150" i="63"/>
  <c r="C151" i="63" s="1"/>
  <c r="B151" i="63" l="1"/>
  <c r="A150" i="63"/>
  <c r="X150" i="63" s="1"/>
  <c r="E151" i="63" l="1"/>
  <c r="D151" i="63" l="1"/>
  <c r="H151" i="63" s="1"/>
  <c r="J151" i="63"/>
  <c r="I151" i="63" l="1"/>
  <c r="K151" i="63"/>
  <c r="C152" i="63" s="1"/>
  <c r="B152" i="63" l="1"/>
  <c r="A151" i="63"/>
  <c r="X151" i="63" s="1"/>
  <c r="E152" i="63" l="1"/>
  <c r="J152" i="63" l="1"/>
  <c r="D152" i="63"/>
  <c r="H152" i="63" s="1"/>
  <c r="I152" i="63" l="1"/>
  <c r="K152" i="63"/>
  <c r="C153" i="63" s="1"/>
  <c r="B153" i="63" l="1"/>
  <c r="A152" i="63"/>
  <c r="X152" i="63" s="1"/>
  <c r="E153" i="63" l="1"/>
  <c r="J153" i="63" l="1"/>
  <c r="D153" i="63"/>
  <c r="H153" i="63" s="1"/>
  <c r="I153" i="63" l="1"/>
  <c r="K153" i="63"/>
  <c r="C154" i="63" s="1"/>
  <c r="B154" i="63" l="1"/>
  <c r="A153" i="63"/>
  <c r="X153" i="63" s="1"/>
  <c r="E154" i="63" l="1"/>
  <c r="J154" i="63" l="1"/>
  <c r="D154" i="63"/>
  <c r="H154" i="63" s="1"/>
  <c r="I154" i="63" l="1"/>
  <c r="K154" i="63"/>
  <c r="C155" i="63" s="1"/>
  <c r="B155" i="63" l="1"/>
  <c r="A154" i="63"/>
  <c r="X154" i="63" s="1"/>
  <c r="E155" i="63" l="1"/>
  <c r="J155" i="63" l="1"/>
  <c r="D155" i="63"/>
  <c r="H155" i="63" s="1"/>
  <c r="I155" i="63" l="1"/>
  <c r="K155" i="63"/>
  <c r="C156" i="63" s="1"/>
  <c r="B156" i="63" l="1"/>
  <c r="A155" i="63"/>
  <c r="X155" i="63" s="1"/>
  <c r="E156" i="63" l="1"/>
  <c r="J156" i="63" l="1"/>
  <c r="D156" i="63"/>
  <c r="H156" i="63" s="1"/>
  <c r="I156" i="63" l="1"/>
  <c r="K156" i="63"/>
  <c r="C157" i="63" s="1"/>
  <c r="B157" i="63" l="1"/>
  <c r="A156" i="63"/>
  <c r="X156" i="63" s="1"/>
  <c r="E157" i="63" l="1"/>
  <c r="J157" i="63" l="1"/>
  <c r="D157" i="63"/>
  <c r="H157" i="63" s="1"/>
  <c r="I157" i="63" l="1"/>
  <c r="K157" i="63"/>
  <c r="C158" i="63" s="1"/>
  <c r="B158" i="63" l="1"/>
  <c r="A157" i="63"/>
  <c r="X157" i="63" s="1"/>
  <c r="E158" i="63" l="1"/>
  <c r="J158" i="63" l="1"/>
  <c r="D158" i="63"/>
  <c r="H158" i="63" s="1"/>
  <c r="I158" i="63" l="1"/>
  <c r="K158" i="63"/>
  <c r="C159" i="63" s="1"/>
  <c r="B159" i="63" l="1"/>
  <c r="A158" i="63"/>
  <c r="X158" i="63" s="1"/>
  <c r="E159" i="63" l="1"/>
  <c r="J159" i="63" l="1"/>
  <c r="D159" i="63"/>
  <c r="H159" i="63" s="1"/>
  <c r="I159" i="63" l="1"/>
  <c r="K159" i="63"/>
  <c r="C160" i="63" s="1"/>
  <c r="B160" i="63" l="1"/>
  <c r="A159" i="63"/>
  <c r="X159" i="63" s="1"/>
  <c r="E160" i="63" l="1"/>
  <c r="J160" i="63" l="1"/>
  <c r="D160" i="63"/>
  <c r="H160" i="63" s="1"/>
  <c r="I160" i="63" l="1"/>
  <c r="K160" i="63"/>
  <c r="C161" i="63" s="1"/>
  <c r="B161" i="63" l="1"/>
  <c r="A160" i="63"/>
  <c r="X160" i="63" s="1"/>
  <c r="E161" i="63" l="1"/>
  <c r="J161" i="63" l="1"/>
  <c r="D161" i="63"/>
  <c r="H161" i="63" s="1"/>
  <c r="I161" i="63" l="1"/>
  <c r="K161" i="63"/>
  <c r="C162" i="63" s="1"/>
  <c r="B162" i="63" l="1"/>
  <c r="A161" i="63"/>
  <c r="X161" i="63" s="1"/>
  <c r="E162" i="63" l="1"/>
  <c r="J162" i="63" l="1"/>
  <c r="D162" i="63"/>
  <c r="H162" i="63" s="1"/>
  <c r="I162" i="63" l="1"/>
  <c r="K162" i="63"/>
  <c r="C163" i="63" s="1"/>
  <c r="B163" i="63" l="1"/>
  <c r="A162" i="63"/>
  <c r="X162" i="63" s="1"/>
  <c r="E163" i="63" l="1"/>
  <c r="D163" i="63" l="1"/>
  <c r="H163" i="63" s="1"/>
  <c r="J163" i="63"/>
  <c r="I163" i="63" l="1"/>
  <c r="K163" i="63"/>
  <c r="C164" i="63" s="1"/>
  <c r="B164" i="63" l="1"/>
  <c r="A163" i="63"/>
  <c r="X163" i="63" s="1"/>
  <c r="E164" i="63" l="1"/>
  <c r="J164" i="63" l="1"/>
  <c r="D164" i="63"/>
  <c r="H164" i="63" s="1"/>
  <c r="I164" i="63" l="1"/>
  <c r="K164" i="63"/>
  <c r="C165" i="63" s="1"/>
  <c r="B165" i="63" l="1"/>
  <c r="A164" i="63"/>
  <c r="X164" i="63" s="1"/>
  <c r="E165" i="63" l="1"/>
  <c r="D165" i="63" l="1"/>
  <c r="H165" i="63" s="1"/>
  <c r="J165" i="63"/>
  <c r="I165" i="63" l="1"/>
  <c r="K165" i="63"/>
  <c r="C166" i="63" s="1"/>
  <c r="B166" i="63" l="1"/>
  <c r="A165" i="63"/>
  <c r="X165" i="63" s="1"/>
  <c r="E166" i="63" l="1"/>
  <c r="D166" i="63" l="1"/>
  <c r="H166" i="63" s="1"/>
  <c r="J166" i="63"/>
  <c r="I166" i="63" l="1"/>
  <c r="K166" i="63"/>
  <c r="C167" i="63" s="1"/>
  <c r="B167" i="63" l="1"/>
  <c r="A166" i="63"/>
  <c r="X166" i="63" s="1"/>
  <c r="E167" i="63" l="1"/>
  <c r="J167" i="63" l="1"/>
  <c r="D167" i="63"/>
  <c r="H167" i="63" s="1"/>
  <c r="I167" i="63" l="1"/>
  <c r="K167" i="63"/>
  <c r="C168" i="63" s="1"/>
  <c r="B168" i="63" l="1"/>
  <c r="A167" i="63"/>
  <c r="X167" i="63" s="1"/>
  <c r="E168" i="63" l="1"/>
  <c r="J168" i="63" l="1"/>
  <c r="D168" i="63"/>
  <c r="H168" i="63" s="1"/>
  <c r="I168" i="63" l="1"/>
  <c r="K168" i="63"/>
  <c r="C169" i="63" s="1"/>
  <c r="B169" i="63" l="1"/>
  <c r="A168" i="63"/>
  <c r="X168" i="63" s="1"/>
  <c r="E169" i="63" l="1"/>
  <c r="J169" i="63" l="1"/>
  <c r="D169" i="63"/>
  <c r="H169" i="63" s="1"/>
  <c r="I169" i="63" l="1"/>
  <c r="K169" i="63"/>
  <c r="C170" i="63" s="1"/>
  <c r="B170" i="63" l="1"/>
  <c r="A169" i="63"/>
  <c r="X169" i="63" s="1"/>
  <c r="E170" i="63" l="1"/>
  <c r="D170" i="63" l="1"/>
  <c r="H170" i="63" s="1"/>
  <c r="J170" i="63"/>
  <c r="I170" i="63" l="1"/>
  <c r="K170" i="63"/>
  <c r="C171" i="63" s="1"/>
  <c r="B171" i="63" l="1"/>
  <c r="A170" i="63"/>
  <c r="X170" i="63" s="1"/>
  <c r="E171" i="63" l="1"/>
  <c r="J171" i="63" l="1"/>
  <c r="D171" i="63"/>
  <c r="H171" i="63" s="1"/>
  <c r="I171" i="63" l="1"/>
  <c r="K171" i="63"/>
  <c r="C172" i="63" s="1"/>
  <c r="B172" i="63" l="1"/>
  <c r="A171" i="63"/>
  <c r="X171" i="63" s="1"/>
  <c r="E172" i="63" l="1"/>
  <c r="J172" i="63" l="1"/>
  <c r="D172" i="63"/>
  <c r="H172" i="63" s="1"/>
  <c r="I172" i="63" l="1"/>
  <c r="K172" i="63"/>
  <c r="C173" i="63" s="1"/>
  <c r="B173" i="63" l="1"/>
  <c r="A172" i="63"/>
  <c r="X172" i="63" s="1"/>
  <c r="E173" i="63" l="1"/>
  <c r="D173" i="63" l="1"/>
  <c r="H173" i="63" s="1"/>
  <c r="J173" i="63"/>
  <c r="I173" i="63" l="1"/>
  <c r="K173" i="63"/>
  <c r="C174" i="63" s="1"/>
  <c r="B174" i="63" l="1"/>
  <c r="A173" i="63"/>
  <c r="X173" i="63" s="1"/>
  <c r="E174" i="63" l="1"/>
  <c r="J174" i="63" l="1"/>
  <c r="D174" i="63"/>
  <c r="H174" i="63" s="1"/>
  <c r="I174" i="63" l="1"/>
  <c r="K174" i="63"/>
  <c r="C175" i="63" s="1"/>
  <c r="B175" i="63" l="1"/>
  <c r="A174" i="63"/>
  <c r="X174" i="63" s="1"/>
  <c r="E175" i="63" l="1"/>
  <c r="J175" i="63" l="1"/>
  <c r="D175" i="63"/>
  <c r="H175" i="63" s="1"/>
  <c r="I175" i="63" l="1"/>
  <c r="K175" i="63"/>
  <c r="C176" i="63" s="1"/>
  <c r="B176" i="63" l="1"/>
  <c r="A175" i="63"/>
  <c r="X175" i="63" s="1"/>
  <c r="E176" i="63" l="1"/>
  <c r="D176" i="63" l="1"/>
  <c r="H176" i="63" s="1"/>
  <c r="J176" i="63"/>
  <c r="I176" i="63" l="1"/>
  <c r="K176" i="63"/>
  <c r="C177" i="63" s="1"/>
  <c r="B177" i="63" l="1"/>
  <c r="A176" i="63"/>
  <c r="X176" i="63" s="1"/>
  <c r="E177" i="63" l="1"/>
  <c r="J177" i="63" l="1"/>
  <c r="D177" i="63"/>
  <c r="H177" i="63" s="1"/>
  <c r="I177" i="63" l="1"/>
  <c r="K177" i="63"/>
  <c r="C178" i="63" s="1"/>
  <c r="B178" i="63" l="1"/>
  <c r="A177" i="63"/>
  <c r="X177" i="63" s="1"/>
  <c r="E178" i="63" l="1"/>
  <c r="J178" i="63" l="1"/>
  <c r="D178" i="63"/>
  <c r="H178" i="63" s="1"/>
  <c r="I178" i="63" l="1"/>
  <c r="K178" i="63"/>
  <c r="C179" i="63" s="1"/>
  <c r="B179" i="63" l="1"/>
  <c r="A178" i="63"/>
  <c r="X178" i="63" s="1"/>
  <c r="E179" i="63" l="1"/>
  <c r="J179" i="63" l="1"/>
  <c r="D179" i="63"/>
  <c r="H179" i="63" s="1"/>
  <c r="I179" i="63" l="1"/>
  <c r="K179" i="63"/>
  <c r="C180" i="63" s="1"/>
  <c r="B180" i="63" l="1"/>
  <c r="A179" i="63"/>
  <c r="X179" i="63" s="1"/>
  <c r="E180" i="63" l="1"/>
  <c r="J180" i="63" l="1"/>
  <c r="D180" i="63"/>
  <c r="H180" i="63" s="1"/>
  <c r="I180" i="63" l="1"/>
  <c r="K180" i="63"/>
  <c r="C181" i="63" s="1"/>
  <c r="B181" i="63" l="1"/>
  <c r="A180" i="63"/>
  <c r="X180" i="63" s="1"/>
  <c r="E181" i="63" l="1"/>
  <c r="J181" i="63" l="1"/>
  <c r="D181" i="63"/>
  <c r="H181" i="63" s="1"/>
  <c r="I181" i="63" l="1"/>
  <c r="K181" i="63"/>
  <c r="C182" i="63" s="1"/>
  <c r="B182" i="63" l="1"/>
  <c r="A181" i="63"/>
  <c r="X181" i="63" s="1"/>
  <c r="E182" i="63" l="1"/>
  <c r="J182" i="63" l="1"/>
  <c r="D182" i="63"/>
  <c r="H182" i="63" s="1"/>
  <c r="I182" i="63" l="1"/>
  <c r="K182" i="63"/>
  <c r="C183" i="63" s="1"/>
  <c r="B183" i="63" l="1"/>
  <c r="A182" i="63"/>
  <c r="X182" i="63" s="1"/>
  <c r="E183" i="63" l="1"/>
  <c r="J183" i="63" l="1"/>
  <c r="D183" i="63"/>
  <c r="H183" i="63" s="1"/>
  <c r="I183" i="63" l="1"/>
  <c r="K183" i="63"/>
  <c r="C184" i="63" s="1"/>
  <c r="B184" i="63" l="1"/>
  <c r="A183" i="63"/>
  <c r="X183" i="63" s="1"/>
  <c r="E184" i="63" l="1"/>
  <c r="J184" i="63" l="1"/>
  <c r="D184" i="63"/>
  <c r="H184" i="63" s="1"/>
  <c r="I184" i="63" l="1"/>
  <c r="K184" i="63"/>
  <c r="C185" i="63" s="1"/>
  <c r="B185" i="63" l="1"/>
  <c r="A184" i="63"/>
  <c r="X184" i="63" s="1"/>
  <c r="E185" i="63" l="1"/>
  <c r="D185" i="63" l="1"/>
  <c r="H185" i="63" s="1"/>
  <c r="J185" i="63"/>
  <c r="I185" i="63" l="1"/>
  <c r="K185" i="63"/>
  <c r="C186" i="63" s="1"/>
  <c r="B186" i="63" l="1"/>
  <c r="A185" i="63"/>
  <c r="X185" i="63" s="1"/>
  <c r="E186" i="63" l="1"/>
  <c r="J186" i="63" l="1"/>
  <c r="D186" i="63"/>
  <c r="H186" i="63" s="1"/>
  <c r="I186" i="63" l="1"/>
  <c r="K186" i="63"/>
  <c r="C187" i="63" s="1"/>
  <c r="B187" i="63" l="1"/>
  <c r="A186" i="63"/>
  <c r="X186" i="63" s="1"/>
  <c r="E187" i="63" l="1"/>
  <c r="J187" i="63" l="1"/>
  <c r="D187" i="63"/>
  <c r="H187" i="63" s="1"/>
  <c r="I187" i="63" l="1"/>
  <c r="K187" i="63"/>
  <c r="C188" i="63" s="1"/>
  <c r="B188" i="63" l="1"/>
  <c r="A187" i="63"/>
  <c r="X187" i="63" s="1"/>
  <c r="E188" i="63" l="1"/>
  <c r="D188" i="63" l="1"/>
  <c r="H188" i="63" s="1"/>
  <c r="J188" i="63"/>
  <c r="I188" i="63" l="1"/>
  <c r="K188" i="63"/>
  <c r="C189" i="63" s="1"/>
  <c r="B189" i="63" l="1"/>
  <c r="A188" i="63"/>
  <c r="X188" i="63" s="1"/>
  <c r="E189" i="63" l="1"/>
  <c r="D189" i="63" l="1"/>
  <c r="H189" i="63" s="1"/>
  <c r="J189" i="63"/>
  <c r="I189" i="63" l="1"/>
  <c r="K189" i="63"/>
  <c r="C190" i="63" s="1"/>
  <c r="B190" i="63" l="1"/>
  <c r="A189" i="63"/>
  <c r="X189" i="63" s="1"/>
  <c r="E190" i="63" l="1"/>
  <c r="J190" i="63" l="1"/>
  <c r="D190" i="63"/>
  <c r="H190" i="63" s="1"/>
  <c r="I190" i="63" l="1"/>
  <c r="K190" i="63"/>
  <c r="C191" i="63" s="1"/>
  <c r="B191" i="63" l="1"/>
  <c r="A190" i="63"/>
  <c r="X190" i="63" s="1"/>
  <c r="E191" i="63" l="1"/>
  <c r="D191" i="63" l="1"/>
  <c r="H191" i="63" s="1"/>
  <c r="J191" i="63"/>
  <c r="I191" i="63" l="1"/>
  <c r="K191" i="63"/>
  <c r="C192" i="63" s="1"/>
  <c r="B192" i="63" l="1"/>
  <c r="A191" i="63"/>
  <c r="X191" i="63" s="1"/>
  <c r="E192" i="63" l="1"/>
  <c r="J192" i="63" l="1"/>
  <c r="D192" i="63"/>
  <c r="H192" i="63" s="1"/>
  <c r="I192" i="63" l="1"/>
  <c r="K192" i="63"/>
  <c r="C193" i="63" s="1"/>
  <c r="B193" i="63" l="1"/>
  <c r="A192" i="63"/>
  <c r="X192" i="63" s="1"/>
  <c r="E193" i="63" l="1"/>
  <c r="J193" i="63" l="1"/>
  <c r="D193" i="63"/>
  <c r="H193" i="63" s="1"/>
  <c r="I193" i="63" l="1"/>
  <c r="K193" i="63"/>
  <c r="C194" i="63" s="1"/>
  <c r="B194" i="63" l="1"/>
  <c r="A193" i="63"/>
  <c r="X193" i="63" s="1"/>
  <c r="E194" i="63" l="1"/>
  <c r="D194" i="63" l="1"/>
  <c r="H194" i="63" s="1"/>
  <c r="J194" i="63"/>
  <c r="I194" i="63" l="1"/>
  <c r="K194" i="63"/>
  <c r="C195" i="63" s="1"/>
  <c r="B195" i="63" l="1"/>
  <c r="A194" i="63"/>
  <c r="X194" i="63" s="1"/>
  <c r="E195" i="63" l="1"/>
  <c r="J195" i="63" l="1"/>
  <c r="D195" i="63"/>
  <c r="H195" i="63" s="1"/>
  <c r="I195" i="63" l="1"/>
  <c r="K195" i="63"/>
  <c r="C196" i="63" s="1"/>
  <c r="B196" i="63" l="1"/>
  <c r="A195" i="63"/>
  <c r="X195" i="63" s="1"/>
  <c r="E196" i="63" l="1"/>
  <c r="D196" i="63" l="1"/>
  <c r="H196" i="63" s="1"/>
  <c r="J196" i="63"/>
  <c r="I196" i="63" l="1"/>
  <c r="K196" i="63"/>
  <c r="C197" i="63" s="1"/>
  <c r="B197" i="63" l="1"/>
  <c r="A196" i="63"/>
  <c r="X196" i="63" s="1"/>
  <c r="E197" i="63" l="1"/>
  <c r="D197" i="63" l="1"/>
  <c r="H197" i="63" s="1"/>
  <c r="J197" i="63"/>
  <c r="I197" i="63" l="1"/>
  <c r="K197" i="63"/>
  <c r="C198" i="63" s="1"/>
  <c r="B198" i="63" l="1"/>
  <c r="A197" i="63"/>
  <c r="X197" i="63" s="1"/>
  <c r="E198" i="63" l="1"/>
  <c r="D198" i="63" l="1"/>
  <c r="H198" i="63" s="1"/>
  <c r="J198" i="63"/>
  <c r="I198" i="63" l="1"/>
  <c r="K198" i="63"/>
  <c r="C199" i="63" s="1"/>
  <c r="B199" i="63" l="1"/>
  <c r="A198" i="63"/>
  <c r="X198" i="63" s="1"/>
  <c r="E199" i="63" l="1"/>
  <c r="D199" i="63" l="1"/>
  <c r="H199" i="63" s="1"/>
  <c r="J199" i="63"/>
  <c r="I199" i="63" l="1"/>
  <c r="K199" i="63"/>
  <c r="C200" i="63" s="1"/>
  <c r="B200" i="63" l="1"/>
  <c r="A199" i="63"/>
  <c r="X199" i="63" s="1"/>
  <c r="E200" i="63" l="1"/>
  <c r="D200" i="63" l="1"/>
  <c r="H200" i="63" s="1"/>
  <c r="J200" i="63"/>
  <c r="I200" i="63" l="1"/>
  <c r="K200" i="63"/>
  <c r="C201" i="63" s="1"/>
  <c r="B201" i="63" l="1"/>
  <c r="A200" i="63"/>
  <c r="X200" i="63" s="1"/>
  <c r="E201" i="63" l="1"/>
  <c r="J201" i="63" l="1"/>
  <c r="D201" i="63"/>
  <c r="H201" i="63" s="1"/>
  <c r="I201" i="63" l="1"/>
  <c r="K201" i="63"/>
  <c r="C202" i="63" s="1"/>
  <c r="B202" i="63" l="1"/>
  <c r="A201" i="63"/>
  <c r="X201" i="63" s="1"/>
  <c r="E202" i="63" l="1"/>
  <c r="J202" i="63" l="1"/>
  <c r="D202" i="63"/>
  <c r="H202" i="63" s="1"/>
  <c r="I202" i="63" l="1"/>
  <c r="K202" i="63"/>
  <c r="C203" i="63" s="1"/>
  <c r="B203" i="63" l="1"/>
  <c r="A202" i="63"/>
  <c r="X202" i="63" s="1"/>
  <c r="E203" i="63" l="1"/>
  <c r="D203" i="63" l="1"/>
  <c r="H203" i="63" s="1"/>
  <c r="J203" i="63"/>
  <c r="I203" i="63" l="1"/>
  <c r="K203" i="63"/>
  <c r="C204" i="63" s="1"/>
  <c r="B204" i="63" l="1"/>
  <c r="A203" i="63"/>
  <c r="X203" i="63" s="1"/>
  <c r="E204" i="63" l="1"/>
  <c r="D204" i="63" l="1"/>
  <c r="H204" i="63" s="1"/>
  <c r="J204" i="63"/>
  <c r="I204" i="63" l="1"/>
  <c r="K204" i="63"/>
  <c r="C205" i="63" s="1"/>
  <c r="B205" i="63" l="1"/>
  <c r="A204" i="63"/>
  <c r="X204" i="63" s="1"/>
  <c r="E205" i="63" l="1"/>
  <c r="D205" i="63" l="1"/>
  <c r="H205" i="63" s="1"/>
  <c r="J205" i="63"/>
  <c r="I205" i="63" l="1"/>
  <c r="K205" i="63"/>
  <c r="C206" i="63" s="1"/>
  <c r="B206" i="63" l="1"/>
  <c r="A205" i="63"/>
  <c r="X205" i="63" s="1"/>
  <c r="E206" i="63" l="1"/>
  <c r="D206" i="63" l="1"/>
  <c r="H206" i="63" s="1"/>
  <c r="J206" i="63"/>
  <c r="I206" i="63" l="1"/>
  <c r="K206" i="63"/>
  <c r="C207" i="63" s="1"/>
  <c r="B207" i="63" l="1"/>
  <c r="A206" i="63"/>
  <c r="X206" i="63" s="1"/>
  <c r="E207" i="63" l="1"/>
  <c r="J207" i="63" l="1"/>
  <c r="D207" i="63"/>
  <c r="H207" i="63" s="1"/>
  <c r="I207" i="63" l="1"/>
  <c r="K207" i="63"/>
  <c r="C208" i="63" s="1"/>
  <c r="B208" i="63" l="1"/>
  <c r="A207" i="63"/>
  <c r="X207" i="63" s="1"/>
  <c r="E208" i="63" l="1"/>
  <c r="D208" i="63" l="1"/>
  <c r="H208" i="63" s="1"/>
  <c r="J208" i="63"/>
  <c r="I208" i="63" l="1"/>
  <c r="K208" i="63"/>
  <c r="C209" i="63" s="1"/>
  <c r="B209" i="63" l="1"/>
  <c r="A208" i="63"/>
  <c r="X208" i="63" s="1"/>
  <c r="E209" i="63" l="1"/>
  <c r="D209" i="63" l="1"/>
  <c r="H209" i="63" s="1"/>
  <c r="J209" i="63"/>
  <c r="I209" i="63" l="1"/>
  <c r="K209" i="63"/>
  <c r="C210" i="63" s="1"/>
  <c r="B210" i="63" l="1"/>
  <c r="A209" i="63"/>
  <c r="X209" i="63" s="1"/>
  <c r="E210" i="63" l="1"/>
  <c r="D210" i="63" l="1"/>
  <c r="H210" i="63" s="1"/>
  <c r="J210" i="63"/>
  <c r="I210" i="63" l="1"/>
  <c r="K210" i="63"/>
  <c r="C211" i="63" s="1"/>
  <c r="B211" i="63" l="1"/>
  <c r="A210" i="63"/>
  <c r="X210" i="63" s="1"/>
  <c r="E211" i="63" l="1"/>
  <c r="J211" i="63" l="1"/>
  <c r="D211" i="63"/>
  <c r="H211" i="63" s="1"/>
  <c r="I211" i="63" l="1"/>
  <c r="K211" i="63"/>
  <c r="C212" i="63" s="1"/>
  <c r="B212" i="63" l="1"/>
  <c r="A211" i="63"/>
  <c r="X211" i="63" s="1"/>
  <c r="E212" i="63" l="1"/>
  <c r="D212" i="63" l="1"/>
  <c r="H212" i="63" s="1"/>
  <c r="J212" i="63"/>
  <c r="I212" i="63" l="1"/>
  <c r="K212" i="63"/>
  <c r="C213" i="63" s="1"/>
  <c r="B213" i="63" l="1"/>
  <c r="A212" i="63"/>
  <c r="X212" i="63" s="1"/>
  <c r="E213" i="63" l="1"/>
  <c r="J213" i="63" l="1"/>
  <c r="D213" i="63"/>
  <c r="H213" i="63" s="1"/>
  <c r="I213" i="63" l="1"/>
  <c r="K213" i="63"/>
  <c r="C214" i="63" s="1"/>
  <c r="B214" i="63" l="1"/>
  <c r="A213" i="63"/>
  <c r="X213" i="63" s="1"/>
  <c r="E214" i="63" l="1"/>
  <c r="J214" i="63" l="1"/>
  <c r="D214" i="63"/>
  <c r="H214" i="63" s="1"/>
  <c r="I214" i="63" l="1"/>
  <c r="K214" i="63"/>
  <c r="C215" i="63" s="1"/>
  <c r="B215" i="63" l="1"/>
  <c r="A214" i="63"/>
  <c r="X214" i="63" s="1"/>
  <c r="E215" i="63" l="1"/>
  <c r="D215" i="63" l="1"/>
  <c r="H215" i="63" s="1"/>
  <c r="J215" i="63"/>
  <c r="I215" i="63" l="1"/>
  <c r="K215" i="63"/>
  <c r="C216" i="63" s="1"/>
  <c r="B216" i="63" l="1"/>
  <c r="A215" i="63"/>
  <c r="X215" i="63" s="1"/>
  <c r="E216" i="63" l="1"/>
  <c r="J216" i="63" l="1"/>
  <c r="D216" i="63"/>
  <c r="H216" i="63" s="1"/>
  <c r="I216" i="63" l="1"/>
  <c r="K216" i="63"/>
  <c r="C217" i="63" s="1"/>
  <c r="B217" i="63" l="1"/>
  <c r="A216" i="63"/>
  <c r="X216" i="63" s="1"/>
  <c r="E217" i="63" l="1"/>
  <c r="J217" i="63" l="1"/>
  <c r="D217" i="63"/>
  <c r="H217" i="63" s="1"/>
  <c r="I217" i="63" l="1"/>
  <c r="K217" i="63"/>
  <c r="C218" i="63" s="1"/>
  <c r="B218" i="63" l="1"/>
  <c r="A217" i="63"/>
  <c r="X217" i="63" s="1"/>
  <c r="E218" i="63" l="1"/>
  <c r="J218" i="63" l="1"/>
  <c r="D218" i="63"/>
  <c r="H218" i="63" s="1"/>
  <c r="I218" i="63" l="1"/>
  <c r="K218" i="63"/>
  <c r="C219" i="63" s="1"/>
  <c r="B219" i="63" l="1"/>
  <c r="A218" i="63"/>
  <c r="X218" i="63" s="1"/>
  <c r="E219" i="63" l="1"/>
  <c r="D219" i="63" l="1"/>
  <c r="H219" i="63" s="1"/>
  <c r="J219" i="63"/>
  <c r="I219" i="63" l="1"/>
  <c r="K219" i="63"/>
  <c r="C220" i="63" s="1"/>
  <c r="B220" i="63" l="1"/>
  <c r="A219" i="63"/>
  <c r="X219" i="63" s="1"/>
  <c r="E220" i="63" l="1"/>
  <c r="J220" i="63" l="1"/>
  <c r="D220" i="63"/>
  <c r="H220" i="63" s="1"/>
  <c r="I220" i="63" l="1"/>
  <c r="K220" i="63"/>
  <c r="C221" i="63" s="1"/>
  <c r="B221" i="63" l="1"/>
  <c r="A220" i="63"/>
  <c r="X220" i="63" s="1"/>
  <c r="E221" i="63" l="1"/>
  <c r="D221" i="63" l="1"/>
  <c r="H221" i="63" s="1"/>
  <c r="J221" i="63"/>
  <c r="I221" i="63" l="1"/>
  <c r="K221" i="63"/>
  <c r="C222" i="63" s="1"/>
  <c r="B222" i="63" l="1"/>
  <c r="A221" i="63"/>
  <c r="X221" i="63" s="1"/>
  <c r="E222" i="63" l="1"/>
  <c r="J222" i="63" l="1"/>
  <c r="D222" i="63"/>
  <c r="H222" i="63" s="1"/>
  <c r="I222" i="63" l="1"/>
  <c r="K222" i="63"/>
  <c r="C223" i="63" s="1"/>
  <c r="B223" i="63" l="1"/>
  <c r="A222" i="63"/>
  <c r="X222" i="63" s="1"/>
  <c r="E223" i="63" l="1"/>
  <c r="D223" i="63" l="1"/>
  <c r="H223" i="63" s="1"/>
  <c r="J223" i="63"/>
  <c r="I223" i="63" l="1"/>
  <c r="K223" i="63"/>
  <c r="C224" i="63" s="1"/>
  <c r="B224" i="63" l="1"/>
  <c r="A223" i="63"/>
  <c r="X223" i="63" s="1"/>
  <c r="E224" i="63" l="1"/>
  <c r="D224" i="63" l="1"/>
  <c r="H224" i="63" s="1"/>
  <c r="J224" i="63"/>
  <c r="I224" i="63" l="1"/>
  <c r="K224" i="63"/>
  <c r="C225" i="63" s="1"/>
  <c r="B225" i="63" l="1"/>
  <c r="A224" i="63"/>
  <c r="X224" i="63" s="1"/>
  <c r="E225" i="63" l="1"/>
  <c r="J225" i="63" l="1"/>
  <c r="D225" i="63"/>
  <c r="H225" i="63" s="1"/>
  <c r="I225" i="63" l="1"/>
  <c r="K225" i="63"/>
  <c r="C226" i="63" s="1"/>
  <c r="B226" i="63" l="1"/>
  <c r="A225" i="63"/>
  <c r="X225" i="63" s="1"/>
  <c r="E226" i="63" l="1"/>
  <c r="J226" i="63" l="1"/>
  <c r="D226" i="63"/>
  <c r="H226" i="63" s="1"/>
  <c r="I226" i="63" l="1"/>
  <c r="K226" i="63"/>
  <c r="C227" i="63" s="1"/>
  <c r="B227" i="63" l="1"/>
  <c r="A226" i="63"/>
  <c r="X226" i="63" s="1"/>
  <c r="E227" i="63" l="1"/>
  <c r="D227" i="63" l="1"/>
  <c r="H227" i="63" s="1"/>
  <c r="J227" i="63"/>
  <c r="I227" i="63" l="1"/>
  <c r="K227" i="63"/>
  <c r="C228" i="63" s="1"/>
  <c r="B228" i="63" l="1"/>
  <c r="A227" i="63"/>
  <c r="X227" i="63" s="1"/>
  <c r="E228" i="63" l="1"/>
  <c r="J228" i="63" l="1"/>
  <c r="D228" i="63"/>
  <c r="H228" i="63" s="1"/>
  <c r="I228" i="63" l="1"/>
  <c r="K228" i="63"/>
  <c r="C229" i="63" s="1"/>
  <c r="B229" i="63" l="1"/>
  <c r="A228" i="63"/>
  <c r="X228" i="63" s="1"/>
  <c r="E229" i="63" l="1"/>
  <c r="D229" i="63" l="1"/>
  <c r="H229" i="63" s="1"/>
  <c r="J229" i="63"/>
  <c r="I229" i="63" l="1"/>
  <c r="K229" i="63"/>
  <c r="C230" i="63" s="1"/>
  <c r="B230" i="63" l="1"/>
  <c r="A229" i="63"/>
  <c r="X229" i="63" s="1"/>
  <c r="E230" i="63" l="1"/>
  <c r="D230" i="63" l="1"/>
  <c r="H230" i="63" s="1"/>
  <c r="J230" i="63"/>
  <c r="I230" i="63" l="1"/>
  <c r="K230" i="63"/>
  <c r="C231" i="63" s="1"/>
  <c r="B231" i="63" l="1"/>
  <c r="A230" i="63"/>
  <c r="X230" i="63" s="1"/>
  <c r="E231" i="63" l="1"/>
  <c r="D231" i="63" l="1"/>
  <c r="H231" i="63" s="1"/>
  <c r="J231" i="63"/>
  <c r="I231" i="63" l="1"/>
  <c r="K231" i="63"/>
  <c r="C232" i="63" s="1"/>
  <c r="B232" i="63" l="1"/>
  <c r="A231" i="63"/>
  <c r="X231" i="63" s="1"/>
  <c r="E232" i="63" l="1"/>
  <c r="J232" i="63" l="1"/>
  <c r="D232" i="63"/>
  <c r="H232" i="63" s="1"/>
  <c r="I232" i="63" l="1"/>
  <c r="K232" i="63"/>
  <c r="C233" i="63" s="1"/>
  <c r="B233" i="63" l="1"/>
  <c r="A232" i="63"/>
  <c r="X232" i="63" s="1"/>
  <c r="E233" i="63" l="1"/>
  <c r="D233" i="63" l="1"/>
  <c r="H233" i="63" s="1"/>
  <c r="J233" i="63"/>
  <c r="I233" i="63" l="1"/>
  <c r="K233" i="63"/>
  <c r="C234" i="63" s="1"/>
  <c r="B234" i="63" l="1"/>
  <c r="A233" i="63"/>
  <c r="X233" i="63" s="1"/>
  <c r="E234" i="63" l="1"/>
  <c r="J234" i="63" l="1"/>
  <c r="D234" i="63"/>
  <c r="H234" i="63" s="1"/>
  <c r="I234" i="63" l="1"/>
  <c r="K234" i="63"/>
  <c r="C235" i="63" s="1"/>
  <c r="B235" i="63" l="1"/>
  <c r="A234" i="63"/>
  <c r="X234" i="63" s="1"/>
  <c r="E235" i="63" l="1"/>
  <c r="D235" i="63" l="1"/>
  <c r="H235" i="63" s="1"/>
  <c r="J235" i="63"/>
  <c r="I235" i="63" l="1"/>
  <c r="K235" i="63"/>
  <c r="C236" i="63" s="1"/>
  <c r="B236" i="63" l="1"/>
  <c r="A235" i="63"/>
  <c r="X235" i="63" s="1"/>
  <c r="E236" i="63" l="1"/>
  <c r="J236" i="63" l="1"/>
  <c r="D236" i="63"/>
  <c r="H236" i="63" s="1"/>
  <c r="I236" i="63" l="1"/>
  <c r="K236" i="63"/>
  <c r="C237" i="63" s="1"/>
  <c r="B237" i="63" l="1"/>
  <c r="A236" i="63"/>
  <c r="X236" i="63" s="1"/>
  <c r="E237" i="63" l="1"/>
  <c r="J237" i="63" l="1"/>
  <c r="D237" i="63"/>
  <c r="H237" i="63" s="1"/>
  <c r="I237" i="63" l="1"/>
  <c r="K237" i="63"/>
  <c r="C238" i="63" s="1"/>
  <c r="B238" i="63" l="1"/>
  <c r="A237" i="63"/>
  <c r="X237" i="63" s="1"/>
  <c r="E238" i="63" l="1"/>
  <c r="J238" i="63" l="1"/>
  <c r="D238" i="63"/>
  <c r="H238" i="63" s="1"/>
  <c r="I238" i="63" l="1"/>
  <c r="K238" i="63"/>
  <c r="C239" i="63" s="1"/>
  <c r="B239" i="63" l="1"/>
  <c r="A238" i="63"/>
  <c r="X238" i="63" s="1"/>
  <c r="E239" i="63" l="1"/>
  <c r="D239" i="63" l="1"/>
  <c r="H239" i="63" s="1"/>
  <c r="J239" i="63"/>
  <c r="I239" i="63" l="1"/>
  <c r="K239" i="63"/>
  <c r="C240" i="63" s="1"/>
  <c r="B240" i="63" l="1"/>
  <c r="A239" i="63"/>
  <c r="X239" i="63" s="1"/>
  <c r="E240" i="63" l="1"/>
  <c r="J240" i="63" l="1"/>
  <c r="D240" i="63"/>
  <c r="H240" i="63" s="1"/>
  <c r="I240" i="63" l="1"/>
  <c r="K240" i="63"/>
  <c r="C241" i="63" s="1"/>
  <c r="B241" i="63" l="1"/>
  <c r="A240" i="63"/>
  <c r="X240" i="63" s="1"/>
  <c r="E241" i="63" l="1"/>
  <c r="D241" i="63" l="1"/>
  <c r="H241" i="63" s="1"/>
  <c r="J241" i="63"/>
  <c r="I241" i="63" l="1"/>
  <c r="K241" i="63"/>
  <c r="C242" i="63" s="1"/>
  <c r="B242" i="63" l="1"/>
  <c r="A241" i="63"/>
  <c r="X241" i="63" s="1"/>
  <c r="E242" i="63" l="1"/>
  <c r="J242" i="63" l="1"/>
  <c r="D242" i="63"/>
  <c r="H242" i="63" s="1"/>
  <c r="I242" i="63" l="1"/>
  <c r="K242" i="63"/>
  <c r="C243" i="63" s="1"/>
  <c r="B243" i="63" l="1"/>
  <c r="A242" i="63"/>
  <c r="X242" i="63" s="1"/>
  <c r="E243" i="63" l="1"/>
  <c r="D243" i="63" l="1"/>
  <c r="H243" i="63" s="1"/>
  <c r="J243" i="63"/>
  <c r="I243" i="63" l="1"/>
  <c r="K243" i="63"/>
  <c r="C244" i="63" s="1"/>
  <c r="B244" i="63" l="1"/>
  <c r="A243" i="63"/>
  <c r="X243" i="63" s="1"/>
  <c r="E244" i="63" l="1"/>
  <c r="J244" i="63" l="1"/>
  <c r="D244" i="63"/>
  <c r="H244" i="63" s="1"/>
  <c r="I244" i="63" l="1"/>
  <c r="K244" i="63"/>
  <c r="C245" i="63" s="1"/>
  <c r="B245" i="63" l="1"/>
  <c r="A244" i="63"/>
  <c r="X244" i="63" s="1"/>
  <c r="E245" i="63" l="1"/>
  <c r="J245" i="63" l="1"/>
  <c r="D245" i="63"/>
  <c r="H245" i="63" s="1"/>
  <c r="I245" i="63" l="1"/>
  <c r="K245" i="63"/>
  <c r="C246" i="63" s="1"/>
  <c r="B246" i="63" l="1"/>
  <c r="A245" i="63"/>
  <c r="X245" i="63" s="1"/>
  <c r="E246" i="63" l="1"/>
  <c r="J246" i="63" l="1"/>
  <c r="D246" i="63"/>
  <c r="H246" i="63" s="1"/>
  <c r="I246" i="63" l="1"/>
  <c r="K246" i="63"/>
  <c r="C247" i="63" s="1"/>
  <c r="B247" i="63" l="1"/>
  <c r="A246" i="63"/>
  <c r="X246" i="63" s="1"/>
  <c r="E247" i="63" l="1"/>
  <c r="D247" i="63" l="1"/>
  <c r="H247" i="63" s="1"/>
  <c r="J247" i="63"/>
  <c r="I247" i="63" l="1"/>
  <c r="K247" i="63"/>
  <c r="C248" i="63" s="1"/>
  <c r="B248" i="63" l="1"/>
  <c r="A247" i="63"/>
  <c r="X247" i="63" s="1"/>
  <c r="E248" i="63" l="1"/>
  <c r="J248" i="63" l="1"/>
  <c r="D248" i="63"/>
  <c r="H248" i="63" s="1"/>
  <c r="I248" i="63" l="1"/>
  <c r="K248" i="63"/>
  <c r="C249" i="63" s="1"/>
  <c r="B249" i="63" l="1"/>
  <c r="A248" i="63"/>
  <c r="X248" i="63" s="1"/>
  <c r="E249" i="63" l="1"/>
  <c r="D249" i="63" l="1"/>
  <c r="H249" i="63" s="1"/>
  <c r="J249" i="63"/>
  <c r="I249" i="63" l="1"/>
  <c r="K249" i="63"/>
  <c r="C250" i="63" s="1"/>
  <c r="B250" i="63" l="1"/>
  <c r="A249" i="63"/>
  <c r="X249" i="63" s="1"/>
  <c r="E250" i="63" l="1"/>
  <c r="J250" i="63" l="1"/>
  <c r="D250" i="63"/>
  <c r="H250" i="63" s="1"/>
  <c r="I250" i="63" l="1"/>
  <c r="K250" i="63"/>
  <c r="C251" i="63" s="1"/>
  <c r="B251" i="63" l="1"/>
  <c r="A250" i="63"/>
  <c r="X250" i="63" s="1"/>
  <c r="E251" i="63" l="1"/>
  <c r="D251" i="63" l="1"/>
  <c r="H251" i="63" s="1"/>
  <c r="J251" i="63"/>
  <c r="I251" i="63" l="1"/>
  <c r="K251" i="63"/>
  <c r="C252" i="63" s="1"/>
  <c r="B252" i="63" l="1"/>
  <c r="A251" i="63"/>
  <c r="X251" i="63" s="1"/>
  <c r="E252" i="63" l="1"/>
  <c r="J252" i="63" l="1"/>
  <c r="D252" i="63"/>
  <c r="H252" i="63" s="1"/>
  <c r="I252" i="63" l="1"/>
  <c r="K252" i="63"/>
  <c r="C253" i="63" s="1"/>
  <c r="B253" i="63" l="1"/>
  <c r="A252" i="63"/>
  <c r="X252" i="63" s="1"/>
  <c r="E253" i="63" l="1"/>
  <c r="D253" i="63" l="1"/>
  <c r="H253" i="63" s="1"/>
  <c r="J253" i="63"/>
  <c r="I253" i="63" l="1"/>
  <c r="K253" i="63"/>
  <c r="C254" i="63" s="1"/>
  <c r="B254" i="63" l="1"/>
  <c r="A253" i="63"/>
  <c r="X253" i="63" s="1"/>
  <c r="E254" i="63" l="1"/>
  <c r="J254" i="63" l="1"/>
  <c r="D254" i="63"/>
  <c r="H254" i="63" s="1"/>
  <c r="I254" i="63" l="1"/>
  <c r="K254" i="63"/>
  <c r="C255" i="63" s="1"/>
  <c r="B255" i="63" l="1"/>
  <c r="A254" i="63"/>
  <c r="X254" i="63" s="1"/>
  <c r="E255" i="63" l="1"/>
  <c r="J255" i="63" l="1"/>
  <c r="D255" i="63"/>
  <c r="H255" i="63" s="1"/>
  <c r="I255" i="63" l="1"/>
  <c r="K255" i="63"/>
  <c r="C256" i="63" s="1"/>
  <c r="B256" i="63" l="1"/>
  <c r="A255" i="63"/>
  <c r="X255" i="63" s="1"/>
  <c r="E256" i="63" l="1"/>
  <c r="J256" i="63" l="1"/>
  <c r="D256" i="63"/>
  <c r="H256" i="63" s="1"/>
  <c r="I256" i="63" l="1"/>
  <c r="K256" i="63"/>
  <c r="C257" i="63" s="1"/>
  <c r="B257" i="63" l="1"/>
  <c r="A256" i="63"/>
  <c r="X256" i="63" s="1"/>
  <c r="E257" i="63" l="1"/>
  <c r="D257" i="63" l="1"/>
  <c r="H257" i="63" s="1"/>
  <c r="J257" i="63"/>
  <c r="I257" i="63" l="1"/>
  <c r="K257" i="63"/>
  <c r="C258" i="63" s="1"/>
  <c r="B258" i="63" l="1"/>
  <c r="A257" i="63"/>
  <c r="X257" i="63" s="1"/>
  <c r="E258" i="63" l="1"/>
  <c r="J258" i="63" l="1"/>
  <c r="D258" i="63"/>
  <c r="H258" i="63" s="1"/>
  <c r="I258" i="63" l="1"/>
  <c r="K258" i="63"/>
  <c r="C259" i="63" s="1"/>
  <c r="B259" i="63" l="1"/>
  <c r="A258" i="63"/>
  <c r="X258" i="63" s="1"/>
  <c r="E259" i="63" l="1"/>
  <c r="D259" i="63" l="1"/>
  <c r="H259" i="63" s="1"/>
  <c r="J259" i="63"/>
  <c r="I259" i="63" l="1"/>
  <c r="K259" i="63"/>
  <c r="C260" i="63" s="1"/>
  <c r="B260" i="63" l="1"/>
  <c r="A259" i="63"/>
  <c r="X259" i="63" s="1"/>
  <c r="E260" i="63" l="1"/>
  <c r="D260" i="63" l="1"/>
  <c r="H260" i="63" s="1"/>
  <c r="J260" i="63"/>
  <c r="I260" i="63" l="1"/>
  <c r="K260" i="63"/>
  <c r="C261" i="63" s="1"/>
  <c r="B261" i="63" l="1"/>
  <c r="A260" i="63"/>
  <c r="X260" i="63" s="1"/>
  <c r="E261" i="63" l="1"/>
  <c r="J261" i="63" l="1"/>
  <c r="D261" i="63"/>
  <c r="H261" i="63" s="1"/>
  <c r="I261" i="63" l="1"/>
  <c r="K261" i="63"/>
  <c r="C262" i="63" s="1"/>
  <c r="B262" i="63" l="1"/>
  <c r="A261" i="63"/>
  <c r="X261" i="63" s="1"/>
  <c r="E262" i="63" l="1"/>
  <c r="D262" i="63" l="1"/>
  <c r="H262" i="63" s="1"/>
  <c r="J262" i="63"/>
  <c r="I262" i="63" l="1"/>
  <c r="K262" i="63"/>
  <c r="C263" i="63" s="1"/>
  <c r="B263" i="63" l="1"/>
  <c r="A262" i="63"/>
  <c r="X262" i="63" s="1"/>
  <c r="E263" i="63" l="1"/>
  <c r="J263" i="63" l="1"/>
  <c r="D263" i="63"/>
  <c r="H263" i="63" s="1"/>
  <c r="I263" i="63" l="1"/>
  <c r="K263" i="63"/>
  <c r="C264" i="63" s="1"/>
  <c r="B264" i="63" l="1"/>
  <c r="A263" i="63"/>
  <c r="X263" i="63" s="1"/>
  <c r="E264" i="63" l="1"/>
  <c r="D264" i="63" l="1"/>
  <c r="H264" i="63" s="1"/>
  <c r="J264" i="63"/>
  <c r="I264" i="63" l="1"/>
  <c r="K264" i="63"/>
  <c r="C265" i="63" s="1"/>
  <c r="B265" i="63" l="1"/>
  <c r="A264" i="63"/>
  <c r="X264" i="63" s="1"/>
  <c r="E265" i="63" l="1"/>
  <c r="J265" i="63" l="1"/>
  <c r="D265" i="63"/>
  <c r="H265" i="63" s="1"/>
  <c r="I265" i="63" l="1"/>
  <c r="K265" i="63"/>
  <c r="C266" i="63" s="1"/>
  <c r="B266" i="63" l="1"/>
  <c r="A265" i="63"/>
  <c r="X265" i="63" s="1"/>
  <c r="E266" i="63" l="1"/>
  <c r="J266" i="63" l="1"/>
  <c r="D266" i="63"/>
  <c r="H266" i="63" s="1"/>
  <c r="I266" i="63" l="1"/>
  <c r="K266" i="63"/>
  <c r="C267" i="63" s="1"/>
  <c r="B267" i="63" l="1"/>
  <c r="A266" i="63"/>
  <c r="X266" i="63" s="1"/>
  <c r="E267" i="63" l="1"/>
  <c r="D267" i="63" l="1"/>
  <c r="H267" i="63" s="1"/>
  <c r="J267" i="63"/>
  <c r="I267" i="63" l="1"/>
  <c r="K267" i="63"/>
  <c r="C268" i="63" s="1"/>
  <c r="B268" i="63" l="1"/>
  <c r="A267" i="63"/>
  <c r="X267" i="63" s="1"/>
  <c r="E268" i="63" l="1"/>
  <c r="J268" i="63" l="1"/>
  <c r="D268" i="63"/>
  <c r="H268" i="63" s="1"/>
  <c r="I268" i="63" l="1"/>
  <c r="K268" i="63"/>
  <c r="C269" i="63" s="1"/>
  <c r="B269" i="63" l="1"/>
  <c r="A268" i="63"/>
  <c r="X268" i="63" s="1"/>
  <c r="E269" i="63" l="1"/>
  <c r="J269" i="63" l="1"/>
  <c r="D269" i="63"/>
  <c r="H269" i="63" s="1"/>
  <c r="I269" i="63" l="1"/>
  <c r="K269" i="63"/>
  <c r="C270" i="63" s="1"/>
  <c r="B270" i="63" l="1"/>
  <c r="A269" i="63"/>
  <c r="X269" i="63" s="1"/>
  <c r="E270" i="63" l="1"/>
  <c r="J270" i="63" l="1"/>
  <c r="D270" i="63"/>
  <c r="H270" i="63" s="1"/>
  <c r="I270" i="63" l="1"/>
  <c r="K270" i="63"/>
  <c r="C271" i="63" s="1"/>
  <c r="B271" i="63" l="1"/>
  <c r="A270" i="63"/>
  <c r="X270" i="63" s="1"/>
  <c r="E271" i="63" l="1"/>
  <c r="J271" i="63" l="1"/>
  <c r="D271" i="63"/>
  <c r="H271" i="63" s="1"/>
  <c r="I271" i="63" l="1"/>
  <c r="K271" i="63"/>
  <c r="C272" i="63" s="1"/>
  <c r="B272" i="63" l="1"/>
  <c r="A271" i="63"/>
  <c r="X271" i="63" s="1"/>
  <c r="E272" i="63" l="1"/>
  <c r="J272" i="63" l="1"/>
  <c r="D272" i="63"/>
  <c r="H272" i="63" s="1"/>
  <c r="I272" i="63" l="1"/>
  <c r="K272" i="63"/>
  <c r="C273" i="63" s="1"/>
  <c r="B273" i="63" l="1"/>
  <c r="A272" i="63"/>
  <c r="X272" i="63" s="1"/>
  <c r="E273" i="63" l="1"/>
  <c r="J273" i="63" l="1"/>
  <c r="D273" i="63"/>
  <c r="H273" i="63" s="1"/>
  <c r="I273" i="63" l="1"/>
  <c r="K273" i="63"/>
  <c r="C274" i="63" s="1"/>
  <c r="B274" i="63" l="1"/>
  <c r="A273" i="63"/>
  <c r="X273" i="63" s="1"/>
  <c r="E274" i="63" l="1"/>
  <c r="J274" i="63" l="1"/>
  <c r="D274" i="63"/>
  <c r="H274" i="63" s="1"/>
  <c r="I274" i="63" l="1"/>
  <c r="K274" i="63"/>
  <c r="C275" i="63" s="1"/>
  <c r="B275" i="63" l="1"/>
  <c r="A274" i="63"/>
  <c r="X274" i="63" s="1"/>
  <c r="E275" i="63" l="1"/>
  <c r="J275" i="63" l="1"/>
  <c r="D275" i="63"/>
  <c r="H275" i="63" s="1"/>
  <c r="I275" i="63" l="1"/>
  <c r="K275" i="63"/>
  <c r="C276" i="63" s="1"/>
  <c r="B276" i="63" l="1"/>
  <c r="A275" i="63"/>
  <c r="X275" i="63" s="1"/>
  <c r="E276" i="63" l="1"/>
  <c r="J276" i="63" l="1"/>
  <c r="D276" i="63"/>
  <c r="H276" i="63" s="1"/>
  <c r="I276" i="63" l="1"/>
  <c r="K276" i="63"/>
  <c r="C277" i="63" s="1"/>
  <c r="B277" i="63" l="1"/>
  <c r="A276" i="63"/>
  <c r="X276" i="63" s="1"/>
  <c r="E277" i="63" l="1"/>
  <c r="J277" i="63" l="1"/>
  <c r="D277" i="63"/>
  <c r="H277" i="63" s="1"/>
  <c r="I277" i="63" l="1"/>
  <c r="K277" i="63"/>
  <c r="C278" i="63" s="1"/>
  <c r="B278" i="63" l="1"/>
  <c r="A277" i="63"/>
  <c r="X277" i="63" s="1"/>
  <c r="E278" i="63" l="1"/>
  <c r="J278" i="63" l="1"/>
  <c r="D278" i="63"/>
  <c r="H278" i="63" s="1"/>
  <c r="I278" i="63" l="1"/>
  <c r="K278" i="63"/>
  <c r="C279" i="63" s="1"/>
  <c r="B279" i="63" l="1"/>
  <c r="A278" i="63"/>
  <c r="X278" i="63" s="1"/>
  <c r="E279" i="63" l="1"/>
  <c r="J279" i="63" l="1"/>
  <c r="D279" i="63"/>
  <c r="H279" i="63" s="1"/>
  <c r="I279" i="63" l="1"/>
  <c r="K279" i="63"/>
  <c r="C280" i="63" s="1"/>
  <c r="B280" i="63" l="1"/>
  <c r="A279" i="63"/>
  <c r="X279" i="63" s="1"/>
  <c r="E280" i="63" l="1"/>
  <c r="J280" i="63" l="1"/>
  <c r="D280" i="63"/>
  <c r="H280" i="63" s="1"/>
  <c r="I280" i="63" l="1"/>
  <c r="K280" i="63"/>
  <c r="C281" i="63" s="1"/>
  <c r="B281" i="63" l="1"/>
  <c r="A280" i="63"/>
  <c r="X280" i="63" s="1"/>
  <c r="E281" i="63" l="1"/>
  <c r="J281" i="63" l="1"/>
  <c r="D281" i="63"/>
  <c r="H281" i="63" s="1"/>
  <c r="I281" i="63" l="1"/>
  <c r="K281" i="63"/>
  <c r="C282" i="63" s="1"/>
  <c r="B282" i="63" l="1"/>
  <c r="A281" i="63"/>
  <c r="X281" i="63" s="1"/>
  <c r="E282" i="63" l="1"/>
  <c r="J282" i="63" l="1"/>
  <c r="D282" i="63"/>
  <c r="H282" i="63" s="1"/>
  <c r="I282" i="63" l="1"/>
  <c r="K282" i="63"/>
  <c r="C283" i="63" s="1"/>
  <c r="B283" i="63" l="1"/>
  <c r="A282" i="63"/>
  <c r="X282" i="63" s="1"/>
  <c r="E283" i="63" l="1"/>
  <c r="J283" i="63" l="1"/>
  <c r="D283" i="63"/>
  <c r="H283" i="63" s="1"/>
  <c r="I283" i="63" l="1"/>
  <c r="K283" i="63"/>
  <c r="C284" i="63" s="1"/>
  <c r="B284" i="63" l="1"/>
  <c r="A283" i="63"/>
  <c r="X283" i="63" s="1"/>
  <c r="E284" i="63" l="1"/>
  <c r="J284" i="63" l="1"/>
  <c r="D284" i="63"/>
  <c r="H284" i="63" s="1"/>
  <c r="I284" i="63" l="1"/>
  <c r="K284" i="63"/>
  <c r="C285" i="63" s="1"/>
  <c r="B285" i="63" l="1"/>
  <c r="A284" i="63"/>
  <c r="X284" i="63" s="1"/>
  <c r="E285" i="63" l="1"/>
  <c r="J285" i="63" l="1"/>
  <c r="D285" i="63"/>
  <c r="H285" i="63" s="1"/>
  <c r="I285" i="63" l="1"/>
  <c r="K285" i="63"/>
  <c r="C286" i="63" s="1"/>
  <c r="B286" i="63" l="1"/>
  <c r="A285" i="63"/>
  <c r="X285" i="63" s="1"/>
  <c r="E286" i="63" l="1"/>
  <c r="J286" i="63" l="1"/>
  <c r="D286" i="63"/>
  <c r="H286" i="63" s="1"/>
  <c r="I286" i="63" l="1"/>
  <c r="K286" i="63"/>
  <c r="C287" i="63" s="1"/>
  <c r="B287" i="63" l="1"/>
  <c r="A286" i="63"/>
  <c r="X286" i="63" s="1"/>
  <c r="E287" i="63" l="1"/>
  <c r="J287" i="63" l="1"/>
  <c r="D287" i="63"/>
  <c r="H287" i="63" s="1"/>
  <c r="I287" i="63" l="1"/>
  <c r="K287" i="63"/>
  <c r="C288" i="63" s="1"/>
  <c r="B288" i="63" l="1"/>
  <c r="A287" i="63"/>
  <c r="X287" i="63" s="1"/>
  <c r="E288" i="63" l="1"/>
  <c r="J288" i="63" l="1"/>
  <c r="D288" i="63"/>
  <c r="H288" i="63" s="1"/>
  <c r="I288" i="63" l="1"/>
  <c r="K288" i="63"/>
  <c r="C289" i="63" s="1"/>
  <c r="B289" i="63" l="1"/>
  <c r="A288" i="63"/>
  <c r="X288" i="63" s="1"/>
  <c r="E289" i="63" l="1"/>
  <c r="J289" i="63" l="1"/>
  <c r="D289" i="63"/>
  <c r="H289" i="63" s="1"/>
  <c r="I289" i="63" l="1"/>
  <c r="K289" i="63"/>
  <c r="C290" i="63" s="1"/>
  <c r="B290" i="63" l="1"/>
  <c r="A289" i="63"/>
  <c r="X289" i="63" s="1"/>
  <c r="E290" i="63" l="1"/>
  <c r="J290" i="63" l="1"/>
  <c r="D290" i="63"/>
  <c r="H290" i="63" s="1"/>
  <c r="I290" i="63" l="1"/>
  <c r="K290" i="63"/>
  <c r="C291" i="63" s="1"/>
  <c r="B291" i="63" l="1"/>
  <c r="A290" i="63"/>
  <c r="X290" i="63" s="1"/>
  <c r="E291" i="63" l="1"/>
  <c r="J291" i="63" l="1"/>
  <c r="D291" i="63"/>
  <c r="H291" i="63" s="1"/>
  <c r="I291" i="63" l="1"/>
  <c r="K291" i="63"/>
  <c r="C292" i="63" s="1"/>
  <c r="B292" i="63" l="1"/>
  <c r="A291" i="63"/>
  <c r="X291" i="63" s="1"/>
  <c r="E292" i="63" l="1"/>
  <c r="J292" i="63" l="1"/>
  <c r="D292" i="63"/>
  <c r="H292" i="63" s="1"/>
  <c r="I292" i="63" l="1"/>
  <c r="K292" i="63"/>
  <c r="C293" i="63" s="1"/>
  <c r="B293" i="63" l="1"/>
  <c r="A292" i="63"/>
  <c r="X292" i="63" s="1"/>
  <c r="E293" i="63" l="1"/>
  <c r="J293" i="63" l="1"/>
  <c r="D293" i="63"/>
  <c r="H293" i="63" s="1"/>
  <c r="I293" i="63" l="1"/>
  <c r="K293" i="63"/>
  <c r="C294" i="63" s="1"/>
  <c r="B294" i="63" l="1"/>
  <c r="A293" i="63"/>
  <c r="X293" i="63" s="1"/>
  <c r="E294" i="63" l="1"/>
  <c r="J294" i="63" l="1"/>
  <c r="D294" i="63"/>
  <c r="H294" i="63" s="1"/>
  <c r="I294" i="63" l="1"/>
  <c r="K294" i="63"/>
  <c r="C295" i="63" s="1"/>
  <c r="B295" i="63" l="1"/>
  <c r="A294" i="63"/>
  <c r="X294" i="63" s="1"/>
  <c r="E295" i="63" l="1"/>
  <c r="J295" i="63" l="1"/>
  <c r="D295" i="63"/>
  <c r="H295" i="63" s="1"/>
  <c r="I295" i="63" l="1"/>
  <c r="K295" i="63"/>
  <c r="C296" i="63" s="1"/>
  <c r="B296" i="63" l="1"/>
  <c r="A295" i="63"/>
  <c r="X295" i="63" s="1"/>
  <c r="E296" i="63" l="1"/>
  <c r="J296" i="63" l="1"/>
  <c r="D296" i="63"/>
  <c r="H296" i="63" s="1"/>
  <c r="I296" i="63" l="1"/>
  <c r="K296" i="63"/>
  <c r="C297" i="63" s="1"/>
  <c r="B297" i="63" l="1"/>
  <c r="A296" i="63"/>
  <c r="X296" i="63" s="1"/>
  <c r="E297" i="63" l="1"/>
  <c r="J297" i="63" l="1"/>
  <c r="D297" i="63"/>
  <c r="H297" i="63" s="1"/>
  <c r="I297" i="63" l="1"/>
  <c r="K297" i="63"/>
  <c r="C298" i="63" s="1"/>
  <c r="B298" i="63" l="1"/>
  <c r="A297" i="63"/>
  <c r="X297" i="63" s="1"/>
  <c r="E298" i="63" l="1"/>
  <c r="J298" i="63" l="1"/>
  <c r="D298" i="63"/>
  <c r="H298" i="63" s="1"/>
  <c r="I298" i="63" l="1"/>
  <c r="K298" i="63"/>
  <c r="C299" i="63" s="1"/>
  <c r="B299" i="63" l="1"/>
  <c r="A298" i="63"/>
  <c r="X298" i="63" s="1"/>
  <c r="E299" i="63" l="1"/>
  <c r="J299" i="63" l="1"/>
  <c r="D299" i="63"/>
  <c r="H299" i="63" s="1"/>
  <c r="I299" i="63" l="1"/>
  <c r="K299" i="63"/>
  <c r="C300" i="63" s="1"/>
  <c r="B300" i="63" l="1"/>
  <c r="A299" i="63"/>
  <c r="X299" i="63" s="1"/>
  <c r="E300" i="63" l="1"/>
  <c r="J300" i="63" l="1"/>
  <c r="D300" i="63"/>
  <c r="H300" i="63" s="1"/>
  <c r="I300" i="63" l="1"/>
  <c r="K300" i="63"/>
  <c r="C301" i="63" s="1"/>
  <c r="B301" i="63" l="1"/>
  <c r="A300" i="63"/>
  <c r="X300" i="63" s="1"/>
  <c r="E301" i="63" l="1"/>
  <c r="J301" i="63" l="1"/>
  <c r="D301" i="63"/>
  <c r="H301" i="63" s="1"/>
  <c r="I301" i="63" l="1"/>
  <c r="K301" i="63"/>
  <c r="C302" i="63" s="1"/>
  <c r="B302" i="63" l="1"/>
  <c r="A301" i="63"/>
  <c r="X301" i="63" s="1"/>
  <c r="E302" i="63" l="1"/>
  <c r="J302" i="63" l="1"/>
  <c r="D302" i="63"/>
  <c r="H302" i="63" s="1"/>
  <c r="I302" i="63" l="1"/>
  <c r="K302" i="63"/>
  <c r="C303" i="63" s="1"/>
  <c r="B303" i="63" l="1"/>
  <c r="A302" i="63"/>
  <c r="X302" i="63" s="1"/>
  <c r="E303" i="63" l="1"/>
  <c r="J303" i="63" l="1"/>
  <c r="D303" i="63"/>
  <c r="H303" i="63" s="1"/>
  <c r="I303" i="63" l="1"/>
  <c r="K303" i="63"/>
  <c r="C304" i="63" s="1"/>
  <c r="B304" i="63" l="1"/>
  <c r="A303" i="63"/>
  <c r="X303" i="63" s="1"/>
  <c r="E304" i="63" l="1"/>
  <c r="J304" i="63" l="1"/>
  <c r="D304" i="63"/>
  <c r="H304" i="63" s="1"/>
  <c r="I304" i="63" l="1"/>
  <c r="K304" i="63"/>
  <c r="C305" i="63" s="1"/>
  <c r="B305" i="63" l="1"/>
  <c r="A304" i="63"/>
  <c r="X304" i="63" s="1"/>
  <c r="E305" i="63" l="1"/>
  <c r="J305" i="63" l="1"/>
  <c r="D305" i="63"/>
  <c r="H305" i="63" s="1"/>
  <c r="I305" i="63" l="1"/>
  <c r="K305" i="63"/>
  <c r="C306" i="63" s="1"/>
  <c r="B306" i="63" l="1"/>
  <c r="A305" i="63"/>
  <c r="X305" i="63" s="1"/>
  <c r="E306" i="63" l="1"/>
  <c r="J306" i="63" l="1"/>
  <c r="D306" i="63"/>
  <c r="H306" i="63" s="1"/>
  <c r="I306" i="63" l="1"/>
  <c r="K306" i="63"/>
  <c r="C307" i="63" s="1"/>
  <c r="B307" i="63" l="1"/>
  <c r="A306" i="63"/>
  <c r="X306" i="63" s="1"/>
  <c r="E307" i="63" l="1"/>
  <c r="J307" i="63" l="1"/>
  <c r="D307" i="63"/>
  <c r="H307" i="63" s="1"/>
  <c r="I307" i="63" l="1"/>
  <c r="K307" i="63"/>
  <c r="C308" i="63" s="1"/>
  <c r="B308" i="63" l="1"/>
  <c r="A307" i="63"/>
  <c r="X307" i="63" s="1"/>
  <c r="E308" i="63" l="1"/>
  <c r="D308" i="63" l="1"/>
  <c r="H308" i="63" s="1"/>
  <c r="J308" i="63"/>
  <c r="I308" i="63" l="1"/>
  <c r="K308" i="63"/>
  <c r="C309" i="63" s="1"/>
  <c r="B309" i="63" l="1"/>
  <c r="A308" i="63"/>
  <c r="X308" i="63" s="1"/>
  <c r="E309" i="63" l="1"/>
  <c r="J309" i="63" l="1"/>
  <c r="D309" i="63"/>
  <c r="H309" i="63" s="1"/>
  <c r="I309" i="63" l="1"/>
  <c r="K309" i="63"/>
  <c r="C310" i="63" s="1"/>
  <c r="B310" i="63" l="1"/>
  <c r="A309" i="63"/>
  <c r="X309" i="63" s="1"/>
  <c r="E310" i="63" l="1"/>
  <c r="J310" i="63" l="1"/>
  <c r="D310" i="63"/>
  <c r="H310" i="63" s="1"/>
  <c r="I310" i="63" l="1"/>
  <c r="K310" i="63"/>
  <c r="C311" i="63" s="1"/>
  <c r="B311" i="63" l="1"/>
  <c r="A310" i="63"/>
  <c r="X310" i="63" s="1"/>
  <c r="E311" i="63" l="1"/>
  <c r="J311" i="63" l="1"/>
  <c r="D311" i="63"/>
  <c r="H311" i="63" s="1"/>
  <c r="I311" i="63" l="1"/>
  <c r="K311" i="63"/>
  <c r="C312" i="63" s="1"/>
  <c r="B312" i="63" l="1"/>
  <c r="A311" i="63"/>
  <c r="X311" i="63" s="1"/>
  <c r="E312" i="63" l="1"/>
  <c r="J312" i="63" l="1"/>
  <c r="D312" i="63"/>
  <c r="H312" i="63" s="1"/>
  <c r="I312" i="63" l="1"/>
  <c r="K312" i="63"/>
  <c r="C313" i="63" s="1"/>
  <c r="B313" i="63" l="1"/>
  <c r="A312" i="63"/>
  <c r="X312" i="63" s="1"/>
  <c r="E313" i="63" l="1"/>
  <c r="J313" i="63" l="1"/>
  <c r="D313" i="63"/>
  <c r="H313" i="63" s="1"/>
  <c r="I313" i="63" l="1"/>
  <c r="K313" i="63"/>
  <c r="C314" i="63" s="1"/>
  <c r="B314" i="63" l="1"/>
  <c r="A313" i="63"/>
  <c r="X313" i="63" s="1"/>
  <c r="E314" i="63" l="1"/>
  <c r="D314" i="63" l="1"/>
  <c r="H314" i="63" s="1"/>
  <c r="J314" i="63"/>
  <c r="I314" i="63" l="1"/>
  <c r="K314" i="63"/>
  <c r="C315" i="63" s="1"/>
  <c r="A314" i="63" l="1"/>
  <c r="X314" i="63" s="1"/>
  <c r="B315" i="63"/>
  <c r="E315" i="63" l="1"/>
  <c r="J315" i="63" l="1"/>
  <c r="D315" i="63"/>
  <c r="H315" i="63" s="1"/>
  <c r="I315" i="63" l="1"/>
  <c r="K315" i="63"/>
  <c r="C316" i="63" s="1"/>
  <c r="A315" i="63" l="1"/>
  <c r="X315" i="63" s="1"/>
  <c r="B316" i="63"/>
  <c r="E316" i="63" l="1"/>
  <c r="J316" i="63" l="1"/>
  <c r="D316" i="63"/>
  <c r="H316" i="63" s="1"/>
  <c r="I316" i="63" l="1"/>
  <c r="K316" i="63"/>
  <c r="C317" i="63" s="1"/>
  <c r="B317" i="63" l="1"/>
  <c r="A316" i="63"/>
  <c r="X316" i="63" s="1"/>
  <c r="E317" i="63" l="1"/>
  <c r="J317" i="63" l="1"/>
  <c r="D317" i="63"/>
  <c r="H317" i="63" s="1"/>
  <c r="I317" i="63" l="1"/>
  <c r="K317" i="63"/>
  <c r="C318" i="63" s="1"/>
  <c r="B318" i="63" l="1"/>
  <c r="A317" i="63"/>
  <c r="X317" i="63" s="1"/>
  <c r="E318" i="63" l="1"/>
  <c r="J318" i="63" l="1"/>
  <c r="D318" i="63"/>
  <c r="H318" i="63" s="1"/>
  <c r="I318" i="63" l="1"/>
  <c r="K318" i="63"/>
  <c r="C319" i="63" s="1"/>
  <c r="B319" i="63" l="1"/>
  <c r="A318" i="63"/>
  <c r="X318" i="63" s="1"/>
  <c r="E319" i="63" l="1"/>
  <c r="J319" i="63" l="1"/>
  <c r="D319" i="63"/>
  <c r="H319" i="63" s="1"/>
  <c r="I319" i="63" l="1"/>
  <c r="K319" i="63"/>
  <c r="C320" i="63" s="1"/>
  <c r="B320" i="63" l="1"/>
  <c r="A319" i="63"/>
  <c r="X319" i="63" s="1"/>
  <c r="E320" i="63" l="1"/>
  <c r="D320" i="63" l="1"/>
  <c r="H320" i="63" s="1"/>
  <c r="J320" i="63"/>
  <c r="I320" i="63" l="1"/>
  <c r="K320" i="63"/>
  <c r="C321" i="63" s="1"/>
  <c r="B321" i="63" l="1"/>
  <c r="A320" i="63"/>
  <c r="X320" i="63" s="1"/>
  <c r="E321" i="63" l="1"/>
  <c r="D321" i="63" l="1"/>
  <c r="H321" i="63" s="1"/>
  <c r="J321" i="63"/>
  <c r="I321" i="63" l="1"/>
  <c r="K321" i="63"/>
  <c r="C322" i="63" s="1"/>
  <c r="B322" i="63" l="1"/>
  <c r="A321" i="63"/>
  <c r="X321" i="63" s="1"/>
  <c r="E322" i="63" l="1"/>
  <c r="D322" i="63" l="1"/>
  <c r="H322" i="63" s="1"/>
  <c r="J322" i="63"/>
  <c r="I322" i="63" l="1"/>
  <c r="K322" i="63"/>
  <c r="C323" i="63" s="1"/>
  <c r="B323" i="63" l="1"/>
  <c r="A322" i="63"/>
  <c r="X322" i="63" s="1"/>
  <c r="E323" i="63" l="1"/>
  <c r="J323" i="63" l="1"/>
  <c r="D323" i="63"/>
  <c r="H323" i="63" s="1"/>
  <c r="I323" i="63" l="1"/>
  <c r="K323" i="63"/>
  <c r="C324" i="63" s="1"/>
  <c r="B324" i="63" l="1"/>
  <c r="A323" i="63"/>
  <c r="X323" i="63" s="1"/>
  <c r="E324" i="63" l="1"/>
  <c r="D324" i="63" l="1"/>
  <c r="H324" i="63" s="1"/>
  <c r="J324" i="63"/>
  <c r="I324" i="63" l="1"/>
  <c r="K324" i="63"/>
  <c r="C325" i="63" s="1"/>
  <c r="B325" i="63" l="1"/>
  <c r="A324" i="63"/>
  <c r="X324" i="63" s="1"/>
  <c r="E325" i="63" l="1"/>
  <c r="D325" i="63" l="1"/>
  <c r="H325" i="63" s="1"/>
  <c r="J325" i="63"/>
  <c r="I325" i="63" l="1"/>
  <c r="K325" i="63"/>
  <c r="C326" i="63" s="1"/>
  <c r="B326" i="63" l="1"/>
  <c r="A325" i="63"/>
  <c r="X325" i="63" s="1"/>
  <c r="E326" i="63" l="1"/>
  <c r="D326" i="63" l="1"/>
  <c r="H326" i="63" s="1"/>
  <c r="J326" i="63"/>
  <c r="I326" i="63" l="1"/>
  <c r="K326" i="63"/>
  <c r="C327" i="63" s="1"/>
  <c r="B327" i="63" l="1"/>
  <c r="A326" i="63"/>
  <c r="X326" i="63" s="1"/>
  <c r="E327" i="63" l="1"/>
  <c r="J327" i="63" l="1"/>
  <c r="D327" i="63"/>
  <c r="H327" i="63" s="1"/>
  <c r="I327" i="63" l="1"/>
  <c r="K327" i="63"/>
  <c r="C328" i="63" s="1"/>
  <c r="B328" i="63" l="1"/>
  <c r="A327" i="63"/>
  <c r="X327" i="63" s="1"/>
  <c r="E328" i="63" l="1"/>
  <c r="J328" i="63" l="1"/>
  <c r="D328" i="63"/>
  <c r="H328" i="63" s="1"/>
  <c r="I328" i="63" l="1"/>
  <c r="K328" i="63"/>
  <c r="C329" i="63" s="1"/>
  <c r="B329" i="63" l="1"/>
  <c r="A328" i="63"/>
  <c r="X328" i="63" s="1"/>
  <c r="E329" i="63" l="1"/>
  <c r="J329" i="63" l="1"/>
  <c r="D329" i="63"/>
  <c r="H329" i="63" s="1"/>
  <c r="I329" i="63" l="1"/>
  <c r="K329" i="63"/>
  <c r="C330" i="63" s="1"/>
  <c r="B330" i="63" l="1"/>
  <c r="A329" i="63"/>
  <c r="X329" i="63" s="1"/>
  <c r="E330" i="63" l="1"/>
  <c r="D330" i="63" l="1"/>
  <c r="H330" i="63" s="1"/>
  <c r="J330" i="63"/>
  <c r="I330" i="63" l="1"/>
  <c r="K330" i="63"/>
  <c r="C331" i="63" s="1"/>
  <c r="B331" i="63" l="1"/>
  <c r="A330" i="63"/>
  <c r="X330" i="63" s="1"/>
  <c r="E331" i="63" l="1"/>
  <c r="J331" i="63" l="1"/>
  <c r="D331" i="63"/>
  <c r="H331" i="63" s="1"/>
  <c r="I331" i="63" l="1"/>
  <c r="K331" i="63"/>
  <c r="C332" i="63" s="1"/>
  <c r="B332" i="63" l="1"/>
  <c r="A331" i="63"/>
  <c r="X331" i="63" s="1"/>
  <c r="E332" i="63" l="1"/>
  <c r="J332" i="63" l="1"/>
  <c r="D332" i="63"/>
  <c r="H332" i="63" s="1"/>
  <c r="I332" i="63" l="1"/>
  <c r="K332" i="63"/>
  <c r="C333" i="63" s="1"/>
  <c r="B333" i="63" l="1"/>
  <c r="A332" i="63"/>
  <c r="X332" i="63" s="1"/>
  <c r="E333" i="63" l="1"/>
  <c r="J333" i="63" l="1"/>
  <c r="D333" i="63"/>
  <c r="H333" i="63" s="1"/>
  <c r="I333" i="63" l="1"/>
  <c r="K333" i="63"/>
  <c r="C334" i="63" s="1"/>
  <c r="B334" i="63" l="1"/>
  <c r="A333" i="63"/>
  <c r="X333" i="63" s="1"/>
  <c r="E334" i="63" l="1"/>
  <c r="D334" i="63" l="1"/>
  <c r="H334" i="63" s="1"/>
  <c r="J334" i="63"/>
  <c r="I334" i="63" l="1"/>
  <c r="K334" i="63"/>
  <c r="C335" i="63" s="1"/>
  <c r="B335" i="63" l="1"/>
  <c r="A334" i="63"/>
  <c r="X334" i="63" s="1"/>
  <c r="E335" i="63" l="1"/>
  <c r="J335" i="63" l="1"/>
  <c r="D335" i="63"/>
  <c r="H335" i="63" s="1"/>
  <c r="I335" i="63" l="1"/>
  <c r="K335" i="63"/>
  <c r="C336" i="63" s="1"/>
  <c r="B336" i="63" l="1"/>
  <c r="A335" i="63"/>
  <c r="X335" i="63" s="1"/>
  <c r="E336" i="63" l="1"/>
  <c r="D336" i="63" l="1"/>
  <c r="H336" i="63" s="1"/>
  <c r="J336" i="63"/>
  <c r="I336" i="63" l="1"/>
  <c r="K336" i="63"/>
  <c r="C337" i="63" s="1"/>
  <c r="B337" i="63" l="1"/>
  <c r="A336" i="63"/>
  <c r="X336" i="63" s="1"/>
  <c r="E337" i="63" l="1"/>
  <c r="J337" i="63" l="1"/>
  <c r="D337" i="63"/>
  <c r="H337" i="63" s="1"/>
  <c r="I337" i="63" l="1"/>
  <c r="K337" i="63"/>
  <c r="C338" i="63" s="1"/>
  <c r="B338" i="63" l="1"/>
  <c r="A337" i="63"/>
  <c r="X337" i="63" s="1"/>
  <c r="E338" i="63" l="1"/>
  <c r="J338" i="63" l="1"/>
  <c r="D338" i="63"/>
  <c r="H338" i="63" s="1"/>
  <c r="I338" i="63" l="1"/>
  <c r="K338" i="63"/>
  <c r="C339" i="63" s="1"/>
  <c r="B339" i="63" l="1"/>
  <c r="A338" i="63"/>
  <c r="X338" i="63" s="1"/>
  <c r="E339" i="63" l="1"/>
  <c r="J339" i="63" l="1"/>
  <c r="D339" i="63"/>
  <c r="H339" i="63" s="1"/>
  <c r="I339" i="63" l="1"/>
  <c r="K339" i="63"/>
  <c r="C340" i="63" s="1"/>
  <c r="B340" i="63" l="1"/>
  <c r="A339" i="63"/>
  <c r="X339" i="63" s="1"/>
  <c r="E340" i="63" l="1"/>
  <c r="J340" i="63" l="1"/>
  <c r="D340" i="63"/>
  <c r="H340" i="63" s="1"/>
  <c r="I340" i="63" l="1"/>
  <c r="K340" i="63"/>
  <c r="C341" i="63" s="1"/>
  <c r="B341" i="63" l="1"/>
  <c r="A340" i="63"/>
  <c r="X340" i="63" s="1"/>
  <c r="E341" i="63" l="1"/>
  <c r="D341" i="63" l="1"/>
  <c r="H341" i="63" s="1"/>
  <c r="J341" i="63"/>
  <c r="I341" i="63" l="1"/>
  <c r="K341" i="63"/>
  <c r="C342" i="63" s="1"/>
  <c r="B342" i="63" l="1"/>
  <c r="A341" i="63"/>
  <c r="X341" i="63" s="1"/>
  <c r="E342" i="63" l="1"/>
  <c r="J342" i="63" l="1"/>
  <c r="D342" i="63"/>
  <c r="H342" i="63" s="1"/>
  <c r="I342" i="63" l="1"/>
  <c r="K342" i="63"/>
  <c r="C343" i="63" s="1"/>
  <c r="B343" i="63" l="1"/>
  <c r="A342" i="63"/>
  <c r="X342" i="63" s="1"/>
  <c r="E343" i="63" l="1"/>
  <c r="J343" i="63" l="1"/>
  <c r="D343" i="63"/>
  <c r="H343" i="63" s="1"/>
  <c r="I343" i="63" l="1"/>
  <c r="K343" i="63"/>
  <c r="C344" i="63" s="1"/>
  <c r="B344" i="63" l="1"/>
  <c r="A343" i="63"/>
  <c r="X343" i="63" s="1"/>
  <c r="E344" i="63" l="1"/>
  <c r="D344" i="63" l="1"/>
  <c r="H344" i="63" s="1"/>
  <c r="J344" i="63"/>
  <c r="I344" i="63" l="1"/>
  <c r="K344" i="63"/>
  <c r="C345" i="63" s="1"/>
  <c r="B345" i="63" l="1"/>
  <c r="A344" i="63"/>
  <c r="X344" i="63" s="1"/>
  <c r="E345" i="63" l="1"/>
  <c r="J345" i="63" l="1"/>
  <c r="D345" i="63"/>
  <c r="H345" i="63" s="1"/>
  <c r="I345" i="63" l="1"/>
  <c r="K345" i="63"/>
  <c r="C346" i="63" s="1"/>
  <c r="B346" i="63" l="1"/>
  <c r="A345" i="63"/>
  <c r="X345" i="63" s="1"/>
  <c r="E346" i="63" l="1"/>
  <c r="J346" i="63" l="1"/>
  <c r="D346" i="63"/>
  <c r="H346" i="63" s="1"/>
  <c r="I346" i="63" l="1"/>
  <c r="K346" i="63"/>
  <c r="C347" i="63" s="1"/>
  <c r="B347" i="63" l="1"/>
  <c r="A346" i="63"/>
  <c r="X346" i="63" s="1"/>
  <c r="E347" i="63" l="1"/>
  <c r="D347" i="63" l="1"/>
  <c r="H347" i="63" s="1"/>
  <c r="J347" i="63"/>
  <c r="I347" i="63" l="1"/>
  <c r="K347" i="63"/>
  <c r="C348" i="63" s="1"/>
  <c r="B348" i="63" l="1"/>
  <c r="A347" i="63"/>
  <c r="X347" i="63" s="1"/>
  <c r="E348" i="63" l="1"/>
  <c r="J348" i="63" l="1"/>
  <c r="D348" i="63"/>
  <c r="H348" i="63" s="1"/>
  <c r="I348" i="63" l="1"/>
  <c r="K348" i="63"/>
  <c r="C349" i="63" s="1"/>
  <c r="B349" i="63" l="1"/>
  <c r="A348" i="63"/>
  <c r="X348" i="63" s="1"/>
  <c r="E349" i="63" l="1"/>
  <c r="D349" i="63" l="1"/>
  <c r="H349" i="63" s="1"/>
  <c r="J349" i="63"/>
  <c r="I349" i="63" l="1"/>
  <c r="K349" i="63"/>
  <c r="C350" i="63" s="1"/>
  <c r="B350" i="63" l="1"/>
  <c r="A349" i="63"/>
  <c r="X349" i="63" s="1"/>
  <c r="E350" i="63" l="1"/>
  <c r="J350" i="63" l="1"/>
  <c r="D350" i="63"/>
  <c r="H350" i="63" s="1"/>
  <c r="I350" i="63" l="1"/>
  <c r="K350" i="63"/>
  <c r="C351" i="63" s="1"/>
  <c r="B351" i="63" l="1"/>
  <c r="A350" i="63"/>
  <c r="X350" i="63" s="1"/>
  <c r="E351" i="63" l="1"/>
  <c r="J351" i="63" l="1"/>
  <c r="D351" i="63"/>
  <c r="H351" i="63" s="1"/>
  <c r="I351" i="63" l="1"/>
  <c r="K351" i="63"/>
  <c r="C352" i="63" s="1"/>
  <c r="B352" i="63" l="1"/>
  <c r="A351" i="63"/>
  <c r="X351" i="63" s="1"/>
  <c r="E352" i="63" l="1"/>
  <c r="D352" i="63" l="1"/>
  <c r="H352" i="63" s="1"/>
  <c r="J352" i="63"/>
  <c r="I352" i="63" l="1"/>
  <c r="K352" i="63"/>
  <c r="C353" i="63" s="1"/>
  <c r="B353" i="63" l="1"/>
  <c r="A352" i="63"/>
  <c r="X352" i="63" s="1"/>
  <c r="E353" i="63" l="1"/>
  <c r="J353" i="63" l="1"/>
  <c r="D353" i="63"/>
  <c r="H353" i="63" s="1"/>
  <c r="I353" i="63" l="1"/>
  <c r="K353" i="63"/>
  <c r="C354" i="63" s="1"/>
  <c r="B354" i="63" l="1"/>
  <c r="A353" i="63"/>
  <c r="X353" i="63" s="1"/>
  <c r="E354" i="63" l="1"/>
  <c r="D354" i="63" l="1"/>
  <c r="H354" i="63" s="1"/>
  <c r="J354" i="63"/>
  <c r="I354" i="63" l="1"/>
  <c r="K354" i="63"/>
  <c r="C355" i="63" s="1"/>
  <c r="B355" i="63" l="1"/>
  <c r="A354" i="63"/>
  <c r="X354" i="63" s="1"/>
  <c r="E355" i="63" l="1"/>
  <c r="D355" i="63" l="1"/>
  <c r="H355" i="63" s="1"/>
  <c r="J355" i="63"/>
  <c r="I355" i="63" l="1"/>
  <c r="K355" i="63"/>
  <c r="C356" i="63" s="1"/>
  <c r="B356" i="63" l="1"/>
  <c r="A355" i="63"/>
  <c r="X355" i="63" s="1"/>
  <c r="E356" i="63" l="1"/>
  <c r="D356" i="63" l="1"/>
  <c r="H356" i="63" s="1"/>
  <c r="J356" i="63"/>
  <c r="I356" i="63" l="1"/>
  <c r="K356" i="63"/>
  <c r="C357" i="63" s="1"/>
  <c r="B357" i="63" l="1"/>
  <c r="A356" i="63"/>
  <c r="X356" i="63" s="1"/>
  <c r="E357" i="63" l="1"/>
  <c r="D357" i="63" l="1"/>
  <c r="H357" i="63" s="1"/>
  <c r="J357" i="63"/>
  <c r="I357" i="63" l="1"/>
  <c r="K357" i="63"/>
  <c r="C358" i="63" s="1"/>
  <c r="B358" i="63" l="1"/>
  <c r="A357" i="63"/>
  <c r="X357" i="63" s="1"/>
  <c r="E358" i="63" l="1"/>
  <c r="J358" i="63" l="1"/>
  <c r="D358" i="63"/>
  <c r="H358" i="63" s="1"/>
  <c r="I358" i="63" l="1"/>
  <c r="K358" i="63"/>
  <c r="C359" i="63" s="1"/>
  <c r="B359" i="63" l="1"/>
  <c r="A358" i="63"/>
  <c r="X358" i="63" s="1"/>
  <c r="E359" i="63" l="1"/>
  <c r="J359" i="63" l="1"/>
  <c r="D359" i="63"/>
  <c r="H359" i="63" s="1"/>
  <c r="I359" i="63" l="1"/>
  <c r="K359" i="63"/>
  <c r="C360" i="63" s="1"/>
  <c r="B360" i="63" l="1"/>
  <c r="A359" i="63"/>
  <c r="X359" i="63" s="1"/>
  <c r="E360" i="63" l="1"/>
  <c r="D360" i="63" l="1"/>
  <c r="H360" i="63" s="1"/>
  <c r="J360" i="63"/>
  <c r="I360" i="63" l="1"/>
  <c r="K360" i="63"/>
  <c r="C361" i="63" s="1"/>
  <c r="B361" i="63" l="1"/>
  <c r="A360" i="63"/>
  <c r="X360" i="63" s="1"/>
  <c r="E361" i="63" l="1"/>
  <c r="D361" i="63" l="1"/>
  <c r="H361" i="63" s="1"/>
  <c r="J361" i="63"/>
  <c r="I361" i="63" l="1"/>
  <c r="K361" i="63"/>
  <c r="C362" i="63" s="1"/>
  <c r="B362" i="63" l="1"/>
  <c r="A361" i="63"/>
  <c r="X361" i="63" s="1"/>
  <c r="E362" i="63" l="1"/>
  <c r="J362" i="63" l="1"/>
  <c r="D362" i="63"/>
  <c r="H362" i="63" s="1"/>
  <c r="I362" i="63" l="1"/>
  <c r="K362" i="63"/>
  <c r="C363" i="63" s="1"/>
  <c r="B363" i="63" l="1"/>
  <c r="A362" i="63"/>
  <c r="X362" i="63" s="1"/>
  <c r="E363" i="63" l="1"/>
  <c r="D363" i="63" l="1"/>
  <c r="H363" i="63" s="1"/>
  <c r="J363" i="63"/>
  <c r="I363" i="63" l="1"/>
  <c r="K363" i="63"/>
  <c r="C364" i="63" s="1"/>
  <c r="B364" i="63" l="1"/>
  <c r="A363" i="63"/>
  <c r="X363" i="63" s="1"/>
  <c r="E364" i="63" l="1"/>
  <c r="D364" i="63" l="1"/>
  <c r="H364" i="63" s="1"/>
  <c r="J364" i="63"/>
  <c r="I364" i="63" l="1"/>
  <c r="K364" i="63"/>
  <c r="C365" i="63" s="1"/>
  <c r="B365" i="63" l="1"/>
  <c r="A364" i="63"/>
  <c r="X364" i="63" s="1"/>
  <c r="E365" i="63" l="1"/>
  <c r="D365" i="63" l="1"/>
  <c r="H365" i="63" s="1"/>
  <c r="J365" i="63"/>
  <c r="I365" i="63" l="1"/>
  <c r="K365" i="63"/>
  <c r="C366" i="63" s="1"/>
  <c r="B366" i="63" l="1"/>
  <c r="A365" i="63"/>
  <c r="X365" i="63" s="1"/>
  <c r="E366" i="63" l="1"/>
  <c r="J366" i="63" l="1"/>
  <c r="D366" i="63"/>
  <c r="H366" i="63" s="1"/>
  <c r="I366" i="63" l="1"/>
  <c r="K366" i="63"/>
  <c r="C367" i="63" s="1"/>
  <c r="B367" i="63" l="1"/>
  <c r="A366" i="63"/>
  <c r="X366" i="63" s="1"/>
  <c r="E367" i="63" l="1"/>
  <c r="D367" i="63" l="1"/>
  <c r="H367" i="63" s="1"/>
  <c r="J367" i="63"/>
  <c r="I367" i="63" l="1"/>
  <c r="K367" i="63"/>
  <c r="C368" i="63" s="1"/>
  <c r="B368" i="63" l="1"/>
  <c r="A367" i="63"/>
  <c r="X367" i="63" s="1"/>
  <c r="E368" i="63" l="1"/>
  <c r="J368" i="63" l="1"/>
  <c r="D368" i="63"/>
  <c r="H368" i="63" s="1"/>
  <c r="I368" i="63" l="1"/>
  <c r="K368" i="63"/>
  <c r="C369" i="63" s="1"/>
  <c r="B369" i="63" l="1"/>
  <c r="A368" i="63"/>
  <c r="X368" i="63" s="1"/>
  <c r="E369" i="63" l="1"/>
  <c r="J369" i="63" l="1"/>
  <c r="D369" i="63"/>
  <c r="H369" i="63" s="1"/>
  <c r="I369" i="63" l="1"/>
  <c r="K369" i="63"/>
  <c r="C370" i="63" s="1"/>
  <c r="B370" i="63" l="1"/>
  <c r="A369" i="63"/>
  <c r="X369" i="63" s="1"/>
  <c r="E370" i="63" l="1"/>
  <c r="D370" i="63" l="1"/>
  <c r="H370" i="63" s="1"/>
  <c r="J370" i="63"/>
  <c r="I370" i="63" l="1"/>
  <c r="K370" i="63"/>
  <c r="C371" i="63" s="1"/>
  <c r="B371" i="63" l="1"/>
  <c r="A370" i="63"/>
  <c r="X370" i="63" s="1"/>
  <c r="E371" i="63" l="1"/>
  <c r="J371" i="63" l="1"/>
  <c r="D371" i="63"/>
  <c r="H371" i="63" s="1"/>
  <c r="I371" i="63" l="1"/>
  <c r="K371" i="63"/>
  <c r="C372" i="63" s="1"/>
  <c r="B372" i="63" l="1"/>
  <c r="A371" i="63"/>
  <c r="X371" i="63" s="1"/>
  <c r="E372" i="63" l="1"/>
  <c r="J372" i="63" l="1"/>
  <c r="D372" i="63"/>
  <c r="H372" i="63" s="1"/>
  <c r="I372" i="63" l="1"/>
  <c r="K372" i="63"/>
  <c r="C373" i="63" s="1"/>
  <c r="B373" i="63" l="1"/>
  <c r="A372" i="63"/>
  <c r="X372" i="63" s="1"/>
  <c r="E373" i="63" l="1"/>
  <c r="D373" i="63" l="1"/>
  <c r="H373" i="63" s="1"/>
  <c r="J373" i="63"/>
  <c r="I373" i="63" l="1"/>
  <c r="K373" i="63"/>
  <c r="C374" i="63" s="1"/>
  <c r="B374" i="63" l="1"/>
  <c r="A373" i="63"/>
  <c r="X373" i="63" s="1"/>
  <c r="E374" i="63" l="1"/>
  <c r="D374" i="63" l="1"/>
  <c r="H374" i="63" s="1"/>
  <c r="J374" i="63"/>
  <c r="I374" i="63" l="1"/>
  <c r="K374" i="63"/>
  <c r="C375" i="63" l="1"/>
  <c r="B375" i="63"/>
  <c r="A374" i="63"/>
  <c r="X374" i="63" s="1"/>
  <c r="E375" i="63" l="1"/>
  <c r="J375" i="63" l="1"/>
  <c r="D375" i="63"/>
  <c r="H375" i="63" s="1"/>
  <c r="I375" i="63" l="1"/>
  <c r="K375" i="63"/>
  <c r="C376" i="63" s="1"/>
  <c r="B376" i="63" l="1"/>
  <c r="A375" i="63"/>
  <c r="X375" i="63" s="1"/>
  <c r="E376" i="63" l="1"/>
  <c r="J376" i="63" l="1"/>
  <c r="D376" i="63"/>
  <c r="H376" i="63" s="1"/>
  <c r="I376" i="63" l="1"/>
  <c r="K376" i="63"/>
  <c r="C377" i="63" s="1"/>
  <c r="B377" i="63" l="1"/>
  <c r="A376" i="63"/>
  <c r="X376" i="63" s="1"/>
  <c r="E377" i="63" l="1"/>
  <c r="D377" i="63" l="1"/>
  <c r="H377" i="63" s="1"/>
  <c r="J377" i="63"/>
  <c r="I377" i="63" l="1"/>
  <c r="K377" i="63"/>
  <c r="C378" i="63" s="1"/>
  <c r="B378" i="63" l="1"/>
  <c r="A377" i="63"/>
  <c r="X377" i="63" s="1"/>
  <c r="E378" i="63" l="1"/>
  <c r="J378" i="63" l="1"/>
  <c r="D378" i="63"/>
  <c r="H378" i="63" s="1"/>
  <c r="I378" i="63" l="1"/>
  <c r="K378" i="63"/>
  <c r="C379" i="63" s="1"/>
  <c r="B379" i="63" l="1"/>
  <c r="A378" i="63"/>
  <c r="X378" i="63" s="1"/>
  <c r="E379" i="63" l="1"/>
  <c r="J379" i="63" l="1"/>
  <c r="D379" i="63"/>
  <c r="H379" i="63" s="1"/>
  <c r="I379" i="63" l="1"/>
  <c r="K379" i="63"/>
  <c r="C380" i="63" s="1"/>
  <c r="B380" i="63" l="1"/>
  <c r="A379" i="63"/>
  <c r="X379" i="63" s="1"/>
  <c r="E380" i="63" l="1"/>
  <c r="J380" i="63" l="1"/>
  <c r="D380" i="63"/>
  <c r="H380" i="63" s="1"/>
  <c r="I380" i="63" l="1"/>
  <c r="K380" i="63"/>
  <c r="C381" i="63" s="1"/>
  <c r="B381" i="63" l="1"/>
  <c r="A380" i="63"/>
  <c r="X380" i="63" s="1"/>
  <c r="E381" i="63" l="1"/>
  <c r="J381" i="63" l="1"/>
  <c r="D381" i="63"/>
  <c r="H381" i="63" s="1"/>
  <c r="I381" i="63" l="1"/>
  <c r="K381" i="63"/>
  <c r="C382" i="63" s="1"/>
  <c r="B382" i="63" l="1"/>
  <c r="A381" i="63"/>
  <c r="X381" i="63" s="1"/>
  <c r="E382" i="63" l="1"/>
  <c r="J382" i="63" l="1"/>
  <c r="D382" i="63"/>
  <c r="H382" i="63" s="1"/>
  <c r="I382" i="63" l="1"/>
  <c r="K382" i="63"/>
  <c r="C383" i="63" s="1"/>
  <c r="B383" i="63" l="1"/>
  <c r="A382" i="63"/>
  <c r="X382" i="63" s="1"/>
  <c r="E383" i="63" l="1"/>
  <c r="J383" i="63" l="1"/>
  <c r="D383" i="63"/>
  <c r="H383" i="63" s="1"/>
  <c r="I383" i="63" l="1"/>
  <c r="K383" i="63"/>
  <c r="C384" i="63" s="1"/>
  <c r="B384" i="63" l="1"/>
  <c r="A383" i="63"/>
  <c r="X383" i="63" s="1"/>
  <c r="E384" i="63" l="1"/>
  <c r="J384" i="63" l="1"/>
  <c r="D384" i="63"/>
  <c r="H384" i="63" s="1"/>
  <c r="I384" i="63" l="1"/>
  <c r="K384" i="63"/>
  <c r="C385" i="63" s="1"/>
  <c r="B385" i="63" l="1"/>
  <c r="A384" i="63"/>
  <c r="X384" i="63" s="1"/>
  <c r="E385" i="63" l="1"/>
  <c r="J385" i="63" l="1"/>
  <c r="D385" i="63"/>
  <c r="H385" i="63" s="1"/>
  <c r="I385" i="63" l="1"/>
  <c r="K385" i="63"/>
  <c r="C386" i="63" s="1"/>
  <c r="B386" i="63" l="1"/>
  <c r="A385" i="63"/>
  <c r="X385" i="63" s="1"/>
  <c r="E386" i="63" l="1"/>
  <c r="J386" i="63" l="1"/>
  <c r="D386" i="63"/>
  <c r="H386" i="63" s="1"/>
  <c r="I386" i="63" l="1"/>
  <c r="K386" i="63"/>
  <c r="C387" i="63" s="1"/>
  <c r="B387" i="63" l="1"/>
  <c r="A386" i="63"/>
  <c r="X386" i="63" s="1"/>
  <c r="E387" i="63" l="1"/>
  <c r="D387" i="63" l="1"/>
  <c r="H387" i="63" s="1"/>
  <c r="J387" i="63"/>
  <c r="I387" i="63" l="1"/>
  <c r="K387" i="63"/>
  <c r="C388" i="63" s="1"/>
  <c r="B388" i="63" l="1"/>
  <c r="A387" i="63"/>
  <c r="X387" i="63" s="1"/>
  <c r="E388" i="63" l="1"/>
  <c r="D388" i="63" l="1"/>
  <c r="H388" i="63" s="1"/>
  <c r="J388" i="63"/>
  <c r="I388" i="63" l="1"/>
  <c r="K388" i="63"/>
  <c r="C389" i="63" s="1"/>
  <c r="B389" i="63" l="1"/>
  <c r="A388" i="63"/>
  <c r="X388" i="63" s="1"/>
  <c r="E389" i="63" l="1"/>
  <c r="D389" i="63" l="1"/>
  <c r="H389" i="63" s="1"/>
  <c r="J389" i="63"/>
  <c r="I389" i="63" l="1"/>
  <c r="K389" i="63"/>
  <c r="C390" i="63" s="1"/>
  <c r="B390" i="63" l="1"/>
  <c r="A389" i="63"/>
  <c r="X389" i="63" s="1"/>
  <c r="E390" i="63" l="1"/>
  <c r="J390" i="63" l="1"/>
  <c r="D390" i="63"/>
  <c r="H390" i="63" s="1"/>
  <c r="I390" i="63" l="1"/>
  <c r="K390" i="63"/>
  <c r="C391" i="63" s="1"/>
  <c r="B391" i="63" l="1"/>
  <c r="A390" i="63"/>
  <c r="X390" i="63" s="1"/>
  <c r="E391" i="63" l="1"/>
  <c r="J391" i="63" l="1"/>
  <c r="D391" i="63"/>
  <c r="H391" i="63" s="1"/>
  <c r="I391" i="63" l="1"/>
  <c r="K391" i="63"/>
  <c r="C392" i="63" s="1"/>
  <c r="B392" i="63" l="1"/>
  <c r="A391" i="63"/>
  <c r="X391" i="63" s="1"/>
  <c r="E392" i="63" l="1"/>
  <c r="D392" i="63" l="1"/>
  <c r="H392" i="63" s="1"/>
  <c r="J392" i="63"/>
  <c r="I392" i="63" l="1"/>
  <c r="K392" i="63"/>
  <c r="C393" i="63" s="1"/>
  <c r="B393" i="63" l="1"/>
  <c r="A392" i="63"/>
  <c r="X392" i="63" s="1"/>
  <c r="E393" i="63" l="1"/>
  <c r="D393" i="63" l="1"/>
  <c r="H393" i="63" s="1"/>
  <c r="J393" i="63"/>
  <c r="I393" i="63" l="1"/>
  <c r="K393" i="63"/>
  <c r="C394" i="63" s="1"/>
  <c r="B394" i="63" l="1"/>
  <c r="A393" i="63"/>
  <c r="X393" i="63" s="1"/>
  <c r="E394" i="63" l="1"/>
  <c r="D394" i="63" l="1"/>
  <c r="H394" i="63" s="1"/>
  <c r="J394" i="63"/>
  <c r="I394" i="63" l="1"/>
  <c r="K394" i="63"/>
  <c r="C395" i="63" s="1"/>
  <c r="B395" i="63" l="1"/>
  <c r="A394" i="63"/>
  <c r="X394" i="63" s="1"/>
  <c r="E395" i="63" l="1"/>
  <c r="J395" i="63" l="1"/>
  <c r="D395" i="63"/>
  <c r="H395" i="63" s="1"/>
  <c r="I395" i="63" l="1"/>
  <c r="K395" i="63"/>
  <c r="C396" i="63" s="1"/>
  <c r="B396" i="63" l="1"/>
  <c r="A395" i="63"/>
  <c r="X395" i="63" s="1"/>
  <c r="E396" i="63" l="1"/>
  <c r="J396" i="63" l="1"/>
  <c r="D396" i="63"/>
  <c r="H396" i="63" s="1"/>
  <c r="I396" i="63" l="1"/>
  <c r="K396" i="63"/>
  <c r="C397" i="63" s="1"/>
  <c r="B397" i="63" l="1"/>
  <c r="A396" i="63"/>
  <c r="X396" i="63" s="1"/>
  <c r="E397" i="63" l="1"/>
  <c r="J397" i="63" l="1"/>
  <c r="D397" i="63"/>
  <c r="H397" i="63" s="1"/>
  <c r="I397" i="63" l="1"/>
  <c r="K397" i="63"/>
  <c r="C398" i="63" s="1"/>
  <c r="B398" i="63" l="1"/>
  <c r="A397" i="63"/>
  <c r="X397" i="63" s="1"/>
  <c r="E398" i="63" l="1"/>
  <c r="J398" i="63" l="1"/>
  <c r="D398" i="63"/>
  <c r="H398" i="63" s="1"/>
  <c r="I398" i="63" l="1"/>
  <c r="K398" i="63"/>
  <c r="C399" i="63" s="1"/>
  <c r="B399" i="63" l="1"/>
  <c r="A398" i="63"/>
  <c r="X398" i="63" s="1"/>
  <c r="E399" i="63" l="1"/>
  <c r="J399" i="63" l="1"/>
  <c r="D399" i="63"/>
  <c r="H399" i="63" s="1"/>
  <c r="I399" i="63" l="1"/>
  <c r="K399" i="63"/>
  <c r="C400" i="63" s="1"/>
  <c r="B400" i="63" l="1"/>
  <c r="A399" i="63"/>
  <c r="X399" i="63" s="1"/>
  <c r="E400" i="63" l="1"/>
  <c r="D400" i="63" l="1"/>
  <c r="H400" i="63" s="1"/>
  <c r="J400" i="63"/>
  <c r="I400" i="63" l="1"/>
  <c r="K400" i="63"/>
  <c r="C401" i="63" s="1"/>
  <c r="B401" i="63" l="1"/>
  <c r="A400" i="63"/>
  <c r="X400" i="63" s="1"/>
  <c r="E401" i="63" l="1"/>
  <c r="J401" i="63" l="1"/>
  <c r="D401" i="63"/>
  <c r="H401" i="63" s="1"/>
  <c r="I401" i="63" l="1"/>
  <c r="K401" i="63"/>
  <c r="C402" i="63" s="1"/>
  <c r="B402" i="63" l="1"/>
  <c r="A401" i="63"/>
  <c r="X401" i="63" s="1"/>
  <c r="E402" i="63" l="1"/>
  <c r="J402" i="63" l="1"/>
  <c r="D402" i="63"/>
  <c r="H402" i="63" s="1"/>
  <c r="I402" i="63" l="1"/>
  <c r="K402" i="63"/>
  <c r="C403" i="63" s="1"/>
  <c r="B403" i="63" l="1"/>
  <c r="A402" i="63"/>
  <c r="X402" i="63" s="1"/>
  <c r="E403" i="63" l="1"/>
  <c r="J403" i="63" l="1"/>
  <c r="D403" i="63"/>
  <c r="H403" i="63" s="1"/>
  <c r="I403" i="63" l="1"/>
  <c r="K403" i="63"/>
  <c r="C404" i="63" s="1"/>
  <c r="B404" i="63" l="1"/>
  <c r="A403" i="63"/>
  <c r="X403" i="63" s="1"/>
  <c r="E404" i="63" l="1"/>
  <c r="J404" i="63" l="1"/>
  <c r="D404" i="63"/>
  <c r="H404" i="63" s="1"/>
  <c r="I404" i="63" l="1"/>
  <c r="K404" i="63"/>
  <c r="C405" i="63" s="1"/>
  <c r="B405" i="63" l="1"/>
  <c r="A404" i="63"/>
  <c r="X404" i="63" s="1"/>
  <c r="E405" i="63" l="1"/>
  <c r="J405" i="63" l="1"/>
  <c r="D405" i="63"/>
  <c r="H405" i="63" s="1"/>
  <c r="I405" i="63" l="1"/>
  <c r="K405" i="63"/>
  <c r="C406" i="63" s="1"/>
  <c r="B406" i="63" l="1"/>
  <c r="A405" i="63"/>
  <c r="X405" i="63" s="1"/>
  <c r="E406" i="63" l="1"/>
  <c r="J406" i="63" l="1"/>
  <c r="D406" i="63"/>
  <c r="H406" i="63" s="1"/>
  <c r="I406" i="63" l="1"/>
  <c r="K406" i="63"/>
  <c r="C407" i="63" s="1"/>
  <c r="B407" i="63" l="1"/>
  <c r="A406" i="63"/>
  <c r="X406" i="63" s="1"/>
  <c r="E407" i="63" l="1"/>
  <c r="J407" i="63" l="1"/>
  <c r="D407" i="63"/>
  <c r="H407" i="63" s="1"/>
  <c r="I407" i="63" l="1"/>
  <c r="K407" i="63"/>
  <c r="C408" i="63" s="1"/>
  <c r="B408" i="63" l="1"/>
  <c r="A407" i="63"/>
  <c r="X407" i="63" s="1"/>
  <c r="E408" i="63" l="1"/>
  <c r="D408" i="63" l="1"/>
  <c r="H408" i="63" s="1"/>
  <c r="J408" i="63"/>
  <c r="I408" i="63" l="1"/>
  <c r="K408" i="63"/>
  <c r="C409" i="63" s="1"/>
  <c r="B409" i="63" l="1"/>
  <c r="A408" i="63"/>
  <c r="X408" i="63" s="1"/>
  <c r="E409" i="63" l="1"/>
  <c r="J409" i="63" l="1"/>
  <c r="D409" i="63"/>
  <c r="H409" i="63" s="1"/>
  <c r="I409" i="63" l="1"/>
  <c r="K409" i="63"/>
  <c r="C410" i="63" s="1"/>
  <c r="B410" i="63" l="1"/>
  <c r="A409" i="63"/>
  <c r="X409" i="63" s="1"/>
  <c r="E410" i="63" l="1"/>
  <c r="J410" i="63" l="1"/>
  <c r="D410" i="63"/>
  <c r="H410" i="63" s="1"/>
  <c r="I410" i="63" l="1"/>
  <c r="K410" i="63"/>
  <c r="C411" i="63" s="1"/>
  <c r="B411" i="63" l="1"/>
  <c r="A410" i="63"/>
  <c r="X410" i="63" s="1"/>
  <c r="E411" i="63" l="1"/>
  <c r="J411" i="63" l="1"/>
  <c r="D411" i="63"/>
  <c r="H411" i="63" s="1"/>
  <c r="I411" i="63" l="1"/>
  <c r="K411" i="63"/>
  <c r="C412" i="63" s="1"/>
  <c r="B412" i="63" l="1"/>
  <c r="A411" i="63"/>
  <c r="X411" i="63" s="1"/>
  <c r="E412" i="63" l="1"/>
  <c r="D412" i="63" l="1"/>
  <c r="H412" i="63" s="1"/>
  <c r="J412" i="63"/>
  <c r="I412" i="63" l="1"/>
  <c r="K412" i="63"/>
  <c r="C413" i="63" s="1"/>
  <c r="B413" i="63" l="1"/>
  <c r="A412" i="63"/>
  <c r="X412" i="63" s="1"/>
  <c r="E413" i="63" l="1"/>
  <c r="J413" i="63" l="1"/>
  <c r="D413" i="63"/>
  <c r="H413" i="63" s="1"/>
  <c r="I413" i="63" l="1"/>
  <c r="K413" i="63"/>
  <c r="C414" i="63" s="1"/>
  <c r="B414" i="63" l="1"/>
  <c r="A413" i="63"/>
  <c r="X413" i="63" s="1"/>
  <c r="E414" i="63" l="1"/>
  <c r="D414" i="63" l="1"/>
  <c r="H414" i="63" s="1"/>
  <c r="J414" i="63"/>
  <c r="I414" i="63" l="1"/>
  <c r="K414" i="63"/>
  <c r="C415" i="63" s="1"/>
  <c r="B415" i="63" l="1"/>
  <c r="A414" i="63"/>
  <c r="X414" i="63" s="1"/>
  <c r="E415" i="63" l="1"/>
  <c r="J415" i="63" l="1"/>
  <c r="D415" i="63"/>
  <c r="H415" i="63" s="1"/>
  <c r="I415" i="63" l="1"/>
  <c r="K415" i="63"/>
  <c r="C416" i="63" s="1"/>
  <c r="B416" i="63" l="1"/>
  <c r="A415" i="63"/>
  <c r="X415" i="63" s="1"/>
  <c r="E416" i="63" l="1"/>
  <c r="J416" i="63" l="1"/>
  <c r="D416" i="63"/>
  <c r="H416" i="63" s="1"/>
  <c r="I416" i="63" l="1"/>
  <c r="K416" i="63"/>
  <c r="C417" i="63" s="1"/>
  <c r="B417" i="63" l="1"/>
  <c r="A416" i="63"/>
  <c r="X416" i="63" s="1"/>
  <c r="E417" i="63" l="1"/>
  <c r="D417" i="63" l="1"/>
  <c r="H417" i="63" s="1"/>
  <c r="J417" i="63"/>
  <c r="I417" i="63" l="1"/>
  <c r="K417" i="63"/>
  <c r="C418" i="63" s="1"/>
  <c r="B418" i="63" l="1"/>
  <c r="A417" i="63"/>
  <c r="X417" i="63" s="1"/>
  <c r="E418" i="63" l="1"/>
  <c r="J418" i="63" l="1"/>
  <c r="D418" i="63"/>
  <c r="H418" i="63" s="1"/>
  <c r="I418" i="63" l="1"/>
  <c r="K418" i="63"/>
  <c r="C419" i="63" s="1"/>
  <c r="B419" i="63" l="1"/>
  <c r="A418" i="63"/>
  <c r="X418" i="63" s="1"/>
  <c r="E419" i="63" l="1"/>
  <c r="D419" i="63" l="1"/>
  <c r="H419" i="63" s="1"/>
  <c r="J419" i="63"/>
  <c r="I419" i="63" l="1"/>
  <c r="K419" i="63"/>
  <c r="C420" i="63" s="1"/>
  <c r="B420" i="63" l="1"/>
  <c r="A419" i="63"/>
  <c r="X419" i="63" s="1"/>
  <c r="E420" i="63" l="1"/>
  <c r="J420" i="63" l="1"/>
  <c r="D420" i="63"/>
  <c r="H420" i="63" s="1"/>
  <c r="I420" i="63" l="1"/>
  <c r="K420" i="63"/>
  <c r="C421" i="63" s="1"/>
  <c r="B421" i="63" l="1"/>
  <c r="A420" i="63"/>
  <c r="X420" i="63" s="1"/>
  <c r="E421" i="63" l="1"/>
  <c r="J421" i="63" l="1"/>
  <c r="D421" i="63"/>
  <c r="H421" i="63" s="1"/>
  <c r="I421" i="63" l="1"/>
  <c r="K421" i="63"/>
  <c r="C422" i="63" s="1"/>
  <c r="B422" i="63" l="1"/>
  <c r="A421" i="63"/>
  <c r="X421" i="63" s="1"/>
  <c r="E422" i="63" l="1"/>
  <c r="J422" i="63" l="1"/>
  <c r="D422" i="63"/>
  <c r="H422" i="63" s="1"/>
  <c r="I422" i="63" l="1"/>
  <c r="K422" i="63"/>
  <c r="C423" i="63" s="1"/>
  <c r="B423" i="63" l="1"/>
  <c r="A422" i="63"/>
  <c r="X422" i="63" s="1"/>
  <c r="E423" i="63" l="1"/>
  <c r="J423" i="63" l="1"/>
  <c r="D423" i="63"/>
  <c r="H423" i="63" s="1"/>
  <c r="I423" i="63" l="1"/>
  <c r="K423" i="63"/>
  <c r="C424" i="63" s="1"/>
  <c r="B424" i="63" l="1"/>
  <c r="A423" i="63"/>
  <c r="X423" i="63" s="1"/>
  <c r="E424" i="63" l="1"/>
  <c r="J424" i="63" l="1"/>
  <c r="D424" i="63"/>
  <c r="H424" i="63" s="1"/>
  <c r="I424" i="63" l="1"/>
  <c r="K424" i="63"/>
  <c r="C425" i="63" s="1"/>
  <c r="B425" i="63" l="1"/>
  <c r="A424" i="63"/>
  <c r="X424" i="63" s="1"/>
  <c r="E425" i="63" l="1"/>
  <c r="D425" i="63" l="1"/>
  <c r="H425" i="63" s="1"/>
  <c r="J425" i="63"/>
  <c r="I425" i="63" l="1"/>
  <c r="K425" i="63"/>
  <c r="C426" i="63" s="1"/>
  <c r="B426" i="63" l="1"/>
  <c r="A425" i="63"/>
  <c r="X425" i="63" s="1"/>
  <c r="E426" i="63" l="1"/>
  <c r="J426" i="63" l="1"/>
  <c r="D426" i="63"/>
  <c r="H426" i="63" s="1"/>
  <c r="I426" i="63" l="1"/>
  <c r="K426" i="63"/>
  <c r="C427" i="63" s="1"/>
  <c r="B427" i="63" l="1"/>
  <c r="A426" i="63"/>
  <c r="X426" i="63" s="1"/>
  <c r="E427" i="63" l="1"/>
  <c r="J427" i="63" l="1"/>
  <c r="D427" i="63"/>
  <c r="H427" i="63" s="1"/>
  <c r="I427" i="63" l="1"/>
  <c r="K427" i="63"/>
  <c r="C428" i="63" s="1"/>
  <c r="B428" i="63" l="1"/>
  <c r="A427" i="63"/>
  <c r="X427" i="63" s="1"/>
  <c r="E428" i="63" l="1"/>
  <c r="J428" i="63" l="1"/>
  <c r="D428" i="63"/>
  <c r="H428" i="63" s="1"/>
  <c r="I428" i="63" l="1"/>
  <c r="K428" i="63"/>
  <c r="C429" i="63" s="1"/>
  <c r="B429" i="63" l="1"/>
  <c r="A428" i="63"/>
  <c r="X428" i="63" s="1"/>
  <c r="E429" i="63" l="1"/>
  <c r="D429" i="63" l="1"/>
  <c r="H429" i="63" s="1"/>
  <c r="J429" i="63"/>
  <c r="I429" i="63" l="1"/>
  <c r="K429" i="63"/>
  <c r="C430" i="63" s="1"/>
  <c r="B430" i="63" l="1"/>
  <c r="A429" i="63"/>
  <c r="X429" i="63" s="1"/>
  <c r="E430" i="63" l="1"/>
  <c r="D430" i="63" l="1"/>
  <c r="H430" i="63" s="1"/>
  <c r="J430" i="63"/>
  <c r="I430" i="63" l="1"/>
  <c r="K430" i="63"/>
  <c r="C431" i="63" s="1"/>
  <c r="B431" i="63" l="1"/>
  <c r="A430" i="63"/>
  <c r="X430" i="63" s="1"/>
  <c r="E431" i="63" l="1"/>
  <c r="J431" i="63" l="1"/>
  <c r="D431" i="63"/>
  <c r="H431" i="63" s="1"/>
  <c r="I431" i="63" l="1"/>
  <c r="K431" i="63"/>
  <c r="C432" i="63" s="1"/>
  <c r="B432" i="63" l="1"/>
  <c r="A431" i="63"/>
  <c r="X431" i="63" s="1"/>
  <c r="E432" i="63" l="1"/>
  <c r="J432" i="63" l="1"/>
  <c r="D432" i="63"/>
  <c r="H432" i="63" s="1"/>
  <c r="I432" i="63" l="1"/>
  <c r="K432" i="63"/>
  <c r="C433" i="63" s="1"/>
  <c r="B433" i="63" l="1"/>
  <c r="A432" i="63"/>
  <c r="X432" i="63" s="1"/>
  <c r="E433" i="63" l="1"/>
  <c r="D433" i="63" l="1"/>
  <c r="H433" i="63" s="1"/>
  <c r="J433" i="63"/>
  <c r="I433" i="63" l="1"/>
  <c r="K433" i="63"/>
  <c r="C434" i="63" s="1"/>
  <c r="B434" i="63" l="1"/>
  <c r="A433" i="63"/>
  <c r="X433" i="63" s="1"/>
  <c r="E434" i="63" l="1"/>
  <c r="J434" i="63" l="1"/>
  <c r="D434" i="63"/>
  <c r="H434" i="63" s="1"/>
  <c r="I434" i="63" l="1"/>
  <c r="K434" i="63"/>
  <c r="C435" i="63" s="1"/>
  <c r="B435" i="63" l="1"/>
  <c r="A434" i="63"/>
  <c r="X434" i="63" s="1"/>
  <c r="E435" i="63" l="1"/>
  <c r="D435" i="63" l="1"/>
  <c r="H435" i="63" s="1"/>
  <c r="J435" i="63"/>
  <c r="I435" i="63" l="1"/>
  <c r="K435" i="63"/>
  <c r="C436" i="63" s="1"/>
  <c r="B436" i="63" l="1"/>
  <c r="A435" i="63"/>
  <c r="X435" i="63" s="1"/>
  <c r="E436" i="63" l="1"/>
  <c r="J436" i="63" l="1"/>
  <c r="D436" i="63"/>
  <c r="H436" i="63" s="1"/>
  <c r="I436" i="63" l="1"/>
  <c r="K436" i="63"/>
  <c r="C437" i="63" s="1"/>
  <c r="B437" i="63" l="1"/>
  <c r="A436" i="63"/>
  <c r="X436" i="63" s="1"/>
  <c r="E437" i="63" l="1"/>
  <c r="D437" i="63" l="1"/>
  <c r="H437" i="63" s="1"/>
  <c r="J437" i="63"/>
  <c r="I437" i="63" l="1"/>
  <c r="K437" i="63"/>
  <c r="C438" i="63" s="1"/>
  <c r="B438" i="63" l="1"/>
  <c r="A437" i="63"/>
  <c r="X437" i="63" s="1"/>
  <c r="E438" i="63" l="1"/>
  <c r="D438" i="63" l="1"/>
  <c r="H438" i="63" s="1"/>
  <c r="J438" i="63"/>
  <c r="I438" i="63" l="1"/>
  <c r="K438" i="63"/>
  <c r="C439" i="63" s="1"/>
  <c r="B439" i="63" l="1"/>
  <c r="A438" i="63"/>
  <c r="X438" i="63" s="1"/>
  <c r="E439" i="63" l="1"/>
  <c r="J439" i="63" l="1"/>
  <c r="D439" i="63"/>
  <c r="H439" i="63" s="1"/>
  <c r="I439" i="63" l="1"/>
  <c r="K439" i="63"/>
  <c r="C440" i="63" s="1"/>
  <c r="B440" i="63" l="1"/>
  <c r="A439" i="63"/>
  <c r="X439" i="63" s="1"/>
  <c r="E440" i="63" l="1"/>
  <c r="J440" i="63" l="1"/>
  <c r="D440" i="63"/>
  <c r="H440" i="63" s="1"/>
  <c r="I440" i="63" l="1"/>
  <c r="K440" i="63"/>
  <c r="C441" i="63" s="1"/>
  <c r="B441" i="63" l="1"/>
  <c r="A440" i="63"/>
  <c r="X440" i="63" s="1"/>
  <c r="E441" i="63" l="1"/>
  <c r="D441" i="63" l="1"/>
  <c r="H441" i="63" s="1"/>
  <c r="J441" i="63"/>
  <c r="I441" i="63" l="1"/>
  <c r="K441" i="63"/>
  <c r="C442" i="63" s="1"/>
  <c r="B442" i="63" l="1"/>
  <c r="A441" i="63"/>
  <c r="X441" i="63" s="1"/>
  <c r="E442" i="63" l="1"/>
  <c r="J442" i="63" l="1"/>
  <c r="D442" i="63"/>
  <c r="H442" i="63" s="1"/>
  <c r="I442" i="63" l="1"/>
  <c r="K442" i="63"/>
  <c r="C443" i="63" s="1"/>
  <c r="B443" i="63" l="1"/>
  <c r="A442" i="63"/>
  <c r="X442" i="63" s="1"/>
  <c r="E443" i="63" l="1"/>
  <c r="D443" i="63" l="1"/>
  <c r="H443" i="63" s="1"/>
  <c r="J443" i="63"/>
  <c r="I443" i="63" l="1"/>
  <c r="K443" i="63"/>
  <c r="C444" i="63" s="1"/>
  <c r="B444" i="63" l="1"/>
  <c r="A443" i="63"/>
  <c r="X443" i="63" s="1"/>
  <c r="E444" i="63" l="1"/>
  <c r="J444" i="63" l="1"/>
  <c r="D444" i="63"/>
  <c r="H444" i="63" s="1"/>
  <c r="I444" i="63" l="1"/>
  <c r="K444" i="63"/>
  <c r="C445" i="63" s="1"/>
  <c r="B445" i="63" l="1"/>
  <c r="A444" i="63"/>
  <c r="X444" i="63" s="1"/>
  <c r="E445" i="63" l="1"/>
  <c r="J445" i="63" l="1"/>
  <c r="D445" i="63"/>
  <c r="H445" i="63" s="1"/>
  <c r="I445" i="63" l="1"/>
  <c r="K445" i="63"/>
  <c r="C446" i="63" s="1"/>
  <c r="B446" i="63" l="1"/>
  <c r="A445" i="63"/>
  <c r="X445" i="63" s="1"/>
  <c r="E446" i="63" l="1"/>
  <c r="J446" i="63" l="1"/>
  <c r="D446" i="63"/>
  <c r="H446" i="63" s="1"/>
  <c r="I446" i="63" l="1"/>
  <c r="K446" i="63"/>
  <c r="C447" i="63" s="1"/>
  <c r="B447" i="63" l="1"/>
  <c r="A446" i="63"/>
  <c r="X446" i="63" s="1"/>
  <c r="E447" i="63" l="1"/>
  <c r="D447" i="63" l="1"/>
  <c r="H447" i="63" s="1"/>
  <c r="J447" i="63"/>
  <c r="I447" i="63" l="1"/>
  <c r="K447" i="63"/>
  <c r="C448" i="63" s="1"/>
  <c r="B448" i="63" l="1"/>
  <c r="A447" i="63"/>
  <c r="X447" i="63" s="1"/>
  <c r="E448" i="63" l="1"/>
  <c r="D448" i="63" l="1"/>
  <c r="H448" i="63" s="1"/>
  <c r="J448" i="63"/>
  <c r="I448" i="63" l="1"/>
  <c r="K448" i="63"/>
  <c r="C449" i="63" s="1"/>
  <c r="B449" i="63" l="1"/>
  <c r="A448" i="63"/>
  <c r="X448" i="63" s="1"/>
  <c r="E449" i="63" l="1"/>
  <c r="J449" i="63" l="1"/>
  <c r="D449" i="63"/>
  <c r="H449" i="63" s="1"/>
  <c r="I449" i="63" l="1"/>
  <c r="K449" i="63"/>
  <c r="C450" i="63" s="1"/>
  <c r="B450" i="63" l="1"/>
  <c r="A449" i="63"/>
  <c r="X449" i="63" s="1"/>
  <c r="E450" i="63" l="1"/>
  <c r="J450" i="63" l="1"/>
  <c r="D450" i="63"/>
  <c r="H450" i="63" s="1"/>
  <c r="I450" i="63" l="1"/>
  <c r="K450" i="63"/>
  <c r="C451" i="63" s="1"/>
  <c r="B451" i="63" l="1"/>
  <c r="A450" i="63"/>
  <c r="X450" i="63" s="1"/>
  <c r="E451" i="63" l="1"/>
  <c r="D451" i="63" l="1"/>
  <c r="H451" i="63" s="1"/>
  <c r="J451" i="63"/>
  <c r="I451" i="63" l="1"/>
  <c r="K451" i="63"/>
  <c r="C452" i="63" s="1"/>
  <c r="B452" i="63" l="1"/>
  <c r="A451" i="63"/>
  <c r="X451" i="63" s="1"/>
  <c r="E452" i="63" l="1"/>
  <c r="J452" i="63" l="1"/>
  <c r="D452" i="63"/>
  <c r="H452" i="63" s="1"/>
  <c r="I452" i="63" l="1"/>
  <c r="K452" i="63"/>
  <c r="C453" i="63" s="1"/>
  <c r="B453" i="63" l="1"/>
  <c r="A452" i="63"/>
  <c r="X452" i="63" s="1"/>
  <c r="E453" i="63" l="1"/>
  <c r="D453" i="63" l="1"/>
  <c r="H453" i="63" s="1"/>
  <c r="J453" i="63"/>
  <c r="I453" i="63" l="1"/>
  <c r="K453" i="63"/>
  <c r="C454" i="63" s="1"/>
  <c r="B454" i="63" l="1"/>
  <c r="A453" i="63"/>
  <c r="X453" i="63" s="1"/>
  <c r="E454" i="63" l="1"/>
  <c r="J454" i="63" l="1"/>
  <c r="D454" i="63"/>
  <c r="H454" i="63" s="1"/>
  <c r="I454" i="63" l="1"/>
  <c r="K454" i="63"/>
  <c r="C455" i="63" s="1"/>
  <c r="B455" i="63" l="1"/>
  <c r="A454" i="63"/>
  <c r="X454" i="63" s="1"/>
  <c r="E455" i="63" l="1"/>
  <c r="D455" i="63" l="1"/>
  <c r="H455" i="63" s="1"/>
  <c r="J455" i="63"/>
  <c r="I455" i="63" l="1"/>
  <c r="K455" i="63"/>
  <c r="C456" i="63" s="1"/>
  <c r="B456" i="63" l="1"/>
  <c r="A455" i="63"/>
  <c r="X455" i="63" s="1"/>
  <c r="E456" i="63" l="1"/>
  <c r="J456" i="63" l="1"/>
  <c r="D456" i="63"/>
  <c r="H456" i="63" s="1"/>
  <c r="I456" i="63" l="1"/>
  <c r="K456" i="63"/>
  <c r="C457" i="63" s="1"/>
  <c r="B457" i="63" l="1"/>
  <c r="A456" i="63"/>
  <c r="X456" i="63" s="1"/>
  <c r="E457" i="63" l="1"/>
  <c r="J457" i="63" l="1"/>
  <c r="D457" i="63"/>
  <c r="H457" i="63" s="1"/>
  <c r="I457" i="63" l="1"/>
  <c r="K457" i="63"/>
  <c r="C458" i="63" s="1"/>
  <c r="B458" i="63" l="1"/>
  <c r="A457" i="63"/>
  <c r="X457" i="63" s="1"/>
  <c r="E458" i="63" l="1"/>
  <c r="J458" i="63" l="1"/>
  <c r="D458" i="63"/>
  <c r="H458" i="63" s="1"/>
  <c r="I458" i="63" l="1"/>
  <c r="K458" i="63"/>
  <c r="C459" i="63" s="1"/>
  <c r="B459" i="63" l="1"/>
  <c r="A458" i="63"/>
  <c r="X458" i="63" s="1"/>
  <c r="E459" i="63" l="1"/>
  <c r="J459" i="63" l="1"/>
  <c r="D459" i="63"/>
  <c r="H459" i="63" s="1"/>
  <c r="I459" i="63" l="1"/>
  <c r="K459" i="63"/>
  <c r="C460" i="63" s="1"/>
  <c r="B460" i="63" l="1"/>
  <c r="A459" i="63"/>
  <c r="X459" i="63" s="1"/>
  <c r="E460" i="63" l="1"/>
  <c r="J460" i="63" l="1"/>
  <c r="D460" i="63"/>
  <c r="H460" i="63" s="1"/>
  <c r="I460" i="63" l="1"/>
  <c r="K460" i="63"/>
  <c r="C461" i="63" s="1"/>
  <c r="B461" i="63" l="1"/>
  <c r="A460" i="63"/>
  <c r="X460" i="63" s="1"/>
  <c r="E461" i="63" l="1"/>
  <c r="J461" i="63" l="1"/>
  <c r="D461" i="63"/>
  <c r="H461" i="63" s="1"/>
  <c r="I461" i="63" l="1"/>
  <c r="K461" i="63"/>
  <c r="C462" i="63" s="1"/>
  <c r="B462" i="63" l="1"/>
  <c r="A461" i="63"/>
  <c r="X461" i="63" s="1"/>
  <c r="E462" i="63" l="1"/>
  <c r="J462" i="63" l="1"/>
  <c r="D462" i="63"/>
  <c r="H462" i="63" s="1"/>
  <c r="I462" i="63" l="1"/>
  <c r="K462" i="63"/>
  <c r="C463" i="63" s="1"/>
  <c r="B463" i="63" l="1"/>
  <c r="A462" i="63"/>
  <c r="X462" i="63" s="1"/>
  <c r="E463" i="63" l="1"/>
  <c r="J463" i="63" l="1"/>
  <c r="D463" i="63"/>
  <c r="H463" i="63" s="1"/>
  <c r="I463" i="63" l="1"/>
  <c r="K463" i="63"/>
  <c r="C464" i="63" s="1"/>
  <c r="B464" i="63" l="1"/>
  <c r="A463" i="63"/>
  <c r="X463" i="63" s="1"/>
  <c r="E464" i="63" l="1"/>
  <c r="J464" i="63" l="1"/>
  <c r="D464" i="63"/>
  <c r="H464" i="63" s="1"/>
  <c r="I464" i="63" l="1"/>
  <c r="K464" i="63"/>
  <c r="C465" i="63" s="1"/>
  <c r="B465" i="63" l="1"/>
  <c r="A464" i="63"/>
  <c r="X464" i="63" s="1"/>
  <c r="E465" i="63" l="1"/>
  <c r="D465" i="63" l="1"/>
  <c r="H465" i="63" s="1"/>
  <c r="J465" i="63"/>
  <c r="I465" i="63" l="1"/>
  <c r="K465" i="63"/>
  <c r="C466" i="63" s="1"/>
  <c r="B466" i="63" l="1"/>
  <c r="A465" i="63"/>
  <c r="X465" i="63" s="1"/>
  <c r="E466" i="63" l="1"/>
  <c r="J466" i="63" l="1"/>
  <c r="D466" i="63"/>
  <c r="H466" i="63" s="1"/>
  <c r="I466" i="63" l="1"/>
  <c r="K466" i="63"/>
  <c r="C467" i="63" s="1"/>
  <c r="B467" i="63" l="1"/>
  <c r="A466" i="63"/>
  <c r="X466" i="63" s="1"/>
  <c r="E467" i="63" l="1"/>
  <c r="J467" i="63" l="1"/>
  <c r="D467" i="63"/>
  <c r="H467" i="63" s="1"/>
  <c r="I467" i="63" l="1"/>
  <c r="K467" i="63"/>
  <c r="C468" i="63" s="1"/>
  <c r="B468" i="63" l="1"/>
  <c r="A467" i="63"/>
  <c r="X467" i="63" s="1"/>
  <c r="E468" i="63" l="1"/>
  <c r="J468" i="63" l="1"/>
  <c r="D468" i="63"/>
  <c r="H468" i="63" s="1"/>
  <c r="I468" i="63" l="1"/>
  <c r="K468" i="63"/>
  <c r="C469" i="63" s="1"/>
  <c r="B469" i="63" l="1"/>
  <c r="A468" i="63"/>
  <c r="X468" i="63" s="1"/>
  <c r="E469" i="63" l="1"/>
  <c r="J469" i="63" l="1"/>
  <c r="D469" i="63"/>
  <c r="H469" i="63" s="1"/>
  <c r="I469" i="63" l="1"/>
  <c r="K469" i="63"/>
  <c r="C470" i="63" s="1"/>
  <c r="B470" i="63" l="1"/>
  <c r="A469" i="63"/>
  <c r="X469" i="63" s="1"/>
  <c r="E470" i="63" l="1"/>
  <c r="J470" i="63" l="1"/>
  <c r="D470" i="63"/>
  <c r="H470" i="63" s="1"/>
  <c r="I470" i="63" l="1"/>
  <c r="K470" i="63"/>
  <c r="C471" i="63" s="1"/>
  <c r="B471" i="63" l="1"/>
  <c r="A470" i="63"/>
  <c r="X470" i="63" s="1"/>
  <c r="E471" i="63" l="1"/>
  <c r="J471" i="63" l="1"/>
  <c r="D471" i="63"/>
  <c r="H471" i="63" s="1"/>
  <c r="I471" i="63" l="1"/>
  <c r="K471" i="63"/>
  <c r="C472" i="63" s="1"/>
  <c r="B472" i="63" l="1"/>
  <c r="A471" i="63"/>
  <c r="X471" i="63" s="1"/>
  <c r="E472" i="63" l="1"/>
  <c r="D472" i="63" l="1"/>
  <c r="H472" i="63" s="1"/>
  <c r="J472" i="63"/>
  <c r="I472" i="63" l="1"/>
  <c r="K472" i="63"/>
  <c r="C473" i="63" s="1"/>
  <c r="B473" i="63" l="1"/>
  <c r="A472" i="63"/>
  <c r="X472" i="63" s="1"/>
  <c r="E473" i="63" l="1"/>
  <c r="J473" i="63" l="1"/>
  <c r="D473" i="63"/>
  <c r="H473" i="63" s="1"/>
  <c r="I473" i="63" l="1"/>
  <c r="K473" i="63"/>
  <c r="C474" i="63" s="1"/>
  <c r="B474" i="63" l="1"/>
  <c r="A473" i="63"/>
  <c r="X473" i="63" s="1"/>
  <c r="E474" i="63" l="1"/>
  <c r="J474" i="63" l="1"/>
  <c r="D474" i="63"/>
  <c r="H474" i="63" s="1"/>
  <c r="I474" i="63" l="1"/>
  <c r="K474" i="63"/>
  <c r="C475" i="63" s="1"/>
  <c r="B475" i="63" l="1"/>
  <c r="A474" i="63"/>
  <c r="X474" i="63" s="1"/>
  <c r="E475" i="63" l="1"/>
  <c r="J475" i="63" l="1"/>
  <c r="D475" i="63"/>
  <c r="H475" i="63" s="1"/>
  <c r="I475" i="63" l="1"/>
  <c r="K475" i="63"/>
  <c r="C476" i="63" s="1"/>
  <c r="B476" i="63" l="1"/>
  <c r="A475" i="63"/>
  <c r="X475" i="63" s="1"/>
  <c r="E476" i="63" l="1"/>
  <c r="J476" i="63" l="1"/>
  <c r="D476" i="63"/>
  <c r="H476" i="63" s="1"/>
  <c r="I476" i="63" l="1"/>
  <c r="K476" i="63"/>
  <c r="C477" i="63" s="1"/>
  <c r="B477" i="63" l="1"/>
  <c r="A476" i="63"/>
  <c r="X476" i="63" s="1"/>
  <c r="E477" i="63" l="1"/>
  <c r="J477" i="63" l="1"/>
  <c r="D477" i="63"/>
  <c r="H477" i="63" s="1"/>
  <c r="I477" i="63" l="1"/>
  <c r="K477" i="63"/>
  <c r="C478" i="63" s="1"/>
  <c r="B478" i="63" l="1"/>
  <c r="A477" i="63"/>
  <c r="X477" i="63" s="1"/>
  <c r="E478" i="63" l="1"/>
  <c r="J478" i="63" l="1"/>
  <c r="D478" i="63"/>
  <c r="H478" i="63" s="1"/>
  <c r="I478" i="63" l="1"/>
  <c r="K478" i="63"/>
  <c r="C479" i="63" s="1"/>
  <c r="B479" i="63" l="1"/>
  <c r="A478" i="63"/>
  <c r="X478" i="63" s="1"/>
  <c r="E479" i="63" l="1"/>
  <c r="J479" i="63" l="1"/>
  <c r="D479" i="63"/>
  <c r="H479" i="63" s="1"/>
  <c r="I479" i="63" l="1"/>
  <c r="K479" i="63"/>
  <c r="C480" i="63" s="1"/>
  <c r="B480" i="63" l="1"/>
  <c r="A479" i="63"/>
  <c r="X479" i="63" s="1"/>
  <c r="E480" i="63" l="1"/>
  <c r="J480" i="63" l="1"/>
  <c r="D480" i="63"/>
  <c r="H480" i="63" s="1"/>
  <c r="I480" i="63" l="1"/>
  <c r="K480" i="63"/>
  <c r="C481" i="63" s="1"/>
  <c r="B481" i="63" l="1"/>
  <c r="A480" i="63"/>
  <c r="X480" i="63" s="1"/>
  <c r="E481" i="63" l="1"/>
  <c r="J481" i="63" l="1"/>
  <c r="D481" i="63"/>
  <c r="H481" i="63" s="1"/>
  <c r="I481" i="63" l="1"/>
  <c r="K481" i="63"/>
  <c r="C482" i="63" s="1"/>
  <c r="B482" i="63" l="1"/>
  <c r="A481" i="63"/>
  <c r="X481" i="63" s="1"/>
  <c r="E482" i="63" l="1"/>
  <c r="J482" i="63" l="1"/>
  <c r="D482" i="63"/>
  <c r="H482" i="63" s="1"/>
  <c r="I482" i="63" l="1"/>
  <c r="K482" i="63"/>
  <c r="C483" i="63" s="1"/>
  <c r="B483" i="63" l="1"/>
  <c r="A482" i="63"/>
  <c r="X482" i="63" s="1"/>
  <c r="E483" i="63" l="1"/>
  <c r="D483" i="63" l="1"/>
  <c r="H483" i="63" s="1"/>
  <c r="J483" i="63"/>
  <c r="I483" i="63" l="1"/>
  <c r="K483" i="63"/>
  <c r="C484" i="63" s="1"/>
  <c r="B484" i="63" l="1"/>
  <c r="A483" i="63"/>
  <c r="X483" i="63" s="1"/>
  <c r="E484" i="63" l="1"/>
  <c r="J484" i="63" l="1"/>
  <c r="D484" i="63"/>
  <c r="H484" i="63" s="1"/>
  <c r="I484" i="63" l="1"/>
  <c r="K484" i="63"/>
  <c r="C485" i="63" s="1"/>
  <c r="B485" i="63" l="1"/>
  <c r="A484" i="63"/>
  <c r="X484" i="63" s="1"/>
  <c r="E485" i="63" l="1"/>
  <c r="J485" i="63" l="1"/>
  <c r="D485" i="63"/>
  <c r="H485" i="63" s="1"/>
  <c r="I485" i="63" l="1"/>
  <c r="K485" i="63"/>
  <c r="C486" i="63" s="1"/>
  <c r="B486" i="63" l="1"/>
  <c r="A485" i="63"/>
  <c r="X485" i="63" s="1"/>
  <c r="E486" i="63" l="1"/>
  <c r="J486" i="63" l="1"/>
  <c r="D486" i="63"/>
  <c r="H486" i="63" s="1"/>
  <c r="I486" i="63" l="1"/>
  <c r="K486" i="63"/>
  <c r="C487" i="63" s="1"/>
  <c r="B487" i="63" l="1"/>
  <c r="A486" i="63"/>
  <c r="X486" i="63" s="1"/>
  <c r="E487" i="63" l="1"/>
  <c r="J487" i="63" l="1"/>
  <c r="D487" i="63"/>
  <c r="H487" i="63" s="1"/>
  <c r="I487" i="63" l="1"/>
  <c r="K487" i="63"/>
  <c r="C488" i="63" s="1"/>
  <c r="B488" i="63" l="1"/>
  <c r="A487" i="63"/>
  <c r="X487" i="63" s="1"/>
  <c r="E488" i="63" l="1"/>
  <c r="J488" i="63" l="1"/>
  <c r="D488" i="63"/>
  <c r="H488" i="63" s="1"/>
  <c r="I488" i="63" l="1"/>
  <c r="K488" i="63"/>
  <c r="C489" i="63" s="1"/>
  <c r="B489" i="63" l="1"/>
  <c r="A488" i="63"/>
  <c r="X488" i="63" s="1"/>
  <c r="E489" i="63" l="1"/>
  <c r="D489" i="63" l="1"/>
  <c r="H489" i="63" s="1"/>
  <c r="J489" i="63"/>
  <c r="I489" i="63" l="1"/>
  <c r="K489" i="63"/>
  <c r="C490" i="63" s="1"/>
  <c r="B490" i="63" l="1"/>
  <c r="A489" i="63"/>
  <c r="X489" i="63" s="1"/>
  <c r="E490" i="63" l="1"/>
  <c r="J490" i="63" l="1"/>
  <c r="D490" i="63"/>
  <c r="H490" i="63" s="1"/>
  <c r="I490" i="63" l="1"/>
  <c r="K490" i="63"/>
  <c r="A490" i="63" s="1"/>
  <c r="X490" i="63" s="1"/>
  <c r="K1" i="33" l="1"/>
  <c r="N15" i="63" l="1"/>
  <c r="W15" i="63" s="1"/>
  <c r="AU15" i="63"/>
  <c r="AV15" i="63" s="1"/>
  <c r="O8" i="63"/>
  <c r="O16" i="63" l="1"/>
  <c r="AN16" i="63" s="1"/>
  <c r="AS16" i="63" s="1"/>
  <c r="N16" i="63"/>
  <c r="AO15" i="63"/>
  <c r="R16" i="63" l="1"/>
  <c r="M16" i="63"/>
  <c r="L16" i="63" s="1"/>
  <c r="Q16" i="63"/>
  <c r="V16" i="63" l="1"/>
  <c r="P16" i="63"/>
  <c r="Z16" i="63"/>
  <c r="AM16" i="63"/>
  <c r="S16" i="63" l="1"/>
  <c r="T16" i="63" s="1"/>
  <c r="U16" i="63"/>
  <c r="W16" i="63"/>
  <c r="O17" i="63" l="1"/>
  <c r="AO16" i="63"/>
  <c r="AT16" i="63"/>
  <c r="N17" i="63"/>
  <c r="AU16" i="63"/>
  <c r="AV16" i="63" s="1"/>
  <c r="Q17" i="63" l="1"/>
  <c r="V17" i="63" s="1"/>
  <c r="M17" i="63"/>
  <c r="L17" i="63" s="1"/>
  <c r="AN17" i="63"/>
  <c r="AS17" i="63" s="1"/>
  <c r="R17" i="63"/>
  <c r="P17" i="63" l="1"/>
  <c r="S17" i="63" s="1"/>
  <c r="T17" i="63" s="1"/>
  <c r="Z17" i="63"/>
  <c r="AM17" i="63"/>
  <c r="W17" i="63" l="1"/>
  <c r="O18" i="63" s="1"/>
  <c r="U17" i="63"/>
  <c r="AO17" i="63" l="1"/>
  <c r="N18" i="63"/>
  <c r="Q18" i="63" s="1"/>
  <c r="V18" i="63" s="1"/>
  <c r="AU17" i="63"/>
  <c r="AV17" i="63" s="1"/>
  <c r="AT17" i="63"/>
  <c r="AN18" i="63"/>
  <c r="AS18" i="63" s="1"/>
  <c r="R18" i="63"/>
  <c r="M18" i="63" l="1"/>
  <c r="L18" i="63" s="1"/>
  <c r="Z18" i="63" s="1"/>
  <c r="P18" i="63"/>
  <c r="W18" i="63" s="1"/>
  <c r="AM18" i="63" l="1"/>
  <c r="S18" i="63"/>
  <c r="T18" i="63" s="1"/>
  <c r="U18" i="63"/>
  <c r="AO18" i="63" s="1"/>
  <c r="O19" i="63"/>
  <c r="AU18" i="63"/>
  <c r="AV18" i="63" s="1"/>
  <c r="AT18" i="63"/>
  <c r="N19" i="63"/>
  <c r="Q19" i="63" l="1"/>
  <c r="V19" i="63" s="1"/>
  <c r="M19" i="63"/>
  <c r="L19" i="63" s="1"/>
  <c r="R19" i="63"/>
  <c r="AN19" i="63"/>
  <c r="AS19" i="63" s="1"/>
  <c r="P19" i="63" l="1"/>
  <c r="W19" i="63" s="1"/>
  <c r="Z19" i="63"/>
  <c r="AM19" i="63"/>
  <c r="U19" i="63" l="1"/>
  <c r="AO19" i="63" s="1"/>
  <c r="S19" i="63"/>
  <c r="T19" i="63" s="1"/>
  <c r="O20" i="63"/>
  <c r="AU19" i="63"/>
  <c r="AV19" i="63" s="1"/>
  <c r="AT19" i="63"/>
  <c r="N20" i="63"/>
  <c r="Q20" i="63" l="1"/>
  <c r="V20" i="63" s="1"/>
  <c r="M20" i="63"/>
  <c r="L20" i="63" s="1"/>
  <c r="R20" i="63"/>
  <c r="AN20" i="63"/>
  <c r="AS20" i="63" s="1"/>
  <c r="P20" i="63" l="1"/>
  <c r="W20" i="63" s="1"/>
  <c r="Z20" i="63"/>
  <c r="AM20" i="63"/>
  <c r="S20" i="63" l="1"/>
  <c r="T20" i="63" s="1"/>
  <c r="U20" i="63"/>
  <c r="AO20" i="63" s="1"/>
  <c r="O21" i="63"/>
  <c r="N21" i="63"/>
  <c r="AU20" i="63"/>
  <c r="AV20" i="63" s="1"/>
  <c r="AT20" i="63"/>
  <c r="Q21" i="63" l="1"/>
  <c r="V21" i="63" s="1"/>
  <c r="M21" i="63"/>
  <c r="L21" i="63" s="1"/>
  <c r="R21" i="63"/>
  <c r="AN21" i="63"/>
  <c r="AS21" i="63" s="1"/>
  <c r="P21" i="63" l="1"/>
  <c r="W21" i="63" s="1"/>
  <c r="Z21" i="63"/>
  <c r="AM21" i="63"/>
  <c r="S21" i="63" l="1"/>
  <c r="T21" i="63" s="1"/>
  <c r="U21" i="63"/>
  <c r="AO21" i="63" s="1"/>
  <c r="O22" i="63"/>
  <c r="AT21" i="63"/>
  <c r="AU21" i="63"/>
  <c r="AV21" i="63" s="1"/>
  <c r="N22" i="63"/>
  <c r="Q22" i="63" l="1"/>
  <c r="V22" i="63" s="1"/>
  <c r="M22" i="63"/>
  <c r="L22" i="63" s="1"/>
  <c r="R22" i="63"/>
  <c r="AN22" i="63"/>
  <c r="AS22" i="63" s="1"/>
  <c r="P22" i="63" l="1"/>
  <c r="S22" i="63" s="1"/>
  <c r="T22" i="63" s="1"/>
  <c r="Z22" i="63"/>
  <c r="AM22" i="63"/>
  <c r="W22" i="63" l="1"/>
  <c r="O23" i="63" s="1"/>
  <c r="U22" i="63"/>
  <c r="AO22" i="63" l="1"/>
  <c r="N23" i="63"/>
  <c r="Q23" i="63" s="1"/>
  <c r="V23" i="63" s="1"/>
  <c r="AU22" i="63"/>
  <c r="AV22" i="63" s="1"/>
  <c r="AT22" i="63"/>
  <c r="R23" i="63"/>
  <c r="AN23" i="63"/>
  <c r="AS23" i="63" s="1"/>
  <c r="M23" i="63" l="1"/>
  <c r="L23" i="63" s="1"/>
  <c r="Z23" i="63" s="1"/>
  <c r="P23" i="63"/>
  <c r="AM23" i="63" l="1"/>
  <c r="W23" i="63"/>
  <c r="U23" i="63"/>
  <c r="S23" i="63"/>
  <c r="T23" i="63" s="1"/>
  <c r="AO23" i="63" l="1"/>
  <c r="O24" i="63"/>
  <c r="N24" i="63"/>
  <c r="AT23" i="63"/>
  <c r="AU23" i="63"/>
  <c r="AV23" i="63" s="1"/>
  <c r="Q24" i="63" l="1"/>
  <c r="V24" i="63" s="1"/>
  <c r="M24" i="63"/>
  <c r="L24" i="63" s="1"/>
  <c r="R24" i="63"/>
  <c r="AN24" i="63"/>
  <c r="AS24" i="63" s="1"/>
  <c r="P24" i="63" l="1"/>
  <c r="U24" i="63" s="1"/>
  <c r="Z24" i="63"/>
  <c r="AM24" i="63"/>
  <c r="W24" i="63" l="1"/>
  <c r="O25" i="63" s="1"/>
  <c r="S24" i="63"/>
  <c r="T24" i="63" s="1"/>
  <c r="AO24" i="63" l="1"/>
  <c r="N25" i="63"/>
  <c r="M25" i="63" s="1"/>
  <c r="L25" i="63" s="1"/>
  <c r="AT24" i="63"/>
  <c r="AU24" i="63"/>
  <c r="AV24" i="63" s="1"/>
  <c r="Q25" i="63"/>
  <c r="V25" i="63" s="1"/>
  <c r="R25" i="63"/>
  <c r="AN25" i="63"/>
  <c r="AS25" i="63" s="1"/>
  <c r="P25" i="63" l="1"/>
  <c r="S25" i="63" s="1"/>
  <c r="T25" i="63" s="1"/>
  <c r="Z25" i="63"/>
  <c r="AM25" i="63"/>
  <c r="U25" i="63" l="1"/>
  <c r="W25" i="63"/>
  <c r="AT25" i="63" s="1"/>
  <c r="O26" i="63" l="1"/>
  <c r="AN26" i="63" s="1"/>
  <c r="AS26" i="63" s="1"/>
  <c r="AO25" i="63"/>
  <c r="N26" i="63"/>
  <c r="Q26" i="63" s="1"/>
  <c r="V26" i="63" s="1"/>
  <c r="AU25" i="63"/>
  <c r="AV25" i="63" s="1"/>
  <c r="R26" i="63" l="1"/>
  <c r="M26" i="63"/>
  <c r="L26" i="63" s="1"/>
  <c r="Z26" i="63" s="1"/>
  <c r="P26" i="63"/>
  <c r="U26" i="63" s="1"/>
  <c r="W26" i="63" l="1"/>
  <c r="N27" i="63" s="1"/>
  <c r="AM26" i="63"/>
  <c r="S26" i="63"/>
  <c r="T26" i="63" s="1"/>
  <c r="AU26" i="63" l="1"/>
  <c r="AV26" i="63" s="1"/>
  <c r="O27" i="63"/>
  <c r="R27" i="63" s="1"/>
  <c r="AO26" i="63"/>
  <c r="AT26" i="63"/>
  <c r="Q27" i="63"/>
  <c r="V27" i="63" s="1"/>
  <c r="M27" i="63"/>
  <c r="L27" i="63" s="1"/>
  <c r="AN27" i="63" l="1"/>
  <c r="AS27" i="63" s="1"/>
  <c r="P27" i="63"/>
  <c r="U27" i="63" s="1"/>
  <c r="Z27" i="63"/>
  <c r="AM27" i="63"/>
  <c r="W27" i="63" l="1"/>
  <c r="O28" i="63" s="1"/>
  <c r="S27" i="63"/>
  <c r="T27" i="63" s="1"/>
  <c r="AO27" i="63" l="1"/>
  <c r="N28" i="63"/>
  <c r="Q28" i="63" s="1"/>
  <c r="V28" i="63" s="1"/>
  <c r="AU27" i="63"/>
  <c r="AV27" i="63" s="1"/>
  <c r="AT27" i="63"/>
  <c r="R28" i="63"/>
  <c r="AN28" i="63"/>
  <c r="AS28" i="63" s="1"/>
  <c r="M28" i="63" l="1"/>
  <c r="L28" i="63" s="1"/>
  <c r="Z28" i="63" s="1"/>
  <c r="P28" i="63"/>
  <c r="S28" i="63" s="1"/>
  <c r="T28" i="63" s="1"/>
  <c r="AM28" i="63" l="1"/>
  <c r="U28" i="63"/>
  <c r="W28" i="63"/>
  <c r="O29" i="63" s="1"/>
  <c r="N29" i="63" l="1"/>
  <c r="Q29" i="63" s="1"/>
  <c r="V29" i="63" s="1"/>
  <c r="AU28" i="63"/>
  <c r="AV28" i="63" s="1"/>
  <c r="AT28" i="63"/>
  <c r="AO28" i="63"/>
  <c r="AN29" i="63"/>
  <c r="AS29" i="63" s="1"/>
  <c r="R29" i="63"/>
  <c r="M29" i="63" l="1"/>
  <c r="L29" i="63" s="1"/>
  <c r="Z29" i="63" s="1"/>
  <c r="P29" i="63"/>
  <c r="U29" i="63" s="1"/>
  <c r="AM29" i="63" l="1"/>
  <c r="W29" i="63"/>
  <c r="O30" i="63" s="1"/>
  <c r="S29" i="63"/>
  <c r="T29" i="63" s="1"/>
  <c r="AU29" i="63" l="1"/>
  <c r="AV29" i="63" s="1"/>
  <c r="N30" i="63"/>
  <c r="M30" i="63" s="1"/>
  <c r="L30" i="63" s="1"/>
  <c r="AO29" i="63"/>
  <c r="AT29" i="63"/>
  <c r="AN30" i="63"/>
  <c r="AS30" i="63" s="1"/>
  <c r="R30" i="63"/>
  <c r="Q30" i="63" l="1"/>
  <c r="V30" i="63" s="1"/>
  <c r="Z30" i="63"/>
  <c r="AM30" i="63"/>
  <c r="P30" i="63" l="1"/>
  <c r="U30" i="63" s="1"/>
  <c r="S30" i="63" l="1"/>
  <c r="T30" i="63" s="1"/>
  <c r="W30" i="63"/>
  <c r="O31" i="63" s="1"/>
  <c r="R31" i="63" s="1"/>
  <c r="AT30" i="63" l="1"/>
  <c r="AN31" i="63"/>
  <c r="AS31" i="63" s="1"/>
  <c r="AU30" i="63"/>
  <c r="AV30" i="63" s="1"/>
  <c r="N31" i="63"/>
  <c r="M31" i="63" s="1"/>
  <c r="L31" i="63" s="1"/>
  <c r="Z31" i="63" s="1"/>
  <c r="AO30" i="63"/>
  <c r="AM31" i="63" l="1"/>
  <c r="Q31" i="63"/>
  <c r="V31" i="63" s="1"/>
  <c r="P31" i="63" l="1"/>
  <c r="S31" i="63" s="1"/>
  <c r="T31" i="63" s="1"/>
  <c r="U31" i="63" l="1"/>
  <c r="W31" i="63"/>
  <c r="O32" i="63" l="1"/>
  <c r="N32" i="63"/>
  <c r="AT31" i="63"/>
  <c r="AO31" i="63"/>
  <c r="AU31" i="63"/>
  <c r="AV31" i="63" s="1"/>
  <c r="M32" i="63" l="1"/>
  <c r="L32" i="63" s="1"/>
  <c r="Q32" i="63"/>
  <c r="R32" i="63"/>
  <c r="AN32" i="63"/>
  <c r="AS32" i="63" s="1"/>
  <c r="V32" i="63" l="1"/>
  <c r="P32" i="63"/>
  <c r="Z32" i="63"/>
  <c r="AM32" i="63"/>
  <c r="S32" i="63" l="1"/>
  <c r="T32" i="63" s="1"/>
  <c r="W32" i="63"/>
  <c r="U32" i="63"/>
  <c r="AU32" i="63" l="1"/>
  <c r="AV32" i="63" s="1"/>
  <c r="N33" i="63"/>
  <c r="AO32" i="63"/>
  <c r="AT32" i="63"/>
  <c r="O33" i="63"/>
  <c r="R33" i="63" l="1"/>
  <c r="AN33" i="63"/>
  <c r="AS33" i="63" s="1"/>
  <c r="Q33" i="63"/>
  <c r="V33" i="63" s="1"/>
  <c r="M33" i="63"/>
  <c r="L33" i="63" s="1"/>
  <c r="Z33" i="63" l="1"/>
  <c r="AM33" i="63"/>
  <c r="P33" i="63"/>
  <c r="S33" i="63" l="1"/>
  <c r="T33" i="63" s="1"/>
  <c r="U33" i="63"/>
  <c r="W33" i="63"/>
  <c r="AU33" i="63" l="1"/>
  <c r="AV33" i="63" s="1"/>
  <c r="AO33" i="63"/>
  <c r="N34" i="63"/>
  <c r="AT33" i="63"/>
  <c r="O34" i="63"/>
  <c r="R34" i="63" l="1"/>
  <c r="AN34" i="63"/>
  <c r="AS34" i="63" s="1"/>
  <c r="M34" i="63"/>
  <c r="L34" i="63" s="1"/>
  <c r="Q34" i="63"/>
  <c r="V34" i="63" s="1"/>
  <c r="AM34" i="63" l="1"/>
  <c r="Z34" i="63"/>
  <c r="P34" i="63"/>
  <c r="U34" i="63" l="1"/>
  <c r="W34" i="63"/>
  <c r="S34" i="63"/>
  <c r="T34" i="63" s="1"/>
  <c r="AT34" i="63" l="1"/>
  <c r="AO34" i="63"/>
  <c r="N35" i="63"/>
  <c r="O35" i="63"/>
  <c r="AU34" i="63"/>
  <c r="AV34" i="63" s="1"/>
  <c r="AN35" i="63" l="1"/>
  <c r="AS35" i="63" s="1"/>
  <c r="R35" i="63"/>
  <c r="M35" i="63"/>
  <c r="L35" i="63" s="1"/>
  <c r="Q35" i="63"/>
  <c r="V35" i="63" s="1"/>
  <c r="AM35" i="63" l="1"/>
  <c r="Z35" i="63"/>
  <c r="P35" i="63"/>
  <c r="U35" i="63" l="1"/>
  <c r="W35" i="63"/>
  <c r="S35" i="63"/>
  <c r="T35" i="63" s="1"/>
  <c r="O36" i="63" l="1"/>
  <c r="N36" i="63"/>
  <c r="AT35" i="63"/>
  <c r="AO35" i="63"/>
  <c r="AU35" i="63"/>
  <c r="AV35" i="63" s="1"/>
  <c r="M36" i="63" l="1"/>
  <c r="L36" i="63" s="1"/>
  <c r="Q36" i="63"/>
  <c r="V36" i="63" s="1"/>
  <c r="AN36" i="63"/>
  <c r="AS36" i="63" s="1"/>
  <c r="R36" i="63"/>
  <c r="P36" i="63" l="1"/>
  <c r="S36" i="63" s="1"/>
  <c r="T36" i="63" s="1"/>
  <c r="AM36" i="63"/>
  <c r="Z36" i="63"/>
  <c r="U36" i="63" l="1"/>
  <c r="W36" i="63"/>
  <c r="AT36" i="63" s="1"/>
  <c r="O37" i="63" l="1"/>
  <c r="AN37" i="63" s="1"/>
  <c r="AS37" i="63" s="1"/>
  <c r="N37" i="63"/>
  <c r="M37" i="63" s="1"/>
  <c r="L37" i="63" s="1"/>
  <c r="AU36" i="63"/>
  <c r="AV36" i="63" s="1"/>
  <c r="AO36" i="63"/>
  <c r="R37" i="63" l="1"/>
  <c r="Q37" i="63"/>
  <c r="V37" i="63" s="1"/>
  <c r="AM37" i="63"/>
  <c r="Z37" i="63"/>
  <c r="P37" i="63" l="1"/>
  <c r="U37" i="63" s="1"/>
  <c r="S37" i="63" l="1"/>
  <c r="T37" i="63" s="1"/>
  <c r="W37" i="63"/>
  <c r="AU37" i="63" s="1"/>
  <c r="AV37" i="63" s="1"/>
  <c r="O38" i="63" l="1"/>
  <c r="R38" i="63" s="1"/>
  <c r="AO37" i="63"/>
  <c r="N38" i="63"/>
  <c r="AT37" i="63"/>
  <c r="AN38" i="63"/>
  <c r="AS38" i="63" s="1"/>
  <c r="Q38" i="63"/>
  <c r="M38" i="63"/>
  <c r="L38" i="63" s="1"/>
  <c r="AM38" i="63" l="1"/>
  <c r="Z38" i="63"/>
  <c r="V38" i="63"/>
  <c r="P38" i="63"/>
  <c r="U38" i="63" l="1"/>
  <c r="W38" i="63"/>
  <c r="S38" i="63"/>
  <c r="T38" i="63" s="1"/>
  <c r="AU38" i="63" l="1"/>
  <c r="AV38" i="63" s="1"/>
  <c r="AT38" i="63"/>
  <c r="N39" i="63"/>
  <c r="O39" i="63"/>
  <c r="AO38" i="63"/>
  <c r="R39" i="63" l="1"/>
  <c r="AN39" i="63"/>
  <c r="AS39" i="63" s="1"/>
  <c r="M39" i="63"/>
  <c r="L39" i="63" s="1"/>
  <c r="Q39" i="63"/>
  <c r="V39" i="63" l="1"/>
  <c r="P39" i="63"/>
  <c r="Z39" i="63"/>
  <c r="AM39" i="63"/>
  <c r="U39" i="63" l="1"/>
  <c r="S39" i="63"/>
  <c r="T39" i="63" s="1"/>
  <c r="W39" i="63"/>
  <c r="AO39" i="63" l="1"/>
  <c r="O40" i="63"/>
  <c r="N40" i="63"/>
  <c r="AT39" i="63"/>
  <c r="AU39" i="63"/>
  <c r="AV39" i="63" s="1"/>
  <c r="M40" i="63" l="1"/>
  <c r="L40" i="63" s="1"/>
  <c r="Q40" i="63"/>
  <c r="R40" i="63"/>
  <c r="AN40" i="63"/>
  <c r="AS40" i="63" s="1"/>
  <c r="V40" i="63" l="1"/>
  <c r="P40" i="63"/>
  <c r="Z40" i="63"/>
  <c r="AM40" i="63"/>
  <c r="S40" i="63" l="1"/>
  <c r="T40" i="63" s="1"/>
  <c r="U40" i="63"/>
  <c r="W40" i="63"/>
  <c r="N41" i="63" l="1"/>
  <c r="O41" i="63"/>
  <c r="AO40" i="63"/>
  <c r="AT40" i="63"/>
  <c r="AU40" i="63"/>
  <c r="AV40" i="63" s="1"/>
  <c r="R41" i="63" l="1"/>
  <c r="AN41" i="63"/>
  <c r="AS41" i="63" s="1"/>
  <c r="Q41" i="63"/>
  <c r="M41" i="63"/>
  <c r="L41" i="63" s="1"/>
  <c r="AM41" i="63" l="1"/>
  <c r="Z41" i="63"/>
  <c r="V41" i="63"/>
  <c r="P41" i="63"/>
  <c r="W41" i="63" l="1"/>
  <c r="U41" i="63"/>
  <c r="S41" i="63"/>
  <c r="T41" i="63" s="1"/>
  <c r="N42" i="63" l="1"/>
  <c r="AU41" i="63"/>
  <c r="AV41" i="63" s="1"/>
  <c r="AO41" i="63"/>
  <c r="O42" i="63"/>
  <c r="AT41" i="63"/>
  <c r="R42" i="63" l="1"/>
  <c r="AN42" i="63"/>
  <c r="AS42" i="63" s="1"/>
  <c r="M42" i="63"/>
  <c r="L42" i="63" s="1"/>
  <c r="Q42" i="63"/>
  <c r="V42" i="63" l="1"/>
  <c r="P42" i="63"/>
  <c r="AM42" i="63"/>
  <c r="Z42" i="63"/>
  <c r="U42" i="63" l="1"/>
  <c r="W42" i="63"/>
  <c r="S42" i="63"/>
  <c r="T42" i="63" s="1"/>
  <c r="AT42" i="63" l="1"/>
  <c r="AO42" i="63"/>
  <c r="O43" i="63"/>
  <c r="AU42" i="63"/>
  <c r="AV42" i="63" s="1"/>
  <c r="N43" i="63"/>
  <c r="Q43" i="63" l="1"/>
  <c r="M43" i="63"/>
  <c r="L43" i="63" s="1"/>
  <c r="AN43" i="63"/>
  <c r="AS43" i="63" s="1"/>
  <c r="R43" i="63"/>
  <c r="Z43" i="63" l="1"/>
  <c r="AM43" i="63"/>
  <c r="V43" i="63"/>
  <c r="P43" i="63"/>
  <c r="W43" i="63" l="1"/>
  <c r="S43" i="63"/>
  <c r="T43" i="63" s="1"/>
  <c r="U43" i="63"/>
  <c r="AO43" i="63" l="1"/>
  <c r="N44" i="63"/>
  <c r="AT43" i="63"/>
  <c r="AU43" i="63"/>
  <c r="AV43" i="63" s="1"/>
  <c r="O44" i="63"/>
  <c r="AN44" i="63" l="1"/>
  <c r="AS44" i="63" s="1"/>
  <c r="R44" i="63"/>
  <c r="Q44" i="63"/>
  <c r="M44" i="63"/>
  <c r="L44" i="63" s="1"/>
  <c r="V44" i="63" l="1"/>
  <c r="P44" i="63"/>
  <c r="Z44" i="63"/>
  <c r="AM44" i="63"/>
  <c r="U44" i="63" l="1"/>
  <c r="S44" i="63"/>
  <c r="T44" i="63" s="1"/>
  <c r="W44" i="63"/>
  <c r="N45" i="63" l="1"/>
  <c r="AT44" i="63"/>
  <c r="O45" i="63"/>
  <c r="AU44" i="63"/>
  <c r="AV44" i="63" s="1"/>
  <c r="AO44" i="63"/>
  <c r="AN45" i="63" l="1"/>
  <c r="AS45" i="63" s="1"/>
  <c r="R45" i="63"/>
  <c r="Q45" i="63"/>
  <c r="M45" i="63"/>
  <c r="L45" i="63" s="1"/>
  <c r="AM45" i="63" l="1"/>
  <c r="Z45" i="63"/>
  <c r="V45" i="63"/>
  <c r="P45" i="63"/>
  <c r="U45" i="63" l="1"/>
  <c r="S45" i="63"/>
  <c r="T45" i="63" s="1"/>
  <c r="W45" i="63"/>
  <c r="N46" i="63" l="1"/>
  <c r="AU45" i="63"/>
  <c r="AV45" i="63" s="1"/>
  <c r="O46" i="63"/>
  <c r="AT45" i="63"/>
  <c r="R46" i="63" l="1"/>
  <c r="AN46" i="63"/>
  <c r="AS46" i="63" s="1"/>
  <c r="M46" i="63"/>
  <c r="L46" i="63" s="1"/>
  <c r="Q46" i="63"/>
  <c r="V46" i="63" l="1"/>
  <c r="P46" i="63"/>
  <c r="Z46" i="63"/>
  <c r="AM46" i="63"/>
  <c r="U46" i="63" l="1"/>
  <c r="S46" i="63"/>
  <c r="T46" i="63" s="1"/>
  <c r="W46" i="63"/>
  <c r="AU46" i="63" l="1"/>
  <c r="AV46" i="63" s="1"/>
  <c r="N47" i="63"/>
  <c r="O47" i="63"/>
  <c r="AT46" i="63"/>
  <c r="AN47" i="63" l="1"/>
  <c r="AS47" i="63" s="1"/>
  <c r="R47" i="63"/>
  <c r="M47" i="63"/>
  <c r="L47" i="63" s="1"/>
  <c r="Q47" i="63"/>
  <c r="V47" i="63" l="1"/>
  <c r="P47" i="63"/>
  <c r="AM47" i="63"/>
  <c r="Z47" i="63"/>
  <c r="U47" i="63" l="1"/>
  <c r="S47" i="63"/>
  <c r="T47" i="63" s="1"/>
  <c r="W47" i="63"/>
  <c r="N48" i="63" l="1"/>
  <c r="O48" i="63"/>
  <c r="AU47" i="63"/>
  <c r="AV47" i="63" s="1"/>
  <c r="AT47" i="63"/>
  <c r="R48" i="63" l="1"/>
  <c r="AN48" i="63"/>
  <c r="AS48" i="63" s="1"/>
  <c r="M48" i="63"/>
  <c r="L48" i="63" s="1"/>
  <c r="Q48" i="63"/>
  <c r="V48" i="63" s="1"/>
  <c r="Z48" i="63" l="1"/>
  <c r="AM48" i="63"/>
  <c r="P48" i="63"/>
  <c r="S48" i="63" l="1"/>
  <c r="T48" i="63" s="1"/>
  <c r="U48" i="63"/>
  <c r="W48" i="63"/>
  <c r="O49" i="63" l="1"/>
  <c r="AT48" i="63"/>
  <c r="N49" i="63"/>
  <c r="AU48" i="63"/>
  <c r="AV48" i="63" s="1"/>
  <c r="Q49" i="63" l="1"/>
  <c r="V49" i="63" s="1"/>
  <c r="M49" i="63"/>
  <c r="L49" i="63" s="1"/>
  <c r="AN49" i="63"/>
  <c r="AS49" i="63" s="1"/>
  <c r="R49" i="63"/>
  <c r="P49" i="63" l="1"/>
  <c r="W49" i="63" s="1"/>
  <c r="AM49" i="63"/>
  <c r="Z49" i="63"/>
  <c r="U49" i="63" l="1"/>
  <c r="S49" i="63"/>
  <c r="T49" i="63" s="1"/>
  <c r="O50" i="63"/>
  <c r="AT49" i="63"/>
  <c r="N50" i="63"/>
  <c r="AU49" i="63"/>
  <c r="AV49" i="63" s="1"/>
  <c r="M50" i="63" l="1"/>
  <c r="L50" i="63" s="1"/>
  <c r="Q50" i="63"/>
  <c r="V50" i="63" s="1"/>
  <c r="R50" i="63"/>
  <c r="AN50" i="63"/>
  <c r="AS50" i="63" s="1"/>
  <c r="P50" i="63" l="1"/>
  <c r="U50" i="63" s="1"/>
  <c r="AM50" i="63"/>
  <c r="Z50" i="63"/>
  <c r="W50" i="63" l="1"/>
  <c r="O51" i="63" s="1"/>
  <c r="S50" i="63"/>
  <c r="T50" i="63" s="1"/>
  <c r="N51" i="63" l="1"/>
  <c r="M51" i="63" s="1"/>
  <c r="L51" i="63" s="1"/>
  <c r="AU50" i="63"/>
  <c r="AV50" i="63" s="1"/>
  <c r="AT50" i="63"/>
  <c r="AN51" i="63"/>
  <c r="AS51" i="63" s="1"/>
  <c r="R51" i="63"/>
  <c r="Q51" i="63" l="1"/>
  <c r="V51" i="63" s="1"/>
  <c r="Z51" i="63"/>
  <c r="AM51" i="63"/>
  <c r="P51" i="63" l="1"/>
  <c r="U51" i="63" s="1"/>
  <c r="S51" i="63" l="1"/>
  <c r="T51" i="63" s="1"/>
  <c r="W51" i="63"/>
  <c r="O52" i="63" l="1"/>
  <c r="AU51" i="63"/>
  <c r="AV51" i="63" s="1"/>
  <c r="N52" i="63"/>
  <c r="AT51" i="63"/>
  <c r="M52" i="63" l="1"/>
  <c r="L52" i="63" s="1"/>
  <c r="Q52" i="63"/>
  <c r="AN52" i="63"/>
  <c r="AS52" i="63" s="1"/>
  <c r="R52" i="63"/>
  <c r="V52" i="63" l="1"/>
  <c r="P52" i="63"/>
  <c r="AM52" i="63"/>
  <c r="Z52" i="63"/>
  <c r="W52" i="63" l="1"/>
  <c r="S52" i="63"/>
  <c r="T52" i="63" s="1"/>
  <c r="U52" i="63"/>
  <c r="N53" i="63" l="1"/>
  <c r="AU52" i="63"/>
  <c r="AV52" i="63" s="1"/>
  <c r="AT52" i="63"/>
  <c r="O53" i="63"/>
  <c r="AN53" i="63" l="1"/>
  <c r="AS53" i="63" s="1"/>
  <c r="R53" i="63"/>
  <c r="M53" i="63"/>
  <c r="L53" i="63" s="1"/>
  <c r="Q53" i="63"/>
  <c r="V53" i="63" s="1"/>
  <c r="P53" i="63" l="1"/>
  <c r="Z53" i="63"/>
  <c r="AM53" i="63"/>
  <c r="U53" i="63" l="1"/>
  <c r="W53" i="63"/>
  <c r="S53" i="63"/>
  <c r="T53" i="63" s="1"/>
  <c r="AT53" i="63" l="1"/>
  <c r="AU53" i="63"/>
  <c r="AV53" i="63" s="1"/>
  <c r="N54" i="63"/>
  <c r="O54" i="63"/>
  <c r="AN54" i="63" l="1"/>
  <c r="AS54" i="63" s="1"/>
  <c r="R54" i="63"/>
  <c r="M54" i="63"/>
  <c r="L54" i="63" s="1"/>
  <c r="Q54" i="63"/>
  <c r="V54" i="63" s="1"/>
  <c r="AM54" i="63" l="1"/>
  <c r="Z54" i="63"/>
  <c r="P54" i="63"/>
  <c r="W54" i="63" l="1"/>
  <c r="S54" i="63"/>
  <c r="T54" i="63" s="1"/>
  <c r="U54" i="63"/>
  <c r="AU54" i="63" l="1"/>
  <c r="AV54" i="63" s="1"/>
  <c r="O55" i="63"/>
  <c r="N55" i="63"/>
  <c r="AT54" i="63"/>
  <c r="AN55" i="63" l="1"/>
  <c r="AS55" i="63" s="1"/>
  <c r="R55" i="63"/>
  <c r="M55" i="63"/>
  <c r="L55" i="63" s="1"/>
  <c r="Q55" i="63"/>
  <c r="V55" i="63" s="1"/>
  <c r="AM55" i="63" l="1"/>
  <c r="Z55" i="63"/>
  <c r="P55" i="63"/>
  <c r="S55" i="63" l="1"/>
  <c r="T55" i="63" s="1"/>
  <c r="W55" i="63"/>
  <c r="U55" i="63"/>
  <c r="O56" i="63" l="1"/>
  <c r="N56" i="63"/>
  <c r="AU55" i="63"/>
  <c r="AV55" i="63" s="1"/>
  <c r="AT55" i="63"/>
  <c r="Q56" i="63" l="1"/>
  <c r="V56" i="63" s="1"/>
  <c r="M56" i="63"/>
  <c r="L56" i="63" s="1"/>
  <c r="AN56" i="63"/>
  <c r="AS56" i="63" s="1"/>
  <c r="R56" i="63"/>
  <c r="P56" i="63" l="1"/>
  <c r="Z56" i="63"/>
  <c r="AM56" i="63"/>
  <c r="U56" i="63"/>
  <c r="W56" i="63"/>
  <c r="S56" i="63"/>
  <c r="T56" i="63" s="1"/>
  <c r="AU56" i="63" l="1"/>
  <c r="AV56" i="63" s="1"/>
  <c r="O57" i="63"/>
  <c r="N57" i="63"/>
  <c r="AT56" i="63"/>
  <c r="M57" i="63" l="1"/>
  <c r="L57" i="63" s="1"/>
  <c r="Q57" i="63"/>
  <c r="R57" i="63"/>
  <c r="AN57" i="63"/>
  <c r="AS57" i="63" s="1"/>
  <c r="V57" i="63" l="1"/>
  <c r="P57" i="63"/>
  <c r="AM57" i="63"/>
  <c r="Z57" i="63"/>
  <c r="S57" i="63" l="1"/>
  <c r="T57" i="63" s="1"/>
  <c r="U57" i="63"/>
  <c r="W57" i="63"/>
  <c r="N58" i="63" l="1"/>
  <c r="AT57" i="63"/>
  <c r="AU57" i="63"/>
  <c r="AV57" i="63" s="1"/>
  <c r="O58" i="63"/>
  <c r="AN58" i="63" l="1"/>
  <c r="AS58" i="63" s="1"/>
  <c r="R58" i="63"/>
  <c r="M58" i="63"/>
  <c r="L58" i="63" s="1"/>
  <c r="Q58" i="63"/>
  <c r="V58" i="63" l="1"/>
  <c r="P58" i="63"/>
  <c r="AM58" i="63"/>
  <c r="Z58" i="63"/>
  <c r="S58" i="63" l="1"/>
  <c r="T58" i="63" s="1"/>
  <c r="U58" i="63"/>
  <c r="W58" i="63"/>
  <c r="N59" i="63" l="1"/>
  <c r="O59" i="63"/>
  <c r="AU58" i="63"/>
  <c r="AV58" i="63" s="1"/>
  <c r="AT58" i="63"/>
  <c r="R59" i="63" l="1"/>
  <c r="AN59" i="63"/>
  <c r="AS59" i="63" s="1"/>
  <c r="Q59" i="63"/>
  <c r="M59" i="63"/>
  <c r="L59" i="63" s="1"/>
  <c r="Z59" i="63" l="1"/>
  <c r="AM59" i="63"/>
  <c r="V59" i="63"/>
  <c r="P59" i="63"/>
  <c r="U59" i="63" l="1"/>
  <c r="W59" i="63"/>
  <c r="S59" i="63"/>
  <c r="AU59" i="63" l="1"/>
  <c r="AV59" i="63" s="1"/>
  <c r="AT59" i="63"/>
  <c r="N60" i="63"/>
  <c r="O60" i="63"/>
  <c r="AN60" i="63" l="1"/>
  <c r="AS60" i="63" s="1"/>
  <c r="R60" i="63"/>
  <c r="M60" i="63"/>
  <c r="L60" i="63" s="1"/>
  <c r="Q60" i="63"/>
  <c r="V60" i="63" l="1"/>
  <c r="P60" i="63"/>
  <c r="Z60" i="63"/>
  <c r="AM60" i="63"/>
  <c r="U60" i="63" l="1"/>
  <c r="W60" i="63"/>
  <c r="S60" i="63"/>
  <c r="AU60" i="63" l="1"/>
  <c r="AV60" i="63" s="1"/>
  <c r="O61" i="63"/>
  <c r="AT60" i="63"/>
  <c r="N61" i="63"/>
  <c r="R61" i="63" l="1"/>
  <c r="AN61" i="63"/>
  <c r="AS61" i="63" s="1"/>
  <c r="M61" i="63"/>
  <c r="L61" i="63" s="1"/>
  <c r="Q61" i="63"/>
  <c r="Z61" i="63" l="1"/>
  <c r="AM61" i="63"/>
  <c r="V61" i="63"/>
  <c r="P61" i="63"/>
  <c r="S61" i="63" l="1"/>
  <c r="S62" i="63" s="1"/>
  <c r="S63" i="63" s="1"/>
  <c r="S64" i="63" s="1"/>
  <c r="S65" i="63" s="1"/>
  <c r="S66" i="63" s="1"/>
  <c r="S67" i="63" s="1"/>
  <c r="S68" i="63" s="1"/>
  <c r="S69" i="63" s="1"/>
  <c r="S70" i="63" s="1"/>
  <c r="S71" i="63" s="1"/>
  <c r="S72" i="63" s="1"/>
  <c r="S73" i="63" s="1"/>
  <c r="S74" i="63" s="1"/>
  <c r="S75" i="63" s="1"/>
  <c r="S76" i="63" s="1"/>
  <c r="S77" i="63" s="1"/>
  <c r="S78" i="63" s="1"/>
  <c r="S79" i="63" s="1"/>
  <c r="S80" i="63" s="1"/>
  <c r="S81" i="63" s="1"/>
  <c r="S82" i="63" s="1"/>
  <c r="S83" i="63" s="1"/>
  <c r="S84" i="63" s="1"/>
  <c r="S85" i="63" s="1"/>
  <c r="S86" i="63" s="1"/>
  <c r="S87" i="63" s="1"/>
  <c r="S88" i="63" s="1"/>
  <c r="S89" i="63" s="1"/>
  <c r="S90" i="63" s="1"/>
  <c r="S91" i="63" s="1"/>
  <c r="S92" i="63" s="1"/>
  <c r="S93" i="63" s="1"/>
  <c r="S94" i="63" s="1"/>
  <c r="S95" i="63" s="1"/>
  <c r="S96" i="63" s="1"/>
  <c r="S97" i="63" s="1"/>
  <c r="S98" i="63" s="1"/>
  <c r="S99" i="63" s="1"/>
  <c r="S100" i="63" s="1"/>
  <c r="S101" i="63" s="1"/>
  <c r="S102" i="63" s="1"/>
  <c r="S103" i="63" s="1"/>
  <c r="S104" i="63" s="1"/>
  <c r="S105" i="63" s="1"/>
  <c r="S106" i="63" s="1"/>
  <c r="S107" i="63" s="1"/>
  <c r="S108" i="63" s="1"/>
  <c r="S109" i="63" s="1"/>
  <c r="S110" i="63" s="1"/>
  <c r="S111" i="63" s="1"/>
  <c r="S112" i="63" s="1"/>
  <c r="S113" i="63" s="1"/>
  <c r="S114" i="63" s="1"/>
  <c r="S115" i="63" s="1"/>
  <c r="S116" i="63" s="1"/>
  <c r="S117" i="63" s="1"/>
  <c r="S118" i="63" s="1"/>
  <c r="S119" i="63" s="1"/>
  <c r="S120" i="63" s="1"/>
  <c r="S121" i="63" s="1"/>
  <c r="S122" i="63" s="1"/>
  <c r="S123" i="63" s="1"/>
  <c r="S124" i="63" s="1"/>
  <c r="S125" i="63" s="1"/>
  <c r="S126" i="63" s="1"/>
  <c r="S127" i="63" s="1"/>
  <c r="S128" i="63" s="1"/>
  <c r="S129" i="63" s="1"/>
  <c r="S130" i="63" s="1"/>
  <c r="S131" i="63" s="1"/>
  <c r="S132" i="63" s="1"/>
  <c r="S133" i="63" s="1"/>
  <c r="S134" i="63" s="1"/>
  <c r="S135" i="63" s="1"/>
  <c r="S136" i="63" s="1"/>
  <c r="S137" i="63" s="1"/>
  <c r="S138" i="63" s="1"/>
  <c r="S139" i="63" s="1"/>
  <c r="S140" i="63" s="1"/>
  <c r="S141" i="63" s="1"/>
  <c r="S142" i="63" s="1"/>
  <c r="S143" i="63" s="1"/>
  <c r="S144" i="63" s="1"/>
  <c r="S145" i="63" s="1"/>
  <c r="S146" i="63" s="1"/>
  <c r="S147" i="63" s="1"/>
  <c r="S148" i="63" s="1"/>
  <c r="S149" i="63" s="1"/>
  <c r="S150" i="63" s="1"/>
  <c r="S151" i="63" s="1"/>
  <c r="S152" i="63" s="1"/>
  <c r="S153" i="63" s="1"/>
  <c r="S154" i="63" s="1"/>
  <c r="S155" i="63" s="1"/>
  <c r="S156" i="63" s="1"/>
  <c r="S157" i="63" s="1"/>
  <c r="S158" i="63" s="1"/>
  <c r="S159" i="63" s="1"/>
  <c r="S160" i="63" s="1"/>
  <c r="S161" i="63" s="1"/>
  <c r="S162" i="63" s="1"/>
  <c r="S163" i="63" s="1"/>
  <c r="S164" i="63" s="1"/>
  <c r="S165" i="63" s="1"/>
  <c r="S166" i="63" s="1"/>
  <c r="S167" i="63" s="1"/>
  <c r="S168" i="63" s="1"/>
  <c r="S169" i="63" s="1"/>
  <c r="S170" i="63" s="1"/>
  <c r="S171" i="63" s="1"/>
  <c r="S172" i="63" s="1"/>
  <c r="S173" i="63" s="1"/>
  <c r="S174" i="63" s="1"/>
  <c r="S175" i="63" s="1"/>
  <c r="S176" i="63" s="1"/>
  <c r="S177" i="63" s="1"/>
  <c r="S178" i="63" s="1"/>
  <c r="S179" i="63" s="1"/>
  <c r="S180" i="63" s="1"/>
  <c r="S181" i="63" s="1"/>
  <c r="S182" i="63" s="1"/>
  <c r="S183" i="63" s="1"/>
  <c r="S184" i="63" s="1"/>
  <c r="S185" i="63" s="1"/>
  <c r="S186" i="63" s="1"/>
  <c r="S187" i="63" s="1"/>
  <c r="S188" i="63" s="1"/>
  <c r="S189" i="63" s="1"/>
  <c r="S190" i="63" s="1"/>
  <c r="S191" i="63" s="1"/>
  <c r="S192" i="63" s="1"/>
  <c r="S193" i="63" s="1"/>
  <c r="S194" i="63" s="1"/>
  <c r="S195" i="63" s="1"/>
  <c r="S196" i="63" s="1"/>
  <c r="S197" i="63" s="1"/>
  <c r="S198" i="63" s="1"/>
  <c r="S199" i="63" s="1"/>
  <c r="S200" i="63" s="1"/>
  <c r="S201" i="63" s="1"/>
  <c r="S202" i="63" s="1"/>
  <c r="S203" i="63" s="1"/>
  <c r="S204" i="63" s="1"/>
  <c r="S205" i="63" s="1"/>
  <c r="S206" i="63" s="1"/>
  <c r="S207" i="63" s="1"/>
  <c r="S208" i="63" s="1"/>
  <c r="S209" i="63" s="1"/>
  <c r="S210" i="63" s="1"/>
  <c r="S211" i="63" s="1"/>
  <c r="S212" i="63" s="1"/>
  <c r="S213" i="63" s="1"/>
  <c r="S214" i="63" s="1"/>
  <c r="S215" i="63" s="1"/>
  <c r="S216" i="63" s="1"/>
  <c r="S217" i="63" s="1"/>
  <c r="S218" i="63" s="1"/>
  <c r="S219" i="63" s="1"/>
  <c r="S220" i="63" s="1"/>
  <c r="S221" i="63" s="1"/>
  <c r="S222" i="63" s="1"/>
  <c r="S223" i="63" s="1"/>
  <c r="S224" i="63" s="1"/>
  <c r="S225" i="63" s="1"/>
  <c r="S226" i="63" s="1"/>
  <c r="S227" i="63" s="1"/>
  <c r="S228" i="63" s="1"/>
  <c r="S229" i="63" s="1"/>
  <c r="S230" i="63" s="1"/>
  <c r="S231" i="63" s="1"/>
  <c r="S232" i="63" s="1"/>
  <c r="S233" i="63" s="1"/>
  <c r="S234" i="63" s="1"/>
  <c r="S235" i="63" s="1"/>
  <c r="S236" i="63" s="1"/>
  <c r="S237" i="63" s="1"/>
  <c r="S238" i="63" s="1"/>
  <c r="S239" i="63" s="1"/>
  <c r="S240" i="63" s="1"/>
  <c r="S241" i="63" s="1"/>
  <c r="S242" i="63" s="1"/>
  <c r="S243" i="63" s="1"/>
  <c r="S244" i="63" s="1"/>
  <c r="S245" i="63" s="1"/>
  <c r="S246" i="63" s="1"/>
  <c r="S247" i="63" s="1"/>
  <c r="S248" i="63" s="1"/>
  <c r="S249" i="63" s="1"/>
  <c r="S250" i="63" s="1"/>
  <c r="S251" i="63" s="1"/>
  <c r="S252" i="63" s="1"/>
  <c r="S253" i="63" s="1"/>
  <c r="S254" i="63" s="1"/>
  <c r="S255" i="63" s="1"/>
  <c r="S256" i="63" s="1"/>
  <c r="S257" i="63" s="1"/>
  <c r="S258" i="63" s="1"/>
  <c r="S259" i="63" s="1"/>
  <c r="S260" i="63" s="1"/>
  <c r="S261" i="63" s="1"/>
  <c r="S262" i="63" s="1"/>
  <c r="S263" i="63" s="1"/>
  <c r="S264" i="63" s="1"/>
  <c r="S265" i="63" s="1"/>
  <c r="S266" i="63" s="1"/>
  <c r="S267" i="63" s="1"/>
  <c r="S268" i="63" s="1"/>
  <c r="S269" i="63" s="1"/>
  <c r="S270" i="63" s="1"/>
  <c r="S271" i="63" s="1"/>
  <c r="S272" i="63" s="1"/>
  <c r="S273" i="63" s="1"/>
  <c r="S274" i="63" s="1"/>
  <c r="S275" i="63" s="1"/>
  <c r="S276" i="63" s="1"/>
  <c r="S277" i="63" s="1"/>
  <c r="S278" i="63" s="1"/>
  <c r="S279" i="63" s="1"/>
  <c r="S280" i="63" s="1"/>
  <c r="S281" i="63" s="1"/>
  <c r="S282" i="63" s="1"/>
  <c r="S283" i="63" s="1"/>
  <c r="S284" i="63" s="1"/>
  <c r="S285" i="63" s="1"/>
  <c r="S286" i="63" s="1"/>
  <c r="S287" i="63" s="1"/>
  <c r="S288" i="63" s="1"/>
  <c r="S289" i="63" s="1"/>
  <c r="S290" i="63" s="1"/>
  <c r="S291" i="63" s="1"/>
  <c r="S292" i="63" s="1"/>
  <c r="S293" i="63" s="1"/>
  <c r="S294" i="63" s="1"/>
  <c r="S295" i="63" s="1"/>
  <c r="S296" i="63" s="1"/>
  <c r="S297" i="63" s="1"/>
  <c r="S298" i="63" s="1"/>
  <c r="S299" i="63" s="1"/>
  <c r="S300" i="63" s="1"/>
  <c r="S301" i="63" s="1"/>
  <c r="S302" i="63" s="1"/>
  <c r="S303" i="63" s="1"/>
  <c r="S304" i="63" s="1"/>
  <c r="S305" i="63" s="1"/>
  <c r="S306" i="63" s="1"/>
  <c r="S307" i="63" s="1"/>
  <c r="S308" i="63" s="1"/>
  <c r="S309" i="63" s="1"/>
  <c r="S310" i="63" s="1"/>
  <c r="S311" i="63" s="1"/>
  <c r="S312" i="63" s="1"/>
  <c r="S313" i="63" s="1"/>
  <c r="S314" i="63" s="1"/>
  <c r="S315" i="63" s="1"/>
  <c r="S316" i="63" s="1"/>
  <c r="S317" i="63" s="1"/>
  <c r="S318" i="63" s="1"/>
  <c r="S319" i="63" s="1"/>
  <c r="S320" i="63" s="1"/>
  <c r="S321" i="63" s="1"/>
  <c r="S322" i="63" s="1"/>
  <c r="S323" i="63" s="1"/>
  <c r="S324" i="63" s="1"/>
  <c r="S325" i="63" s="1"/>
  <c r="S326" i="63" s="1"/>
  <c r="S327" i="63" s="1"/>
  <c r="S328" i="63" s="1"/>
  <c r="S329" i="63" s="1"/>
  <c r="S330" i="63" s="1"/>
  <c r="S331" i="63" s="1"/>
  <c r="S332" i="63" s="1"/>
  <c r="S333" i="63" s="1"/>
  <c r="S334" i="63" s="1"/>
  <c r="S335" i="63" s="1"/>
  <c r="S336" i="63" s="1"/>
  <c r="S337" i="63" s="1"/>
  <c r="S338" i="63" s="1"/>
  <c r="S339" i="63" s="1"/>
  <c r="S340" i="63" s="1"/>
  <c r="S341" i="63" s="1"/>
  <c r="S342" i="63" s="1"/>
  <c r="S343" i="63" s="1"/>
  <c r="S344" i="63" s="1"/>
  <c r="S345" i="63" s="1"/>
  <c r="S346" i="63" s="1"/>
  <c r="S347" i="63" s="1"/>
  <c r="S348" i="63" s="1"/>
  <c r="S349" i="63" s="1"/>
  <c r="S350" i="63" s="1"/>
  <c r="S351" i="63" s="1"/>
  <c r="S352" i="63" s="1"/>
  <c r="S353" i="63" s="1"/>
  <c r="S354" i="63" s="1"/>
  <c r="S355" i="63" s="1"/>
  <c r="S356" i="63" s="1"/>
  <c r="S357" i="63" s="1"/>
  <c r="S358" i="63" s="1"/>
  <c r="S359" i="63" s="1"/>
  <c r="S360" i="63" s="1"/>
  <c r="S361" i="63" s="1"/>
  <c r="S362" i="63" s="1"/>
  <c r="S363" i="63" s="1"/>
  <c r="S364" i="63" s="1"/>
  <c r="S365" i="63" s="1"/>
  <c r="S366" i="63" s="1"/>
  <c r="S367" i="63" s="1"/>
  <c r="S368" i="63" s="1"/>
  <c r="S369" i="63" s="1"/>
  <c r="S370" i="63" s="1"/>
  <c r="S371" i="63" s="1"/>
  <c r="S372" i="63" s="1"/>
  <c r="S373" i="63" s="1"/>
  <c r="S374" i="63" s="1"/>
  <c r="S375" i="63" s="1"/>
  <c r="S376" i="63" s="1"/>
  <c r="S377" i="63" s="1"/>
  <c r="S378" i="63" s="1"/>
  <c r="S379" i="63" s="1"/>
  <c r="S380" i="63" s="1"/>
  <c r="S381" i="63" s="1"/>
  <c r="S382" i="63" s="1"/>
  <c r="S383" i="63" s="1"/>
  <c r="S384" i="63" s="1"/>
  <c r="S385" i="63" s="1"/>
  <c r="S386" i="63" s="1"/>
  <c r="S387" i="63" s="1"/>
  <c r="S388" i="63" s="1"/>
  <c r="S389" i="63" s="1"/>
  <c r="S390" i="63" s="1"/>
  <c r="S391" i="63" s="1"/>
  <c r="S392" i="63" s="1"/>
  <c r="S393" i="63" s="1"/>
  <c r="S394" i="63" s="1"/>
  <c r="S395" i="63" s="1"/>
  <c r="S396" i="63" s="1"/>
  <c r="S397" i="63" s="1"/>
  <c r="S398" i="63" s="1"/>
  <c r="S399" i="63" s="1"/>
  <c r="S400" i="63" s="1"/>
  <c r="S401" i="63" s="1"/>
  <c r="S402" i="63" s="1"/>
  <c r="S403" i="63" s="1"/>
  <c r="S404" i="63" s="1"/>
  <c r="S405" i="63" s="1"/>
  <c r="S406" i="63" s="1"/>
  <c r="S407" i="63" s="1"/>
  <c r="S408" i="63" s="1"/>
  <c r="S409" i="63" s="1"/>
  <c r="S410" i="63" s="1"/>
  <c r="S411" i="63" s="1"/>
  <c r="S412" i="63" s="1"/>
  <c r="S413" i="63" s="1"/>
  <c r="S414" i="63" s="1"/>
  <c r="S415" i="63" s="1"/>
  <c r="S416" i="63" s="1"/>
  <c r="S417" i="63" s="1"/>
  <c r="S418" i="63" s="1"/>
  <c r="S419" i="63" s="1"/>
  <c r="S420" i="63" s="1"/>
  <c r="S421" i="63" s="1"/>
  <c r="S422" i="63" s="1"/>
  <c r="S423" i="63" s="1"/>
  <c r="S424" i="63" s="1"/>
  <c r="S425" i="63" s="1"/>
  <c r="S426" i="63" s="1"/>
  <c r="S427" i="63" s="1"/>
  <c r="S428" i="63" s="1"/>
  <c r="S429" i="63" s="1"/>
  <c r="S430" i="63" s="1"/>
  <c r="S431" i="63" s="1"/>
  <c r="S432" i="63" s="1"/>
  <c r="S433" i="63" s="1"/>
  <c r="S434" i="63" s="1"/>
  <c r="S435" i="63" s="1"/>
  <c r="S436" i="63" s="1"/>
  <c r="S437" i="63" s="1"/>
  <c r="S438" i="63" s="1"/>
  <c r="S439" i="63" s="1"/>
  <c r="S440" i="63" s="1"/>
  <c r="S441" i="63" s="1"/>
  <c r="S442" i="63" s="1"/>
  <c r="S443" i="63" s="1"/>
  <c r="S444" i="63" s="1"/>
  <c r="S445" i="63" s="1"/>
  <c r="S446" i="63" s="1"/>
  <c r="S447" i="63" s="1"/>
  <c r="S448" i="63" s="1"/>
  <c r="S449" i="63" s="1"/>
  <c r="S450" i="63" s="1"/>
  <c r="S451" i="63" s="1"/>
  <c r="S452" i="63" s="1"/>
  <c r="S453" i="63" s="1"/>
  <c r="S454" i="63" s="1"/>
  <c r="S455" i="63" s="1"/>
  <c r="S456" i="63" s="1"/>
  <c r="S457" i="63" s="1"/>
  <c r="S458" i="63" s="1"/>
  <c r="S459" i="63" s="1"/>
  <c r="S460" i="63" s="1"/>
  <c r="S461" i="63" s="1"/>
  <c r="S462" i="63" s="1"/>
  <c r="S463" i="63" s="1"/>
  <c r="S464" i="63" s="1"/>
  <c r="S465" i="63" s="1"/>
  <c r="S466" i="63" s="1"/>
  <c r="S467" i="63" s="1"/>
  <c r="S468" i="63" s="1"/>
  <c r="S469" i="63" s="1"/>
  <c r="S470" i="63" s="1"/>
  <c r="S471" i="63" s="1"/>
  <c r="S472" i="63" s="1"/>
  <c r="S473" i="63" s="1"/>
  <c r="S474" i="63" s="1"/>
  <c r="S475" i="63" s="1"/>
  <c r="S476" i="63" s="1"/>
  <c r="S477" i="63" s="1"/>
  <c r="S478" i="63" s="1"/>
  <c r="S479" i="63" s="1"/>
  <c r="S480" i="63" s="1"/>
  <c r="S481" i="63" s="1"/>
  <c r="S482" i="63" s="1"/>
  <c r="S483" i="63" s="1"/>
  <c r="S484" i="63" s="1"/>
  <c r="S485" i="63" s="1"/>
  <c r="S486" i="63" s="1"/>
  <c r="S487" i="63" s="1"/>
  <c r="S488" i="63" s="1"/>
  <c r="S489" i="63" s="1"/>
  <c r="S490" i="63" s="1"/>
  <c r="U61" i="63"/>
  <c r="W61" i="63"/>
  <c r="AT61" i="63" l="1"/>
  <c r="AU61" i="63"/>
  <c r="AV61" i="63" s="1"/>
  <c r="N62" i="63"/>
  <c r="O62" i="63"/>
  <c r="AN62" i="63" s="1"/>
  <c r="AS62" i="63" s="1"/>
  <c r="Q62" i="63" l="1"/>
  <c r="M62" i="63"/>
  <c r="L62" i="63" s="1"/>
  <c r="AM62" i="63" l="1"/>
  <c r="Z62" i="63"/>
  <c r="V62" i="63"/>
  <c r="P62" i="63"/>
  <c r="U62" i="63" l="1"/>
  <c r="W62" i="63"/>
  <c r="AT62" i="63" l="1"/>
  <c r="N63" i="63"/>
  <c r="AU62" i="63"/>
  <c r="AV62" i="63" s="1"/>
  <c r="O63" i="63"/>
  <c r="AN63" i="63" l="1"/>
  <c r="AS63" i="63" s="1"/>
  <c r="Q63" i="63"/>
  <c r="V63" i="63" s="1"/>
  <c r="M63" i="63"/>
  <c r="L63" i="63" s="1"/>
  <c r="AM63" i="63" l="1"/>
  <c r="Z63" i="63"/>
  <c r="P63" i="63"/>
  <c r="W63" i="63" l="1"/>
  <c r="U63" i="63"/>
  <c r="N64" i="63" l="1"/>
  <c r="AU63" i="63"/>
  <c r="AV63" i="63" s="1"/>
  <c r="AT63" i="63"/>
  <c r="O64" i="63"/>
  <c r="AN64" i="63" l="1"/>
  <c r="AS64" i="63" s="1"/>
  <c r="M64" i="63"/>
  <c r="L64" i="63" s="1"/>
  <c r="Q64" i="63"/>
  <c r="V64" i="63" s="1"/>
  <c r="Z64" i="63" l="1"/>
  <c r="AM64" i="63"/>
  <c r="P64" i="63"/>
  <c r="W64" i="63" l="1"/>
  <c r="U64" i="63"/>
  <c r="AU64" i="63" l="1"/>
  <c r="AV64" i="63" s="1"/>
  <c r="N65" i="63"/>
  <c r="AT64" i="63"/>
  <c r="O65" i="63"/>
  <c r="Q65" i="63" l="1"/>
  <c r="V65" i="63" s="1"/>
  <c r="M65" i="63"/>
  <c r="L65" i="63" s="1"/>
  <c r="AN65" i="63"/>
  <c r="AS65" i="63" s="1"/>
  <c r="P65" i="63" l="1"/>
  <c r="U65" i="63" s="1"/>
  <c r="AM65" i="63"/>
  <c r="Z65" i="63"/>
  <c r="W65" i="63" l="1"/>
  <c r="O66" i="63" s="1"/>
  <c r="AN66" i="63" s="1"/>
  <c r="AS66" i="63" s="1"/>
  <c r="AT65" i="63" l="1"/>
  <c r="N66" i="63"/>
  <c r="M66" i="63" s="1"/>
  <c r="L66" i="63" s="1"/>
  <c r="AU65" i="63"/>
  <c r="AV65" i="63" s="1"/>
  <c r="Q66" i="63"/>
  <c r="V66" i="63" l="1"/>
  <c r="P66" i="63"/>
  <c r="Z66" i="63"/>
  <c r="AM66" i="63"/>
  <c r="U66" i="63" l="1"/>
  <c r="W66" i="63"/>
  <c r="AT66" i="63" l="1"/>
  <c r="N67" i="63"/>
  <c r="O67" i="63"/>
  <c r="AN67" i="63" s="1"/>
  <c r="AS67" i="63" s="1"/>
  <c r="AU66" i="63"/>
  <c r="AV66" i="63" s="1"/>
  <c r="M67" i="63" l="1"/>
  <c r="L67" i="63" s="1"/>
  <c r="Q67" i="63"/>
  <c r="V67" i="63" l="1"/>
  <c r="P67" i="63"/>
  <c r="AM67" i="63"/>
  <c r="Z67" i="63"/>
  <c r="U67" i="63" l="1"/>
  <c r="W67" i="63"/>
  <c r="AT67" i="63" l="1"/>
  <c r="N68" i="63"/>
  <c r="O68" i="63"/>
  <c r="AN68" i="63" s="1"/>
  <c r="AS68" i="63" s="1"/>
  <c r="AU67" i="63"/>
  <c r="AV67" i="63" s="1"/>
  <c r="Q68" i="63" l="1"/>
  <c r="M68" i="63"/>
  <c r="L68" i="63" s="1"/>
  <c r="Z68" i="63" l="1"/>
  <c r="AM68" i="63"/>
  <c r="V68" i="63"/>
  <c r="P68" i="63"/>
  <c r="U68" i="63" l="1"/>
  <c r="W68" i="63"/>
  <c r="AT68" i="63" l="1"/>
  <c r="AU68" i="63"/>
  <c r="AV68" i="63" s="1"/>
  <c r="N69" i="63"/>
  <c r="O69" i="63"/>
  <c r="AN69" i="63" s="1"/>
  <c r="AS69" i="63" s="1"/>
  <c r="M69" i="63" l="1"/>
  <c r="L69" i="63" s="1"/>
  <c r="Q69" i="63"/>
  <c r="V69" i="63" l="1"/>
  <c r="P69" i="63"/>
  <c r="AM69" i="63"/>
  <c r="Z69" i="63"/>
  <c r="W69" i="63" l="1"/>
  <c r="U69" i="63"/>
  <c r="O70" i="63" l="1"/>
  <c r="AN70" i="63" s="1"/>
  <c r="AS70" i="63" s="1"/>
  <c r="N70" i="63"/>
  <c r="AU69" i="63"/>
  <c r="AV69" i="63" s="1"/>
  <c r="AT69" i="63"/>
  <c r="Q70" i="63" l="1"/>
  <c r="M70" i="63"/>
  <c r="L70" i="63" s="1"/>
  <c r="AM70" i="63" l="1"/>
  <c r="Z70" i="63"/>
  <c r="V70" i="63"/>
  <c r="P70" i="63"/>
  <c r="W70" i="63" l="1"/>
  <c r="U70" i="63"/>
  <c r="O71" i="63" l="1"/>
  <c r="AN71" i="63" s="1"/>
  <c r="AS71" i="63" s="1"/>
  <c r="N71" i="63"/>
  <c r="AU70" i="63"/>
  <c r="AV70" i="63" s="1"/>
  <c r="AT70" i="63"/>
  <c r="Q71" i="63" l="1"/>
  <c r="M71" i="63"/>
  <c r="L71" i="63" s="1"/>
  <c r="Z71" i="63" l="1"/>
  <c r="AM71" i="63"/>
  <c r="V71" i="63"/>
  <c r="P71" i="63"/>
  <c r="U71" i="63" l="1"/>
  <c r="W71" i="63"/>
  <c r="AU71" i="63" l="1"/>
  <c r="AV71" i="63" s="1"/>
  <c r="AT71" i="63"/>
  <c r="N72" i="63"/>
  <c r="O72" i="63"/>
  <c r="AN72" i="63" s="1"/>
  <c r="AS72" i="63" s="1"/>
  <c r="Q72" i="63" l="1"/>
  <c r="V72" i="63" s="1"/>
  <c r="M72" i="63"/>
  <c r="L72" i="63" s="1"/>
  <c r="Z72" i="63" l="1"/>
  <c r="AM72" i="63"/>
  <c r="P72" i="63"/>
  <c r="U72" i="63" l="1"/>
  <c r="W72" i="63"/>
  <c r="AT72" i="63" l="1"/>
  <c r="N73" i="63"/>
  <c r="AU72" i="63"/>
  <c r="AV72" i="63" s="1"/>
  <c r="O73" i="63"/>
  <c r="AN73" i="63" s="1"/>
  <c r="AS73" i="63" s="1"/>
  <c r="Q73" i="63" l="1"/>
  <c r="M73" i="63"/>
  <c r="L73" i="63" s="1"/>
  <c r="Z73" i="63" l="1"/>
  <c r="AM73" i="63"/>
  <c r="V73" i="63"/>
  <c r="P73" i="63"/>
  <c r="U73" i="63" l="1"/>
  <c r="W73" i="63"/>
  <c r="O74" i="63" l="1"/>
  <c r="AN74" i="63" s="1"/>
  <c r="AS74" i="63" s="1"/>
  <c r="AU73" i="63"/>
  <c r="AV73" i="63" s="1"/>
  <c r="N74" i="63"/>
  <c r="AT73" i="63"/>
  <c r="Q74" i="63" l="1"/>
  <c r="M74" i="63"/>
  <c r="L74" i="63" s="1"/>
  <c r="Z74" i="63" l="1"/>
  <c r="AM74" i="63"/>
  <c r="V74" i="63"/>
  <c r="P74" i="63"/>
  <c r="U74" i="63" l="1"/>
  <c r="W74" i="63"/>
  <c r="AU74" i="63" l="1"/>
  <c r="AV74" i="63" s="1"/>
  <c r="AT74" i="63"/>
  <c r="N75" i="63"/>
  <c r="O75" i="63"/>
  <c r="AN75" i="63" l="1"/>
  <c r="AS75" i="63" s="1"/>
  <c r="Q75" i="63"/>
  <c r="V75" i="63" s="1"/>
  <c r="M75" i="63"/>
  <c r="L75" i="63" s="1"/>
  <c r="Z75" i="63" l="1"/>
  <c r="AM75" i="63"/>
  <c r="P75" i="63"/>
  <c r="U75" i="63" l="1"/>
  <c r="W75" i="63"/>
  <c r="O76" i="63" l="1"/>
  <c r="AT75" i="63"/>
  <c r="AU75" i="63"/>
  <c r="AV75" i="63" s="1"/>
  <c r="N76" i="63"/>
  <c r="Q76" i="63" l="1"/>
  <c r="V76" i="63" s="1"/>
  <c r="M76" i="63"/>
  <c r="L76" i="63" s="1"/>
  <c r="AN76" i="63"/>
  <c r="AS76" i="63" s="1"/>
  <c r="P76" i="63" l="1"/>
  <c r="U76" i="63" s="1"/>
  <c r="Z76" i="63"/>
  <c r="AM76" i="63"/>
  <c r="W76" i="63" l="1"/>
  <c r="O77" i="63"/>
  <c r="N77" i="63"/>
  <c r="AU76" i="63"/>
  <c r="AV76" i="63" s="1"/>
  <c r="AT76" i="63"/>
  <c r="Q77" i="63" l="1"/>
  <c r="V77" i="63" s="1"/>
  <c r="M77" i="63"/>
  <c r="L77" i="63" s="1"/>
  <c r="AN77" i="63"/>
  <c r="AS77" i="63" s="1"/>
  <c r="P77" i="63" l="1"/>
  <c r="U77" i="63" s="1"/>
  <c r="AM77" i="63"/>
  <c r="Z77" i="63"/>
  <c r="W77" i="63" l="1"/>
  <c r="AT77" i="63" s="1"/>
  <c r="N78" i="63" l="1"/>
  <c r="M78" i="63" s="1"/>
  <c r="L78" i="63" s="1"/>
  <c r="AU77" i="63"/>
  <c r="AV77" i="63" s="1"/>
  <c r="O78" i="63"/>
  <c r="AN78" i="63" s="1"/>
  <c r="AS78" i="63" s="1"/>
  <c r="Q78" i="63"/>
  <c r="V78" i="63" l="1"/>
  <c r="P78" i="63"/>
  <c r="Z78" i="63"/>
  <c r="AM78" i="63"/>
  <c r="U78" i="63" l="1"/>
  <c r="W78" i="63"/>
  <c r="N79" i="63" l="1"/>
  <c r="AT78" i="63"/>
  <c r="O79" i="63"/>
  <c r="AN79" i="63" s="1"/>
  <c r="AS79" i="63" s="1"/>
  <c r="AU78" i="63"/>
  <c r="AV78" i="63" s="1"/>
  <c r="Q79" i="63" l="1"/>
  <c r="M79" i="63"/>
  <c r="L79" i="63" s="1"/>
  <c r="AM79" i="63" l="1"/>
  <c r="Z79" i="63"/>
  <c r="V79" i="63"/>
  <c r="P79" i="63"/>
  <c r="U79" i="63" l="1"/>
  <c r="W79" i="63"/>
  <c r="O80" i="63" l="1"/>
  <c r="AN80" i="63" s="1"/>
  <c r="AS80" i="63" s="1"/>
  <c r="N80" i="63"/>
  <c r="AT79" i="63"/>
  <c r="AU79" i="63"/>
  <c r="AV79" i="63" s="1"/>
  <c r="Q80" i="63" l="1"/>
  <c r="M80" i="63"/>
  <c r="L80" i="63" s="1"/>
  <c r="Z80" i="63" l="1"/>
  <c r="AM80" i="63"/>
  <c r="V80" i="63"/>
  <c r="P80" i="63"/>
  <c r="U80" i="63" l="1"/>
  <c r="W80" i="63"/>
  <c r="N81" i="63" l="1"/>
  <c r="O81" i="63"/>
  <c r="AT80" i="63"/>
  <c r="AU80" i="63"/>
  <c r="AV80" i="63" s="1"/>
  <c r="AN81" i="63" l="1"/>
  <c r="AS81" i="63" s="1"/>
  <c r="M81" i="63"/>
  <c r="L81" i="63" s="1"/>
  <c r="Q81" i="63"/>
  <c r="V81" i="63" s="1"/>
  <c r="Z81" i="63" l="1"/>
  <c r="AM81" i="63"/>
  <c r="P81" i="63"/>
  <c r="U81" i="63" l="1"/>
  <c r="W81" i="63"/>
  <c r="AT81" i="63" l="1"/>
  <c r="N82" i="63"/>
  <c r="O82" i="63"/>
  <c r="AU81" i="63"/>
  <c r="AV81" i="63" s="1"/>
  <c r="AN82" i="63" l="1"/>
  <c r="AS82" i="63" s="1"/>
  <c r="M82" i="63"/>
  <c r="L82" i="63" s="1"/>
  <c r="Q82" i="63"/>
  <c r="V82" i="63" s="1"/>
  <c r="Z82" i="63" l="1"/>
  <c r="AM82" i="63"/>
  <c r="P82" i="63"/>
  <c r="W82" i="63" l="1"/>
  <c r="U82" i="63"/>
  <c r="AT82" i="63" l="1"/>
  <c r="N83" i="63"/>
  <c r="AU82" i="63"/>
  <c r="AV82" i="63" s="1"/>
  <c r="O83" i="63"/>
  <c r="AN83" i="63" l="1"/>
  <c r="AS83" i="63" s="1"/>
  <c r="M83" i="63"/>
  <c r="L83" i="63" s="1"/>
  <c r="Q83" i="63"/>
  <c r="V83" i="63" s="1"/>
  <c r="AM83" i="63" l="1"/>
  <c r="Z83" i="63"/>
  <c r="P83" i="63"/>
  <c r="W83" i="63" l="1"/>
  <c r="U83" i="63"/>
  <c r="N84" i="63" l="1"/>
  <c r="AT83" i="63"/>
  <c r="O84" i="63"/>
  <c r="AU83" i="63"/>
  <c r="AV83" i="63" s="1"/>
  <c r="AN84" i="63" l="1"/>
  <c r="AS84" i="63" s="1"/>
  <c r="Q84" i="63"/>
  <c r="V84" i="63" s="1"/>
  <c r="M84" i="63"/>
  <c r="L84" i="63" s="1"/>
  <c r="AM84" i="63" l="1"/>
  <c r="Z84" i="63"/>
  <c r="P84" i="63"/>
  <c r="U84" i="63" l="1"/>
  <c r="W84" i="63"/>
  <c r="AT84" i="63" l="1"/>
  <c r="N85" i="63"/>
  <c r="AU84" i="63"/>
  <c r="AV84" i="63" s="1"/>
  <c r="O85" i="63"/>
  <c r="Q85" i="63" l="1"/>
  <c r="V85" i="63" s="1"/>
  <c r="M85" i="63"/>
  <c r="L85" i="63" s="1"/>
  <c r="AN85" i="63"/>
  <c r="AS85" i="63" s="1"/>
  <c r="P85" i="63" l="1"/>
  <c r="W85" i="63" s="1"/>
  <c r="AM85" i="63"/>
  <c r="Z85" i="63"/>
  <c r="U85" i="63" l="1"/>
  <c r="N86" i="63"/>
  <c r="O86" i="63"/>
  <c r="AN86" i="63" s="1"/>
  <c r="AS86" i="63" s="1"/>
  <c r="AU85" i="63"/>
  <c r="AV85" i="63" s="1"/>
  <c r="AT85" i="63"/>
  <c r="Q86" i="63" l="1"/>
  <c r="M86" i="63"/>
  <c r="L86" i="63" s="1"/>
  <c r="Z86" i="63" l="1"/>
  <c r="AM86" i="63"/>
  <c r="V86" i="63"/>
  <c r="P86" i="63"/>
  <c r="W86" i="63" l="1"/>
  <c r="U86" i="63"/>
  <c r="N87" i="63" l="1"/>
  <c r="AU86" i="63"/>
  <c r="AV86" i="63" s="1"/>
  <c r="AT86" i="63"/>
  <c r="O87" i="63"/>
  <c r="AN87" i="63" s="1"/>
  <c r="AS87" i="63" s="1"/>
  <c r="Q87" i="63" l="1"/>
  <c r="M87" i="63"/>
  <c r="L87" i="63" s="1"/>
  <c r="AM87" i="63" l="1"/>
  <c r="Z87" i="63"/>
  <c r="V87" i="63"/>
  <c r="P87" i="63"/>
  <c r="W87" i="63" l="1"/>
  <c r="U87" i="63"/>
  <c r="AU87" i="63" l="1"/>
  <c r="AV87" i="63" s="1"/>
  <c r="O88" i="63"/>
  <c r="AN88" i="63" s="1"/>
  <c r="AS88" i="63" s="1"/>
  <c r="N88" i="63"/>
  <c r="AT87" i="63"/>
  <c r="Q88" i="63" l="1"/>
  <c r="M88" i="63"/>
  <c r="L88" i="63" s="1"/>
  <c r="Z88" i="63" l="1"/>
  <c r="AM88" i="63"/>
  <c r="V88" i="63"/>
  <c r="P88" i="63"/>
  <c r="U88" i="63" l="1"/>
  <c r="W88" i="63"/>
  <c r="O89" i="63" l="1"/>
  <c r="AN89" i="63" s="1"/>
  <c r="AS89" i="63" s="1"/>
  <c r="AT88" i="63"/>
  <c r="N89" i="63"/>
  <c r="AU88" i="63"/>
  <c r="AV88" i="63" s="1"/>
  <c r="M89" i="63" l="1"/>
  <c r="L89" i="63" s="1"/>
  <c r="Q89" i="63"/>
  <c r="V89" i="63" l="1"/>
  <c r="P89" i="63"/>
  <c r="Z89" i="63"/>
  <c r="AM89" i="63"/>
  <c r="W89" i="63" l="1"/>
  <c r="U89" i="63"/>
  <c r="AT89" i="63" l="1"/>
  <c r="N90" i="63"/>
  <c r="O90" i="63"/>
  <c r="AU89" i="63"/>
  <c r="AV89" i="63" s="1"/>
  <c r="AN90" i="63" l="1"/>
  <c r="AS90" i="63" s="1"/>
  <c r="Q90" i="63"/>
  <c r="V90" i="63" s="1"/>
  <c r="M90" i="63"/>
  <c r="L90" i="63" s="1"/>
  <c r="Z90" i="63" l="1"/>
  <c r="AM90" i="63"/>
  <c r="P90" i="63"/>
  <c r="U90" i="63" l="1"/>
  <c r="W90" i="63"/>
  <c r="N91" i="63" l="1"/>
  <c r="AT90" i="63"/>
  <c r="AU90" i="63"/>
  <c r="AV90" i="63" s="1"/>
  <c r="O91" i="63"/>
  <c r="AN91" i="63" l="1"/>
  <c r="AS91" i="63" s="1"/>
  <c r="Q91" i="63"/>
  <c r="V91" i="63" s="1"/>
  <c r="M91" i="63"/>
  <c r="L91" i="63" s="1"/>
  <c r="P91" i="63" l="1"/>
  <c r="AM91" i="63"/>
  <c r="Z91" i="63"/>
  <c r="U91" i="63" l="1"/>
  <c r="W91" i="63"/>
  <c r="N92" i="63" l="1"/>
  <c r="O92" i="63"/>
  <c r="AT91" i="63"/>
  <c r="AU91" i="63"/>
  <c r="AV91" i="63" s="1"/>
  <c r="AN92" i="63" l="1"/>
  <c r="AS92" i="63" s="1"/>
  <c r="Q92" i="63"/>
  <c r="V92" i="63" s="1"/>
  <c r="M92" i="63"/>
  <c r="L92" i="63" s="1"/>
  <c r="Z92" i="63" l="1"/>
  <c r="AM92" i="63"/>
  <c r="P92" i="63"/>
  <c r="W92" i="63" l="1"/>
  <c r="U92" i="63"/>
  <c r="N93" i="63" l="1"/>
  <c r="AT92" i="63"/>
  <c r="O93" i="63"/>
  <c r="AU92" i="63"/>
  <c r="AV92" i="63" s="1"/>
  <c r="AN93" i="63" l="1"/>
  <c r="AS93" i="63" s="1"/>
  <c r="Q93" i="63"/>
  <c r="V93" i="63" s="1"/>
  <c r="M93" i="63"/>
  <c r="L93" i="63" s="1"/>
  <c r="AM93" i="63" l="1"/>
  <c r="Z93" i="63"/>
  <c r="P93" i="63"/>
  <c r="W93" i="63" l="1"/>
  <c r="U93" i="63"/>
  <c r="AU93" i="63" l="1"/>
  <c r="AV93" i="63" s="1"/>
  <c r="N94" i="63"/>
  <c r="AT93" i="63"/>
  <c r="O94" i="63"/>
  <c r="AN94" i="63" l="1"/>
  <c r="AS94" i="63" s="1"/>
  <c r="M94" i="63"/>
  <c r="L94" i="63" s="1"/>
  <c r="Q94" i="63"/>
  <c r="V94" i="63" s="1"/>
  <c r="AM94" i="63" l="1"/>
  <c r="Z94" i="63"/>
  <c r="P94" i="63"/>
  <c r="U94" i="63" l="1"/>
  <c r="W94" i="63"/>
  <c r="AU94" i="63" l="1"/>
  <c r="AV94" i="63" s="1"/>
  <c r="N95" i="63"/>
  <c r="O95" i="63"/>
  <c r="AT94" i="63"/>
  <c r="AN95" i="63" l="1"/>
  <c r="AS95" i="63" s="1"/>
  <c r="M95" i="63"/>
  <c r="L95" i="63" s="1"/>
  <c r="Q95" i="63"/>
  <c r="V95" i="63" s="1"/>
  <c r="AM95" i="63" l="1"/>
  <c r="Z95" i="63"/>
  <c r="P95" i="63"/>
  <c r="U95" i="63" l="1"/>
  <c r="W95" i="63"/>
  <c r="N96" i="63" l="1"/>
  <c r="AT95" i="63"/>
  <c r="AU95" i="63"/>
  <c r="AV95" i="63" s="1"/>
  <c r="O96" i="63"/>
  <c r="AN96" i="63" l="1"/>
  <c r="AS96" i="63" s="1"/>
  <c r="M96" i="63"/>
  <c r="L96" i="63" s="1"/>
  <c r="Q96" i="63"/>
  <c r="V96" i="63" s="1"/>
  <c r="AM96" i="63" l="1"/>
  <c r="Z96" i="63"/>
  <c r="P96" i="63"/>
  <c r="U96" i="63" l="1"/>
  <c r="W96" i="63"/>
  <c r="O97" i="63" l="1"/>
  <c r="AU96" i="63"/>
  <c r="AV96" i="63" s="1"/>
  <c r="N97" i="63"/>
  <c r="AT96" i="63"/>
  <c r="M97" i="63" l="1"/>
  <c r="L97" i="63" s="1"/>
  <c r="Q97" i="63"/>
  <c r="V97" i="63" s="1"/>
  <c r="AN97" i="63"/>
  <c r="AS97" i="63" s="1"/>
  <c r="P97" i="63" l="1"/>
  <c r="W97" i="63" s="1"/>
  <c r="AM97" i="63"/>
  <c r="Z97" i="63"/>
  <c r="U97" i="63" l="1"/>
  <c r="O98" i="63"/>
  <c r="AN98" i="63" s="1"/>
  <c r="AS98" i="63" s="1"/>
  <c r="N98" i="63"/>
  <c r="AT97" i="63"/>
  <c r="AU97" i="63"/>
  <c r="AV97" i="63" s="1"/>
  <c r="M98" i="63" l="1"/>
  <c r="L98" i="63" s="1"/>
  <c r="Q98" i="63"/>
  <c r="V98" i="63" l="1"/>
  <c r="P98" i="63"/>
  <c r="AM98" i="63"/>
  <c r="Z98" i="63"/>
  <c r="W98" i="63" l="1"/>
  <c r="U98" i="63"/>
  <c r="N99" i="63" l="1"/>
  <c r="O99" i="63"/>
  <c r="AN99" i="63" s="1"/>
  <c r="AS99" i="63" s="1"/>
  <c r="AT98" i="63"/>
  <c r="AU98" i="63"/>
  <c r="AV98" i="63" s="1"/>
  <c r="M99" i="63" l="1"/>
  <c r="L99" i="63" s="1"/>
  <c r="Q99" i="63"/>
  <c r="V99" i="63" l="1"/>
  <c r="P99" i="63"/>
  <c r="AM99" i="63"/>
  <c r="Z99" i="63"/>
  <c r="U99" i="63" l="1"/>
  <c r="W99" i="63"/>
  <c r="AT99" i="63" l="1"/>
  <c r="AU99" i="63"/>
  <c r="AV99" i="63" s="1"/>
  <c r="N100" i="63"/>
  <c r="O100" i="63"/>
  <c r="AN100" i="63" l="1"/>
  <c r="AS100" i="63" s="1"/>
  <c r="M100" i="63"/>
  <c r="L100" i="63" s="1"/>
  <c r="Q100" i="63"/>
  <c r="V100" i="63" s="1"/>
  <c r="P100" i="63" l="1"/>
  <c r="Z100" i="63"/>
  <c r="AM100" i="63"/>
  <c r="W100" i="63" l="1"/>
  <c r="U100" i="63"/>
  <c r="AU100" i="63" l="1"/>
  <c r="AV100" i="63" s="1"/>
  <c r="O101" i="63"/>
  <c r="AT100" i="63"/>
  <c r="N101" i="63"/>
  <c r="M101" i="63" l="1"/>
  <c r="L101" i="63" s="1"/>
  <c r="Q101" i="63"/>
  <c r="V101" i="63" s="1"/>
  <c r="AN101" i="63"/>
  <c r="AS101" i="63" s="1"/>
  <c r="P101" i="63" l="1"/>
  <c r="W101" i="63" s="1"/>
  <c r="Z101" i="63"/>
  <c r="AM101" i="63"/>
  <c r="U101" i="63" l="1"/>
  <c r="AT101" i="63"/>
  <c r="AU101" i="63"/>
  <c r="AV101" i="63" s="1"/>
  <c r="O102" i="63"/>
  <c r="AN102" i="63" s="1"/>
  <c r="AS102" i="63" s="1"/>
  <c r="N102" i="63"/>
  <c r="M102" i="63" l="1"/>
  <c r="L102" i="63" s="1"/>
  <c r="Q102" i="63"/>
  <c r="V102" i="63" l="1"/>
  <c r="P102" i="63"/>
  <c r="AM102" i="63"/>
  <c r="Z102" i="63"/>
  <c r="U102" i="63" l="1"/>
  <c r="W102" i="63"/>
  <c r="AU102" i="63" l="1"/>
  <c r="AV102" i="63" s="1"/>
  <c r="O103" i="63"/>
  <c r="AN103" i="63" s="1"/>
  <c r="AS103" i="63" s="1"/>
  <c r="AT102" i="63"/>
  <c r="N103" i="63"/>
  <c r="M103" i="63" l="1"/>
  <c r="L103" i="63" s="1"/>
  <c r="Q103" i="63"/>
  <c r="V103" i="63" l="1"/>
  <c r="P103" i="63"/>
  <c r="Z103" i="63"/>
  <c r="AM103" i="63"/>
  <c r="W103" i="63" l="1"/>
  <c r="U103" i="63"/>
  <c r="AT103" i="63" l="1"/>
  <c r="AU103" i="63"/>
  <c r="AV103" i="63" s="1"/>
  <c r="N104" i="63"/>
  <c r="O104" i="63"/>
  <c r="AN104" i="63" s="1"/>
  <c r="AS104" i="63" s="1"/>
  <c r="M104" i="63" l="1"/>
  <c r="L104" i="63" s="1"/>
  <c r="Q104" i="63"/>
  <c r="V104" i="63" l="1"/>
  <c r="P104" i="63"/>
  <c r="Z104" i="63"/>
  <c r="AM104" i="63"/>
  <c r="U104" i="63" l="1"/>
  <c r="W104" i="63"/>
  <c r="AT104" i="63" l="1"/>
  <c r="N105" i="63"/>
  <c r="AU104" i="63"/>
  <c r="AV104" i="63" s="1"/>
  <c r="O105" i="63"/>
  <c r="Q105" i="63" l="1"/>
  <c r="V105" i="63" s="1"/>
  <c r="M105" i="63"/>
  <c r="L105" i="63" s="1"/>
  <c r="AN105" i="63"/>
  <c r="AS105" i="63" s="1"/>
  <c r="P105" i="63" l="1"/>
  <c r="Z105" i="63"/>
  <c r="AM105" i="63"/>
  <c r="W105" i="63"/>
  <c r="U105" i="63"/>
  <c r="AU105" i="63" l="1"/>
  <c r="AV105" i="63" s="1"/>
  <c r="N106" i="63"/>
  <c r="AT105" i="63"/>
  <c r="O106" i="63"/>
  <c r="AN106" i="63" s="1"/>
  <c r="AS106" i="63" s="1"/>
  <c r="M106" i="63" l="1"/>
  <c r="L106" i="63" s="1"/>
  <c r="Q106" i="63"/>
  <c r="V106" i="63" s="1"/>
  <c r="AM106" i="63" l="1"/>
  <c r="Z106" i="63"/>
  <c r="P106" i="63"/>
  <c r="U106" i="63" l="1"/>
  <c r="W106" i="63"/>
  <c r="AT106" i="63" l="1"/>
  <c r="N107" i="63"/>
  <c r="O107" i="63"/>
  <c r="AN107" i="63" s="1"/>
  <c r="AS107" i="63" s="1"/>
  <c r="AU106" i="63"/>
  <c r="AV106" i="63" s="1"/>
  <c r="Q107" i="63" l="1"/>
  <c r="M107" i="63"/>
  <c r="L107" i="63" s="1"/>
  <c r="AM107" i="63" l="1"/>
  <c r="Z107" i="63"/>
  <c r="V107" i="63"/>
  <c r="P107" i="63"/>
  <c r="U107" i="63" l="1"/>
  <c r="W107" i="63"/>
  <c r="AT107" i="63" l="1"/>
  <c r="O108" i="63"/>
  <c r="AN108" i="63" s="1"/>
  <c r="AS108" i="63" s="1"/>
  <c r="AU107" i="63"/>
  <c r="AV107" i="63" s="1"/>
  <c r="N108" i="63"/>
  <c r="Q108" i="63" l="1"/>
  <c r="M108" i="63"/>
  <c r="L108" i="63" s="1"/>
  <c r="Z108" i="63" l="1"/>
  <c r="AM108" i="63"/>
  <c r="V108" i="63"/>
  <c r="P108" i="63"/>
  <c r="U108" i="63" l="1"/>
  <c r="W108" i="63"/>
  <c r="N109" i="63" l="1"/>
  <c r="AU108" i="63"/>
  <c r="AV108" i="63" s="1"/>
  <c r="AT108" i="63"/>
  <c r="O109" i="63"/>
  <c r="AN109" i="63" l="1"/>
  <c r="AS109" i="63" s="1"/>
  <c r="Q109" i="63"/>
  <c r="V109" i="63" s="1"/>
  <c r="M109" i="63"/>
  <c r="L109" i="63" s="1"/>
  <c r="AM109" i="63" l="1"/>
  <c r="Z109" i="63"/>
  <c r="P109" i="63"/>
  <c r="U109" i="63" l="1"/>
  <c r="W109" i="63"/>
  <c r="AT109" i="63" l="1"/>
  <c r="AU109" i="63"/>
  <c r="AV109" i="63" s="1"/>
  <c r="O110" i="63"/>
  <c r="N110" i="63"/>
  <c r="M110" i="63" l="1"/>
  <c r="L110" i="63" s="1"/>
  <c r="Q110" i="63"/>
  <c r="V110" i="63" s="1"/>
  <c r="AN110" i="63"/>
  <c r="AS110" i="63" s="1"/>
  <c r="P110" i="63" l="1"/>
  <c r="AM110" i="63"/>
  <c r="Z110" i="63"/>
  <c r="U110" i="63" l="1"/>
  <c r="W110" i="63"/>
  <c r="AT110" i="63" l="1"/>
  <c r="N111" i="63"/>
  <c r="O111" i="63"/>
  <c r="AU110" i="63"/>
  <c r="AV110" i="63" s="1"/>
  <c r="AN111" i="63" l="1"/>
  <c r="AS111" i="63" s="1"/>
  <c r="Q111" i="63"/>
  <c r="V111" i="63" s="1"/>
  <c r="M111" i="63"/>
  <c r="L111" i="63" s="1"/>
  <c r="P111" i="63" l="1"/>
  <c r="AM111" i="63"/>
  <c r="Z111" i="63"/>
  <c r="W111" i="63" l="1"/>
  <c r="U111" i="63"/>
  <c r="AT111" i="63" l="1"/>
  <c r="O112" i="63"/>
  <c r="N112" i="63"/>
  <c r="AU111" i="63"/>
  <c r="AV111" i="63" s="1"/>
  <c r="AN112" i="63" l="1"/>
  <c r="AS112" i="63" s="1"/>
  <c r="Q112" i="63"/>
  <c r="V112" i="63" s="1"/>
  <c r="M112" i="63"/>
  <c r="L112" i="63" s="1"/>
  <c r="Z112" i="63" l="1"/>
  <c r="AM112" i="63"/>
  <c r="P112" i="63"/>
  <c r="U112" i="63" l="1"/>
  <c r="W112" i="63"/>
  <c r="N113" i="63" l="1"/>
  <c r="O113" i="63"/>
  <c r="AU112" i="63"/>
  <c r="AV112" i="63" s="1"/>
  <c r="AT112" i="63"/>
  <c r="AN113" i="63" l="1"/>
  <c r="AS113" i="63" s="1"/>
  <c r="M113" i="63"/>
  <c r="L113" i="63" s="1"/>
  <c r="Q113" i="63"/>
  <c r="V113" i="63" s="1"/>
  <c r="Z113" i="63" l="1"/>
  <c r="AM113" i="63"/>
  <c r="P113" i="63"/>
  <c r="U113" i="63" l="1"/>
  <c r="W113" i="63"/>
  <c r="N114" i="63" l="1"/>
  <c r="AT113" i="63"/>
  <c r="AU113" i="63"/>
  <c r="AV113" i="63" s="1"/>
  <c r="O114" i="63"/>
  <c r="AN114" i="63" l="1"/>
  <c r="AS114" i="63" s="1"/>
  <c r="M114" i="63"/>
  <c r="L114" i="63" s="1"/>
  <c r="Q114" i="63"/>
  <c r="V114" i="63" s="1"/>
  <c r="Z114" i="63" l="1"/>
  <c r="AM114" i="63"/>
  <c r="P114" i="63"/>
  <c r="U114" i="63" l="1"/>
  <c r="W114" i="63"/>
  <c r="AU114" i="63" l="1"/>
  <c r="AV114" i="63" s="1"/>
  <c r="AT114" i="63"/>
  <c r="N115" i="63"/>
  <c r="O115" i="63"/>
  <c r="AN115" i="63" l="1"/>
  <c r="AS115" i="63" s="1"/>
  <c r="Q115" i="63"/>
  <c r="V115" i="63" s="1"/>
  <c r="M115" i="63"/>
  <c r="L115" i="63" s="1"/>
  <c r="P115" i="63" l="1"/>
  <c r="Z115" i="63"/>
  <c r="AM115" i="63"/>
  <c r="U115" i="63" l="1"/>
  <c r="W115" i="63"/>
  <c r="O116" i="63" l="1"/>
  <c r="AU115" i="63"/>
  <c r="AV115" i="63" s="1"/>
  <c r="AT115" i="63"/>
  <c r="N116" i="63"/>
  <c r="Q116" i="63" l="1"/>
  <c r="V116" i="63" s="1"/>
  <c r="M116" i="63"/>
  <c r="L116" i="63" s="1"/>
  <c r="AN116" i="63"/>
  <c r="AS116" i="63" s="1"/>
  <c r="P116" i="63" l="1"/>
  <c r="U116" i="63" s="1"/>
  <c r="Z116" i="63"/>
  <c r="AM116" i="63"/>
  <c r="W116" i="63" l="1"/>
  <c r="AT116" i="63" s="1"/>
  <c r="N117" i="63" l="1"/>
  <c r="Q117" i="63" s="1"/>
  <c r="AU116" i="63"/>
  <c r="AV116" i="63" s="1"/>
  <c r="O117" i="63"/>
  <c r="AN117" i="63" s="1"/>
  <c r="AS117" i="63" s="1"/>
  <c r="M117" i="63" l="1"/>
  <c r="L117" i="63" s="1"/>
  <c r="AM117" i="63" s="1"/>
  <c r="P117" i="63"/>
  <c r="V117" i="63"/>
  <c r="Z117" i="63" l="1"/>
  <c r="W117" i="63"/>
  <c r="U117" i="63"/>
  <c r="AU117" i="63" l="1"/>
  <c r="AV117" i="63" s="1"/>
  <c r="N118" i="63"/>
  <c r="O118" i="63"/>
  <c r="AN118" i="63" s="1"/>
  <c r="AS118" i="63" s="1"/>
  <c r="AT117" i="63"/>
  <c r="M118" i="63" l="1"/>
  <c r="L118" i="63" s="1"/>
  <c r="Q118" i="63"/>
  <c r="V118" i="63" l="1"/>
  <c r="P118" i="63"/>
  <c r="Z118" i="63"/>
  <c r="AM118" i="63"/>
  <c r="U118" i="63" l="1"/>
  <c r="W118" i="63"/>
  <c r="AU118" i="63" l="1"/>
  <c r="AV118" i="63" s="1"/>
  <c r="O119" i="63"/>
  <c r="AN119" i="63" s="1"/>
  <c r="AS119" i="63" s="1"/>
  <c r="N119" i="63"/>
  <c r="AT118" i="63"/>
  <c r="M119" i="63" l="1"/>
  <c r="L119" i="63" s="1"/>
  <c r="Q119" i="63"/>
  <c r="V119" i="63" l="1"/>
  <c r="P119" i="63"/>
  <c r="Z119" i="63"/>
  <c r="AM119" i="63"/>
  <c r="W119" i="63" l="1"/>
  <c r="U119" i="63"/>
  <c r="O120" i="63" l="1"/>
  <c r="AU119" i="63"/>
  <c r="AV119" i="63" s="1"/>
  <c r="N120" i="63"/>
  <c r="AT119" i="63"/>
  <c r="Q120" i="63" l="1"/>
  <c r="V120" i="63" s="1"/>
  <c r="M120" i="63"/>
  <c r="L120" i="63" s="1"/>
  <c r="AN120" i="63"/>
  <c r="AS120" i="63" s="1"/>
  <c r="P120" i="63" l="1"/>
  <c r="U120" i="63" s="1"/>
  <c r="AM120" i="63"/>
  <c r="Z120" i="63"/>
  <c r="W120" i="63" l="1"/>
  <c r="N121" i="63" s="1"/>
  <c r="AU120" i="63" l="1"/>
  <c r="AV120" i="63" s="1"/>
  <c r="O121" i="63"/>
  <c r="AN121" i="63" s="1"/>
  <c r="AS121" i="63" s="1"/>
  <c r="AT120" i="63"/>
  <c r="Q121" i="63"/>
  <c r="M121" i="63"/>
  <c r="L121" i="63" s="1"/>
  <c r="Z121" i="63" l="1"/>
  <c r="AM121" i="63"/>
  <c r="V121" i="63"/>
  <c r="P121" i="63"/>
  <c r="U121" i="63" l="1"/>
  <c r="W121" i="63"/>
  <c r="N122" i="63" l="1"/>
  <c r="AU121" i="63"/>
  <c r="AV121" i="63" s="1"/>
  <c r="AT121" i="63"/>
  <c r="O122" i="63"/>
  <c r="AN122" i="63" s="1"/>
  <c r="AS122" i="63" s="1"/>
  <c r="M122" i="63" l="1"/>
  <c r="L122" i="63" s="1"/>
  <c r="Q122" i="63"/>
  <c r="V122" i="63" l="1"/>
  <c r="P122" i="63"/>
  <c r="Z122" i="63"/>
  <c r="AM122" i="63"/>
  <c r="W122" i="63" l="1"/>
  <c r="U122" i="63"/>
  <c r="AT122" i="63" l="1"/>
  <c r="AU122" i="63"/>
  <c r="AV122" i="63" s="1"/>
  <c r="N123" i="63"/>
  <c r="O123" i="63"/>
  <c r="AN123" i="63" s="1"/>
  <c r="AS123" i="63" s="1"/>
  <c r="M123" i="63" l="1"/>
  <c r="L123" i="63" s="1"/>
  <c r="Q123" i="63"/>
  <c r="V123" i="63" l="1"/>
  <c r="P123" i="63"/>
  <c r="Z123" i="63"/>
  <c r="AM123" i="63"/>
  <c r="U123" i="63" l="1"/>
  <c r="W123" i="63"/>
  <c r="AT123" i="63" l="1"/>
  <c r="O124" i="63"/>
  <c r="AN124" i="63" s="1"/>
  <c r="AS124" i="63" s="1"/>
  <c r="N124" i="63"/>
  <c r="AU123" i="63"/>
  <c r="AV123" i="63" s="1"/>
  <c r="Q124" i="63" l="1"/>
  <c r="M124" i="63"/>
  <c r="L124" i="63" s="1"/>
  <c r="Z124" i="63" l="1"/>
  <c r="AM124" i="63"/>
  <c r="V124" i="63"/>
  <c r="P124" i="63"/>
  <c r="U124" i="63" l="1"/>
  <c r="W124" i="63"/>
  <c r="AT124" i="63" l="1"/>
  <c r="AU124" i="63"/>
  <c r="AV124" i="63" s="1"/>
  <c r="N125" i="63"/>
  <c r="O125" i="63"/>
  <c r="AN125" i="63" s="1"/>
  <c r="AS125" i="63" s="1"/>
  <c r="M125" i="63" l="1"/>
  <c r="L125" i="63" s="1"/>
  <c r="Q125" i="63"/>
  <c r="V125" i="63" l="1"/>
  <c r="P125" i="63"/>
  <c r="AM125" i="63"/>
  <c r="Z125" i="63"/>
  <c r="U125" i="63" l="1"/>
  <c r="W125" i="63"/>
  <c r="N126" i="63" l="1"/>
  <c r="O126" i="63"/>
  <c r="AN126" i="63" s="1"/>
  <c r="AS126" i="63" s="1"/>
  <c r="AU125" i="63"/>
  <c r="AV125" i="63" s="1"/>
  <c r="AT125" i="63"/>
  <c r="Q126" i="63" l="1"/>
  <c r="M126" i="63"/>
  <c r="L126" i="63" s="1"/>
  <c r="AM126" i="63" l="1"/>
  <c r="Z126" i="63"/>
  <c r="V126" i="63"/>
  <c r="P126" i="63"/>
  <c r="U126" i="63" l="1"/>
  <c r="W126" i="63"/>
  <c r="N127" i="63" l="1"/>
  <c r="AU126" i="63"/>
  <c r="AV126" i="63" s="1"/>
  <c r="AT126" i="63"/>
  <c r="O127" i="63"/>
  <c r="AN127" i="63" s="1"/>
  <c r="AS127" i="63" s="1"/>
  <c r="M127" i="63" l="1"/>
  <c r="L127" i="63" s="1"/>
  <c r="Q127" i="63"/>
  <c r="V127" i="63" l="1"/>
  <c r="P127" i="63"/>
  <c r="Z127" i="63"/>
  <c r="AM127" i="63"/>
  <c r="U127" i="63" l="1"/>
  <c r="W127" i="63"/>
  <c r="N128" i="63" l="1"/>
  <c r="AU127" i="63"/>
  <c r="AV127" i="63" s="1"/>
  <c r="O128" i="63"/>
  <c r="AN128" i="63" s="1"/>
  <c r="AS128" i="63" s="1"/>
  <c r="AT127" i="63"/>
  <c r="M128" i="63" l="1"/>
  <c r="L128" i="63" s="1"/>
  <c r="Q128" i="63"/>
  <c r="V128" i="63" l="1"/>
  <c r="P128" i="63"/>
  <c r="AM128" i="63"/>
  <c r="Z128" i="63"/>
  <c r="U128" i="63" l="1"/>
  <c r="W128" i="63"/>
  <c r="O129" i="63" l="1"/>
  <c r="AN129" i="63" s="1"/>
  <c r="AS129" i="63" s="1"/>
  <c r="AU128" i="63"/>
  <c r="AV128" i="63" s="1"/>
  <c r="N129" i="63"/>
  <c r="AT128" i="63"/>
  <c r="M129" i="63" l="1"/>
  <c r="L129" i="63" s="1"/>
  <c r="Q129" i="63"/>
  <c r="V129" i="63" l="1"/>
  <c r="P129" i="63"/>
  <c r="Z129" i="63"/>
  <c r="AM129" i="63"/>
  <c r="U129" i="63" l="1"/>
  <c r="W129" i="63"/>
  <c r="N130" i="63" l="1"/>
  <c r="O130" i="63"/>
  <c r="AN130" i="63" s="1"/>
  <c r="AS130" i="63" s="1"/>
  <c r="AT129" i="63"/>
  <c r="AU129" i="63"/>
  <c r="AV129" i="63" s="1"/>
  <c r="Q130" i="63" l="1"/>
  <c r="M130" i="63"/>
  <c r="L130" i="63" s="1"/>
  <c r="Z130" i="63" l="1"/>
  <c r="AM130" i="63"/>
  <c r="P130" i="63"/>
  <c r="V130" i="63"/>
  <c r="U130" i="63" l="1"/>
  <c r="W130" i="63"/>
  <c r="O131" i="63" l="1"/>
  <c r="AN131" i="63" s="1"/>
  <c r="AS131" i="63" s="1"/>
  <c r="N131" i="63"/>
  <c r="AT130" i="63"/>
  <c r="AU130" i="63"/>
  <c r="AV130" i="63" s="1"/>
  <c r="Q131" i="63" l="1"/>
  <c r="M131" i="63"/>
  <c r="L131" i="63" s="1"/>
  <c r="AM131" i="63" l="1"/>
  <c r="Z131" i="63"/>
  <c r="P131" i="63"/>
  <c r="V131" i="63"/>
  <c r="U131" i="63" l="1"/>
  <c r="W131" i="63"/>
  <c r="AU131" i="63" l="1"/>
  <c r="AV131" i="63" s="1"/>
  <c r="N132" i="63"/>
  <c r="AT131" i="63"/>
  <c r="O132" i="63"/>
  <c r="AN132" i="63" s="1"/>
  <c r="AS132" i="63" s="1"/>
  <c r="M132" i="63" l="1"/>
  <c r="L132" i="63" s="1"/>
  <c r="Q132" i="63"/>
  <c r="V132" i="63" l="1"/>
  <c r="P132" i="63"/>
  <c r="AM132" i="63"/>
  <c r="Z132" i="63"/>
  <c r="U132" i="63" l="1"/>
  <c r="W132" i="63"/>
  <c r="O133" i="63" l="1"/>
  <c r="AN133" i="63" s="1"/>
  <c r="AS133" i="63" s="1"/>
  <c r="N133" i="63"/>
  <c r="AU132" i="63"/>
  <c r="AV132" i="63" s="1"/>
  <c r="AT132" i="63"/>
  <c r="Q133" i="63" l="1"/>
  <c r="M133" i="63"/>
  <c r="L133" i="63" s="1"/>
  <c r="AM133" i="63" l="1"/>
  <c r="Z133" i="63"/>
  <c r="V133" i="63"/>
  <c r="P133" i="63"/>
  <c r="U133" i="63" l="1"/>
  <c r="W133" i="63"/>
  <c r="AU133" i="63" l="1"/>
  <c r="AV133" i="63" s="1"/>
  <c r="AT133" i="63"/>
  <c r="O134" i="63"/>
  <c r="N134" i="63"/>
  <c r="Q134" i="63" l="1"/>
  <c r="V134" i="63" s="1"/>
  <c r="M134" i="63"/>
  <c r="L134" i="63" s="1"/>
  <c r="AN134" i="63"/>
  <c r="AS134" i="63" s="1"/>
  <c r="P134" i="63" l="1"/>
  <c r="W134" i="63" s="1"/>
  <c r="AM134" i="63"/>
  <c r="Z134" i="63"/>
  <c r="U134" i="63" l="1"/>
  <c r="N135" i="63"/>
  <c r="AT134" i="63"/>
  <c r="O135" i="63"/>
  <c r="AN135" i="63" s="1"/>
  <c r="AS135" i="63" s="1"/>
  <c r="AU134" i="63"/>
  <c r="AV134" i="63" s="1"/>
  <c r="Q135" i="63" l="1"/>
  <c r="M135" i="63"/>
  <c r="L135" i="63" s="1"/>
  <c r="Z135" i="63" l="1"/>
  <c r="AM135" i="63"/>
  <c r="V135" i="63"/>
  <c r="P135" i="63"/>
  <c r="U135" i="63" l="1"/>
  <c r="W135" i="63"/>
  <c r="AU135" i="63" l="1"/>
  <c r="AV135" i="63" s="1"/>
  <c r="O136" i="63"/>
  <c r="AN136" i="63" s="1"/>
  <c r="AS136" i="63" s="1"/>
  <c r="N136" i="63"/>
  <c r="AT135" i="63"/>
  <c r="Q136" i="63" l="1"/>
  <c r="M136" i="63"/>
  <c r="L136" i="63" s="1"/>
  <c r="AM136" i="63" l="1"/>
  <c r="Z136" i="63"/>
  <c r="V136" i="63"/>
  <c r="P136" i="63"/>
  <c r="U136" i="63" l="1"/>
  <c r="W136" i="63"/>
  <c r="N137" i="63" l="1"/>
  <c r="AU136" i="63"/>
  <c r="AV136" i="63" s="1"/>
  <c r="O137" i="63"/>
  <c r="AN137" i="63" s="1"/>
  <c r="AS137" i="63" s="1"/>
  <c r="AT136" i="63"/>
  <c r="M137" i="63" l="1"/>
  <c r="L137" i="63" s="1"/>
  <c r="Q137" i="63"/>
  <c r="V137" i="63" l="1"/>
  <c r="P137" i="63"/>
  <c r="Z137" i="63"/>
  <c r="AM137" i="63"/>
  <c r="W137" i="63" l="1"/>
  <c r="U137" i="63"/>
  <c r="AT137" i="63" l="1"/>
  <c r="N138" i="63"/>
  <c r="AU137" i="63"/>
  <c r="AV137" i="63" s="1"/>
  <c r="O138" i="63"/>
  <c r="AN138" i="63" s="1"/>
  <c r="AS138" i="63" s="1"/>
  <c r="M138" i="63" l="1"/>
  <c r="L138" i="63" s="1"/>
  <c r="Q138" i="63"/>
  <c r="V138" i="63" s="1"/>
  <c r="AM138" i="63" l="1"/>
  <c r="Z138" i="63"/>
  <c r="P138" i="63"/>
  <c r="U138" i="63" l="1"/>
  <c r="W138" i="63"/>
  <c r="AU138" i="63" l="1"/>
  <c r="AV138" i="63" s="1"/>
  <c r="O139" i="63"/>
  <c r="N139" i="63"/>
  <c r="AT138" i="63"/>
  <c r="M139" i="63" l="1"/>
  <c r="L139" i="63" s="1"/>
  <c r="Q139" i="63"/>
  <c r="V139" i="63" s="1"/>
  <c r="AN139" i="63"/>
  <c r="AS139" i="63" s="1"/>
  <c r="P139" i="63" l="1"/>
  <c r="Z139" i="63"/>
  <c r="AM139" i="63"/>
  <c r="U139" i="63" l="1"/>
  <c r="W139" i="63"/>
  <c r="O140" i="63" l="1"/>
  <c r="AT139" i="63"/>
  <c r="AU139" i="63"/>
  <c r="AV139" i="63" s="1"/>
  <c r="N140" i="63"/>
  <c r="M140" i="63" l="1"/>
  <c r="L140" i="63" s="1"/>
  <c r="Q140" i="63"/>
  <c r="V140" i="63" s="1"/>
  <c r="AN140" i="63"/>
  <c r="AS140" i="63" s="1"/>
  <c r="P140" i="63" l="1"/>
  <c r="U140" i="63" s="1"/>
  <c r="AM140" i="63"/>
  <c r="Z140" i="63"/>
  <c r="W140" i="63" l="1"/>
  <c r="AT140" i="63" s="1"/>
  <c r="O141" i="63"/>
  <c r="AU140" i="63" l="1"/>
  <c r="AV140" i="63" s="1"/>
  <c r="N141" i="63"/>
  <c r="Q141" i="63" s="1"/>
  <c r="V141" i="63" s="1"/>
  <c r="AN141" i="63"/>
  <c r="AS141" i="63" s="1"/>
  <c r="M141" i="63" l="1"/>
  <c r="L141" i="63" s="1"/>
  <c r="P141" i="63"/>
  <c r="Z141" i="63"/>
  <c r="AM141" i="63"/>
  <c r="W141" i="63"/>
  <c r="U141" i="63"/>
  <c r="O142" i="63" l="1"/>
  <c r="AU141" i="63"/>
  <c r="AV141" i="63" s="1"/>
  <c r="AT141" i="63"/>
  <c r="N142" i="63"/>
  <c r="Q142" i="63" l="1"/>
  <c r="V142" i="63" s="1"/>
  <c r="M142" i="63"/>
  <c r="L142" i="63" s="1"/>
  <c r="AN142" i="63"/>
  <c r="AS142" i="63" s="1"/>
  <c r="P142" i="63" l="1"/>
  <c r="U142" i="63" s="1"/>
  <c r="AM142" i="63"/>
  <c r="Z142" i="63"/>
  <c r="W142" i="63" l="1"/>
  <c r="AT142" i="63" s="1"/>
  <c r="AU142" i="63" l="1"/>
  <c r="AV142" i="63" s="1"/>
  <c r="N143" i="63"/>
  <c r="O143" i="63"/>
  <c r="AN143" i="63" s="1"/>
  <c r="AS143" i="63" s="1"/>
  <c r="Q143" i="63"/>
  <c r="M143" i="63"/>
  <c r="L143" i="63" s="1"/>
  <c r="AM143" i="63" l="1"/>
  <c r="Z143" i="63"/>
  <c r="V143" i="63"/>
  <c r="P143" i="63"/>
  <c r="U143" i="63" l="1"/>
  <c r="W143" i="63"/>
  <c r="AU143" i="63" l="1"/>
  <c r="AV143" i="63" s="1"/>
  <c r="AT143" i="63"/>
  <c r="N144" i="63"/>
  <c r="O144" i="63"/>
  <c r="AN144" i="63" l="1"/>
  <c r="AS144" i="63" s="1"/>
  <c r="M144" i="63"/>
  <c r="L144" i="63" s="1"/>
  <c r="Q144" i="63"/>
  <c r="V144" i="63" s="1"/>
  <c r="AM144" i="63" l="1"/>
  <c r="Z144" i="63"/>
  <c r="P144" i="63"/>
  <c r="U144" i="63" l="1"/>
  <c r="W144" i="63"/>
  <c r="AT144" i="63" l="1"/>
  <c r="N145" i="63"/>
  <c r="O145" i="63"/>
  <c r="AU144" i="63"/>
  <c r="AV144" i="63" s="1"/>
  <c r="AN145" i="63" l="1"/>
  <c r="AS145" i="63" s="1"/>
  <c r="Q145" i="63"/>
  <c r="V145" i="63" s="1"/>
  <c r="M145" i="63"/>
  <c r="L145" i="63" s="1"/>
  <c r="AM145" i="63" l="1"/>
  <c r="Z145" i="63"/>
  <c r="P145" i="63"/>
  <c r="W145" i="63" l="1"/>
  <c r="U145" i="63"/>
  <c r="N146" i="63" l="1"/>
  <c r="O146" i="63"/>
  <c r="AT145" i="63"/>
  <c r="AU145" i="63"/>
  <c r="AV145" i="63" s="1"/>
  <c r="AN146" i="63" l="1"/>
  <c r="AS146" i="63" s="1"/>
  <c r="M146" i="63"/>
  <c r="L146" i="63" s="1"/>
  <c r="Q146" i="63"/>
  <c r="V146" i="63" s="1"/>
  <c r="P146" i="63" l="1"/>
  <c r="Z146" i="63"/>
  <c r="AM146" i="63"/>
  <c r="W146" i="63" l="1"/>
  <c r="U146" i="63"/>
  <c r="N147" i="63" l="1"/>
  <c r="AT146" i="63"/>
  <c r="AU146" i="63"/>
  <c r="AV146" i="63" s="1"/>
  <c r="O147" i="63"/>
  <c r="AN147" i="63" l="1"/>
  <c r="AS147" i="63" s="1"/>
  <c r="M147" i="63"/>
  <c r="L147" i="63" s="1"/>
  <c r="Q147" i="63"/>
  <c r="V147" i="63" s="1"/>
  <c r="P147" i="63" l="1"/>
  <c r="Z147" i="63"/>
  <c r="AM147" i="63"/>
  <c r="W147" i="63" l="1"/>
  <c r="U147" i="63"/>
  <c r="N148" i="63" l="1"/>
  <c r="O148" i="63"/>
  <c r="AT147" i="63"/>
  <c r="AU147" i="63"/>
  <c r="AV147" i="63" s="1"/>
  <c r="AN148" i="63" l="1"/>
  <c r="AS148" i="63" s="1"/>
  <c r="M148" i="63"/>
  <c r="L148" i="63" s="1"/>
  <c r="Q148" i="63"/>
  <c r="V148" i="63" s="1"/>
  <c r="P148" i="63" l="1"/>
  <c r="AM148" i="63"/>
  <c r="Z148" i="63"/>
  <c r="W148" i="63" l="1"/>
  <c r="U148" i="63"/>
  <c r="AU148" i="63" l="1"/>
  <c r="AV148" i="63" s="1"/>
  <c r="O149" i="63"/>
  <c r="AT148" i="63"/>
  <c r="N149" i="63"/>
  <c r="AN149" i="63" l="1"/>
  <c r="AS149" i="63" s="1"/>
  <c r="M149" i="63"/>
  <c r="L149" i="63" s="1"/>
  <c r="Q149" i="63"/>
  <c r="V149" i="63" s="1"/>
  <c r="P149" i="63" l="1"/>
  <c r="AM149" i="63"/>
  <c r="Z149" i="63"/>
  <c r="W149" i="63" l="1"/>
  <c r="U149" i="63"/>
  <c r="AT149" i="63" l="1"/>
  <c r="AU149" i="63"/>
  <c r="AV149" i="63" s="1"/>
  <c r="N150" i="63"/>
  <c r="O150" i="63"/>
  <c r="AN150" i="63" l="1"/>
  <c r="AS150" i="63" s="1"/>
  <c r="M150" i="63"/>
  <c r="L150" i="63" s="1"/>
  <c r="Q150" i="63"/>
  <c r="V150" i="63" s="1"/>
  <c r="AM150" i="63" l="1"/>
  <c r="Z150" i="63"/>
  <c r="P150" i="63"/>
  <c r="W150" i="63" l="1"/>
  <c r="U150" i="63"/>
  <c r="O151" i="63" l="1"/>
  <c r="N151" i="63"/>
  <c r="AU150" i="63"/>
  <c r="AV150" i="63" s="1"/>
  <c r="AT150" i="63"/>
  <c r="Q151" i="63" l="1"/>
  <c r="V151" i="63" s="1"/>
  <c r="M151" i="63"/>
  <c r="L151" i="63" s="1"/>
  <c r="AN151" i="63"/>
  <c r="AS151" i="63" s="1"/>
  <c r="P151" i="63" l="1"/>
  <c r="W151" i="63" s="1"/>
  <c r="AM151" i="63"/>
  <c r="Z151" i="63"/>
  <c r="U151" i="63" l="1"/>
  <c r="AU151" i="63"/>
  <c r="AV151" i="63" s="1"/>
  <c r="AT151" i="63"/>
  <c r="O152" i="63"/>
  <c r="AN152" i="63" s="1"/>
  <c r="AS152" i="63" s="1"/>
  <c r="N152" i="63"/>
  <c r="M152" i="63" l="1"/>
  <c r="L152" i="63" s="1"/>
  <c r="Q152" i="63"/>
  <c r="P152" i="63" l="1"/>
  <c r="V152" i="63"/>
  <c r="Z152" i="63"/>
  <c r="AM152" i="63"/>
  <c r="W152" i="63" l="1"/>
  <c r="U152" i="63"/>
  <c r="AT152" i="63" l="1"/>
  <c r="AU152" i="63"/>
  <c r="AV152" i="63" s="1"/>
  <c r="N153" i="63"/>
  <c r="O153" i="63"/>
  <c r="AN153" i="63" s="1"/>
  <c r="AS153" i="63" s="1"/>
  <c r="Q153" i="63" l="1"/>
  <c r="M153" i="63"/>
  <c r="L153" i="63" s="1"/>
  <c r="Z153" i="63" l="1"/>
  <c r="AM153" i="63"/>
  <c r="V153" i="63"/>
  <c r="P153" i="63"/>
  <c r="W153" i="63" l="1"/>
  <c r="U153" i="63"/>
  <c r="AU153" i="63" l="1"/>
  <c r="AV153" i="63" s="1"/>
  <c r="O154" i="63"/>
  <c r="AN154" i="63" s="1"/>
  <c r="AS154" i="63" s="1"/>
  <c r="N154" i="63"/>
  <c r="AT153" i="63"/>
  <c r="M154" i="63" l="1"/>
  <c r="L154" i="63" s="1"/>
  <c r="Q154" i="63"/>
  <c r="V154" i="63" l="1"/>
  <c r="P154" i="63"/>
  <c r="Z154" i="63"/>
  <c r="AM154" i="63"/>
  <c r="W154" i="63" l="1"/>
  <c r="U154" i="63"/>
  <c r="O155" i="63" l="1"/>
  <c r="AN155" i="63" s="1"/>
  <c r="AS155" i="63" s="1"/>
  <c r="AU154" i="63"/>
  <c r="AV154" i="63" s="1"/>
  <c r="N155" i="63"/>
  <c r="AT154" i="63"/>
  <c r="Q155" i="63" l="1"/>
  <c r="M155" i="63"/>
  <c r="L155" i="63" s="1"/>
  <c r="Z155" i="63" l="1"/>
  <c r="AM155" i="63"/>
  <c r="P155" i="63"/>
  <c r="V155" i="63"/>
  <c r="W155" i="63" l="1"/>
  <c r="U155" i="63"/>
  <c r="AU155" i="63" l="1"/>
  <c r="AV155" i="63" s="1"/>
  <c r="AT155" i="63"/>
  <c r="N156" i="63"/>
  <c r="O156" i="63"/>
  <c r="AN156" i="63" s="1"/>
  <c r="AS156" i="63" s="1"/>
  <c r="M156" i="63" l="1"/>
  <c r="L156" i="63" s="1"/>
  <c r="Q156" i="63"/>
  <c r="V156" i="63" l="1"/>
  <c r="P156" i="63"/>
  <c r="Z156" i="63"/>
  <c r="AM156" i="63"/>
  <c r="W156" i="63" l="1"/>
  <c r="U156" i="63"/>
  <c r="AT156" i="63" l="1"/>
  <c r="N157" i="63"/>
  <c r="AU156" i="63"/>
  <c r="AV156" i="63" s="1"/>
  <c r="O157" i="63"/>
  <c r="AN157" i="63" s="1"/>
  <c r="AS157" i="63" s="1"/>
  <c r="Q157" i="63" l="1"/>
  <c r="M157" i="63"/>
  <c r="L157" i="63" s="1"/>
  <c r="AM157" i="63" l="1"/>
  <c r="Z157" i="63"/>
  <c r="P157" i="63"/>
  <c r="V157" i="63"/>
  <c r="U157" i="63" l="1"/>
  <c r="W157" i="63"/>
  <c r="O158" i="63" l="1"/>
  <c r="AN158" i="63" s="1"/>
  <c r="AS158" i="63" s="1"/>
  <c r="AU157" i="63"/>
  <c r="AV157" i="63" s="1"/>
  <c r="AT157" i="63"/>
  <c r="N158" i="63"/>
  <c r="Q158" i="63" l="1"/>
  <c r="M158" i="63"/>
  <c r="L158" i="63" s="1"/>
  <c r="AM158" i="63" l="1"/>
  <c r="Z158" i="63"/>
  <c r="P158" i="63"/>
  <c r="V158" i="63"/>
  <c r="U158" i="63" l="1"/>
  <c r="W158" i="63"/>
  <c r="N159" i="63" l="1"/>
  <c r="O159" i="63"/>
  <c r="AN159" i="63" s="1"/>
  <c r="AS159" i="63" s="1"/>
  <c r="AU158" i="63"/>
  <c r="AV158" i="63" s="1"/>
  <c r="AT158" i="63"/>
  <c r="Q159" i="63" l="1"/>
  <c r="M159" i="63"/>
  <c r="L159" i="63" s="1"/>
  <c r="Z159" i="63" l="1"/>
  <c r="AM159" i="63"/>
  <c r="V159" i="63"/>
  <c r="P159" i="63"/>
  <c r="W159" i="63" l="1"/>
  <c r="U159" i="63"/>
  <c r="AT159" i="63" l="1"/>
  <c r="AU159" i="63"/>
  <c r="AV159" i="63" s="1"/>
  <c r="N160" i="63"/>
  <c r="O160" i="63"/>
  <c r="AN160" i="63" s="1"/>
  <c r="AS160" i="63" s="1"/>
  <c r="Q160" i="63" l="1"/>
  <c r="M160" i="63"/>
  <c r="L160" i="63" s="1"/>
  <c r="AM160" i="63" l="1"/>
  <c r="Z160" i="63"/>
  <c r="V160" i="63"/>
  <c r="P160" i="63"/>
  <c r="U160" i="63" l="1"/>
  <c r="W160" i="63"/>
  <c r="AU160" i="63" l="1"/>
  <c r="AV160" i="63" s="1"/>
  <c r="AT160" i="63"/>
  <c r="N161" i="63"/>
  <c r="O161" i="63"/>
  <c r="AN161" i="63" s="1"/>
  <c r="AS161" i="63" s="1"/>
  <c r="M161" i="63" l="1"/>
  <c r="L161" i="63" s="1"/>
  <c r="Q161" i="63"/>
  <c r="V161" i="63" l="1"/>
  <c r="P161" i="63"/>
  <c r="AM161" i="63"/>
  <c r="Z161" i="63"/>
  <c r="U161" i="63" l="1"/>
  <c r="W161" i="63"/>
  <c r="N162" i="63" l="1"/>
  <c r="AU161" i="63"/>
  <c r="AV161" i="63" s="1"/>
  <c r="O162" i="63"/>
  <c r="AN162" i="63" s="1"/>
  <c r="AS162" i="63" s="1"/>
  <c r="AT161" i="63"/>
  <c r="M162" i="63" l="1"/>
  <c r="L162" i="63" s="1"/>
  <c r="Q162" i="63"/>
  <c r="V162" i="63" l="1"/>
  <c r="P162" i="63"/>
  <c r="AM162" i="63"/>
  <c r="Z162" i="63"/>
  <c r="U162" i="63" l="1"/>
  <c r="W162" i="63"/>
  <c r="AT162" i="63" l="1"/>
  <c r="AU162" i="63"/>
  <c r="AV162" i="63" s="1"/>
  <c r="N163" i="63"/>
  <c r="O163" i="63"/>
  <c r="AN163" i="63" s="1"/>
  <c r="AS163" i="63" s="1"/>
  <c r="M163" i="63" l="1"/>
  <c r="L163" i="63" s="1"/>
  <c r="Q163" i="63"/>
  <c r="V163" i="63" l="1"/>
  <c r="P163" i="63"/>
  <c r="Z163" i="63"/>
  <c r="AM163" i="63"/>
  <c r="W163" i="63" l="1"/>
  <c r="U163" i="63"/>
  <c r="N164" i="63" l="1"/>
  <c r="AU163" i="63"/>
  <c r="AV163" i="63" s="1"/>
  <c r="AT163" i="63"/>
  <c r="O164" i="63"/>
  <c r="AN164" i="63" s="1"/>
  <c r="AS164" i="63" s="1"/>
  <c r="Q164" i="63" l="1"/>
  <c r="V164" i="63" s="1"/>
  <c r="M164" i="63"/>
  <c r="L164" i="63" s="1"/>
  <c r="AM164" i="63" l="1"/>
  <c r="Z164" i="63"/>
  <c r="P164" i="63"/>
  <c r="U164" i="63" l="1"/>
  <c r="W164" i="63"/>
  <c r="AU164" i="63" l="1"/>
  <c r="AV164" i="63" s="1"/>
  <c r="O165" i="63"/>
  <c r="AN165" i="63" s="1"/>
  <c r="AS165" i="63" s="1"/>
  <c r="AT164" i="63"/>
  <c r="N165" i="63"/>
  <c r="M165" i="63" l="1"/>
  <c r="L165" i="63" s="1"/>
  <c r="Q165" i="63"/>
  <c r="V165" i="63" l="1"/>
  <c r="P165" i="63"/>
  <c r="AM165" i="63"/>
  <c r="Z165" i="63"/>
  <c r="U165" i="63" l="1"/>
  <c r="W165" i="63"/>
  <c r="O166" i="63" l="1"/>
  <c r="AN166" i="63" s="1"/>
  <c r="AS166" i="63" s="1"/>
  <c r="AT165" i="63"/>
  <c r="N166" i="63"/>
  <c r="AU165" i="63"/>
  <c r="AV165" i="63" s="1"/>
  <c r="Q166" i="63" l="1"/>
  <c r="M166" i="63"/>
  <c r="L166" i="63" s="1"/>
  <c r="Z166" i="63" l="1"/>
  <c r="AM166" i="63"/>
  <c r="V166" i="63"/>
  <c r="P166" i="63"/>
  <c r="U166" i="63" l="1"/>
  <c r="W166" i="63"/>
  <c r="AT166" i="63" l="1"/>
  <c r="AU166" i="63"/>
  <c r="AV166" i="63" s="1"/>
  <c r="O167" i="63"/>
  <c r="N167" i="63"/>
  <c r="Q167" i="63" l="1"/>
  <c r="V167" i="63" s="1"/>
  <c r="M167" i="63"/>
  <c r="L167" i="63" s="1"/>
  <c r="AN167" i="63"/>
  <c r="AS167" i="63" s="1"/>
  <c r="P167" i="63" l="1"/>
  <c r="U167" i="63" s="1"/>
  <c r="AM167" i="63"/>
  <c r="Z167" i="63"/>
  <c r="W167" i="63" l="1"/>
  <c r="N168" i="63" s="1"/>
  <c r="AU167" i="63" l="1"/>
  <c r="AV167" i="63" s="1"/>
  <c r="AT167" i="63"/>
  <c r="O168" i="63"/>
  <c r="AN168" i="63" s="1"/>
  <c r="AS168" i="63" s="1"/>
  <c r="M168" i="63"/>
  <c r="L168" i="63" s="1"/>
  <c r="Q168" i="63"/>
  <c r="V168" i="63" l="1"/>
  <c r="P168" i="63"/>
  <c r="AM168" i="63"/>
  <c r="Z168" i="63"/>
  <c r="U168" i="63" l="1"/>
  <c r="W168" i="63"/>
  <c r="AU168" i="63" l="1"/>
  <c r="AV168" i="63" s="1"/>
  <c r="N169" i="63"/>
  <c r="AT168" i="63"/>
  <c r="O169" i="63"/>
  <c r="AN169" i="63" s="1"/>
  <c r="AS169" i="63" s="1"/>
  <c r="Q169" i="63" l="1"/>
  <c r="M169" i="63"/>
  <c r="L169" i="63" s="1"/>
  <c r="Z169" i="63" l="1"/>
  <c r="AM169" i="63"/>
  <c r="V169" i="63"/>
  <c r="P169" i="63"/>
  <c r="U169" i="63" l="1"/>
  <c r="W169" i="63"/>
  <c r="N170" i="63" l="1"/>
  <c r="O170" i="63"/>
  <c r="AN170" i="63" s="1"/>
  <c r="AS170" i="63" s="1"/>
  <c r="AT169" i="63"/>
  <c r="AU169" i="63"/>
  <c r="AV169" i="63" s="1"/>
  <c r="Q170" i="63" l="1"/>
  <c r="M170" i="63"/>
  <c r="L170" i="63" s="1"/>
  <c r="Z170" i="63" l="1"/>
  <c r="AM170" i="63"/>
  <c r="V170" i="63"/>
  <c r="P170" i="63"/>
  <c r="U170" i="63" l="1"/>
  <c r="W170" i="63"/>
  <c r="AT170" i="63" l="1"/>
  <c r="AU170" i="63"/>
  <c r="AV170" i="63" s="1"/>
  <c r="N171" i="63"/>
  <c r="O171" i="63"/>
  <c r="AN171" i="63" s="1"/>
  <c r="AS171" i="63" s="1"/>
  <c r="Q171" i="63" l="1"/>
  <c r="V171" i="63" s="1"/>
  <c r="M171" i="63"/>
  <c r="L171" i="63" s="1"/>
  <c r="Z171" i="63" l="1"/>
  <c r="AM171" i="63"/>
  <c r="P171" i="63"/>
  <c r="U171" i="63" l="1"/>
  <c r="W171" i="63"/>
  <c r="O172" i="63" l="1"/>
  <c r="AN172" i="63" s="1"/>
  <c r="AS172" i="63" s="1"/>
  <c r="AU171" i="63"/>
  <c r="AV171" i="63" s="1"/>
  <c r="N172" i="63"/>
  <c r="AT171" i="63"/>
  <c r="M172" i="63" l="1"/>
  <c r="L172" i="63" s="1"/>
  <c r="Q172" i="63"/>
  <c r="V172" i="63" l="1"/>
  <c r="P172" i="63"/>
  <c r="AM172" i="63"/>
  <c r="Z172" i="63"/>
  <c r="U172" i="63" l="1"/>
  <c r="W172" i="63"/>
  <c r="O173" i="63" l="1"/>
  <c r="N173" i="63"/>
  <c r="AT172" i="63"/>
  <c r="AU172" i="63"/>
  <c r="AV172" i="63" s="1"/>
  <c r="M173" i="63" l="1"/>
  <c r="L173" i="63" s="1"/>
  <c r="Q173" i="63"/>
  <c r="V173" i="63" s="1"/>
  <c r="AN173" i="63"/>
  <c r="AS173" i="63" s="1"/>
  <c r="P173" i="63" l="1"/>
  <c r="U173" i="63" s="1"/>
  <c r="Z173" i="63"/>
  <c r="AM173" i="63"/>
  <c r="W173" i="63" l="1"/>
  <c r="O174" i="63" s="1"/>
  <c r="AT173" i="63" l="1"/>
  <c r="AU173" i="63"/>
  <c r="AV173" i="63" s="1"/>
  <c r="N174" i="63"/>
  <c r="Q174" i="63"/>
  <c r="V174" i="63" s="1"/>
  <c r="M174" i="63"/>
  <c r="L174" i="63" s="1"/>
  <c r="AN174" i="63"/>
  <c r="AS174" i="63" s="1"/>
  <c r="P174" i="63" l="1"/>
  <c r="U174" i="63" s="1"/>
  <c r="Z174" i="63"/>
  <c r="AM174" i="63"/>
  <c r="W174" i="63"/>
  <c r="AU174" i="63" l="1"/>
  <c r="AV174" i="63" s="1"/>
  <c r="O175" i="63"/>
  <c r="AN175" i="63" s="1"/>
  <c r="AS175" i="63" s="1"/>
  <c r="AT174" i="63"/>
  <c r="N175" i="63"/>
  <c r="Q175" i="63" l="1"/>
  <c r="M175" i="63"/>
  <c r="L175" i="63" s="1"/>
  <c r="AM175" i="63" l="1"/>
  <c r="Z175" i="63"/>
  <c r="V175" i="63"/>
  <c r="P175" i="63"/>
  <c r="U175" i="63" l="1"/>
  <c r="W175" i="63"/>
  <c r="AT175" i="63" l="1"/>
  <c r="N176" i="63"/>
  <c r="O176" i="63"/>
  <c r="AU175" i="63"/>
  <c r="AV175" i="63" s="1"/>
  <c r="AN176" i="63" l="1"/>
  <c r="AS176" i="63" s="1"/>
  <c r="Q176" i="63"/>
  <c r="V176" i="63" s="1"/>
  <c r="M176" i="63"/>
  <c r="L176" i="63" s="1"/>
  <c r="Z176" i="63" l="1"/>
  <c r="AM176" i="63"/>
  <c r="P176" i="63"/>
  <c r="W176" i="63" l="1"/>
  <c r="U176" i="63"/>
  <c r="AT176" i="63" l="1"/>
  <c r="AU176" i="63"/>
  <c r="AV176" i="63" s="1"/>
  <c r="O177" i="63"/>
  <c r="N177" i="63"/>
  <c r="M177" i="63" l="1"/>
  <c r="L177" i="63" s="1"/>
  <c r="Q177" i="63"/>
  <c r="V177" i="63" s="1"/>
  <c r="AN177" i="63"/>
  <c r="AS177" i="63" s="1"/>
  <c r="P177" i="63" l="1"/>
  <c r="Z177" i="63"/>
  <c r="AM177" i="63"/>
  <c r="W177" i="63" l="1"/>
  <c r="U177" i="63"/>
  <c r="N178" i="63" l="1"/>
  <c r="AT177" i="63"/>
  <c r="O178" i="63"/>
  <c r="AU177" i="63"/>
  <c r="AV177" i="63" s="1"/>
  <c r="AN178" i="63" l="1"/>
  <c r="AS178" i="63" s="1"/>
  <c r="M178" i="63"/>
  <c r="L178" i="63" s="1"/>
  <c r="Q178" i="63"/>
  <c r="V178" i="63" s="1"/>
  <c r="AM178" i="63" l="1"/>
  <c r="Z178" i="63"/>
  <c r="P178" i="63"/>
  <c r="U178" i="63" l="1"/>
  <c r="W178" i="63"/>
  <c r="AT178" i="63" l="1"/>
  <c r="N179" i="63"/>
  <c r="AU178" i="63"/>
  <c r="AV178" i="63" s="1"/>
  <c r="O179" i="63"/>
  <c r="AN179" i="63" l="1"/>
  <c r="AS179" i="63" s="1"/>
  <c r="Q179" i="63"/>
  <c r="V179" i="63" s="1"/>
  <c r="M179" i="63"/>
  <c r="L179" i="63" s="1"/>
  <c r="Z179" i="63" l="1"/>
  <c r="AM179" i="63"/>
  <c r="P179" i="63"/>
  <c r="W179" i="63" l="1"/>
  <c r="U179" i="63"/>
  <c r="AU179" i="63" l="1"/>
  <c r="AV179" i="63" s="1"/>
  <c r="AT179" i="63"/>
  <c r="O180" i="63"/>
  <c r="N180" i="63"/>
  <c r="AN180" i="63" l="1"/>
  <c r="AS180" i="63" s="1"/>
  <c r="M180" i="63"/>
  <c r="L180" i="63" s="1"/>
  <c r="Q180" i="63"/>
  <c r="V180" i="63" s="1"/>
  <c r="Z180" i="63" l="1"/>
  <c r="AM180" i="63"/>
  <c r="P180" i="63"/>
  <c r="U180" i="63" l="1"/>
  <c r="W180" i="63"/>
  <c r="O181" i="63" l="1"/>
  <c r="AU180" i="63"/>
  <c r="AV180" i="63" s="1"/>
  <c r="AT180" i="63"/>
  <c r="N181" i="63"/>
  <c r="Q181" i="63" l="1"/>
  <c r="V181" i="63" s="1"/>
  <c r="M181" i="63"/>
  <c r="L181" i="63" s="1"/>
  <c r="AN181" i="63"/>
  <c r="AS181" i="63" s="1"/>
  <c r="P181" i="63" l="1"/>
  <c r="U181" i="63" s="1"/>
  <c r="AM181" i="63"/>
  <c r="Z181" i="63"/>
  <c r="W181" i="63" l="1"/>
  <c r="AT181" i="63" s="1"/>
  <c r="O182" i="63" l="1"/>
  <c r="AN182" i="63" s="1"/>
  <c r="AS182" i="63" s="1"/>
  <c r="AU181" i="63"/>
  <c r="AV181" i="63" s="1"/>
  <c r="N182" i="63"/>
  <c r="M182" i="63" s="1"/>
  <c r="L182" i="63" s="1"/>
  <c r="Q182" i="63" l="1"/>
  <c r="V182" i="63" s="1"/>
  <c r="AM182" i="63"/>
  <c r="Z182" i="63"/>
  <c r="P182" i="63" l="1"/>
  <c r="U182" i="63" s="1"/>
  <c r="W182" i="63" l="1"/>
  <c r="N183" i="63" s="1"/>
  <c r="AU182" i="63" l="1"/>
  <c r="AV182" i="63" s="1"/>
  <c r="O183" i="63"/>
  <c r="AN183" i="63" s="1"/>
  <c r="AS183" i="63" s="1"/>
  <c r="AT182" i="63"/>
  <c r="Q183" i="63"/>
  <c r="M183" i="63"/>
  <c r="L183" i="63" s="1"/>
  <c r="AM183" i="63" l="1"/>
  <c r="Z183" i="63"/>
  <c r="V183" i="63"/>
  <c r="P183" i="63"/>
  <c r="U183" i="63" l="1"/>
  <c r="W183" i="63"/>
  <c r="O184" i="63" l="1"/>
  <c r="AN184" i="63" s="1"/>
  <c r="AS184" i="63" s="1"/>
  <c r="N184" i="63"/>
  <c r="AT183" i="63"/>
  <c r="AU183" i="63"/>
  <c r="AV183" i="63" s="1"/>
  <c r="Q184" i="63" l="1"/>
  <c r="M184" i="63"/>
  <c r="L184" i="63" s="1"/>
  <c r="AM184" i="63" l="1"/>
  <c r="Z184" i="63"/>
  <c r="V184" i="63"/>
  <c r="P184" i="63"/>
  <c r="U184" i="63" l="1"/>
  <c r="W184" i="63"/>
  <c r="AT184" i="63" l="1"/>
  <c r="N185" i="63"/>
  <c r="AU184" i="63"/>
  <c r="AV184" i="63" s="1"/>
  <c r="O185" i="63"/>
  <c r="AN185" i="63" s="1"/>
  <c r="AS185" i="63" s="1"/>
  <c r="Q185" i="63" l="1"/>
  <c r="M185" i="63"/>
  <c r="L185" i="63" s="1"/>
  <c r="AM185" i="63" l="1"/>
  <c r="Z185" i="63"/>
  <c r="V185" i="63"/>
  <c r="P185" i="63"/>
  <c r="U185" i="63" l="1"/>
  <c r="W185" i="63"/>
  <c r="N186" i="63" l="1"/>
  <c r="AU185" i="63"/>
  <c r="AV185" i="63" s="1"/>
  <c r="AT185" i="63"/>
  <c r="O186" i="63"/>
  <c r="AN186" i="63" s="1"/>
  <c r="AS186" i="63" s="1"/>
  <c r="M186" i="63" l="1"/>
  <c r="L186" i="63" s="1"/>
  <c r="Q186" i="63"/>
  <c r="V186" i="63" l="1"/>
  <c r="P186" i="63"/>
  <c r="Z186" i="63"/>
  <c r="AM186" i="63"/>
  <c r="W186" i="63" l="1"/>
  <c r="U186" i="63"/>
  <c r="AU186" i="63" l="1"/>
  <c r="AV186" i="63" s="1"/>
  <c r="AT186" i="63"/>
  <c r="O187" i="63"/>
  <c r="AN187" i="63" s="1"/>
  <c r="AS187" i="63" s="1"/>
  <c r="N187" i="63"/>
  <c r="M187" i="63" l="1"/>
  <c r="L187" i="63" s="1"/>
  <c r="Q187" i="63"/>
  <c r="V187" i="63" l="1"/>
  <c r="P187" i="63"/>
  <c r="Z187" i="63"/>
  <c r="AM187" i="63"/>
  <c r="U187" i="63" l="1"/>
  <c r="W187" i="63"/>
  <c r="AU187" i="63" l="1"/>
  <c r="AV187" i="63" s="1"/>
  <c r="N188" i="63"/>
  <c r="O188" i="63"/>
  <c r="AT187" i="63"/>
  <c r="AN188" i="63" l="1"/>
  <c r="AS188" i="63" s="1"/>
  <c r="Q188" i="63"/>
  <c r="V188" i="63" s="1"/>
  <c r="M188" i="63"/>
  <c r="L188" i="63" s="1"/>
  <c r="P188" i="63" l="1"/>
  <c r="AM188" i="63"/>
  <c r="Z188" i="63"/>
  <c r="U188" i="63" l="1"/>
  <c r="W188" i="63"/>
  <c r="N189" i="63" l="1"/>
  <c r="AU188" i="63"/>
  <c r="AV188" i="63" s="1"/>
  <c r="AT188" i="63"/>
  <c r="O189" i="63"/>
  <c r="AN189" i="63" l="1"/>
  <c r="AS189" i="63" s="1"/>
  <c r="Q189" i="63"/>
  <c r="V189" i="63" s="1"/>
  <c r="M189" i="63"/>
  <c r="L189" i="63" s="1"/>
  <c r="Z189" i="63" l="1"/>
  <c r="AM189" i="63"/>
  <c r="P189" i="63"/>
  <c r="U189" i="63" l="1"/>
  <c r="W189" i="63"/>
  <c r="AU189" i="63" l="1"/>
  <c r="AV189" i="63" s="1"/>
  <c r="N190" i="63"/>
  <c r="O190" i="63"/>
  <c r="AT189" i="63"/>
  <c r="AN190" i="63" l="1"/>
  <c r="AS190" i="63" s="1"/>
  <c r="M190" i="63"/>
  <c r="L190" i="63" s="1"/>
  <c r="Q190" i="63"/>
  <c r="V190" i="63" s="1"/>
  <c r="AM190" i="63" l="1"/>
  <c r="Z190" i="63"/>
  <c r="P190" i="63"/>
  <c r="U190" i="63" l="1"/>
  <c r="W190" i="63"/>
  <c r="N191" i="63" l="1"/>
  <c r="O191" i="63"/>
  <c r="AT190" i="63"/>
  <c r="AU190" i="63"/>
  <c r="AV190" i="63" s="1"/>
  <c r="AN191" i="63" l="1"/>
  <c r="AS191" i="63" s="1"/>
  <c r="M191" i="63"/>
  <c r="L191" i="63" s="1"/>
  <c r="Q191" i="63"/>
  <c r="V191" i="63" s="1"/>
  <c r="AM191" i="63" l="1"/>
  <c r="Z191" i="63"/>
  <c r="P191" i="63"/>
  <c r="U191" i="63" l="1"/>
  <c r="W191" i="63"/>
  <c r="AU191" i="63" l="1"/>
  <c r="AV191" i="63" s="1"/>
  <c r="AT191" i="63"/>
  <c r="N192" i="63"/>
  <c r="O192" i="63"/>
  <c r="AN192" i="63" l="1"/>
  <c r="AS192" i="63" s="1"/>
  <c r="M192" i="63"/>
  <c r="L192" i="63" s="1"/>
  <c r="Q192" i="63"/>
  <c r="V192" i="63" s="1"/>
  <c r="Z192" i="63" l="1"/>
  <c r="AM192" i="63"/>
  <c r="P192" i="63"/>
  <c r="U192" i="63" l="1"/>
  <c r="W192" i="63"/>
  <c r="AU192" i="63" l="1"/>
  <c r="AV192" i="63" s="1"/>
  <c r="AT192" i="63"/>
  <c r="O193" i="63"/>
  <c r="N193" i="63"/>
  <c r="Q193" i="63" l="1"/>
  <c r="V193" i="63" s="1"/>
  <c r="M193" i="63"/>
  <c r="L193" i="63" s="1"/>
  <c r="AN193" i="63"/>
  <c r="AS193" i="63" s="1"/>
  <c r="P193" i="63" l="1"/>
  <c r="U193" i="63" s="1"/>
  <c r="AM193" i="63"/>
  <c r="Z193" i="63"/>
  <c r="W193" i="63" l="1"/>
  <c r="N194" i="63" s="1"/>
  <c r="AU193" i="63" l="1"/>
  <c r="AV193" i="63" s="1"/>
  <c r="AT193" i="63"/>
  <c r="O194" i="63"/>
  <c r="AN194" i="63" s="1"/>
  <c r="AS194" i="63" s="1"/>
  <c r="Q194" i="63"/>
  <c r="V194" i="63" s="1"/>
  <c r="M194" i="63"/>
  <c r="L194" i="63" s="1"/>
  <c r="AM194" i="63" l="1"/>
  <c r="Z194" i="63"/>
  <c r="P194" i="63"/>
  <c r="U194" i="63" l="1"/>
  <c r="W194" i="63"/>
  <c r="N195" i="63" l="1"/>
  <c r="AT194" i="63"/>
  <c r="O195" i="63"/>
  <c r="AU194" i="63"/>
  <c r="AV194" i="63" s="1"/>
  <c r="AN195" i="63" l="1"/>
  <c r="AS195" i="63" s="1"/>
  <c r="M195" i="63"/>
  <c r="L195" i="63" s="1"/>
  <c r="Q195" i="63"/>
  <c r="V195" i="63" s="1"/>
  <c r="AM195" i="63" l="1"/>
  <c r="Z195" i="63"/>
  <c r="P195" i="63"/>
  <c r="U195" i="63" l="1"/>
  <c r="W195" i="63"/>
  <c r="O196" i="63" l="1"/>
  <c r="AT195" i="63"/>
  <c r="N196" i="63"/>
  <c r="AU195" i="63"/>
  <c r="AV195" i="63" s="1"/>
  <c r="M196" i="63" l="1"/>
  <c r="L196" i="63" s="1"/>
  <c r="Q196" i="63"/>
  <c r="V196" i="63" s="1"/>
  <c r="AN196" i="63"/>
  <c r="AS196" i="63" s="1"/>
  <c r="P196" i="63" l="1"/>
  <c r="U196" i="63" s="1"/>
  <c r="Z196" i="63"/>
  <c r="AM196" i="63"/>
  <c r="W196" i="63" l="1"/>
  <c r="N197" i="63" s="1"/>
  <c r="AT196" i="63" l="1"/>
  <c r="AU196" i="63"/>
  <c r="AV196" i="63" s="1"/>
  <c r="O197" i="63"/>
  <c r="AN197" i="63" s="1"/>
  <c r="AS197" i="63" s="1"/>
  <c r="Q197" i="63"/>
  <c r="V197" i="63" s="1"/>
  <c r="M197" i="63"/>
  <c r="L197" i="63" s="1"/>
  <c r="Z197" i="63" l="1"/>
  <c r="AM197" i="63"/>
  <c r="P197" i="63"/>
  <c r="U197" i="63" l="1"/>
  <c r="W197" i="63"/>
  <c r="AT197" i="63" l="1"/>
  <c r="O198" i="63"/>
  <c r="AU197" i="63"/>
  <c r="AV197" i="63" s="1"/>
  <c r="N198" i="63"/>
  <c r="M198" i="63" l="1"/>
  <c r="L198" i="63" s="1"/>
  <c r="Q198" i="63"/>
  <c r="V198" i="63" s="1"/>
  <c r="AN198" i="63"/>
  <c r="AS198" i="63" s="1"/>
  <c r="P198" i="63" l="1"/>
  <c r="U198" i="63" s="1"/>
  <c r="Z198" i="63"/>
  <c r="AM198" i="63"/>
  <c r="W198" i="63" l="1"/>
  <c r="O199" i="63" s="1"/>
  <c r="AU198" i="63"/>
  <c r="AV198" i="63" s="1"/>
  <c r="N199" i="63"/>
  <c r="AT198" i="63" l="1"/>
  <c r="M199" i="63"/>
  <c r="L199" i="63" s="1"/>
  <c r="Q199" i="63"/>
  <c r="V199" i="63" s="1"/>
  <c r="AN199" i="63"/>
  <c r="AS199" i="63" s="1"/>
  <c r="P199" i="63" l="1"/>
  <c r="U199" i="63" s="1"/>
  <c r="AM199" i="63"/>
  <c r="Z199" i="63"/>
  <c r="W199" i="63" l="1"/>
  <c r="N200" i="63" s="1"/>
  <c r="O200" i="63" l="1"/>
  <c r="AN200" i="63" s="1"/>
  <c r="AS200" i="63" s="1"/>
  <c r="AU199" i="63"/>
  <c r="AV199" i="63" s="1"/>
  <c r="AT199" i="63"/>
  <c r="Q200" i="63"/>
  <c r="V200" i="63" s="1"/>
  <c r="M200" i="63"/>
  <c r="L200" i="63" s="1"/>
  <c r="AM200" i="63" l="1"/>
  <c r="Z200" i="63"/>
  <c r="P200" i="63"/>
  <c r="U200" i="63" l="1"/>
  <c r="W200" i="63"/>
  <c r="O201" i="63" l="1"/>
  <c r="AT200" i="63"/>
  <c r="AU200" i="63"/>
  <c r="AV200" i="63" s="1"/>
  <c r="N201" i="63"/>
  <c r="M201" i="63" l="1"/>
  <c r="L201" i="63" s="1"/>
  <c r="Q201" i="63"/>
  <c r="V201" i="63" s="1"/>
  <c r="AN201" i="63"/>
  <c r="AS201" i="63" s="1"/>
  <c r="P201" i="63" l="1"/>
  <c r="AM201" i="63"/>
  <c r="Z201" i="63"/>
  <c r="U201" i="63" l="1"/>
  <c r="W201" i="63"/>
  <c r="N202" i="63" l="1"/>
  <c r="AT201" i="63"/>
  <c r="AU201" i="63"/>
  <c r="AV201" i="63" s="1"/>
  <c r="O202" i="63"/>
  <c r="AN202" i="63" l="1"/>
  <c r="AS202" i="63" s="1"/>
  <c r="Q202" i="63"/>
  <c r="V202" i="63" s="1"/>
  <c r="M202" i="63"/>
  <c r="L202" i="63" s="1"/>
  <c r="AM202" i="63" l="1"/>
  <c r="Z202" i="63"/>
  <c r="P202" i="63"/>
  <c r="U202" i="63" l="1"/>
  <c r="W202" i="63"/>
  <c r="AU202" i="63" l="1"/>
  <c r="AV202" i="63" s="1"/>
  <c r="O203" i="63"/>
  <c r="N203" i="63"/>
  <c r="AT202" i="63"/>
  <c r="M203" i="63" l="1"/>
  <c r="L203" i="63" s="1"/>
  <c r="Q203" i="63"/>
  <c r="V203" i="63" s="1"/>
  <c r="AN203" i="63"/>
  <c r="AS203" i="63" s="1"/>
  <c r="P203" i="63" l="1"/>
  <c r="U203" i="63" s="1"/>
  <c r="Z203" i="63"/>
  <c r="AM203" i="63"/>
  <c r="W203" i="63" l="1"/>
  <c r="O204" i="63" s="1"/>
  <c r="AT203" i="63" l="1"/>
  <c r="AU203" i="63"/>
  <c r="AV203" i="63" s="1"/>
  <c r="N204" i="63"/>
  <c r="Q204" i="63"/>
  <c r="V204" i="63" s="1"/>
  <c r="M204" i="63"/>
  <c r="L204" i="63" s="1"/>
  <c r="AN204" i="63"/>
  <c r="AS204" i="63" s="1"/>
  <c r="P204" i="63" l="1"/>
  <c r="U204" i="63" s="1"/>
  <c r="Z204" i="63"/>
  <c r="AM204" i="63"/>
  <c r="W204" i="63" l="1"/>
  <c r="AU204" i="63" s="1"/>
  <c r="AV204" i="63" s="1"/>
  <c r="O205" i="63" l="1"/>
  <c r="AN205" i="63" s="1"/>
  <c r="AS205" i="63" s="1"/>
  <c r="N205" i="63"/>
  <c r="Q205" i="63" s="1"/>
  <c r="AT204" i="63"/>
  <c r="M205" i="63" l="1"/>
  <c r="L205" i="63" s="1"/>
  <c r="Z205" i="63" s="1"/>
  <c r="V205" i="63"/>
  <c r="P205" i="63"/>
  <c r="AM205" i="63" l="1"/>
  <c r="U205" i="63"/>
  <c r="W205" i="63"/>
  <c r="O206" i="63" l="1"/>
  <c r="AN206" i="63" s="1"/>
  <c r="AS206" i="63" s="1"/>
  <c r="AT205" i="63"/>
  <c r="AU205" i="63"/>
  <c r="AV205" i="63" s="1"/>
  <c r="N206" i="63"/>
  <c r="M206" i="63" l="1"/>
  <c r="L206" i="63" s="1"/>
  <c r="Q206" i="63"/>
  <c r="P206" i="63" l="1"/>
  <c r="V206" i="63"/>
  <c r="Z206" i="63"/>
  <c r="AM206" i="63"/>
  <c r="W206" i="63" l="1"/>
  <c r="U206" i="63"/>
  <c r="AT206" i="63" l="1"/>
  <c r="O207" i="63"/>
  <c r="AN207" i="63" s="1"/>
  <c r="AS207" i="63" s="1"/>
  <c r="N207" i="63"/>
  <c r="AU206" i="63"/>
  <c r="AV206" i="63" s="1"/>
  <c r="M207" i="63" l="1"/>
  <c r="L207" i="63" s="1"/>
  <c r="Q207" i="63"/>
  <c r="V207" i="63" l="1"/>
  <c r="P207" i="63"/>
  <c r="Z207" i="63"/>
  <c r="AM207" i="63"/>
  <c r="U207" i="63" l="1"/>
  <c r="W207" i="63"/>
  <c r="AU207" i="63" l="1"/>
  <c r="AV207" i="63" s="1"/>
  <c r="N208" i="63"/>
  <c r="AT207" i="63"/>
  <c r="O208" i="63"/>
  <c r="AN208" i="63" s="1"/>
  <c r="AS208" i="63" s="1"/>
  <c r="M208" i="63" l="1"/>
  <c r="L208" i="63" s="1"/>
  <c r="Q208" i="63"/>
  <c r="V208" i="63" s="1"/>
  <c r="Z208" i="63" l="1"/>
  <c r="AM208" i="63"/>
  <c r="P208" i="63"/>
  <c r="U208" i="63" l="1"/>
  <c r="W208" i="63"/>
  <c r="AU208" i="63" l="1"/>
  <c r="AV208" i="63" s="1"/>
  <c r="O209" i="63"/>
  <c r="AN209" i="63" s="1"/>
  <c r="AS209" i="63" s="1"/>
  <c r="AT208" i="63"/>
  <c r="N209" i="63"/>
  <c r="M209" i="63" l="1"/>
  <c r="L209" i="63" s="1"/>
  <c r="Q209" i="63"/>
  <c r="V209" i="63" l="1"/>
  <c r="P209" i="63"/>
  <c r="AM209" i="63"/>
  <c r="Z209" i="63"/>
  <c r="U209" i="63" l="1"/>
  <c r="W209" i="63"/>
  <c r="AU209" i="63" l="1"/>
  <c r="AV209" i="63" s="1"/>
  <c r="AT209" i="63"/>
  <c r="N210" i="63"/>
  <c r="O210" i="63"/>
  <c r="AN210" i="63" s="1"/>
  <c r="AS210" i="63" s="1"/>
  <c r="M210" i="63" l="1"/>
  <c r="L210" i="63" s="1"/>
  <c r="Q210" i="63"/>
  <c r="V210" i="63" s="1"/>
  <c r="AM210" i="63" l="1"/>
  <c r="Z210" i="63"/>
  <c r="P210" i="63"/>
  <c r="U210" i="63" l="1"/>
  <c r="W210" i="63"/>
  <c r="AT210" i="63" l="1"/>
  <c r="O211" i="63"/>
  <c r="AN211" i="63" s="1"/>
  <c r="AS211" i="63" s="1"/>
  <c r="AU210" i="63"/>
  <c r="AV210" i="63" s="1"/>
  <c r="N211" i="63"/>
  <c r="Q211" i="63" l="1"/>
  <c r="M211" i="63"/>
  <c r="L211" i="63" s="1"/>
  <c r="AM211" i="63" l="1"/>
  <c r="Z211" i="63"/>
  <c r="V211" i="63"/>
  <c r="P211" i="63"/>
  <c r="W211" i="63" l="1"/>
  <c r="U211" i="63"/>
  <c r="N212" i="63" l="1"/>
  <c r="AU211" i="63"/>
  <c r="AV211" i="63" s="1"/>
  <c r="AT211" i="63"/>
  <c r="O212" i="63"/>
  <c r="AN212" i="63" s="1"/>
  <c r="AS212" i="63" s="1"/>
  <c r="Q212" i="63" l="1"/>
  <c r="V212" i="63" s="1"/>
  <c r="M212" i="63"/>
  <c r="L212" i="63" s="1"/>
  <c r="AM212" i="63" l="1"/>
  <c r="Z212" i="63"/>
  <c r="P212" i="63"/>
  <c r="U212" i="63" l="1"/>
  <c r="W212" i="63"/>
  <c r="N213" i="63" l="1"/>
  <c r="AU212" i="63"/>
  <c r="AV212" i="63" s="1"/>
  <c r="AT212" i="63"/>
  <c r="O213" i="63"/>
  <c r="AN213" i="63" s="1"/>
  <c r="AS213" i="63" s="1"/>
  <c r="Q213" i="63" l="1"/>
  <c r="V213" i="63" s="1"/>
  <c r="M213" i="63"/>
  <c r="L213" i="63" s="1"/>
  <c r="Z213" i="63" l="1"/>
  <c r="AM213" i="63"/>
  <c r="P213" i="63"/>
  <c r="U213" i="63" l="1"/>
  <c r="W213" i="63"/>
  <c r="O214" i="63" l="1"/>
  <c r="AU213" i="63"/>
  <c r="AV213" i="63" s="1"/>
  <c r="N214" i="63"/>
  <c r="AT213" i="63"/>
  <c r="M214" i="63" l="1"/>
  <c r="L214" i="63" s="1"/>
  <c r="Q214" i="63"/>
  <c r="V214" i="63" s="1"/>
  <c r="AN214" i="63"/>
  <c r="AS214" i="63" s="1"/>
  <c r="P214" i="63" l="1"/>
  <c r="Z214" i="63"/>
  <c r="AM214" i="63"/>
  <c r="U214" i="63" l="1"/>
  <c r="W214" i="63"/>
  <c r="AU214" i="63" l="1"/>
  <c r="AV214" i="63" s="1"/>
  <c r="N215" i="63"/>
  <c r="AT214" i="63"/>
  <c r="O215" i="63"/>
  <c r="AN215" i="63" l="1"/>
  <c r="AS215" i="63" s="1"/>
  <c r="Q215" i="63"/>
  <c r="V215" i="63" s="1"/>
  <c r="M215" i="63"/>
  <c r="L215" i="63" s="1"/>
  <c r="AM215" i="63" l="1"/>
  <c r="Z215" i="63"/>
  <c r="P215" i="63"/>
  <c r="U215" i="63" l="1"/>
  <c r="W215" i="63"/>
  <c r="O216" i="63" l="1"/>
  <c r="AU215" i="63"/>
  <c r="AV215" i="63" s="1"/>
  <c r="N216" i="63"/>
  <c r="AT215" i="63"/>
  <c r="M216" i="63" l="1"/>
  <c r="L216" i="63" s="1"/>
  <c r="Q216" i="63"/>
  <c r="V216" i="63" s="1"/>
  <c r="AN216" i="63"/>
  <c r="AS216" i="63" s="1"/>
  <c r="P216" i="63" l="1"/>
  <c r="W216" i="63" s="1"/>
  <c r="Z216" i="63"/>
  <c r="AM216" i="63"/>
  <c r="U216" i="63" l="1"/>
  <c r="O217" i="63"/>
  <c r="AN217" i="63" s="1"/>
  <c r="AS217" i="63" s="1"/>
  <c r="AU216" i="63"/>
  <c r="AV216" i="63" s="1"/>
  <c r="N217" i="63"/>
  <c r="AT216" i="63"/>
  <c r="M217" i="63" l="1"/>
  <c r="L217" i="63" s="1"/>
  <c r="Q217" i="63"/>
  <c r="P217" i="63" l="1"/>
  <c r="V217" i="63"/>
  <c r="AM217" i="63"/>
  <c r="Z217" i="63"/>
  <c r="U217" i="63" l="1"/>
  <c r="W217" i="63"/>
  <c r="AU217" i="63" l="1"/>
  <c r="AV217" i="63" s="1"/>
  <c r="AT217" i="63"/>
  <c r="N218" i="63"/>
  <c r="O218" i="63"/>
  <c r="AN218" i="63" s="1"/>
  <c r="AS218" i="63" s="1"/>
  <c r="M218" i="63" l="1"/>
  <c r="L218" i="63" s="1"/>
  <c r="Q218" i="63"/>
  <c r="V218" i="63" l="1"/>
  <c r="P218" i="63"/>
  <c r="AM218" i="63"/>
  <c r="Z218" i="63"/>
  <c r="W218" i="63" l="1"/>
  <c r="U218" i="63"/>
  <c r="O219" i="63" l="1"/>
  <c r="AN219" i="63" s="1"/>
  <c r="AS219" i="63" s="1"/>
  <c r="N219" i="63"/>
  <c r="AU218" i="63"/>
  <c r="AV218" i="63" s="1"/>
  <c r="AT218" i="63"/>
  <c r="Q219" i="63" l="1"/>
  <c r="M219" i="63"/>
  <c r="L219" i="63" s="1"/>
  <c r="Z219" i="63" l="1"/>
  <c r="AM219" i="63"/>
  <c r="V219" i="63"/>
  <c r="P219" i="63"/>
  <c r="W219" i="63" l="1"/>
  <c r="U219" i="63"/>
  <c r="AT219" i="63" l="1"/>
  <c r="AU219" i="63"/>
  <c r="AV219" i="63" s="1"/>
  <c r="O220" i="63"/>
  <c r="AN220" i="63" s="1"/>
  <c r="AS220" i="63" s="1"/>
  <c r="N220" i="63"/>
  <c r="Q220" i="63" l="1"/>
  <c r="M220" i="63"/>
  <c r="L220" i="63" s="1"/>
  <c r="AM220" i="63" l="1"/>
  <c r="Z220" i="63"/>
  <c r="V220" i="63"/>
  <c r="P220" i="63"/>
  <c r="W220" i="63" l="1"/>
  <c r="U220" i="63"/>
  <c r="O221" i="63" l="1"/>
  <c r="AN221" i="63" s="1"/>
  <c r="AS221" i="63" s="1"/>
  <c r="AT220" i="63"/>
  <c r="N221" i="63"/>
  <c r="AU220" i="63"/>
  <c r="AV220" i="63" s="1"/>
  <c r="M221" i="63" l="1"/>
  <c r="L221" i="63" s="1"/>
  <c r="Q221" i="63"/>
  <c r="V221" i="63" l="1"/>
  <c r="P221" i="63"/>
  <c r="Z221" i="63"/>
  <c r="AM221" i="63"/>
  <c r="U221" i="63" l="1"/>
  <c r="W221" i="63"/>
  <c r="N222" i="63" l="1"/>
  <c r="AT221" i="63"/>
  <c r="O222" i="63"/>
  <c r="AN222" i="63" s="1"/>
  <c r="AS222" i="63" s="1"/>
  <c r="AU221" i="63"/>
  <c r="AV221" i="63" s="1"/>
  <c r="M222" i="63" l="1"/>
  <c r="L222" i="63" s="1"/>
  <c r="Q222" i="63"/>
  <c r="V222" i="63" l="1"/>
  <c r="P222" i="63"/>
  <c r="Z222" i="63"/>
  <c r="AM222" i="63"/>
  <c r="U222" i="63" l="1"/>
  <c r="W222" i="63"/>
  <c r="O223" i="63" l="1"/>
  <c r="N223" i="63"/>
  <c r="AT222" i="63"/>
  <c r="AU222" i="63"/>
  <c r="AV222" i="63" s="1"/>
  <c r="Q223" i="63" l="1"/>
  <c r="V223" i="63" s="1"/>
  <c r="M223" i="63"/>
  <c r="L223" i="63" s="1"/>
  <c r="AN223" i="63"/>
  <c r="AS223" i="63" s="1"/>
  <c r="P223" i="63" l="1"/>
  <c r="U223" i="63" s="1"/>
  <c r="AM223" i="63"/>
  <c r="Z223" i="63"/>
  <c r="W223" i="63" l="1"/>
  <c r="N224" i="63" s="1"/>
  <c r="AT223" i="63" l="1"/>
  <c r="AU223" i="63"/>
  <c r="AV223" i="63" s="1"/>
  <c r="O224" i="63"/>
  <c r="AN224" i="63" s="1"/>
  <c r="AS224" i="63" s="1"/>
  <c r="Q224" i="63"/>
  <c r="M224" i="63"/>
  <c r="L224" i="63" s="1"/>
  <c r="AM224" i="63" l="1"/>
  <c r="Z224" i="63"/>
  <c r="V224" i="63"/>
  <c r="P224" i="63"/>
  <c r="W224" i="63" l="1"/>
  <c r="U224" i="63"/>
  <c r="AT224" i="63" l="1"/>
  <c r="O225" i="63"/>
  <c r="AN225" i="63" s="1"/>
  <c r="AS225" i="63" s="1"/>
  <c r="AU224" i="63"/>
  <c r="AV224" i="63" s="1"/>
  <c r="N225" i="63"/>
  <c r="M225" i="63" l="1"/>
  <c r="L225" i="63" s="1"/>
  <c r="Q225" i="63"/>
  <c r="V225" i="63" l="1"/>
  <c r="P225" i="63"/>
  <c r="Z225" i="63"/>
  <c r="AM225" i="63"/>
  <c r="W225" i="63" l="1"/>
  <c r="U225" i="63"/>
  <c r="N226" i="63" l="1"/>
  <c r="O226" i="63"/>
  <c r="AN226" i="63" s="1"/>
  <c r="AS226" i="63" s="1"/>
  <c r="AT225" i="63"/>
  <c r="AU225" i="63"/>
  <c r="AV225" i="63" s="1"/>
  <c r="M226" i="63" l="1"/>
  <c r="L226" i="63" s="1"/>
  <c r="Q226" i="63"/>
  <c r="V226" i="63" l="1"/>
  <c r="P226" i="63"/>
  <c r="Z226" i="63"/>
  <c r="AM226" i="63"/>
  <c r="U226" i="63" l="1"/>
  <c r="W226" i="63"/>
  <c r="AU226" i="63" l="1"/>
  <c r="AV226" i="63" s="1"/>
  <c r="N227" i="63"/>
  <c r="O227" i="63"/>
  <c r="AN227" i="63" s="1"/>
  <c r="AS227" i="63" s="1"/>
  <c r="AT226" i="63"/>
  <c r="Q227" i="63" l="1"/>
  <c r="M227" i="63"/>
  <c r="L227" i="63" s="1"/>
  <c r="Z227" i="63" l="1"/>
  <c r="AM227" i="63"/>
  <c r="P227" i="63"/>
  <c r="V227" i="63"/>
  <c r="U227" i="63" l="1"/>
  <c r="W227" i="63"/>
  <c r="AU227" i="63" l="1"/>
  <c r="AV227" i="63" s="1"/>
  <c r="O228" i="63"/>
  <c r="AN228" i="63" s="1"/>
  <c r="AS228" i="63" s="1"/>
  <c r="N228" i="63"/>
  <c r="AT227" i="63"/>
  <c r="Q228" i="63" l="1"/>
  <c r="M228" i="63"/>
  <c r="L228" i="63" s="1"/>
  <c r="Z228" i="63" l="1"/>
  <c r="AM228" i="63"/>
  <c r="V228" i="63"/>
  <c r="P228" i="63"/>
  <c r="U228" i="63" l="1"/>
  <c r="W228" i="63"/>
  <c r="AU228" i="63" l="1"/>
  <c r="AV228" i="63" s="1"/>
  <c r="AT228" i="63"/>
  <c r="O229" i="63"/>
  <c r="AN229" i="63" s="1"/>
  <c r="AS229" i="63" s="1"/>
  <c r="N229" i="63"/>
  <c r="M229" i="63" l="1"/>
  <c r="L229" i="63" s="1"/>
  <c r="Q229" i="63"/>
  <c r="V229" i="63" l="1"/>
  <c r="P229" i="63"/>
  <c r="AM229" i="63"/>
  <c r="Z229" i="63"/>
  <c r="W229" i="63" l="1"/>
  <c r="U229" i="63"/>
  <c r="AT229" i="63" l="1"/>
  <c r="O230" i="63"/>
  <c r="AU229" i="63"/>
  <c r="AV229" i="63" s="1"/>
  <c r="N230" i="63"/>
  <c r="M230" i="63" l="1"/>
  <c r="L230" i="63" s="1"/>
  <c r="Q230" i="63"/>
  <c r="V230" i="63" s="1"/>
  <c r="AN230" i="63"/>
  <c r="AS230" i="63" s="1"/>
  <c r="P230" i="63" l="1"/>
  <c r="AM230" i="63"/>
  <c r="Z230" i="63"/>
  <c r="U230" i="63" l="1"/>
  <c r="W230" i="63"/>
  <c r="AU230" i="63" l="1"/>
  <c r="AV230" i="63" s="1"/>
  <c r="O231" i="63"/>
  <c r="N231" i="63"/>
  <c r="AT230" i="63"/>
  <c r="M231" i="63" l="1"/>
  <c r="L231" i="63" s="1"/>
  <c r="Q231" i="63"/>
  <c r="V231" i="63" s="1"/>
  <c r="AN231" i="63"/>
  <c r="AS231" i="63" s="1"/>
  <c r="P231" i="63" l="1"/>
  <c r="U231" i="63" s="1"/>
  <c r="AM231" i="63"/>
  <c r="Z231" i="63"/>
  <c r="W231" i="63" l="1"/>
  <c r="AT231" i="63" s="1"/>
  <c r="N232" i="63" l="1"/>
  <c r="AU231" i="63"/>
  <c r="AV231" i="63" s="1"/>
  <c r="O232" i="63"/>
  <c r="AN232" i="63" s="1"/>
  <c r="AS232" i="63" s="1"/>
  <c r="M232" i="63"/>
  <c r="L232" i="63" s="1"/>
  <c r="Q232" i="63"/>
  <c r="V232" i="63" l="1"/>
  <c r="P232" i="63"/>
  <c r="Z232" i="63"/>
  <c r="AM232" i="63"/>
  <c r="U232" i="63" l="1"/>
  <c r="W232" i="63"/>
  <c r="AU232" i="63" l="1"/>
  <c r="AV232" i="63" s="1"/>
  <c r="N233" i="63"/>
  <c r="AT232" i="63"/>
  <c r="O233" i="63"/>
  <c r="AN233" i="63" s="1"/>
  <c r="AS233" i="63" s="1"/>
  <c r="M233" i="63" l="1"/>
  <c r="L233" i="63" s="1"/>
  <c r="Q233" i="63"/>
  <c r="V233" i="63" s="1"/>
  <c r="AM233" i="63" l="1"/>
  <c r="Z233" i="63"/>
  <c r="P233" i="63"/>
  <c r="U233" i="63" l="1"/>
  <c r="W233" i="63"/>
  <c r="AU233" i="63" l="1"/>
  <c r="AV233" i="63" s="1"/>
  <c r="O234" i="63"/>
  <c r="AT233" i="63"/>
  <c r="N234" i="63"/>
  <c r="Q234" i="63" l="1"/>
  <c r="V234" i="63" s="1"/>
  <c r="M234" i="63"/>
  <c r="L234" i="63" s="1"/>
  <c r="AN234" i="63"/>
  <c r="AS234" i="63" s="1"/>
  <c r="P234" i="63" l="1"/>
  <c r="U234" i="63" s="1"/>
  <c r="Z234" i="63"/>
  <c r="AM234" i="63"/>
  <c r="W234" i="63" l="1"/>
  <c r="AU234" i="63" s="1"/>
  <c r="AV234" i="63" s="1"/>
  <c r="N235" i="63" l="1"/>
  <c r="Q235" i="63" s="1"/>
  <c r="AT234" i="63"/>
  <c r="O235" i="63"/>
  <c r="AN235" i="63" s="1"/>
  <c r="AS235" i="63" s="1"/>
  <c r="M235" i="63" l="1"/>
  <c r="L235" i="63" s="1"/>
  <c r="Z235" i="63" s="1"/>
  <c r="P235" i="63"/>
  <c r="V235" i="63"/>
  <c r="AM235" i="63" l="1"/>
  <c r="U235" i="63"/>
  <c r="W235" i="63"/>
  <c r="AU235" i="63" l="1"/>
  <c r="AV235" i="63" s="1"/>
  <c r="N236" i="63"/>
  <c r="AT235" i="63"/>
  <c r="O236" i="63"/>
  <c r="AN236" i="63" s="1"/>
  <c r="AS236" i="63" s="1"/>
  <c r="M236" i="63" l="1"/>
  <c r="L236" i="63" s="1"/>
  <c r="Q236" i="63"/>
  <c r="V236" i="63" l="1"/>
  <c r="P236" i="63"/>
  <c r="AM236" i="63"/>
  <c r="Z236" i="63"/>
  <c r="U236" i="63" l="1"/>
  <c r="W236" i="63"/>
  <c r="O237" i="63" l="1"/>
  <c r="AN237" i="63" s="1"/>
  <c r="AS237" i="63" s="1"/>
  <c r="AU236" i="63"/>
  <c r="AV236" i="63" s="1"/>
  <c r="N237" i="63"/>
  <c r="AT236" i="63"/>
  <c r="M237" i="63" l="1"/>
  <c r="L237" i="63" s="1"/>
  <c r="Q237" i="63"/>
  <c r="V237" i="63" l="1"/>
  <c r="P237" i="63"/>
  <c r="Z237" i="63"/>
  <c r="AM237" i="63"/>
  <c r="U237" i="63" l="1"/>
  <c r="W237" i="63"/>
  <c r="AT237" i="63" l="1"/>
  <c r="N238" i="63"/>
  <c r="AU237" i="63"/>
  <c r="AV237" i="63" s="1"/>
  <c r="O238" i="63"/>
  <c r="AN238" i="63" s="1"/>
  <c r="AS238" i="63" s="1"/>
  <c r="M238" i="63" l="1"/>
  <c r="L238" i="63" s="1"/>
  <c r="Q238" i="63"/>
  <c r="V238" i="63" s="1"/>
  <c r="Z238" i="63" l="1"/>
  <c r="AM238" i="63"/>
  <c r="P238" i="63"/>
  <c r="U238" i="63" l="1"/>
  <c r="W238" i="63"/>
  <c r="AU238" i="63" l="1"/>
  <c r="AV238" i="63" s="1"/>
  <c r="N239" i="63"/>
  <c r="O239" i="63"/>
  <c r="AN239" i="63" s="1"/>
  <c r="AS239" i="63" s="1"/>
  <c r="AT238" i="63"/>
  <c r="M239" i="63" l="1"/>
  <c r="L239" i="63" s="1"/>
  <c r="Q239" i="63"/>
  <c r="V239" i="63" l="1"/>
  <c r="P239" i="63"/>
  <c r="AM239" i="63"/>
  <c r="Z239" i="63"/>
  <c r="U239" i="63" l="1"/>
  <c r="W239" i="63"/>
  <c r="AU239" i="63" l="1"/>
  <c r="AV239" i="63" s="1"/>
  <c r="O240" i="63"/>
  <c r="AT239" i="63"/>
  <c r="N240" i="63"/>
  <c r="Q240" i="63" l="1"/>
  <c r="V240" i="63" s="1"/>
  <c r="M240" i="63"/>
  <c r="L240" i="63" s="1"/>
  <c r="AN240" i="63"/>
  <c r="AS240" i="63" s="1"/>
  <c r="P240" i="63" l="1"/>
  <c r="U240" i="63" s="1"/>
  <c r="Z240" i="63"/>
  <c r="AM240" i="63"/>
  <c r="W240" i="63" l="1"/>
  <c r="O241" i="63" s="1"/>
  <c r="AU240" i="63"/>
  <c r="AV240" i="63" s="1"/>
  <c r="N241" i="63" l="1"/>
  <c r="AT240" i="63"/>
  <c r="Q241" i="63"/>
  <c r="V241" i="63" s="1"/>
  <c r="M241" i="63"/>
  <c r="L241" i="63" s="1"/>
  <c r="AN241" i="63"/>
  <c r="AS241" i="63" s="1"/>
  <c r="P241" i="63" l="1"/>
  <c r="Z241" i="63"/>
  <c r="AM241" i="63"/>
  <c r="W241" i="63"/>
  <c r="U241" i="63"/>
  <c r="N242" i="63" l="1"/>
  <c r="AT241" i="63"/>
  <c r="O242" i="63"/>
  <c r="AN242" i="63" s="1"/>
  <c r="AS242" i="63" s="1"/>
  <c r="AU241" i="63"/>
  <c r="AV241" i="63" s="1"/>
  <c r="M242" i="63" l="1"/>
  <c r="L242" i="63" s="1"/>
  <c r="Q242" i="63"/>
  <c r="V242" i="63" l="1"/>
  <c r="P242" i="63"/>
  <c r="Z242" i="63"/>
  <c r="AM242" i="63"/>
  <c r="U242" i="63" l="1"/>
  <c r="W242" i="63"/>
  <c r="O243" i="63" l="1"/>
  <c r="AN243" i="63" s="1"/>
  <c r="AS243" i="63" s="1"/>
  <c r="N243" i="63"/>
  <c r="AU242" i="63"/>
  <c r="AV242" i="63" s="1"/>
  <c r="AT242" i="63"/>
  <c r="M243" i="63" l="1"/>
  <c r="L243" i="63" s="1"/>
  <c r="Q243" i="63"/>
  <c r="V243" i="63" l="1"/>
  <c r="P243" i="63"/>
  <c r="Z243" i="63"/>
  <c r="AM243" i="63"/>
  <c r="U243" i="63" l="1"/>
  <c r="W243" i="63"/>
  <c r="N244" i="63" l="1"/>
  <c r="AU243" i="63"/>
  <c r="AV243" i="63" s="1"/>
  <c r="AT243" i="63"/>
  <c r="O244" i="63"/>
  <c r="AN244" i="63" l="1"/>
  <c r="AS244" i="63" s="1"/>
  <c r="M244" i="63"/>
  <c r="L244" i="63" s="1"/>
  <c r="Q244" i="63"/>
  <c r="V244" i="63" s="1"/>
  <c r="P244" i="63" l="1"/>
  <c r="Z244" i="63"/>
  <c r="AM244" i="63"/>
  <c r="W244" i="63" l="1"/>
  <c r="U244" i="63"/>
  <c r="O245" i="63" l="1"/>
  <c r="AU244" i="63"/>
  <c r="AV244" i="63" s="1"/>
  <c r="N245" i="63"/>
  <c r="AT244" i="63"/>
  <c r="M245" i="63" l="1"/>
  <c r="L245" i="63" s="1"/>
  <c r="Q245" i="63"/>
  <c r="V245" i="63" s="1"/>
  <c r="AN245" i="63"/>
  <c r="AS245" i="63" s="1"/>
  <c r="P245" i="63" l="1"/>
  <c r="U245" i="63" s="1"/>
  <c r="AM245" i="63"/>
  <c r="Z245" i="63"/>
  <c r="W245" i="63" l="1"/>
  <c r="AU245" i="63" s="1"/>
  <c r="AV245" i="63" s="1"/>
  <c r="N246" i="63" l="1"/>
  <c r="Q246" i="63" s="1"/>
  <c r="V246" i="63" s="1"/>
  <c r="AT245" i="63"/>
  <c r="O246" i="63"/>
  <c r="AN246" i="63" s="1"/>
  <c r="AS246" i="63" s="1"/>
  <c r="M246" i="63" l="1"/>
  <c r="L246" i="63" s="1"/>
  <c r="AM246" i="63" s="1"/>
  <c r="P246" i="63"/>
  <c r="Z246" i="63" l="1"/>
  <c r="U246" i="63"/>
  <c r="W246" i="63"/>
  <c r="N247" i="63" l="1"/>
  <c r="AU246" i="63"/>
  <c r="AV246" i="63" s="1"/>
  <c r="O247" i="63"/>
  <c r="AT246" i="63"/>
  <c r="AN247" i="63" l="1"/>
  <c r="AS247" i="63" s="1"/>
  <c r="M247" i="63"/>
  <c r="L247" i="63" s="1"/>
  <c r="Q247" i="63"/>
  <c r="V247" i="63" s="1"/>
  <c r="Z247" i="63" l="1"/>
  <c r="AM247" i="63"/>
  <c r="P247" i="63"/>
  <c r="U247" i="63" l="1"/>
  <c r="W247" i="63"/>
  <c r="N248" i="63" l="1"/>
  <c r="O248" i="63"/>
  <c r="AT247" i="63"/>
  <c r="AU247" i="63"/>
  <c r="AV247" i="63" s="1"/>
  <c r="AN248" i="63" l="1"/>
  <c r="AS248" i="63" s="1"/>
  <c r="M248" i="63"/>
  <c r="L248" i="63" s="1"/>
  <c r="Q248" i="63"/>
  <c r="V248" i="63" s="1"/>
  <c r="Z248" i="63" l="1"/>
  <c r="AM248" i="63"/>
  <c r="P248" i="63"/>
  <c r="U248" i="63" l="1"/>
  <c r="W248" i="63"/>
  <c r="N249" i="63" l="1"/>
  <c r="O249" i="63"/>
  <c r="AU248" i="63"/>
  <c r="AV248" i="63" s="1"/>
  <c r="AT248" i="63"/>
  <c r="AN249" i="63" l="1"/>
  <c r="AS249" i="63" s="1"/>
  <c r="Q249" i="63"/>
  <c r="V249" i="63" s="1"/>
  <c r="M249" i="63"/>
  <c r="L249" i="63" s="1"/>
  <c r="Z249" i="63" l="1"/>
  <c r="AM249" i="63"/>
  <c r="P249" i="63"/>
  <c r="U249" i="63" l="1"/>
  <c r="W249" i="63"/>
  <c r="O250" i="63" l="1"/>
  <c r="AT249" i="63"/>
  <c r="N250" i="63"/>
  <c r="AU249" i="63"/>
  <c r="AV249" i="63" s="1"/>
  <c r="M250" i="63" l="1"/>
  <c r="L250" i="63" s="1"/>
  <c r="Q250" i="63"/>
  <c r="V250" i="63" s="1"/>
  <c r="AN250" i="63"/>
  <c r="AS250" i="63" s="1"/>
  <c r="P250" i="63" l="1"/>
  <c r="U250" i="63" s="1"/>
  <c r="AM250" i="63"/>
  <c r="Z250" i="63"/>
  <c r="W250" i="63" l="1"/>
  <c r="N251" i="63" s="1"/>
  <c r="O251" i="63" l="1"/>
  <c r="AN251" i="63" s="1"/>
  <c r="AS251" i="63" s="1"/>
  <c r="AU250" i="63"/>
  <c r="AV250" i="63" s="1"/>
  <c r="AT250" i="63"/>
  <c r="M251" i="63"/>
  <c r="L251" i="63" s="1"/>
  <c r="Q251" i="63"/>
  <c r="V251" i="63" s="1"/>
  <c r="AM251" i="63" l="1"/>
  <c r="Z251" i="63"/>
  <c r="P251" i="63"/>
  <c r="U251" i="63" l="1"/>
  <c r="W251" i="63"/>
  <c r="O252" i="63" l="1"/>
  <c r="N252" i="63"/>
  <c r="AU251" i="63"/>
  <c r="AV251" i="63" s="1"/>
  <c r="AT251" i="63"/>
  <c r="Q252" i="63" l="1"/>
  <c r="V252" i="63" s="1"/>
  <c r="M252" i="63"/>
  <c r="L252" i="63" s="1"/>
  <c r="AN252" i="63"/>
  <c r="AS252" i="63" s="1"/>
  <c r="P252" i="63" l="1"/>
  <c r="U252" i="63" s="1"/>
  <c r="AM252" i="63"/>
  <c r="Z252" i="63"/>
  <c r="W252" i="63" l="1"/>
  <c r="N253" i="63" s="1"/>
  <c r="AU252" i="63"/>
  <c r="AV252" i="63" s="1"/>
  <c r="O253" i="63" l="1"/>
  <c r="AN253" i="63" s="1"/>
  <c r="AS253" i="63" s="1"/>
  <c r="AT252" i="63"/>
  <c r="Q253" i="63"/>
  <c r="V253" i="63" s="1"/>
  <c r="M253" i="63"/>
  <c r="L253" i="63" s="1"/>
  <c r="AM253" i="63" l="1"/>
  <c r="Z253" i="63"/>
  <c r="P253" i="63"/>
  <c r="U253" i="63" l="1"/>
  <c r="W253" i="63"/>
  <c r="AU253" i="63" l="1"/>
  <c r="AV253" i="63" s="1"/>
  <c r="O254" i="63"/>
  <c r="N254" i="63"/>
  <c r="AT253" i="63"/>
  <c r="Q254" i="63" l="1"/>
  <c r="V254" i="63" s="1"/>
  <c r="M254" i="63"/>
  <c r="L254" i="63" s="1"/>
  <c r="AN254" i="63"/>
  <c r="AS254" i="63" s="1"/>
  <c r="P254" i="63" l="1"/>
  <c r="U254" i="63" s="1"/>
  <c r="AM254" i="63"/>
  <c r="Z254" i="63"/>
  <c r="W254" i="63" l="1"/>
  <c r="N255" i="63" s="1"/>
  <c r="AT254" i="63" l="1"/>
  <c r="O255" i="63"/>
  <c r="AN255" i="63" s="1"/>
  <c r="AS255" i="63" s="1"/>
  <c r="AU254" i="63"/>
  <c r="AV254" i="63" s="1"/>
  <c r="M255" i="63"/>
  <c r="L255" i="63" s="1"/>
  <c r="Q255" i="63"/>
  <c r="V255" i="63" s="1"/>
  <c r="AM255" i="63" l="1"/>
  <c r="Z255" i="63"/>
  <c r="P255" i="63"/>
  <c r="U255" i="63" l="1"/>
  <c r="W255" i="63"/>
  <c r="AU255" i="63" l="1"/>
  <c r="AV255" i="63" s="1"/>
  <c r="N256" i="63"/>
  <c r="AT255" i="63"/>
  <c r="O256" i="63"/>
  <c r="AN256" i="63" l="1"/>
  <c r="AS256" i="63" s="1"/>
  <c r="M256" i="63"/>
  <c r="L256" i="63" s="1"/>
  <c r="Q256" i="63"/>
  <c r="V256" i="63" s="1"/>
  <c r="Z256" i="63" l="1"/>
  <c r="AM256" i="63"/>
  <c r="P256" i="63"/>
  <c r="U256" i="63" l="1"/>
  <c r="W256" i="63"/>
  <c r="O257" i="63" l="1"/>
  <c r="AU256" i="63"/>
  <c r="AV256" i="63" s="1"/>
  <c r="N257" i="63"/>
  <c r="AT256" i="63"/>
  <c r="Q257" i="63" l="1"/>
  <c r="V257" i="63" s="1"/>
  <c r="M257" i="63"/>
  <c r="L257" i="63" s="1"/>
  <c r="AN257" i="63"/>
  <c r="AS257" i="63" s="1"/>
  <c r="P257" i="63" l="1"/>
  <c r="W257" i="63" s="1"/>
  <c r="Z257" i="63"/>
  <c r="AM257" i="63"/>
  <c r="U257" i="63" l="1"/>
  <c r="N258" i="63"/>
  <c r="O258" i="63"/>
  <c r="AN258" i="63" s="1"/>
  <c r="AS258" i="63" s="1"/>
  <c r="AT257" i="63"/>
  <c r="AU257" i="63"/>
  <c r="AV257" i="63" s="1"/>
  <c r="Q258" i="63" l="1"/>
  <c r="M258" i="63"/>
  <c r="L258" i="63" s="1"/>
  <c r="AM258" i="63" l="1"/>
  <c r="Z258" i="63"/>
  <c r="V258" i="63"/>
  <c r="P258" i="63"/>
  <c r="W258" i="63" l="1"/>
  <c r="U258" i="63"/>
  <c r="O259" i="63" l="1"/>
  <c r="AN259" i="63" s="1"/>
  <c r="AS259" i="63" s="1"/>
  <c r="AT258" i="63"/>
  <c r="N259" i="63"/>
  <c r="AU258" i="63"/>
  <c r="AV258" i="63" s="1"/>
  <c r="Q259" i="63" l="1"/>
  <c r="M259" i="63"/>
  <c r="L259" i="63" s="1"/>
  <c r="AM259" i="63" l="1"/>
  <c r="Z259" i="63"/>
  <c r="V259" i="63"/>
  <c r="P259" i="63"/>
  <c r="U259" i="63" l="1"/>
  <c r="W259" i="63"/>
  <c r="AU259" i="63" l="1"/>
  <c r="AV259" i="63" s="1"/>
  <c r="N260" i="63"/>
  <c r="AT259" i="63"/>
  <c r="O260" i="63"/>
  <c r="AN260" i="63" s="1"/>
  <c r="AS260" i="63" s="1"/>
  <c r="M260" i="63" l="1"/>
  <c r="L260" i="63" s="1"/>
  <c r="Q260" i="63"/>
  <c r="P260" i="63" l="1"/>
  <c r="V260" i="63"/>
  <c r="Z260" i="63"/>
  <c r="AM260" i="63"/>
  <c r="W260" i="63" l="1"/>
  <c r="U260" i="63"/>
  <c r="AU260" i="63" l="1"/>
  <c r="AV260" i="63" s="1"/>
  <c r="O261" i="63"/>
  <c r="AN261" i="63" s="1"/>
  <c r="AS261" i="63" s="1"/>
  <c r="N261" i="63"/>
  <c r="AT260" i="63"/>
  <c r="M261" i="63" l="1"/>
  <c r="L261" i="63" s="1"/>
  <c r="Q261" i="63"/>
  <c r="P261" i="63" l="1"/>
  <c r="V261" i="63"/>
  <c r="AM261" i="63"/>
  <c r="Z261" i="63"/>
  <c r="U261" i="63" l="1"/>
  <c r="W261" i="63"/>
  <c r="AT261" i="63" l="1"/>
  <c r="N262" i="63"/>
  <c r="O262" i="63"/>
  <c r="AN262" i="63" s="1"/>
  <c r="AS262" i="63" s="1"/>
  <c r="AU261" i="63"/>
  <c r="AV261" i="63" s="1"/>
  <c r="M262" i="63" l="1"/>
  <c r="L262" i="63" s="1"/>
  <c r="Q262" i="63"/>
  <c r="V262" i="63" l="1"/>
  <c r="P262" i="63"/>
  <c r="Z262" i="63"/>
  <c r="AM262" i="63"/>
  <c r="U262" i="63" l="1"/>
  <c r="W262" i="63"/>
  <c r="AU262" i="63" l="1"/>
  <c r="AV262" i="63" s="1"/>
  <c r="N263" i="63"/>
  <c r="AT262" i="63"/>
  <c r="O263" i="63"/>
  <c r="AN263" i="63" l="1"/>
  <c r="AS263" i="63" s="1"/>
  <c r="Q263" i="63"/>
  <c r="V263" i="63" s="1"/>
  <c r="M263" i="63"/>
  <c r="L263" i="63" s="1"/>
  <c r="AM263" i="63" l="1"/>
  <c r="Z263" i="63"/>
  <c r="P263" i="63"/>
  <c r="U263" i="63" l="1"/>
  <c r="W263" i="63"/>
  <c r="N264" i="63" l="1"/>
  <c r="AT263" i="63"/>
  <c r="O264" i="63"/>
  <c r="AU263" i="63"/>
  <c r="AV263" i="63" s="1"/>
  <c r="AN264" i="63" l="1"/>
  <c r="AS264" i="63" s="1"/>
  <c r="M264" i="63"/>
  <c r="L264" i="63" s="1"/>
  <c r="Q264" i="63"/>
  <c r="V264" i="63" s="1"/>
  <c r="Z264" i="63" l="1"/>
  <c r="AM264" i="63"/>
  <c r="P264" i="63"/>
  <c r="W264" i="63" l="1"/>
  <c r="U264" i="63"/>
  <c r="AU264" i="63" l="1"/>
  <c r="AV264" i="63" s="1"/>
  <c r="N265" i="63"/>
  <c r="AT264" i="63"/>
  <c r="O265" i="63"/>
  <c r="AN265" i="63" l="1"/>
  <c r="AS265" i="63" s="1"/>
  <c r="M265" i="63"/>
  <c r="L265" i="63" s="1"/>
  <c r="Q265" i="63"/>
  <c r="V265" i="63" s="1"/>
  <c r="AM265" i="63" l="1"/>
  <c r="Z265" i="63"/>
  <c r="P265" i="63"/>
  <c r="U265" i="63" l="1"/>
  <c r="W265" i="63"/>
  <c r="AU265" i="63" l="1"/>
  <c r="AV265" i="63" s="1"/>
  <c r="N266" i="63"/>
  <c r="O266" i="63"/>
  <c r="AT265" i="63"/>
  <c r="AN266" i="63" l="1"/>
  <c r="AS266" i="63" s="1"/>
  <c r="Q266" i="63"/>
  <c r="V266" i="63" s="1"/>
  <c r="M266" i="63"/>
  <c r="L266" i="63" s="1"/>
  <c r="Z266" i="63" l="1"/>
  <c r="AM266" i="63"/>
  <c r="P266" i="63"/>
  <c r="U266" i="63" l="1"/>
  <c r="W266" i="63"/>
  <c r="AT266" i="63" l="1"/>
  <c r="N267" i="63"/>
  <c r="O267" i="63"/>
  <c r="AU266" i="63"/>
  <c r="AV266" i="63" s="1"/>
  <c r="AN267" i="63" l="1"/>
  <c r="AS267" i="63" s="1"/>
  <c r="Q267" i="63"/>
  <c r="V267" i="63" s="1"/>
  <c r="M267" i="63"/>
  <c r="L267" i="63" s="1"/>
  <c r="Z267" i="63" l="1"/>
  <c r="AM267" i="63"/>
  <c r="P267" i="63"/>
  <c r="U267" i="63" l="1"/>
  <c r="W267" i="63"/>
  <c r="AT267" i="63" l="1"/>
  <c r="O268" i="63"/>
  <c r="AU267" i="63"/>
  <c r="AV267" i="63" s="1"/>
  <c r="N268" i="63"/>
  <c r="Q268" i="63" l="1"/>
  <c r="V268" i="63" s="1"/>
  <c r="M268" i="63"/>
  <c r="L268" i="63" s="1"/>
  <c r="AN268" i="63"/>
  <c r="AS268" i="63" s="1"/>
  <c r="P268" i="63" l="1"/>
  <c r="W268" i="63" s="1"/>
  <c r="Z268" i="63"/>
  <c r="AM268" i="63"/>
  <c r="U268" i="63" l="1"/>
  <c r="O269" i="63"/>
  <c r="AN269" i="63" s="1"/>
  <c r="AS269" i="63" s="1"/>
  <c r="AT268" i="63"/>
  <c r="N269" i="63"/>
  <c r="AU268" i="63"/>
  <c r="AV268" i="63" s="1"/>
  <c r="Q269" i="63" l="1"/>
  <c r="M269" i="63"/>
  <c r="L269" i="63" s="1"/>
  <c r="Z269" i="63" l="1"/>
  <c r="AM269" i="63"/>
  <c r="V269" i="63"/>
  <c r="P269" i="63"/>
  <c r="U269" i="63" l="1"/>
  <c r="W269" i="63"/>
  <c r="N270" i="63" l="1"/>
  <c r="AT269" i="63"/>
  <c r="AU269" i="63"/>
  <c r="AV269" i="63" s="1"/>
  <c r="O270" i="63"/>
  <c r="AN270" i="63" s="1"/>
  <c r="AS270" i="63" s="1"/>
  <c r="M270" i="63" l="1"/>
  <c r="L270" i="63" s="1"/>
  <c r="Q270" i="63"/>
  <c r="V270" i="63" l="1"/>
  <c r="P270" i="63"/>
  <c r="Z270" i="63"/>
  <c r="AM270" i="63"/>
  <c r="U270" i="63" l="1"/>
  <c r="W270" i="63"/>
  <c r="AU270" i="63" l="1"/>
  <c r="AV270" i="63" s="1"/>
  <c r="N271" i="63"/>
  <c r="O271" i="63"/>
  <c r="AN271" i="63" s="1"/>
  <c r="AS271" i="63" s="1"/>
  <c r="AT270" i="63"/>
  <c r="M271" i="63" l="1"/>
  <c r="L271" i="63" s="1"/>
  <c r="Q271" i="63"/>
  <c r="V271" i="63" l="1"/>
  <c r="P271" i="63"/>
  <c r="Z271" i="63"/>
  <c r="AM271" i="63"/>
  <c r="W271" i="63" l="1"/>
  <c r="U271" i="63"/>
  <c r="O272" i="63" l="1"/>
  <c r="AN272" i="63" s="1"/>
  <c r="AS272" i="63" s="1"/>
  <c r="AU271" i="63"/>
  <c r="AV271" i="63" s="1"/>
  <c r="N272" i="63"/>
  <c r="AT271" i="63"/>
  <c r="Q272" i="63" l="1"/>
  <c r="M272" i="63"/>
  <c r="L272" i="63" s="1"/>
  <c r="Z272" i="63" l="1"/>
  <c r="AM272" i="63"/>
  <c r="V272" i="63"/>
  <c r="P272" i="63"/>
  <c r="W272" i="63" l="1"/>
  <c r="U272" i="63"/>
  <c r="AT272" i="63" l="1"/>
  <c r="N273" i="63"/>
  <c r="AU272" i="63"/>
  <c r="AV272" i="63" s="1"/>
  <c r="O273" i="63"/>
  <c r="AN273" i="63" l="1"/>
  <c r="AS273" i="63" s="1"/>
  <c r="Q273" i="63"/>
  <c r="V273" i="63" s="1"/>
  <c r="M273" i="63"/>
  <c r="L273" i="63" s="1"/>
  <c r="Z273" i="63" l="1"/>
  <c r="AM273" i="63"/>
  <c r="P273" i="63"/>
  <c r="W273" i="63" l="1"/>
  <c r="U273" i="63"/>
  <c r="AT273" i="63" l="1"/>
  <c r="N274" i="63"/>
  <c r="AU273" i="63"/>
  <c r="AV273" i="63" s="1"/>
  <c r="O274" i="63"/>
  <c r="AN274" i="63" l="1"/>
  <c r="AS274" i="63" s="1"/>
  <c r="Q274" i="63"/>
  <c r="V274" i="63" s="1"/>
  <c r="M274" i="63"/>
  <c r="L274" i="63" s="1"/>
  <c r="Z274" i="63" l="1"/>
  <c r="AM274" i="63"/>
  <c r="P274" i="63"/>
  <c r="U274" i="63" l="1"/>
  <c r="W274" i="63"/>
  <c r="AT274" i="63" l="1"/>
  <c r="AU274" i="63"/>
  <c r="AV274" i="63" s="1"/>
  <c r="N275" i="63"/>
  <c r="O275" i="63"/>
  <c r="AN275" i="63" l="1"/>
  <c r="AS275" i="63" s="1"/>
  <c r="M275" i="63"/>
  <c r="L275" i="63" s="1"/>
  <c r="Q275" i="63"/>
  <c r="V275" i="63" s="1"/>
  <c r="AM275" i="63" l="1"/>
  <c r="Z275" i="63"/>
  <c r="P275" i="63"/>
  <c r="U275" i="63" l="1"/>
  <c r="W275" i="63"/>
  <c r="AU275" i="63" l="1"/>
  <c r="AV275" i="63" s="1"/>
  <c r="N276" i="63"/>
  <c r="AT275" i="63"/>
  <c r="O276" i="63"/>
  <c r="AN276" i="63" l="1"/>
  <c r="AS276" i="63" s="1"/>
  <c r="M276" i="63"/>
  <c r="L276" i="63" s="1"/>
  <c r="Q276" i="63"/>
  <c r="V276" i="63" s="1"/>
  <c r="AM276" i="63" l="1"/>
  <c r="Z276" i="63"/>
  <c r="P276" i="63"/>
  <c r="U276" i="63" l="1"/>
  <c r="W276" i="63"/>
  <c r="AU276" i="63" l="1"/>
  <c r="AV276" i="63" s="1"/>
  <c r="AT276" i="63"/>
  <c r="O277" i="63"/>
  <c r="N277" i="63"/>
  <c r="M277" i="63" l="1"/>
  <c r="L277" i="63" s="1"/>
  <c r="Q277" i="63"/>
  <c r="V277" i="63" s="1"/>
  <c r="AN277" i="63"/>
  <c r="AS277" i="63" s="1"/>
  <c r="P277" i="63" l="1"/>
  <c r="U277" i="63" s="1"/>
  <c r="Z277" i="63"/>
  <c r="AM277" i="63"/>
  <c r="W277" i="63" l="1"/>
  <c r="AU277" i="63" s="1"/>
  <c r="AV277" i="63" s="1"/>
  <c r="N278" i="63" l="1"/>
  <c r="M278" i="63" s="1"/>
  <c r="L278" i="63" s="1"/>
  <c r="AT277" i="63"/>
  <c r="O278" i="63"/>
  <c r="AN278" i="63" s="1"/>
  <c r="AS278" i="63" s="1"/>
  <c r="Q278" i="63"/>
  <c r="V278" i="63" l="1"/>
  <c r="P278" i="63"/>
  <c r="Z278" i="63"/>
  <c r="AM278" i="63"/>
  <c r="U278" i="63" l="1"/>
  <c r="W278" i="63"/>
  <c r="AU278" i="63" l="1"/>
  <c r="AV278" i="63" s="1"/>
  <c r="O279" i="63"/>
  <c r="N279" i="63"/>
  <c r="AT278" i="63"/>
  <c r="AN279" i="63" l="1"/>
  <c r="AS279" i="63" s="1"/>
  <c r="M279" i="63"/>
  <c r="L279" i="63" s="1"/>
  <c r="Q279" i="63"/>
  <c r="V279" i="63" s="1"/>
  <c r="Z279" i="63" l="1"/>
  <c r="AM279" i="63"/>
  <c r="P279" i="63"/>
  <c r="W279" i="63" l="1"/>
  <c r="U279" i="63"/>
  <c r="AU279" i="63" l="1"/>
  <c r="AV279" i="63" s="1"/>
  <c r="AT279" i="63"/>
  <c r="N280" i="63"/>
  <c r="O280" i="63"/>
  <c r="M280" i="63" l="1"/>
  <c r="L280" i="63" s="1"/>
  <c r="Q280" i="63"/>
  <c r="V280" i="63" s="1"/>
  <c r="AN280" i="63"/>
  <c r="AS280" i="63" s="1"/>
  <c r="P280" i="63" l="1"/>
  <c r="U280" i="63" s="1"/>
  <c r="Z280" i="63"/>
  <c r="AM280" i="63"/>
  <c r="W280" i="63" l="1"/>
  <c r="O281" i="63" s="1"/>
  <c r="AT280" i="63" l="1"/>
  <c r="AU280" i="63"/>
  <c r="AV280" i="63" s="1"/>
  <c r="N281" i="63"/>
  <c r="Q281" i="63" s="1"/>
  <c r="V281" i="63" s="1"/>
  <c r="AN281" i="63"/>
  <c r="AS281" i="63" s="1"/>
  <c r="M281" i="63" l="1"/>
  <c r="L281" i="63" s="1"/>
  <c r="AM281" i="63" s="1"/>
  <c r="P281" i="63"/>
  <c r="U281" i="63" s="1"/>
  <c r="Z281" i="63" l="1"/>
  <c r="W281" i="63"/>
  <c r="AT281" i="63" s="1"/>
  <c r="O282" i="63" l="1"/>
  <c r="AN282" i="63" s="1"/>
  <c r="AS282" i="63" s="1"/>
  <c r="AU281" i="63"/>
  <c r="AV281" i="63" s="1"/>
  <c r="N282" i="63"/>
  <c r="M282" i="63" s="1"/>
  <c r="L282" i="63" s="1"/>
  <c r="Q282" i="63" l="1"/>
  <c r="V282" i="63" s="1"/>
  <c r="Z282" i="63"/>
  <c r="AM282" i="63"/>
  <c r="P282" i="63" l="1"/>
  <c r="U282" i="63" s="1"/>
  <c r="W282" i="63" l="1"/>
  <c r="O283" i="63" s="1"/>
  <c r="AN283" i="63" s="1"/>
  <c r="AS283" i="63" s="1"/>
  <c r="AU282" i="63"/>
  <c r="AV282" i="63" s="1"/>
  <c r="N283" i="63" l="1"/>
  <c r="M283" i="63" s="1"/>
  <c r="L283" i="63" s="1"/>
  <c r="AT282" i="63"/>
  <c r="Q283" i="63" l="1"/>
  <c r="V283" i="63" s="1"/>
  <c r="Z283" i="63"/>
  <c r="AM283" i="63"/>
  <c r="P283" i="63" l="1"/>
  <c r="U283" i="63"/>
  <c r="W283" i="63"/>
  <c r="O284" i="63" l="1"/>
  <c r="AN284" i="63" s="1"/>
  <c r="AS284" i="63" s="1"/>
  <c r="AT283" i="63"/>
  <c r="AU283" i="63"/>
  <c r="AV283" i="63" s="1"/>
  <c r="N284" i="63"/>
  <c r="Q284" i="63" l="1"/>
  <c r="M284" i="63"/>
  <c r="L284" i="63" s="1"/>
  <c r="AM284" i="63" l="1"/>
  <c r="Z284" i="63"/>
  <c r="V284" i="63"/>
  <c r="P284" i="63"/>
  <c r="W284" i="63" l="1"/>
  <c r="U284" i="63"/>
  <c r="AU284" i="63" l="1"/>
  <c r="AV284" i="63" s="1"/>
  <c r="O285" i="63"/>
  <c r="AN285" i="63" s="1"/>
  <c r="AS285" i="63" s="1"/>
  <c r="N285" i="63"/>
  <c r="AT284" i="63"/>
  <c r="Q285" i="63" l="1"/>
  <c r="M285" i="63"/>
  <c r="L285" i="63" s="1"/>
  <c r="Z285" i="63" l="1"/>
  <c r="AM285" i="63"/>
  <c r="V285" i="63"/>
  <c r="P285" i="63"/>
  <c r="W285" i="63" l="1"/>
  <c r="U285" i="63"/>
  <c r="O286" i="63" l="1"/>
  <c r="AN286" i="63" s="1"/>
  <c r="AS286" i="63" s="1"/>
  <c r="AU285" i="63"/>
  <c r="AV285" i="63" s="1"/>
  <c r="AT285" i="63"/>
  <c r="N286" i="63"/>
  <c r="M286" i="63" l="1"/>
  <c r="L286" i="63" s="1"/>
  <c r="Q286" i="63"/>
  <c r="V286" i="63" l="1"/>
  <c r="P286" i="63"/>
  <c r="Z286" i="63"/>
  <c r="AM286" i="63"/>
  <c r="U286" i="63" l="1"/>
  <c r="W286" i="63"/>
  <c r="AT286" i="63" l="1"/>
  <c r="AU286" i="63"/>
  <c r="AV286" i="63" s="1"/>
  <c r="N287" i="63"/>
  <c r="O287" i="63"/>
  <c r="AN287" i="63" s="1"/>
  <c r="AS287" i="63" s="1"/>
  <c r="Q287" i="63" l="1"/>
  <c r="M287" i="63"/>
  <c r="L287" i="63" s="1"/>
  <c r="AM287" i="63" l="1"/>
  <c r="Z287" i="63"/>
  <c r="V287" i="63"/>
  <c r="P287" i="63"/>
  <c r="U287" i="63" l="1"/>
  <c r="W287" i="63"/>
  <c r="AU287" i="63" l="1"/>
  <c r="AV287" i="63" s="1"/>
  <c r="AT287" i="63"/>
  <c r="O288" i="63"/>
  <c r="AN288" i="63" s="1"/>
  <c r="AS288" i="63" s="1"/>
  <c r="N288" i="63"/>
  <c r="M288" i="63" l="1"/>
  <c r="L288" i="63" s="1"/>
  <c r="Q288" i="63"/>
  <c r="V288" i="63" l="1"/>
  <c r="P288" i="63"/>
  <c r="Z288" i="63"/>
  <c r="AM288" i="63"/>
  <c r="U288" i="63" l="1"/>
  <c r="W288" i="63"/>
  <c r="AU288" i="63" l="1"/>
  <c r="AV288" i="63" s="1"/>
  <c r="AT288" i="63"/>
  <c r="O289" i="63"/>
  <c r="AN289" i="63" s="1"/>
  <c r="AS289" i="63" s="1"/>
  <c r="N289" i="63"/>
  <c r="M289" i="63" l="1"/>
  <c r="L289" i="63" s="1"/>
  <c r="Q289" i="63"/>
  <c r="V289" i="63" l="1"/>
  <c r="P289" i="63"/>
  <c r="Z289" i="63"/>
  <c r="AM289" i="63"/>
  <c r="U289" i="63" l="1"/>
  <c r="W289" i="63"/>
  <c r="AT289" i="63" l="1"/>
  <c r="N290" i="63"/>
  <c r="O290" i="63"/>
  <c r="AU289" i="63"/>
  <c r="AV289" i="63" s="1"/>
  <c r="AN290" i="63" l="1"/>
  <c r="AS290" i="63" s="1"/>
  <c r="M290" i="63"/>
  <c r="L290" i="63" s="1"/>
  <c r="Q290" i="63"/>
  <c r="V290" i="63" s="1"/>
  <c r="Z290" i="63" l="1"/>
  <c r="AM290" i="63"/>
  <c r="P290" i="63"/>
  <c r="U290" i="63" l="1"/>
  <c r="W290" i="63"/>
  <c r="O291" i="63" l="1"/>
  <c r="AU290" i="63"/>
  <c r="AV290" i="63" s="1"/>
  <c r="AT290" i="63"/>
  <c r="N291" i="63"/>
  <c r="Q291" i="63" l="1"/>
  <c r="V291" i="63" s="1"/>
  <c r="M291" i="63"/>
  <c r="L291" i="63" s="1"/>
  <c r="AN291" i="63"/>
  <c r="AS291" i="63" s="1"/>
  <c r="P291" i="63" l="1"/>
  <c r="U291" i="63" s="1"/>
  <c r="Z291" i="63"/>
  <c r="AM291" i="63"/>
  <c r="W291" i="63" l="1"/>
  <c r="O292" i="63" s="1"/>
  <c r="AU291" i="63" l="1"/>
  <c r="AV291" i="63" s="1"/>
  <c r="AT291" i="63"/>
  <c r="N292" i="63"/>
  <c r="Q292" i="63" s="1"/>
  <c r="V292" i="63" s="1"/>
  <c r="AN292" i="63"/>
  <c r="AS292" i="63" s="1"/>
  <c r="M292" i="63" l="1"/>
  <c r="L292" i="63" s="1"/>
  <c r="AM292" i="63" s="1"/>
  <c r="P292" i="63"/>
  <c r="U292" i="63" s="1"/>
  <c r="Z292" i="63" l="1"/>
  <c r="W292" i="63"/>
  <c r="O293" i="63" s="1"/>
  <c r="AT292" i="63" l="1"/>
  <c r="N293" i="63"/>
  <c r="Q293" i="63" s="1"/>
  <c r="V293" i="63" s="1"/>
  <c r="AU292" i="63"/>
  <c r="AV292" i="63" s="1"/>
  <c r="AN293" i="63"/>
  <c r="AS293" i="63" s="1"/>
  <c r="M293" i="63" l="1"/>
  <c r="L293" i="63" s="1"/>
  <c r="P293" i="63"/>
  <c r="U293" i="63" s="1"/>
  <c r="AM293" i="63"/>
  <c r="Z293" i="63"/>
  <c r="W293" i="63" l="1"/>
  <c r="AT293" i="63" s="1"/>
  <c r="N294" i="63" l="1"/>
  <c r="Q294" i="63" s="1"/>
  <c r="AU293" i="63"/>
  <c r="AV293" i="63" s="1"/>
  <c r="O294" i="63"/>
  <c r="AN294" i="63" s="1"/>
  <c r="AS294" i="63" s="1"/>
  <c r="M294" i="63" l="1"/>
  <c r="L294" i="63" s="1"/>
  <c r="Z294" i="63" s="1"/>
  <c r="V294" i="63"/>
  <c r="P294" i="63"/>
  <c r="AM294" i="63" l="1"/>
  <c r="W294" i="63"/>
  <c r="U294" i="63"/>
  <c r="O295" i="63" l="1"/>
  <c r="AN295" i="63" s="1"/>
  <c r="AS295" i="63" s="1"/>
  <c r="AU294" i="63"/>
  <c r="AV294" i="63" s="1"/>
  <c r="N295" i="63"/>
  <c r="AT294" i="63"/>
  <c r="Q295" i="63" l="1"/>
  <c r="M295" i="63"/>
  <c r="L295" i="63" s="1"/>
  <c r="Z295" i="63" l="1"/>
  <c r="AM295" i="63"/>
  <c r="V295" i="63"/>
  <c r="P295" i="63"/>
  <c r="W295" i="63" l="1"/>
  <c r="U295" i="63"/>
  <c r="AU295" i="63" l="1"/>
  <c r="AV295" i="63" s="1"/>
  <c r="O296" i="63"/>
  <c r="AN296" i="63" s="1"/>
  <c r="AS296" i="63" s="1"/>
  <c r="N296" i="63"/>
  <c r="AT295" i="63"/>
  <c r="Q296" i="63" l="1"/>
  <c r="M296" i="63"/>
  <c r="L296" i="63" s="1"/>
  <c r="AM296" i="63" l="1"/>
  <c r="Z296" i="63"/>
  <c r="P296" i="63"/>
  <c r="V296" i="63"/>
  <c r="W296" i="63" l="1"/>
  <c r="U296" i="63"/>
  <c r="N297" i="63" l="1"/>
  <c r="O297" i="63"/>
  <c r="AN297" i="63" s="1"/>
  <c r="AS297" i="63" s="1"/>
  <c r="AU296" i="63"/>
  <c r="AV296" i="63" s="1"/>
  <c r="AT296" i="63"/>
  <c r="Q297" i="63" l="1"/>
  <c r="M297" i="63"/>
  <c r="L297" i="63" s="1"/>
  <c r="AM297" i="63" l="1"/>
  <c r="Z297" i="63"/>
  <c r="V297" i="63"/>
  <c r="P297" i="63"/>
  <c r="U297" i="63" l="1"/>
  <c r="W297" i="63"/>
  <c r="AU297" i="63" l="1"/>
  <c r="AV297" i="63" s="1"/>
  <c r="N298" i="63"/>
  <c r="O298" i="63"/>
  <c r="AN298" i="63" s="1"/>
  <c r="AS298" i="63" s="1"/>
  <c r="AT297" i="63"/>
  <c r="Q298" i="63" l="1"/>
  <c r="M298" i="63"/>
  <c r="L298" i="63" s="1"/>
  <c r="AM298" i="63" l="1"/>
  <c r="Z298" i="63"/>
  <c r="V298" i="63"/>
  <c r="P298" i="63"/>
  <c r="U298" i="63" l="1"/>
  <c r="W298" i="63"/>
  <c r="AT298" i="63" l="1"/>
  <c r="N299" i="63"/>
  <c r="AU298" i="63"/>
  <c r="AV298" i="63" s="1"/>
  <c r="O299" i="63"/>
  <c r="AN299" i="63" s="1"/>
  <c r="AS299" i="63" s="1"/>
  <c r="M299" i="63" l="1"/>
  <c r="L299" i="63" s="1"/>
  <c r="Q299" i="63"/>
  <c r="V299" i="63" l="1"/>
  <c r="P299" i="63"/>
  <c r="AM299" i="63"/>
  <c r="Z299" i="63"/>
  <c r="W299" i="63" l="1"/>
  <c r="U299" i="63"/>
  <c r="N300" i="63" l="1"/>
  <c r="AT299" i="63"/>
  <c r="O300" i="63"/>
  <c r="AN300" i="63" s="1"/>
  <c r="AS300" i="63" s="1"/>
  <c r="AU299" i="63"/>
  <c r="AV299" i="63" s="1"/>
  <c r="M300" i="63" l="1"/>
  <c r="L300" i="63" s="1"/>
  <c r="Q300" i="63"/>
  <c r="V300" i="63" l="1"/>
  <c r="P300" i="63"/>
  <c r="Z300" i="63"/>
  <c r="AM300" i="63"/>
  <c r="U300" i="63" l="1"/>
  <c r="W300" i="63"/>
  <c r="AU300" i="63" l="1"/>
  <c r="AV300" i="63" s="1"/>
  <c r="N301" i="63"/>
  <c r="AT300" i="63"/>
  <c r="O301" i="63"/>
  <c r="AN301" i="63" s="1"/>
  <c r="AS301" i="63" s="1"/>
  <c r="Q301" i="63" l="1"/>
  <c r="V301" i="63" s="1"/>
  <c r="M301" i="63"/>
  <c r="L301" i="63" s="1"/>
  <c r="AM301" i="63" l="1"/>
  <c r="Z301" i="63"/>
  <c r="P301" i="63"/>
  <c r="U301" i="63" l="1"/>
  <c r="W301" i="63"/>
  <c r="AU301" i="63" l="1"/>
  <c r="AV301" i="63" s="1"/>
  <c r="AT301" i="63"/>
  <c r="O302" i="63"/>
  <c r="N302" i="63"/>
  <c r="Q302" i="63" l="1"/>
  <c r="V302" i="63" s="1"/>
  <c r="M302" i="63"/>
  <c r="L302" i="63" s="1"/>
  <c r="AN302" i="63"/>
  <c r="AS302" i="63" s="1"/>
  <c r="P302" i="63" l="1"/>
  <c r="U302" i="63" s="1"/>
  <c r="Z302" i="63"/>
  <c r="AM302" i="63"/>
  <c r="W302" i="63"/>
  <c r="O303" i="63" l="1"/>
  <c r="AN303" i="63" s="1"/>
  <c r="AS303" i="63" s="1"/>
  <c r="AU302" i="63"/>
  <c r="AV302" i="63" s="1"/>
  <c r="N303" i="63"/>
  <c r="AT302" i="63"/>
  <c r="Q303" i="63" l="1"/>
  <c r="M303" i="63"/>
  <c r="L303" i="63" s="1"/>
  <c r="AM303" i="63" l="1"/>
  <c r="Z303" i="63"/>
  <c r="V303" i="63"/>
  <c r="P303" i="63"/>
  <c r="U303" i="63" l="1"/>
  <c r="W303" i="63"/>
  <c r="AT303" i="63" l="1"/>
  <c r="O304" i="63"/>
  <c r="AN304" i="63" s="1"/>
  <c r="AS304" i="63" s="1"/>
  <c r="AU303" i="63"/>
  <c r="AV303" i="63" s="1"/>
  <c r="N304" i="63"/>
  <c r="Q304" i="63" l="1"/>
  <c r="M304" i="63"/>
  <c r="L304" i="63" s="1"/>
  <c r="AM304" i="63" l="1"/>
  <c r="Z304" i="63"/>
  <c r="V304" i="63"/>
  <c r="P304" i="63"/>
  <c r="U304" i="63" l="1"/>
  <c r="W304" i="63"/>
  <c r="O305" i="63" l="1"/>
  <c r="AN305" i="63" s="1"/>
  <c r="AS305" i="63" s="1"/>
  <c r="AU304" i="63"/>
  <c r="AV304" i="63" s="1"/>
  <c r="N305" i="63"/>
  <c r="AT304" i="63"/>
  <c r="M305" i="63" l="1"/>
  <c r="L305" i="63" s="1"/>
  <c r="Q305" i="63"/>
  <c r="V305" i="63" l="1"/>
  <c r="P305" i="63"/>
  <c r="AM305" i="63"/>
  <c r="Z305" i="63"/>
  <c r="U305" i="63" l="1"/>
  <c r="W305" i="63"/>
  <c r="O306" i="63" l="1"/>
  <c r="AT305" i="63"/>
  <c r="AU305" i="63"/>
  <c r="AV305" i="63" s="1"/>
  <c r="N306" i="63"/>
  <c r="Q306" i="63" l="1"/>
  <c r="V306" i="63" s="1"/>
  <c r="M306" i="63"/>
  <c r="L306" i="63" s="1"/>
  <c r="AN306" i="63"/>
  <c r="AS306" i="63" s="1"/>
  <c r="P306" i="63" l="1"/>
  <c r="U306" i="63" s="1"/>
  <c r="AM306" i="63"/>
  <c r="Z306" i="63"/>
  <c r="W306" i="63" l="1"/>
  <c r="N307" i="63" s="1"/>
  <c r="AT306" i="63" l="1"/>
  <c r="O307" i="63"/>
  <c r="AN307" i="63" s="1"/>
  <c r="AS307" i="63" s="1"/>
  <c r="AU306" i="63"/>
  <c r="AV306" i="63" s="1"/>
  <c r="Q307" i="63"/>
  <c r="V307" i="63" s="1"/>
  <c r="M307" i="63"/>
  <c r="L307" i="63" s="1"/>
  <c r="Z307" i="63" l="1"/>
  <c r="AM307" i="63"/>
  <c r="P307" i="63"/>
  <c r="U307" i="63" l="1"/>
  <c r="W307" i="63"/>
  <c r="AU307" i="63" l="1"/>
  <c r="AV307" i="63" s="1"/>
  <c r="AT307" i="63"/>
  <c r="N308" i="63"/>
  <c r="O308" i="63"/>
  <c r="AN308" i="63" l="1"/>
  <c r="AS308" i="63" s="1"/>
  <c r="Q308" i="63"/>
  <c r="V308" i="63" s="1"/>
  <c r="M308" i="63"/>
  <c r="L308" i="63" s="1"/>
  <c r="Z308" i="63" l="1"/>
  <c r="AM308" i="63"/>
  <c r="P308" i="63"/>
  <c r="U308" i="63" l="1"/>
  <c r="W308" i="63"/>
  <c r="AT308" i="63" l="1"/>
  <c r="O309" i="63"/>
  <c r="N309" i="63"/>
  <c r="AU308" i="63"/>
  <c r="AV308" i="63" s="1"/>
  <c r="Q309" i="63" l="1"/>
  <c r="V309" i="63" s="1"/>
  <c r="M309" i="63"/>
  <c r="L309" i="63" s="1"/>
  <c r="AN309" i="63"/>
  <c r="AS309" i="63" s="1"/>
  <c r="P309" i="63" l="1"/>
  <c r="U309" i="63" s="1"/>
  <c r="AM309" i="63"/>
  <c r="Z309" i="63"/>
  <c r="W309" i="63" l="1"/>
  <c r="N310" i="63" s="1"/>
  <c r="AU309" i="63" l="1"/>
  <c r="AV309" i="63" s="1"/>
  <c r="O310" i="63"/>
  <c r="AN310" i="63" s="1"/>
  <c r="AS310" i="63" s="1"/>
  <c r="AT309" i="63"/>
  <c r="M310" i="63"/>
  <c r="L310" i="63" s="1"/>
  <c r="Q310" i="63"/>
  <c r="V310" i="63" s="1"/>
  <c r="Z310" i="63" l="1"/>
  <c r="AM310" i="63"/>
  <c r="P310" i="63"/>
  <c r="W310" i="63" l="1"/>
  <c r="U310" i="63"/>
  <c r="AU310" i="63" l="1"/>
  <c r="AV310" i="63" s="1"/>
  <c r="N311" i="63"/>
  <c r="AT310" i="63"/>
  <c r="O311" i="63"/>
  <c r="AN311" i="63" l="1"/>
  <c r="AS311" i="63" s="1"/>
  <c r="Q311" i="63"/>
  <c r="V311" i="63" s="1"/>
  <c r="M311" i="63"/>
  <c r="L311" i="63" s="1"/>
  <c r="AM311" i="63" l="1"/>
  <c r="Z311" i="63"/>
  <c r="P311" i="63"/>
  <c r="W311" i="63" l="1"/>
  <c r="U311" i="63"/>
  <c r="O312" i="63" l="1"/>
  <c r="AT311" i="63"/>
  <c r="N312" i="63"/>
  <c r="AU311" i="63"/>
  <c r="AV311" i="63" s="1"/>
  <c r="Q312" i="63" l="1"/>
  <c r="V312" i="63" s="1"/>
  <c r="M312" i="63"/>
  <c r="L312" i="63" s="1"/>
  <c r="AN312" i="63"/>
  <c r="AS312" i="63" s="1"/>
  <c r="P312" i="63" l="1"/>
  <c r="W312" i="63" s="1"/>
  <c r="Z312" i="63"/>
  <c r="AM312" i="63"/>
  <c r="U312" i="63" l="1"/>
  <c r="AU312" i="63"/>
  <c r="AV312" i="63" s="1"/>
  <c r="N313" i="63"/>
  <c r="AT312" i="63"/>
  <c r="O313" i="63"/>
  <c r="AN313" i="63" s="1"/>
  <c r="AS313" i="63" s="1"/>
  <c r="M313" i="63" l="1"/>
  <c r="L313" i="63" s="1"/>
  <c r="Q313" i="63"/>
  <c r="V313" i="63" l="1"/>
  <c r="P313" i="63"/>
  <c r="AM313" i="63"/>
  <c r="Z313" i="63"/>
  <c r="W313" i="63" l="1"/>
  <c r="U313" i="63"/>
  <c r="O314" i="63" l="1"/>
  <c r="AN314" i="63" s="1"/>
  <c r="AS314" i="63" s="1"/>
  <c r="AT313" i="63"/>
  <c r="N314" i="63"/>
  <c r="AU313" i="63"/>
  <c r="AV313" i="63" s="1"/>
  <c r="Q314" i="63" l="1"/>
  <c r="M314" i="63"/>
  <c r="L314" i="63" s="1"/>
  <c r="AM314" i="63" l="1"/>
  <c r="Z314" i="63"/>
  <c r="V314" i="63"/>
  <c r="P314" i="63"/>
  <c r="U314" i="63" l="1"/>
  <c r="W314" i="63"/>
  <c r="O315" i="63" l="1"/>
  <c r="AU314" i="63"/>
  <c r="AV314" i="63" s="1"/>
  <c r="N315" i="63"/>
  <c r="AT314" i="63"/>
  <c r="Q315" i="63" l="1"/>
  <c r="V315" i="63" s="1"/>
  <c r="M315" i="63"/>
  <c r="L315" i="63" s="1"/>
  <c r="AN315" i="63"/>
  <c r="AS315" i="63" s="1"/>
  <c r="P315" i="63" l="1"/>
  <c r="W315" i="63" s="1"/>
  <c r="Z315" i="63"/>
  <c r="AM315" i="63"/>
  <c r="U315" i="63" l="1"/>
  <c r="AU315" i="63"/>
  <c r="AV315" i="63" s="1"/>
  <c r="N316" i="63"/>
  <c r="O316" i="63"/>
  <c r="AN316" i="63" s="1"/>
  <c r="AS316" i="63" s="1"/>
  <c r="AT315" i="63"/>
  <c r="Q316" i="63" l="1"/>
  <c r="M316" i="63"/>
  <c r="L316" i="63" s="1"/>
  <c r="AM316" i="63" l="1"/>
  <c r="Z316" i="63"/>
  <c r="V316" i="63"/>
  <c r="P316" i="63"/>
  <c r="W316" i="63" l="1"/>
  <c r="U316" i="63"/>
  <c r="O317" i="63" l="1"/>
  <c r="AN317" i="63" s="1"/>
  <c r="AS317" i="63" s="1"/>
  <c r="N317" i="63"/>
  <c r="AU316" i="63"/>
  <c r="AV316" i="63" s="1"/>
  <c r="AT316" i="63"/>
  <c r="Q317" i="63" l="1"/>
  <c r="M317" i="63"/>
  <c r="L317" i="63" s="1"/>
  <c r="Z317" i="63" l="1"/>
  <c r="AM317" i="63"/>
  <c r="V317" i="63"/>
  <c r="P317" i="63"/>
  <c r="U317" i="63" l="1"/>
  <c r="W317" i="63"/>
  <c r="O318" i="63" l="1"/>
  <c r="AN318" i="63" s="1"/>
  <c r="AS318" i="63" s="1"/>
  <c r="N318" i="63"/>
  <c r="AU317" i="63"/>
  <c r="AV317" i="63" s="1"/>
  <c r="AT317" i="63"/>
  <c r="M318" i="63" l="1"/>
  <c r="L318" i="63" s="1"/>
  <c r="Q318" i="63"/>
  <c r="V318" i="63" l="1"/>
  <c r="P318" i="63"/>
  <c r="AM318" i="63"/>
  <c r="Z318" i="63"/>
  <c r="U318" i="63" l="1"/>
  <c r="W318" i="63"/>
  <c r="N319" i="63" l="1"/>
  <c r="AT318" i="63"/>
  <c r="O319" i="63"/>
  <c r="AN319" i="63" s="1"/>
  <c r="AS319" i="63" s="1"/>
  <c r="AU318" i="63"/>
  <c r="AV318" i="63" s="1"/>
  <c r="Q319" i="63" l="1"/>
  <c r="M319" i="63"/>
  <c r="L319" i="63" s="1"/>
  <c r="Z319" i="63" l="1"/>
  <c r="AM319" i="63"/>
  <c r="V319" i="63"/>
  <c r="P319" i="63"/>
  <c r="U319" i="63" l="1"/>
  <c r="W319" i="63"/>
  <c r="AT319" i="63" l="1"/>
  <c r="AU319" i="63"/>
  <c r="AV319" i="63" s="1"/>
  <c r="N320" i="63"/>
  <c r="O320" i="63"/>
  <c r="AN320" i="63" s="1"/>
  <c r="AS320" i="63" s="1"/>
  <c r="M320" i="63" l="1"/>
  <c r="L320" i="63" s="1"/>
  <c r="Q320" i="63"/>
  <c r="V320" i="63" l="1"/>
  <c r="P320" i="63"/>
  <c r="AM320" i="63"/>
  <c r="Z320" i="63"/>
  <c r="W320" i="63" l="1"/>
  <c r="U320" i="63"/>
  <c r="AT320" i="63" l="1"/>
  <c r="O321" i="63"/>
  <c r="AN321" i="63" s="1"/>
  <c r="AS321" i="63" s="1"/>
  <c r="N321" i="63"/>
  <c r="AU320" i="63"/>
  <c r="AV320" i="63" s="1"/>
  <c r="M321" i="63" l="1"/>
  <c r="L321" i="63" s="1"/>
  <c r="Q321" i="63"/>
  <c r="V321" i="63" l="1"/>
  <c r="P321" i="63"/>
  <c r="AM321" i="63"/>
  <c r="Z321" i="63"/>
  <c r="U321" i="63" l="1"/>
  <c r="W321" i="63"/>
  <c r="O322" i="63" l="1"/>
  <c r="AN322" i="63" s="1"/>
  <c r="AS322" i="63" s="1"/>
  <c r="AU321" i="63"/>
  <c r="AV321" i="63" s="1"/>
  <c r="N322" i="63"/>
  <c r="AT321" i="63"/>
  <c r="M322" i="63" l="1"/>
  <c r="L322" i="63" s="1"/>
  <c r="Q322" i="63"/>
  <c r="P322" i="63" l="1"/>
  <c r="V322" i="63"/>
  <c r="Z322" i="63"/>
  <c r="AM322" i="63"/>
  <c r="W322" i="63" l="1"/>
  <c r="U322" i="63"/>
  <c r="O323" i="63" l="1"/>
  <c r="AN323" i="63" s="1"/>
  <c r="AS323" i="63" s="1"/>
  <c r="AU322" i="63"/>
  <c r="AV322" i="63" s="1"/>
  <c r="AT322" i="63"/>
  <c r="N323" i="63"/>
  <c r="M323" i="63" l="1"/>
  <c r="L323" i="63" s="1"/>
  <c r="Q323" i="63"/>
  <c r="V323" i="63" l="1"/>
  <c r="P323" i="63"/>
  <c r="AM323" i="63"/>
  <c r="Z323" i="63"/>
  <c r="U323" i="63" l="1"/>
  <c r="W323" i="63"/>
  <c r="O324" i="63" l="1"/>
  <c r="AN324" i="63" s="1"/>
  <c r="AS324" i="63" s="1"/>
  <c r="AU323" i="63"/>
  <c r="AV323" i="63" s="1"/>
  <c r="AT323" i="63"/>
  <c r="N324" i="63"/>
  <c r="M324" i="63" l="1"/>
  <c r="L324" i="63" s="1"/>
  <c r="Q324" i="63"/>
  <c r="P324" i="63" l="1"/>
  <c r="V324" i="63"/>
  <c r="AM324" i="63"/>
  <c r="Z324" i="63"/>
  <c r="W324" i="63" l="1"/>
  <c r="U324" i="63"/>
  <c r="N325" i="63" l="1"/>
  <c r="O325" i="63"/>
  <c r="AN325" i="63" s="1"/>
  <c r="AS325" i="63" s="1"/>
  <c r="AT324" i="63"/>
  <c r="AU324" i="63"/>
  <c r="AV324" i="63" s="1"/>
  <c r="M325" i="63" l="1"/>
  <c r="L325" i="63" s="1"/>
  <c r="Q325" i="63"/>
  <c r="V325" i="63" l="1"/>
  <c r="P325" i="63"/>
  <c r="AM325" i="63"/>
  <c r="Z325" i="63"/>
  <c r="W325" i="63" l="1"/>
  <c r="U325" i="63"/>
  <c r="O326" i="63" l="1"/>
  <c r="AN326" i="63" s="1"/>
  <c r="AS326" i="63" s="1"/>
  <c r="AT325" i="63"/>
  <c r="N326" i="63"/>
  <c r="AU325" i="63"/>
  <c r="AV325" i="63" s="1"/>
  <c r="Q326" i="63" l="1"/>
  <c r="M326" i="63"/>
  <c r="L326" i="63" s="1"/>
  <c r="Z326" i="63" l="1"/>
  <c r="AM326" i="63"/>
  <c r="V326" i="63"/>
  <c r="P326" i="63"/>
  <c r="U326" i="63" l="1"/>
  <c r="W326" i="63"/>
  <c r="AT326" i="63" l="1"/>
  <c r="O327" i="63"/>
  <c r="AN327" i="63" s="1"/>
  <c r="AS327" i="63" s="1"/>
  <c r="AU326" i="63"/>
  <c r="AV326" i="63" s="1"/>
  <c r="N327" i="63"/>
  <c r="Q327" i="63" l="1"/>
  <c r="M327" i="63"/>
  <c r="L327" i="63" s="1"/>
  <c r="Z327" i="63" l="1"/>
  <c r="AM327" i="63"/>
  <c r="V327" i="63"/>
  <c r="P327" i="63"/>
  <c r="W327" i="63" l="1"/>
  <c r="U327" i="63"/>
  <c r="N328" i="63" l="1"/>
  <c r="O328" i="63"/>
  <c r="AN328" i="63" s="1"/>
  <c r="AS328" i="63" s="1"/>
  <c r="AT327" i="63"/>
  <c r="AU327" i="63"/>
  <c r="AV327" i="63" s="1"/>
  <c r="Q328" i="63" l="1"/>
  <c r="M328" i="63"/>
  <c r="L328" i="63" s="1"/>
  <c r="Z328" i="63" l="1"/>
  <c r="AM328" i="63"/>
  <c r="V328" i="63"/>
  <c r="P328" i="63"/>
  <c r="W328" i="63" l="1"/>
  <c r="U328" i="63"/>
  <c r="AU328" i="63" l="1"/>
  <c r="AV328" i="63" s="1"/>
  <c r="N329" i="63"/>
  <c r="O329" i="63"/>
  <c r="AN329" i="63" s="1"/>
  <c r="AS329" i="63" s="1"/>
  <c r="AT328" i="63"/>
  <c r="M329" i="63" l="1"/>
  <c r="L329" i="63" s="1"/>
  <c r="Q329" i="63"/>
  <c r="V329" i="63" l="1"/>
  <c r="P329" i="63"/>
  <c r="Z329" i="63"/>
  <c r="AM329" i="63"/>
  <c r="W329" i="63" l="1"/>
  <c r="U329" i="63"/>
  <c r="O330" i="63" l="1"/>
  <c r="AN330" i="63" s="1"/>
  <c r="AS330" i="63" s="1"/>
  <c r="AU329" i="63"/>
  <c r="AV329" i="63" s="1"/>
  <c r="N330" i="63"/>
  <c r="AT329" i="63"/>
  <c r="Q330" i="63" l="1"/>
  <c r="M330" i="63"/>
  <c r="L330" i="63" s="1"/>
  <c r="AM330" i="63" l="1"/>
  <c r="Z330" i="63"/>
  <c r="V330" i="63"/>
  <c r="P330" i="63"/>
  <c r="U330" i="63" l="1"/>
  <c r="W330" i="63"/>
  <c r="N331" i="63" l="1"/>
  <c r="AU330" i="63"/>
  <c r="AV330" i="63" s="1"/>
  <c r="AT330" i="63"/>
  <c r="O331" i="63"/>
  <c r="AN331" i="63" s="1"/>
  <c r="AS331" i="63" s="1"/>
  <c r="M331" i="63" l="1"/>
  <c r="L331" i="63" s="1"/>
  <c r="Q331" i="63"/>
  <c r="V331" i="63" l="1"/>
  <c r="P331" i="63"/>
  <c r="Z331" i="63"/>
  <c r="AM331" i="63"/>
  <c r="U331" i="63" l="1"/>
  <c r="W331" i="63"/>
  <c r="O332" i="63" l="1"/>
  <c r="AN332" i="63" s="1"/>
  <c r="AS332" i="63" s="1"/>
  <c r="AU331" i="63"/>
  <c r="AV331" i="63" s="1"/>
  <c r="AT331" i="63"/>
  <c r="N332" i="63"/>
  <c r="Q332" i="63" l="1"/>
  <c r="M332" i="63"/>
  <c r="L332" i="63" s="1"/>
  <c r="Z332" i="63" l="1"/>
  <c r="AM332" i="63"/>
  <c r="V332" i="63"/>
  <c r="P332" i="63"/>
  <c r="U332" i="63" l="1"/>
  <c r="W332" i="63"/>
  <c r="O333" i="63" l="1"/>
  <c r="N333" i="63"/>
  <c r="AT332" i="63"/>
  <c r="AU332" i="63"/>
  <c r="AV332" i="63" s="1"/>
  <c r="Q333" i="63" l="1"/>
  <c r="V333" i="63" s="1"/>
  <c r="M333" i="63"/>
  <c r="L333" i="63" s="1"/>
  <c r="AN333" i="63"/>
  <c r="AS333" i="63" s="1"/>
  <c r="P333" i="63" l="1"/>
  <c r="U333" i="63" s="1"/>
  <c r="AM333" i="63"/>
  <c r="Z333" i="63"/>
  <c r="W333" i="63" l="1"/>
  <c r="O334" i="63" s="1"/>
  <c r="AN334" i="63" s="1"/>
  <c r="AS334" i="63" s="1"/>
  <c r="N334" i="63"/>
  <c r="AT333" i="63"/>
  <c r="AU333" i="63"/>
  <c r="AV333" i="63" s="1"/>
  <c r="Q334" i="63" l="1"/>
  <c r="M334" i="63"/>
  <c r="L334" i="63" s="1"/>
  <c r="Z334" i="63" l="1"/>
  <c r="AM334" i="63"/>
  <c r="V334" i="63"/>
  <c r="P334" i="63"/>
  <c r="U334" i="63" l="1"/>
  <c r="W334" i="63"/>
  <c r="N335" i="63" l="1"/>
  <c r="AU334" i="63"/>
  <c r="AV334" i="63" s="1"/>
  <c r="O335" i="63"/>
  <c r="AN335" i="63" s="1"/>
  <c r="AS335" i="63" s="1"/>
  <c r="AT334" i="63"/>
  <c r="M335" i="63" l="1"/>
  <c r="L335" i="63" s="1"/>
  <c r="Q335" i="63"/>
  <c r="V335" i="63" l="1"/>
  <c r="P335" i="63"/>
  <c r="AM335" i="63"/>
  <c r="Z335" i="63"/>
  <c r="U335" i="63" l="1"/>
  <c r="W335" i="63"/>
  <c r="AU335" i="63" l="1"/>
  <c r="AV335" i="63" s="1"/>
  <c r="AT335" i="63"/>
  <c r="O336" i="63"/>
  <c r="AN336" i="63" s="1"/>
  <c r="AS336" i="63" s="1"/>
  <c r="N336" i="63"/>
  <c r="Q336" i="63" l="1"/>
  <c r="V336" i="63" s="1"/>
  <c r="M336" i="63"/>
  <c r="L336" i="63" s="1"/>
  <c r="Z336" i="63" l="1"/>
  <c r="AM336" i="63"/>
  <c r="P336" i="63"/>
  <c r="U336" i="63" l="1"/>
  <c r="W336" i="63"/>
  <c r="N337" i="63" l="1"/>
  <c r="AU336" i="63"/>
  <c r="AV336" i="63" s="1"/>
  <c r="O337" i="63"/>
  <c r="AN337" i="63" s="1"/>
  <c r="AS337" i="63" s="1"/>
  <c r="AT336" i="63"/>
  <c r="M337" i="63" l="1"/>
  <c r="L337" i="63" s="1"/>
  <c r="Q337" i="63"/>
  <c r="V337" i="63" l="1"/>
  <c r="P337" i="63"/>
  <c r="AM337" i="63"/>
  <c r="Z337" i="63"/>
  <c r="U337" i="63" l="1"/>
  <c r="W337" i="63"/>
  <c r="O338" i="63" l="1"/>
  <c r="AN338" i="63" s="1"/>
  <c r="AS338" i="63" s="1"/>
  <c r="N338" i="63"/>
  <c r="AU337" i="63"/>
  <c r="AV337" i="63" s="1"/>
  <c r="AT337" i="63"/>
  <c r="Q338" i="63" l="1"/>
  <c r="M338" i="63"/>
  <c r="L338" i="63" s="1"/>
  <c r="Z338" i="63" l="1"/>
  <c r="AM338" i="63"/>
  <c r="V338" i="63"/>
  <c r="P338" i="63"/>
  <c r="U338" i="63" l="1"/>
  <c r="W338" i="63"/>
  <c r="AT338" i="63" l="1"/>
  <c r="O339" i="63"/>
  <c r="AN339" i="63" s="1"/>
  <c r="AS339" i="63" s="1"/>
  <c r="N339" i="63"/>
  <c r="AU338" i="63"/>
  <c r="AV338" i="63" s="1"/>
  <c r="Q339" i="63" l="1"/>
  <c r="M339" i="63"/>
  <c r="L339" i="63" s="1"/>
  <c r="AM339" i="63" l="1"/>
  <c r="Z339" i="63"/>
  <c r="V339" i="63"/>
  <c r="P339" i="63"/>
  <c r="U339" i="63" l="1"/>
  <c r="W339" i="63"/>
  <c r="O340" i="63" l="1"/>
  <c r="AN340" i="63" s="1"/>
  <c r="AS340" i="63" s="1"/>
  <c r="AU339" i="63"/>
  <c r="AV339" i="63" s="1"/>
  <c r="N340" i="63"/>
  <c r="AT339" i="63"/>
  <c r="Q340" i="63" l="1"/>
  <c r="M340" i="63"/>
  <c r="L340" i="63" s="1"/>
  <c r="Z340" i="63" l="1"/>
  <c r="AM340" i="63"/>
  <c r="V340" i="63"/>
  <c r="P340" i="63"/>
  <c r="U340" i="63" l="1"/>
  <c r="W340" i="63"/>
  <c r="AT340" i="63" l="1"/>
  <c r="AU340" i="63"/>
  <c r="AV340" i="63" s="1"/>
  <c r="N341" i="63"/>
  <c r="O341" i="63"/>
  <c r="AN341" i="63" l="1"/>
  <c r="AS341" i="63" s="1"/>
  <c r="M341" i="63"/>
  <c r="L341" i="63" s="1"/>
  <c r="Q341" i="63"/>
  <c r="V341" i="63" s="1"/>
  <c r="AM341" i="63" l="1"/>
  <c r="Z341" i="63"/>
  <c r="P341" i="63"/>
  <c r="U341" i="63" l="1"/>
  <c r="W341" i="63"/>
  <c r="AU341" i="63" l="1"/>
  <c r="AV341" i="63" s="1"/>
  <c r="AT341" i="63"/>
  <c r="N342" i="63"/>
  <c r="O342" i="63"/>
  <c r="AN342" i="63" l="1"/>
  <c r="AS342" i="63" s="1"/>
  <c r="Q342" i="63"/>
  <c r="V342" i="63" s="1"/>
  <c r="M342" i="63"/>
  <c r="L342" i="63" s="1"/>
  <c r="AM342" i="63" l="1"/>
  <c r="Z342" i="63"/>
  <c r="P342" i="63"/>
  <c r="U342" i="63" l="1"/>
  <c r="W342" i="63"/>
  <c r="N343" i="63" l="1"/>
  <c r="AU342" i="63"/>
  <c r="AV342" i="63" s="1"/>
  <c r="AT342" i="63"/>
  <c r="O343" i="63"/>
  <c r="AN343" i="63" l="1"/>
  <c r="AS343" i="63" s="1"/>
  <c r="M343" i="63"/>
  <c r="L343" i="63" s="1"/>
  <c r="Q343" i="63"/>
  <c r="V343" i="63" s="1"/>
  <c r="P343" i="63" l="1"/>
  <c r="AM343" i="63"/>
  <c r="Z343" i="63"/>
  <c r="W343" i="63" l="1"/>
  <c r="U343" i="63"/>
  <c r="AU343" i="63" l="1"/>
  <c r="AV343" i="63" s="1"/>
  <c r="O344" i="63"/>
  <c r="N344" i="63"/>
  <c r="AT343" i="63"/>
  <c r="M344" i="63" l="1"/>
  <c r="L344" i="63" s="1"/>
  <c r="Q344" i="63"/>
  <c r="V344" i="63" s="1"/>
  <c r="AN344" i="63"/>
  <c r="AS344" i="63" s="1"/>
  <c r="P344" i="63" l="1"/>
  <c r="U344" i="63" s="1"/>
  <c r="Z344" i="63"/>
  <c r="AM344" i="63"/>
  <c r="W344" i="63" l="1"/>
  <c r="AT344" i="63" s="1"/>
  <c r="N345" i="63" l="1"/>
  <c r="M345" i="63" s="1"/>
  <c r="L345" i="63" s="1"/>
  <c r="AU344" i="63"/>
  <c r="AV344" i="63" s="1"/>
  <c r="O345" i="63"/>
  <c r="AN345" i="63" s="1"/>
  <c r="AS345" i="63" s="1"/>
  <c r="Q345" i="63" l="1"/>
  <c r="V345" i="63" s="1"/>
  <c r="Z345" i="63"/>
  <c r="AM345" i="63"/>
  <c r="P345" i="63" l="1"/>
  <c r="U345" i="63" s="1"/>
  <c r="W345" i="63" l="1"/>
  <c r="O346" i="63" s="1"/>
  <c r="N346" i="63"/>
  <c r="AT345" i="63"/>
  <c r="AU345" i="63" l="1"/>
  <c r="AV345" i="63" s="1"/>
  <c r="M346" i="63"/>
  <c r="L346" i="63" s="1"/>
  <c r="Q346" i="63"/>
  <c r="V346" i="63" s="1"/>
  <c r="AN346" i="63"/>
  <c r="AS346" i="63" s="1"/>
  <c r="P346" i="63" l="1"/>
  <c r="Z346" i="63"/>
  <c r="AM346" i="63"/>
  <c r="U346" i="63" l="1"/>
  <c r="W346" i="63"/>
  <c r="N347" i="63" l="1"/>
  <c r="AT346" i="63"/>
  <c r="O347" i="63"/>
  <c r="AU346" i="63"/>
  <c r="AV346" i="63" s="1"/>
  <c r="AN347" i="63" l="1"/>
  <c r="AS347" i="63" s="1"/>
  <c r="Q347" i="63"/>
  <c r="V347" i="63" s="1"/>
  <c r="M347" i="63"/>
  <c r="L347" i="63" s="1"/>
  <c r="P347" i="63" l="1"/>
  <c r="AM347" i="63"/>
  <c r="Z347" i="63"/>
  <c r="W347" i="63" l="1"/>
  <c r="U347" i="63"/>
  <c r="AU347" i="63" l="1"/>
  <c r="AV347" i="63" s="1"/>
  <c r="AT347" i="63"/>
  <c r="N348" i="63"/>
  <c r="O348" i="63"/>
  <c r="AN348" i="63" l="1"/>
  <c r="AS348" i="63" s="1"/>
  <c r="Q348" i="63"/>
  <c r="V348" i="63" s="1"/>
  <c r="M348" i="63"/>
  <c r="L348" i="63" s="1"/>
  <c r="Z348" i="63" l="1"/>
  <c r="AM348" i="63"/>
  <c r="P348" i="63"/>
  <c r="U348" i="63" l="1"/>
  <c r="W348" i="63"/>
  <c r="N349" i="63" l="1"/>
  <c r="O349" i="63"/>
  <c r="AU348" i="63"/>
  <c r="AV348" i="63" s="1"/>
  <c r="AT348" i="63"/>
  <c r="AN349" i="63" l="1"/>
  <c r="AS349" i="63" s="1"/>
  <c r="Q349" i="63"/>
  <c r="V349" i="63" s="1"/>
  <c r="M349" i="63"/>
  <c r="L349" i="63" s="1"/>
  <c r="AM349" i="63" l="1"/>
  <c r="Z349" i="63"/>
  <c r="P349" i="63"/>
  <c r="U349" i="63" l="1"/>
  <c r="W349" i="63"/>
  <c r="AT349" i="63" l="1"/>
  <c r="N350" i="63"/>
  <c r="O350" i="63"/>
  <c r="AU349" i="63"/>
  <c r="AV349" i="63" s="1"/>
  <c r="AN350" i="63" l="1"/>
  <c r="AS350" i="63" s="1"/>
  <c r="Q350" i="63"/>
  <c r="V350" i="63" s="1"/>
  <c r="M350" i="63"/>
  <c r="L350" i="63" s="1"/>
  <c r="Z350" i="63" l="1"/>
  <c r="AM350" i="63"/>
  <c r="P350" i="63"/>
  <c r="U350" i="63" l="1"/>
  <c r="W350" i="63"/>
  <c r="N351" i="63" l="1"/>
  <c r="O351" i="63"/>
  <c r="AU350" i="63"/>
  <c r="AV350" i="63" s="1"/>
  <c r="AT350" i="63"/>
  <c r="AN351" i="63" l="1"/>
  <c r="AS351" i="63" s="1"/>
  <c r="M351" i="63"/>
  <c r="L351" i="63" s="1"/>
  <c r="Q351" i="63"/>
  <c r="V351" i="63" s="1"/>
  <c r="AM351" i="63" l="1"/>
  <c r="Z351" i="63"/>
  <c r="P351" i="63"/>
  <c r="U351" i="63" l="1"/>
  <c r="W351" i="63"/>
  <c r="AT351" i="63" l="1"/>
  <c r="O352" i="63"/>
  <c r="N352" i="63"/>
  <c r="AU351" i="63"/>
  <c r="AV351" i="63" s="1"/>
  <c r="M352" i="63" l="1"/>
  <c r="L352" i="63" s="1"/>
  <c r="Q352" i="63"/>
  <c r="V352" i="63" s="1"/>
  <c r="AN352" i="63"/>
  <c r="AS352" i="63" s="1"/>
  <c r="P352" i="63" l="1"/>
  <c r="AM352" i="63"/>
  <c r="Z352" i="63"/>
  <c r="U352" i="63" l="1"/>
  <c r="W352" i="63"/>
  <c r="AU352" i="63" l="1"/>
  <c r="AV352" i="63" s="1"/>
  <c r="AT352" i="63"/>
  <c r="O353" i="63"/>
  <c r="N353" i="63"/>
  <c r="M353" i="63" l="1"/>
  <c r="L353" i="63" s="1"/>
  <c r="Q353" i="63"/>
  <c r="V353" i="63" s="1"/>
  <c r="AN353" i="63"/>
  <c r="AS353" i="63" s="1"/>
  <c r="P353" i="63" l="1"/>
  <c r="Z353" i="63"/>
  <c r="AM353" i="63"/>
  <c r="U353" i="63" l="1"/>
  <c r="W353" i="63"/>
  <c r="N354" i="63" l="1"/>
  <c r="AT353" i="63"/>
  <c r="AU353" i="63"/>
  <c r="AV353" i="63" s="1"/>
  <c r="O354" i="63"/>
  <c r="AN354" i="63" l="1"/>
  <c r="AS354" i="63" s="1"/>
  <c r="Q354" i="63"/>
  <c r="V354" i="63" s="1"/>
  <c r="M354" i="63"/>
  <c r="L354" i="63" s="1"/>
  <c r="AM354" i="63" l="1"/>
  <c r="Z354" i="63"/>
  <c r="P354" i="63"/>
  <c r="U354" i="63" l="1"/>
  <c r="W354" i="63"/>
  <c r="O355" i="63" l="1"/>
  <c r="AU354" i="63"/>
  <c r="AV354" i="63" s="1"/>
  <c r="N355" i="63"/>
  <c r="AT354" i="63"/>
  <c r="M355" i="63" l="1"/>
  <c r="L355" i="63" s="1"/>
  <c r="Q355" i="63"/>
  <c r="V355" i="63" s="1"/>
  <c r="AN355" i="63"/>
  <c r="AS355" i="63" s="1"/>
  <c r="P355" i="63" l="1"/>
  <c r="U355" i="63" s="1"/>
  <c r="AM355" i="63"/>
  <c r="Z355" i="63"/>
  <c r="W355" i="63" l="1"/>
  <c r="N356" i="63" s="1"/>
  <c r="O356" i="63" l="1"/>
  <c r="AN356" i="63" s="1"/>
  <c r="AS356" i="63" s="1"/>
  <c r="AT355" i="63"/>
  <c r="AU355" i="63"/>
  <c r="AV355" i="63" s="1"/>
  <c r="Q356" i="63"/>
  <c r="V356" i="63" s="1"/>
  <c r="M356" i="63"/>
  <c r="L356" i="63" s="1"/>
  <c r="AM356" i="63" l="1"/>
  <c r="Z356" i="63"/>
  <c r="P356" i="63"/>
  <c r="U356" i="63" l="1"/>
  <c r="W356" i="63"/>
  <c r="AU356" i="63" l="1"/>
  <c r="AV356" i="63" s="1"/>
  <c r="O357" i="63"/>
  <c r="N357" i="63"/>
  <c r="AT356" i="63"/>
  <c r="M357" i="63" l="1"/>
  <c r="L357" i="63" s="1"/>
  <c r="Q357" i="63"/>
  <c r="V357" i="63" s="1"/>
  <c r="AN357" i="63"/>
  <c r="AS357" i="63" s="1"/>
  <c r="P357" i="63" l="1"/>
  <c r="U357" i="63" s="1"/>
  <c r="AM357" i="63"/>
  <c r="Z357" i="63"/>
  <c r="W357" i="63" l="1"/>
  <c r="O358" i="63" s="1"/>
  <c r="N358" i="63" l="1"/>
  <c r="Q358" i="63" s="1"/>
  <c r="V358" i="63" s="1"/>
  <c r="AT357" i="63"/>
  <c r="AU357" i="63"/>
  <c r="AV357" i="63" s="1"/>
  <c r="AN358" i="63"/>
  <c r="AS358" i="63" s="1"/>
  <c r="M358" i="63" l="1"/>
  <c r="L358" i="63" s="1"/>
  <c r="Z358" i="63" s="1"/>
  <c r="P358" i="63"/>
  <c r="U358" i="63" s="1"/>
  <c r="AM358" i="63" l="1"/>
  <c r="W358" i="63"/>
  <c r="O359" i="63" s="1"/>
  <c r="AU358" i="63" l="1"/>
  <c r="AV358" i="63" s="1"/>
  <c r="AT358" i="63"/>
  <c r="N359" i="63"/>
  <c r="Q359" i="63" s="1"/>
  <c r="V359" i="63" s="1"/>
  <c r="AN359" i="63"/>
  <c r="AS359" i="63" s="1"/>
  <c r="M359" i="63" l="1"/>
  <c r="L359" i="63" s="1"/>
  <c r="Z359" i="63" s="1"/>
  <c r="P359" i="63"/>
  <c r="U359" i="63" s="1"/>
  <c r="AM359" i="63" l="1"/>
  <c r="W359" i="63"/>
  <c r="O360" i="63" s="1"/>
  <c r="AN360" i="63" s="1"/>
  <c r="AS360" i="63" s="1"/>
  <c r="AU359" i="63" l="1"/>
  <c r="AV359" i="63" s="1"/>
  <c r="AT359" i="63"/>
  <c r="N360" i="63"/>
  <c r="M360" i="63" s="1"/>
  <c r="L360" i="63" s="1"/>
  <c r="Q360" i="63" l="1"/>
  <c r="V360" i="63" s="1"/>
  <c r="Z360" i="63"/>
  <c r="AM360" i="63"/>
  <c r="P360" i="63" l="1"/>
  <c r="U360" i="63" s="1"/>
  <c r="W360" i="63" l="1"/>
  <c r="O361" i="63" s="1"/>
  <c r="AT360" i="63"/>
  <c r="AU360" i="63"/>
  <c r="AV360" i="63" s="1"/>
  <c r="N361" i="63" l="1"/>
  <c r="Q361" i="63" s="1"/>
  <c r="V361" i="63" s="1"/>
  <c r="AN361" i="63"/>
  <c r="AS361" i="63" s="1"/>
  <c r="M361" i="63" l="1"/>
  <c r="L361" i="63" s="1"/>
  <c r="Z361" i="63" s="1"/>
  <c r="P361" i="63"/>
  <c r="U361" i="63" s="1"/>
  <c r="AM361" i="63" l="1"/>
  <c r="W361" i="63"/>
  <c r="N362" i="63" s="1"/>
  <c r="AT361" i="63"/>
  <c r="AU361" i="63"/>
  <c r="AV361" i="63" s="1"/>
  <c r="O362" i="63" l="1"/>
  <c r="AN362" i="63" s="1"/>
  <c r="AS362" i="63" s="1"/>
  <c r="M362" i="63"/>
  <c r="L362" i="63" s="1"/>
  <c r="Q362" i="63"/>
  <c r="V362" i="63" l="1"/>
  <c r="P362" i="63"/>
  <c r="AM362" i="63"/>
  <c r="Z362" i="63"/>
  <c r="W362" i="63" l="1"/>
  <c r="U362" i="63"/>
  <c r="AT362" i="63" l="1"/>
  <c r="AU362" i="63"/>
  <c r="AV362" i="63" s="1"/>
  <c r="O363" i="63"/>
  <c r="AN363" i="63" s="1"/>
  <c r="AS363" i="63" s="1"/>
  <c r="N363" i="63"/>
  <c r="Q363" i="63" l="1"/>
  <c r="M363" i="63"/>
  <c r="L363" i="63" s="1"/>
  <c r="AM363" i="63" l="1"/>
  <c r="Z363" i="63"/>
  <c r="V363" i="63"/>
  <c r="P363" i="63"/>
  <c r="U363" i="63" l="1"/>
  <c r="W363" i="63"/>
  <c r="N364" i="63" l="1"/>
  <c r="AT363" i="63"/>
  <c r="AU363" i="63"/>
  <c r="AV363" i="63" s="1"/>
  <c r="O364" i="63"/>
  <c r="AN364" i="63" s="1"/>
  <c r="AS364" i="63" s="1"/>
  <c r="M364" i="63" l="1"/>
  <c r="L364" i="63" s="1"/>
  <c r="Q364" i="63"/>
  <c r="V364" i="63" l="1"/>
  <c r="P364" i="63"/>
  <c r="AM364" i="63"/>
  <c r="Z364" i="63"/>
  <c r="W364" i="63" l="1"/>
  <c r="U364" i="63"/>
  <c r="O365" i="63" l="1"/>
  <c r="AN365" i="63" s="1"/>
  <c r="AS365" i="63" s="1"/>
  <c r="AU364" i="63"/>
  <c r="AV364" i="63" s="1"/>
  <c r="AT364" i="63"/>
  <c r="N365" i="63"/>
  <c r="Q365" i="63" l="1"/>
  <c r="M365" i="63"/>
  <c r="L365" i="63" s="1"/>
  <c r="AM365" i="63" l="1"/>
  <c r="Z365" i="63"/>
  <c r="V365" i="63"/>
  <c r="P365" i="63"/>
  <c r="W365" i="63" l="1"/>
  <c r="U365" i="63"/>
  <c r="AT365" i="63" l="1"/>
  <c r="AU365" i="63"/>
  <c r="AV365" i="63" s="1"/>
  <c r="N366" i="63"/>
  <c r="O366" i="63"/>
  <c r="AN366" i="63" s="1"/>
  <c r="AS366" i="63" s="1"/>
  <c r="Q366" i="63" l="1"/>
  <c r="M366" i="63"/>
  <c r="L366" i="63" s="1"/>
  <c r="Z366" i="63" l="1"/>
  <c r="AM366" i="63"/>
  <c r="V366" i="63"/>
  <c r="P366" i="63"/>
  <c r="W366" i="63" l="1"/>
  <c r="U366" i="63"/>
  <c r="AT366" i="63" l="1"/>
  <c r="N367" i="63"/>
  <c r="AU366" i="63"/>
  <c r="AV366" i="63" s="1"/>
  <c r="O367" i="63"/>
  <c r="AN367" i="63" s="1"/>
  <c r="AS367" i="63" s="1"/>
  <c r="M367" i="63" l="1"/>
  <c r="L367" i="63" s="1"/>
  <c r="Q367" i="63"/>
  <c r="V367" i="63" l="1"/>
  <c r="P367" i="63"/>
  <c r="Z367" i="63"/>
  <c r="AM367" i="63"/>
  <c r="U367" i="63" l="1"/>
  <c r="W367" i="63"/>
  <c r="O368" i="63" l="1"/>
  <c r="AN368" i="63" s="1"/>
  <c r="AS368" i="63" s="1"/>
  <c r="AU367" i="63"/>
  <c r="AV367" i="63" s="1"/>
  <c r="N368" i="63"/>
  <c r="AT367" i="63"/>
  <c r="Q368" i="63" l="1"/>
  <c r="M368" i="63"/>
  <c r="L368" i="63" s="1"/>
  <c r="Z368" i="63" l="1"/>
  <c r="AM368" i="63"/>
  <c r="V368" i="63"/>
  <c r="P368" i="63"/>
  <c r="U368" i="63" l="1"/>
  <c r="W368" i="63"/>
  <c r="O369" i="63" l="1"/>
  <c r="AT368" i="63"/>
  <c r="N369" i="63"/>
  <c r="AU368" i="63"/>
  <c r="AV368" i="63" s="1"/>
  <c r="Q369" i="63" l="1"/>
  <c r="V369" i="63" s="1"/>
  <c r="M369" i="63"/>
  <c r="L369" i="63" s="1"/>
  <c r="AN369" i="63"/>
  <c r="AS369" i="63" s="1"/>
  <c r="P369" i="63" l="1"/>
  <c r="U369" i="63" s="1"/>
  <c r="AM369" i="63"/>
  <c r="Z369" i="63"/>
  <c r="W369" i="63" l="1"/>
  <c r="AT369" i="63" s="1"/>
  <c r="N370" i="63" l="1"/>
  <c r="O370" i="63"/>
  <c r="AN370" i="63" s="1"/>
  <c r="AS370" i="63" s="1"/>
  <c r="AU369" i="63"/>
  <c r="AV369" i="63" s="1"/>
  <c r="Q370" i="63"/>
  <c r="M370" i="63"/>
  <c r="L370" i="63" s="1"/>
  <c r="Z370" i="63" l="1"/>
  <c r="AM370" i="63"/>
  <c r="V370" i="63"/>
  <c r="P370" i="63"/>
  <c r="U370" i="63" l="1"/>
  <c r="W370" i="63"/>
  <c r="AU370" i="63" l="1"/>
  <c r="AV370" i="63" s="1"/>
  <c r="AT370" i="63"/>
  <c r="N371" i="63"/>
  <c r="O371" i="63"/>
  <c r="Q371" i="63" l="1"/>
  <c r="V371" i="63" s="1"/>
  <c r="M371" i="63"/>
  <c r="L371" i="63" s="1"/>
  <c r="AN371" i="63"/>
  <c r="AS371" i="63" s="1"/>
  <c r="P371" i="63" l="1"/>
  <c r="U371" i="63" s="1"/>
  <c r="AM371" i="63"/>
  <c r="Z371" i="63"/>
  <c r="W371" i="63" l="1"/>
  <c r="AU371" i="63" s="1"/>
  <c r="AV371" i="63" s="1"/>
  <c r="O372" i="63" l="1"/>
  <c r="AN372" i="63" s="1"/>
  <c r="AS372" i="63" s="1"/>
  <c r="AT371" i="63"/>
  <c r="N372" i="63"/>
  <c r="Q372" i="63" s="1"/>
  <c r="V372" i="63" s="1"/>
  <c r="M372" i="63" l="1"/>
  <c r="L372" i="63" s="1"/>
  <c r="AM372" i="63" s="1"/>
  <c r="P372" i="63"/>
  <c r="Z372" i="63" l="1"/>
  <c r="W372" i="63"/>
  <c r="U372" i="63"/>
  <c r="AU372" i="63" l="1"/>
  <c r="AV372" i="63" s="1"/>
  <c r="O373" i="63"/>
  <c r="AT372" i="63"/>
  <c r="N373" i="63"/>
  <c r="M373" i="63" l="1"/>
  <c r="L373" i="63" s="1"/>
  <c r="Q373" i="63"/>
  <c r="V373" i="63" s="1"/>
  <c r="AN373" i="63"/>
  <c r="AS373" i="63" s="1"/>
  <c r="P373" i="63" l="1"/>
  <c r="AM373" i="63"/>
  <c r="Z373" i="63"/>
  <c r="U373" i="63" l="1"/>
  <c r="W373" i="63"/>
  <c r="AU373" i="63" l="1"/>
  <c r="AV373" i="63" s="1"/>
  <c r="N374" i="63"/>
  <c r="AT373" i="63"/>
  <c r="O374" i="63"/>
  <c r="AN374" i="63" l="1"/>
  <c r="AS374" i="63" s="1"/>
  <c r="M374" i="63"/>
  <c r="L374" i="63" s="1"/>
  <c r="Q374" i="63"/>
  <c r="V374" i="63" s="1"/>
  <c r="AM374" i="63" l="1"/>
  <c r="Z374" i="63"/>
  <c r="P374" i="63"/>
  <c r="U374" i="63" l="1"/>
  <c r="W374" i="63"/>
  <c r="AU374" i="63" l="1"/>
  <c r="AV374" i="63" s="1"/>
  <c r="N375" i="63"/>
  <c r="O375" i="63"/>
  <c r="AT374" i="63"/>
  <c r="AN375" i="63" l="1"/>
  <c r="AS375" i="63" s="1"/>
  <c r="M375" i="63"/>
  <c r="L375" i="63" s="1"/>
  <c r="Q375" i="63"/>
  <c r="V375" i="63" s="1"/>
  <c r="Z375" i="63" l="1"/>
  <c r="AM375" i="63"/>
  <c r="P375" i="63"/>
  <c r="U375" i="63" l="1"/>
  <c r="W375" i="63"/>
  <c r="O376" i="63" l="1"/>
  <c r="N376" i="63"/>
  <c r="AU375" i="63"/>
  <c r="AV375" i="63" s="1"/>
  <c r="AT375" i="63"/>
  <c r="M376" i="63" l="1"/>
  <c r="L376" i="63" s="1"/>
  <c r="Q376" i="63"/>
  <c r="V376" i="63" s="1"/>
  <c r="AN376" i="63"/>
  <c r="AS376" i="63" s="1"/>
  <c r="P376" i="63" l="1"/>
  <c r="U376" i="63" s="1"/>
  <c r="AM376" i="63"/>
  <c r="Z376" i="63"/>
  <c r="W376" i="63" l="1"/>
  <c r="O377" i="63" s="1"/>
  <c r="AU376" i="63" l="1"/>
  <c r="AV376" i="63" s="1"/>
  <c r="AT376" i="63"/>
  <c r="N377" i="63"/>
  <c r="AN377" i="63"/>
  <c r="AS377" i="63" s="1"/>
  <c r="M377" i="63"/>
  <c r="L377" i="63" s="1"/>
  <c r="Q377" i="63"/>
  <c r="V377" i="63" s="1"/>
  <c r="P377" i="63" l="1"/>
  <c r="AM377" i="63"/>
  <c r="Z377" i="63"/>
  <c r="W377" i="63" l="1"/>
  <c r="U377" i="63"/>
  <c r="AT377" i="63" l="1"/>
  <c r="O378" i="63"/>
  <c r="AU377" i="63"/>
  <c r="AV377" i="63" s="1"/>
  <c r="N378" i="63"/>
  <c r="Q378" i="63" l="1"/>
  <c r="V378" i="63" s="1"/>
  <c r="M378" i="63"/>
  <c r="L378" i="63" s="1"/>
  <c r="AN378" i="63"/>
  <c r="AS378" i="63" s="1"/>
  <c r="P378" i="63" l="1"/>
  <c r="W378" i="63" s="1"/>
  <c r="AM378" i="63"/>
  <c r="Z378" i="63"/>
  <c r="U378" i="63" l="1"/>
  <c r="O379" i="63"/>
  <c r="AN379" i="63" s="1"/>
  <c r="AS379" i="63" s="1"/>
  <c r="AU378" i="63"/>
  <c r="AV378" i="63" s="1"/>
  <c r="AT378" i="63"/>
  <c r="N379" i="63"/>
  <c r="Q379" i="63" l="1"/>
  <c r="M379" i="63"/>
  <c r="L379" i="63" s="1"/>
  <c r="Z379" i="63" l="1"/>
  <c r="AM379" i="63"/>
  <c r="V379" i="63"/>
  <c r="P379" i="63"/>
  <c r="W379" i="63" l="1"/>
  <c r="U379" i="63"/>
  <c r="O380" i="63" l="1"/>
  <c r="AN380" i="63" s="1"/>
  <c r="AS380" i="63" s="1"/>
  <c r="AU379" i="63"/>
  <c r="AV379" i="63" s="1"/>
  <c r="AT379" i="63"/>
  <c r="N380" i="63"/>
  <c r="M380" i="63" l="1"/>
  <c r="L380" i="63" s="1"/>
  <c r="Q380" i="63"/>
  <c r="P380" i="63" l="1"/>
  <c r="V380" i="63"/>
  <c r="AM380" i="63"/>
  <c r="Z380" i="63"/>
  <c r="U380" i="63" l="1"/>
  <c r="W380" i="63"/>
  <c r="N381" i="63" l="1"/>
  <c r="AT380" i="63"/>
  <c r="AU380" i="63"/>
  <c r="AV380" i="63" s="1"/>
  <c r="O381" i="63"/>
  <c r="AN381" i="63" s="1"/>
  <c r="AS381" i="63" s="1"/>
  <c r="M381" i="63" l="1"/>
  <c r="L381" i="63" s="1"/>
  <c r="Q381" i="63"/>
  <c r="V381" i="63" s="1"/>
  <c r="AM381" i="63" l="1"/>
  <c r="Z381" i="63"/>
  <c r="P381" i="63"/>
  <c r="U381" i="63" l="1"/>
  <c r="W381" i="63"/>
  <c r="AT381" i="63" l="1"/>
  <c r="N382" i="63"/>
  <c r="AU381" i="63"/>
  <c r="AV381" i="63" s="1"/>
  <c r="O382" i="63"/>
  <c r="AN382" i="63" l="1"/>
  <c r="AS382" i="63" s="1"/>
  <c r="M382" i="63"/>
  <c r="L382" i="63" s="1"/>
  <c r="Q382" i="63"/>
  <c r="V382" i="63" s="1"/>
  <c r="Z382" i="63" l="1"/>
  <c r="AM382" i="63"/>
  <c r="P382" i="63"/>
  <c r="W382" i="63" l="1"/>
  <c r="U382" i="63"/>
  <c r="O383" i="63" l="1"/>
  <c r="N383" i="63"/>
  <c r="AT382" i="63"/>
  <c r="AU382" i="63"/>
  <c r="AV382" i="63" s="1"/>
  <c r="M383" i="63" l="1"/>
  <c r="L383" i="63" s="1"/>
  <c r="Q383" i="63"/>
  <c r="V383" i="63" s="1"/>
  <c r="AN383" i="63"/>
  <c r="AS383" i="63" s="1"/>
  <c r="P383" i="63" l="1"/>
  <c r="U383" i="63" s="1"/>
  <c r="AM383" i="63"/>
  <c r="Z383" i="63"/>
  <c r="W383" i="63" l="1"/>
  <c r="O384" i="63"/>
  <c r="AU383" i="63"/>
  <c r="AV383" i="63" s="1"/>
  <c r="AT383" i="63"/>
  <c r="N384" i="63"/>
  <c r="M384" i="63" l="1"/>
  <c r="L384" i="63" s="1"/>
  <c r="Q384" i="63"/>
  <c r="V384" i="63" s="1"/>
  <c r="AN384" i="63"/>
  <c r="AS384" i="63" s="1"/>
  <c r="P384" i="63" l="1"/>
  <c r="W384" i="63" s="1"/>
  <c r="AM384" i="63"/>
  <c r="Z384" i="63"/>
  <c r="U384" i="63" l="1"/>
  <c r="AU384" i="63"/>
  <c r="AV384" i="63" s="1"/>
  <c r="N385" i="63"/>
  <c r="AT384" i="63"/>
  <c r="O385" i="63"/>
  <c r="AN385" i="63" s="1"/>
  <c r="AS385" i="63" s="1"/>
  <c r="M385" i="63" l="1"/>
  <c r="L385" i="63" s="1"/>
  <c r="Q385" i="63"/>
  <c r="V385" i="63" l="1"/>
  <c r="P385" i="63"/>
  <c r="Z385" i="63"/>
  <c r="AM385" i="63"/>
  <c r="W385" i="63" l="1"/>
  <c r="U385" i="63"/>
  <c r="AU385" i="63" l="1"/>
  <c r="AV385" i="63" s="1"/>
  <c r="O386" i="63"/>
  <c r="AN386" i="63" s="1"/>
  <c r="AS386" i="63" s="1"/>
  <c r="AT385" i="63"/>
  <c r="N386" i="63"/>
  <c r="M386" i="63" l="1"/>
  <c r="L386" i="63" s="1"/>
  <c r="Q386" i="63"/>
  <c r="V386" i="63" l="1"/>
  <c r="P386" i="63"/>
  <c r="Z386" i="63"/>
  <c r="AM386" i="63"/>
  <c r="W386" i="63" l="1"/>
  <c r="U386" i="63"/>
  <c r="AU386" i="63" l="1"/>
  <c r="AV386" i="63" s="1"/>
  <c r="O387" i="63"/>
  <c r="AN387" i="63" s="1"/>
  <c r="AS387" i="63" s="1"/>
  <c r="AT386" i="63"/>
  <c r="N387" i="63"/>
  <c r="Q387" i="63" l="1"/>
  <c r="M387" i="63"/>
  <c r="L387" i="63" s="1"/>
  <c r="AM387" i="63" l="1"/>
  <c r="Z387" i="63"/>
  <c r="P387" i="63"/>
  <c r="V387" i="63"/>
  <c r="U387" i="63" l="1"/>
  <c r="W387" i="63"/>
  <c r="O388" i="63" l="1"/>
  <c r="AN388" i="63" s="1"/>
  <c r="AS388" i="63" s="1"/>
  <c r="AU387" i="63"/>
  <c r="AV387" i="63" s="1"/>
  <c r="N388" i="63"/>
  <c r="AT387" i="63"/>
  <c r="M388" i="63" l="1"/>
  <c r="L388" i="63" s="1"/>
  <c r="Q388" i="63"/>
  <c r="P388" i="63" l="1"/>
  <c r="V388" i="63"/>
  <c r="Z388" i="63"/>
  <c r="AM388" i="63"/>
  <c r="W388" i="63" l="1"/>
  <c r="U388" i="63"/>
  <c r="AU388" i="63" l="1"/>
  <c r="AV388" i="63" s="1"/>
  <c r="O389" i="63"/>
  <c r="AN389" i="63" s="1"/>
  <c r="AS389" i="63" s="1"/>
  <c r="N389" i="63"/>
  <c r="AT388" i="63"/>
  <c r="M389" i="63" l="1"/>
  <c r="L389" i="63" s="1"/>
  <c r="Q389" i="63"/>
  <c r="P389" i="63" l="1"/>
  <c r="V389" i="63"/>
  <c r="Z389" i="63"/>
  <c r="AM389" i="63"/>
  <c r="U389" i="63" l="1"/>
  <c r="W389" i="63"/>
  <c r="N390" i="63" l="1"/>
  <c r="O390" i="63"/>
  <c r="AN390" i="63" s="1"/>
  <c r="AS390" i="63" s="1"/>
  <c r="AU389" i="63"/>
  <c r="AV389" i="63" s="1"/>
  <c r="AT389" i="63"/>
  <c r="M390" i="63" l="1"/>
  <c r="L390" i="63" s="1"/>
  <c r="Q390" i="63"/>
  <c r="V390" i="63" l="1"/>
  <c r="P390" i="63"/>
  <c r="Z390" i="63"/>
  <c r="AM390" i="63"/>
  <c r="W390" i="63" l="1"/>
  <c r="U390" i="63"/>
  <c r="N391" i="63" l="1"/>
  <c r="AT390" i="63"/>
  <c r="AU390" i="63"/>
  <c r="AV390" i="63" s="1"/>
  <c r="O391" i="63"/>
  <c r="AN391" i="63" s="1"/>
  <c r="AS391" i="63" s="1"/>
  <c r="Q391" i="63" l="1"/>
  <c r="M391" i="63"/>
  <c r="L391" i="63" s="1"/>
  <c r="AM391" i="63" l="1"/>
  <c r="Z391" i="63"/>
  <c r="V391" i="63"/>
  <c r="P391" i="63"/>
  <c r="U391" i="63" l="1"/>
  <c r="W391" i="63"/>
  <c r="O392" i="63" l="1"/>
  <c r="AN392" i="63" s="1"/>
  <c r="AS392" i="63" s="1"/>
  <c r="AU391" i="63"/>
  <c r="AV391" i="63" s="1"/>
  <c r="N392" i="63"/>
  <c r="AT391" i="63"/>
  <c r="M392" i="63" l="1"/>
  <c r="L392" i="63" s="1"/>
  <c r="Q392" i="63"/>
  <c r="P392" i="63" l="1"/>
  <c r="V392" i="63"/>
  <c r="Z392" i="63"/>
  <c r="AM392" i="63"/>
  <c r="W392" i="63" l="1"/>
  <c r="U392" i="63"/>
  <c r="AU392" i="63" l="1"/>
  <c r="AV392" i="63" s="1"/>
  <c r="AT392" i="63"/>
  <c r="N393" i="63"/>
  <c r="O393" i="63"/>
  <c r="AN393" i="63" s="1"/>
  <c r="AS393" i="63" s="1"/>
  <c r="Q393" i="63" l="1"/>
  <c r="M393" i="63"/>
  <c r="L393" i="63" s="1"/>
  <c r="Z393" i="63" l="1"/>
  <c r="AM393" i="63"/>
  <c r="V393" i="63"/>
  <c r="P393" i="63"/>
  <c r="W393" i="63" l="1"/>
  <c r="U393" i="63"/>
  <c r="AU393" i="63" l="1"/>
  <c r="AV393" i="63" s="1"/>
  <c r="O394" i="63"/>
  <c r="N394" i="63"/>
  <c r="AT393" i="63"/>
  <c r="M394" i="63" l="1"/>
  <c r="L394" i="63" s="1"/>
  <c r="Q394" i="63"/>
  <c r="V394" i="63" s="1"/>
  <c r="AN394" i="63"/>
  <c r="AS394" i="63" s="1"/>
  <c r="P394" i="63" l="1"/>
  <c r="U394" i="63" s="1"/>
  <c r="AM394" i="63"/>
  <c r="Z394" i="63"/>
  <c r="W394" i="63" l="1"/>
  <c r="AT394" i="63" s="1"/>
  <c r="N395" i="63" l="1"/>
  <c r="M395" i="63" s="1"/>
  <c r="L395" i="63" s="1"/>
  <c r="AU394" i="63"/>
  <c r="AV394" i="63" s="1"/>
  <c r="O395" i="63"/>
  <c r="AN395" i="63" s="1"/>
  <c r="AS395" i="63" s="1"/>
  <c r="Q395" i="63" l="1"/>
  <c r="V395" i="63" s="1"/>
  <c r="AM395" i="63"/>
  <c r="Z395" i="63"/>
  <c r="P395" i="63" l="1"/>
  <c r="U395" i="63" s="1"/>
  <c r="W395" i="63" l="1"/>
  <c r="O396" i="63" s="1"/>
  <c r="AN396" i="63" s="1"/>
  <c r="AS396" i="63" s="1"/>
  <c r="AT395" i="63" l="1"/>
  <c r="AU395" i="63"/>
  <c r="AV395" i="63" s="1"/>
  <c r="N396" i="63"/>
  <c r="M396" i="63" s="1"/>
  <c r="L396" i="63" s="1"/>
  <c r="Q396" i="63"/>
  <c r="V396" i="63" s="1"/>
  <c r="AM396" i="63"/>
  <c r="Z396" i="63"/>
  <c r="P396" i="63" l="1"/>
  <c r="U396" i="63" s="1"/>
  <c r="W396" i="63" l="1"/>
  <c r="AT396" i="63"/>
  <c r="N397" i="63"/>
  <c r="AU396" i="63"/>
  <c r="AV396" i="63" s="1"/>
  <c r="O397" i="63"/>
  <c r="AN397" i="63" s="1"/>
  <c r="AS397" i="63" s="1"/>
  <c r="M397" i="63" l="1"/>
  <c r="L397" i="63" s="1"/>
  <c r="Q397" i="63"/>
  <c r="V397" i="63" l="1"/>
  <c r="P397" i="63"/>
  <c r="AM397" i="63"/>
  <c r="Z397" i="63"/>
  <c r="U397" i="63" l="1"/>
  <c r="W397" i="63"/>
  <c r="AT397" i="63" l="1"/>
  <c r="AU397" i="63"/>
  <c r="AV397" i="63" s="1"/>
  <c r="O398" i="63"/>
  <c r="AN398" i="63" s="1"/>
  <c r="AS398" i="63" s="1"/>
  <c r="N398" i="63"/>
  <c r="Q398" i="63" l="1"/>
  <c r="M398" i="63"/>
  <c r="L398" i="63" s="1"/>
  <c r="Z398" i="63" l="1"/>
  <c r="AM398" i="63"/>
  <c r="V398" i="63"/>
  <c r="P398" i="63"/>
  <c r="U398" i="63" l="1"/>
  <c r="W398" i="63"/>
  <c r="AT398" i="63" l="1"/>
  <c r="AU398" i="63"/>
  <c r="AV398" i="63" s="1"/>
  <c r="N399" i="63"/>
  <c r="O399" i="63"/>
  <c r="AN399" i="63" s="1"/>
  <c r="AS399" i="63" s="1"/>
  <c r="M399" i="63" l="1"/>
  <c r="L399" i="63" s="1"/>
  <c r="Q399" i="63"/>
  <c r="V399" i="63" l="1"/>
  <c r="P399" i="63"/>
  <c r="AM399" i="63"/>
  <c r="Z399" i="63"/>
  <c r="U399" i="63" l="1"/>
  <c r="W399" i="63"/>
  <c r="AU399" i="63" l="1"/>
  <c r="AV399" i="63" s="1"/>
  <c r="AT399" i="63"/>
  <c r="O400" i="63"/>
  <c r="AN400" i="63" s="1"/>
  <c r="AS400" i="63" s="1"/>
  <c r="N400" i="63"/>
  <c r="M400" i="63" l="1"/>
  <c r="L400" i="63" s="1"/>
  <c r="Q400" i="63"/>
  <c r="V400" i="63" l="1"/>
  <c r="P400" i="63"/>
  <c r="AM400" i="63"/>
  <c r="Z400" i="63"/>
  <c r="W400" i="63" l="1"/>
  <c r="U400" i="63"/>
  <c r="O401" i="63" l="1"/>
  <c r="AU400" i="63"/>
  <c r="AV400" i="63" s="1"/>
  <c r="N401" i="63"/>
  <c r="AT400" i="63"/>
  <c r="Q401" i="63" l="1"/>
  <c r="V401" i="63" s="1"/>
  <c r="M401" i="63"/>
  <c r="L401" i="63" s="1"/>
  <c r="AN401" i="63"/>
  <c r="AS401" i="63" s="1"/>
  <c r="P401" i="63" l="1"/>
  <c r="U401" i="63" s="1"/>
  <c r="Z401" i="63"/>
  <c r="AM401" i="63"/>
  <c r="W401" i="63" l="1"/>
  <c r="AT401" i="63" s="1"/>
  <c r="O402" i="63" l="1"/>
  <c r="AN402" i="63" s="1"/>
  <c r="AS402" i="63" s="1"/>
  <c r="AU401" i="63"/>
  <c r="AV401" i="63" s="1"/>
  <c r="N402" i="63"/>
  <c r="M402" i="63" s="1"/>
  <c r="L402" i="63" s="1"/>
  <c r="Q402" i="63" l="1"/>
  <c r="V402" i="63" s="1"/>
  <c r="AM402" i="63"/>
  <c r="Z402" i="63"/>
  <c r="P402" i="63" l="1"/>
  <c r="U402" i="63" s="1"/>
  <c r="W402" i="63" l="1"/>
  <c r="N403" i="63" s="1"/>
  <c r="O403" i="63" l="1"/>
  <c r="AN403" i="63" s="1"/>
  <c r="AS403" i="63" s="1"/>
  <c r="AT402" i="63"/>
  <c r="AU402" i="63"/>
  <c r="AV402" i="63" s="1"/>
  <c r="Q403" i="63"/>
  <c r="M403" i="63"/>
  <c r="L403" i="63" s="1"/>
  <c r="Z403" i="63" l="1"/>
  <c r="AM403" i="63"/>
  <c r="V403" i="63"/>
  <c r="P403" i="63"/>
  <c r="W403" i="63" l="1"/>
  <c r="U403" i="63"/>
  <c r="O404" i="63" l="1"/>
  <c r="AU403" i="63"/>
  <c r="AV403" i="63" s="1"/>
  <c r="AT403" i="63"/>
  <c r="N404" i="63"/>
  <c r="Q404" i="63" l="1"/>
  <c r="V404" i="63" s="1"/>
  <c r="M404" i="63"/>
  <c r="L404" i="63" s="1"/>
  <c r="AN404" i="63"/>
  <c r="AS404" i="63" s="1"/>
  <c r="P404" i="63" l="1"/>
  <c r="U404" i="63" s="1"/>
  <c r="AM404" i="63"/>
  <c r="Z404" i="63"/>
  <c r="W404" i="63" l="1"/>
  <c r="AT404" i="63" s="1"/>
  <c r="N405" i="63" l="1"/>
  <c r="Q405" i="63" s="1"/>
  <c r="O405" i="63"/>
  <c r="AN405" i="63" s="1"/>
  <c r="AS405" i="63" s="1"/>
  <c r="AU404" i="63"/>
  <c r="AV404" i="63" s="1"/>
  <c r="M405" i="63" l="1"/>
  <c r="L405" i="63" s="1"/>
  <c r="Z405" i="63" s="1"/>
  <c r="V405" i="63"/>
  <c r="P405" i="63"/>
  <c r="AM405" i="63" l="1"/>
  <c r="W405" i="63"/>
  <c r="U405" i="63"/>
  <c r="O406" i="63" l="1"/>
  <c r="AN406" i="63" s="1"/>
  <c r="AS406" i="63" s="1"/>
  <c r="N406" i="63"/>
  <c r="AT405" i="63"/>
  <c r="AU405" i="63"/>
  <c r="AV405" i="63" s="1"/>
  <c r="M406" i="63" l="1"/>
  <c r="L406" i="63" s="1"/>
  <c r="Q406" i="63"/>
  <c r="V406" i="63" l="1"/>
  <c r="P406" i="63"/>
  <c r="AM406" i="63"/>
  <c r="Z406" i="63"/>
  <c r="U406" i="63" l="1"/>
  <c r="W406" i="63"/>
  <c r="O407" i="63" l="1"/>
  <c r="AN407" i="63" s="1"/>
  <c r="AS407" i="63" s="1"/>
  <c r="N407" i="63"/>
  <c r="AU406" i="63"/>
  <c r="AV406" i="63" s="1"/>
  <c r="AT406" i="63"/>
  <c r="M407" i="63" l="1"/>
  <c r="L407" i="63" s="1"/>
  <c r="Q407" i="63"/>
  <c r="V407" i="63" l="1"/>
  <c r="P407" i="63"/>
  <c r="Z407" i="63"/>
  <c r="AM407" i="63"/>
  <c r="U407" i="63" l="1"/>
  <c r="W407" i="63"/>
  <c r="AT407" i="63" l="1"/>
  <c r="O408" i="63"/>
  <c r="AN408" i="63" s="1"/>
  <c r="AS408" i="63" s="1"/>
  <c r="AU407" i="63"/>
  <c r="AV407" i="63" s="1"/>
  <c r="N408" i="63"/>
  <c r="Q408" i="63" l="1"/>
  <c r="M408" i="63"/>
  <c r="L408" i="63" s="1"/>
  <c r="Z408" i="63" l="1"/>
  <c r="AM408" i="63"/>
  <c r="V408" i="63"/>
  <c r="P408" i="63"/>
  <c r="U408" i="63" l="1"/>
  <c r="W408" i="63"/>
  <c r="O409" i="63" l="1"/>
  <c r="AN409" i="63" s="1"/>
  <c r="AS409" i="63" s="1"/>
  <c r="AT408" i="63"/>
  <c r="AU408" i="63"/>
  <c r="AV408" i="63" s="1"/>
  <c r="N409" i="63"/>
  <c r="Q409" i="63" l="1"/>
  <c r="M409" i="63"/>
  <c r="L409" i="63" s="1"/>
  <c r="AM409" i="63" l="1"/>
  <c r="Z409" i="63"/>
  <c r="V409" i="63"/>
  <c r="P409" i="63"/>
  <c r="U409" i="63" l="1"/>
  <c r="W409" i="63"/>
  <c r="O410" i="63" l="1"/>
  <c r="AU409" i="63"/>
  <c r="AV409" i="63" s="1"/>
  <c r="AT409" i="63"/>
  <c r="N410" i="63"/>
  <c r="Q410" i="63" l="1"/>
  <c r="V410" i="63" s="1"/>
  <c r="M410" i="63"/>
  <c r="L410" i="63" s="1"/>
  <c r="AN410" i="63"/>
  <c r="AS410" i="63" s="1"/>
  <c r="P410" i="63" l="1"/>
  <c r="U410" i="63" s="1"/>
  <c r="AM410" i="63"/>
  <c r="Z410" i="63"/>
  <c r="W410" i="63" l="1"/>
  <c r="N411" i="63" s="1"/>
  <c r="O411" i="63" l="1"/>
  <c r="AN411" i="63" s="1"/>
  <c r="AS411" i="63" s="1"/>
  <c r="AU410" i="63"/>
  <c r="AV410" i="63" s="1"/>
  <c r="AT410" i="63"/>
  <c r="Q411" i="63"/>
  <c r="M411" i="63"/>
  <c r="L411" i="63" s="1"/>
  <c r="Z411" i="63" l="1"/>
  <c r="AM411" i="63"/>
  <c r="V411" i="63"/>
  <c r="P411" i="63"/>
  <c r="W411" i="63" l="1"/>
  <c r="U411" i="63"/>
  <c r="AT411" i="63" l="1"/>
  <c r="AU411" i="63"/>
  <c r="AV411" i="63" s="1"/>
  <c r="N412" i="63"/>
  <c r="O412" i="63"/>
  <c r="AN412" i="63" s="1"/>
  <c r="AS412" i="63" s="1"/>
  <c r="M412" i="63" l="1"/>
  <c r="L412" i="63" s="1"/>
  <c r="Q412" i="63"/>
  <c r="V412" i="63" l="1"/>
  <c r="P412" i="63"/>
  <c r="Z412" i="63"/>
  <c r="AM412" i="63"/>
  <c r="W412" i="63" l="1"/>
  <c r="U412" i="63"/>
  <c r="AU412" i="63" l="1"/>
  <c r="AV412" i="63" s="1"/>
  <c r="AT412" i="63"/>
  <c r="N413" i="63"/>
  <c r="O413" i="63"/>
  <c r="AN413" i="63" s="1"/>
  <c r="AS413" i="63" s="1"/>
  <c r="M413" i="63" l="1"/>
  <c r="L413" i="63" s="1"/>
  <c r="Q413" i="63"/>
  <c r="V413" i="63" s="1"/>
  <c r="AM413" i="63" l="1"/>
  <c r="Z413" i="63"/>
  <c r="P413" i="63"/>
  <c r="U413" i="63" l="1"/>
  <c r="W413" i="63"/>
  <c r="AT413" i="63" l="1"/>
  <c r="O414" i="63"/>
  <c r="AN414" i="63" s="1"/>
  <c r="AS414" i="63" s="1"/>
  <c r="AU413" i="63"/>
  <c r="AV413" i="63" s="1"/>
  <c r="N414" i="63"/>
  <c r="Q414" i="63" l="1"/>
  <c r="M414" i="63"/>
  <c r="L414" i="63" s="1"/>
  <c r="AM414" i="63" l="1"/>
  <c r="Z414" i="63"/>
  <c r="V414" i="63"/>
  <c r="P414" i="63"/>
  <c r="U414" i="63" l="1"/>
  <c r="W414" i="63"/>
  <c r="AT414" i="63" l="1"/>
  <c r="O415" i="63"/>
  <c r="AN415" i="63" s="1"/>
  <c r="AS415" i="63" s="1"/>
  <c r="N415" i="63"/>
  <c r="AU414" i="63"/>
  <c r="AV414" i="63" s="1"/>
  <c r="M415" i="63" l="1"/>
  <c r="L415" i="63" s="1"/>
  <c r="Q415" i="63"/>
  <c r="V415" i="63" l="1"/>
  <c r="P415" i="63"/>
  <c r="AM415" i="63"/>
  <c r="Z415" i="63"/>
  <c r="U415" i="63" l="1"/>
  <c r="W415" i="63"/>
  <c r="N416" i="63" l="1"/>
  <c r="O416" i="63"/>
  <c r="AN416" i="63" s="1"/>
  <c r="AS416" i="63" s="1"/>
  <c r="AU415" i="63"/>
  <c r="AV415" i="63" s="1"/>
  <c r="AT415" i="63"/>
  <c r="Q416" i="63" l="1"/>
  <c r="M416" i="63"/>
  <c r="L416" i="63" s="1"/>
  <c r="V416" i="63" l="1"/>
  <c r="P416" i="63"/>
  <c r="AM416" i="63"/>
  <c r="Z416" i="63"/>
  <c r="U416" i="63" l="1"/>
  <c r="W416" i="63"/>
  <c r="N417" i="63" l="1"/>
  <c r="AU416" i="63"/>
  <c r="AV416" i="63" s="1"/>
  <c r="AT416" i="63"/>
  <c r="O417" i="63"/>
  <c r="AN417" i="63" s="1"/>
  <c r="AS417" i="63" s="1"/>
  <c r="M417" i="63" l="1"/>
  <c r="L417" i="63" s="1"/>
  <c r="Q417" i="63"/>
  <c r="V417" i="63" l="1"/>
  <c r="P417" i="63"/>
  <c r="Z417" i="63"/>
  <c r="AM417" i="63"/>
  <c r="U417" i="63" l="1"/>
  <c r="W417" i="63"/>
  <c r="AU417" i="63" l="1"/>
  <c r="AV417" i="63" s="1"/>
  <c r="O418" i="63"/>
  <c r="AN418" i="63" s="1"/>
  <c r="AS418" i="63" s="1"/>
  <c r="N418" i="63"/>
  <c r="AT417" i="63"/>
  <c r="Q418" i="63" l="1"/>
  <c r="M418" i="63"/>
  <c r="L418" i="63" s="1"/>
  <c r="Z418" i="63" l="1"/>
  <c r="AM418" i="63"/>
  <c r="V418" i="63"/>
  <c r="P418" i="63"/>
  <c r="U418" i="63" l="1"/>
  <c r="W418" i="63"/>
  <c r="N419" i="63" l="1"/>
  <c r="AU418" i="63"/>
  <c r="AV418" i="63" s="1"/>
  <c r="O419" i="63"/>
  <c r="AT418" i="63"/>
  <c r="AN419" i="63" l="1"/>
  <c r="AS419" i="63" s="1"/>
  <c r="M419" i="63"/>
  <c r="L419" i="63" s="1"/>
  <c r="Q419" i="63"/>
  <c r="V419" i="63" s="1"/>
  <c r="AM419" i="63" l="1"/>
  <c r="Z419" i="63"/>
  <c r="P419" i="63"/>
  <c r="U419" i="63" l="1"/>
  <c r="W419" i="63"/>
  <c r="AT419" i="63" l="1"/>
  <c r="AU419" i="63"/>
  <c r="O420" i="63"/>
  <c r="N420" i="63"/>
  <c r="AV419" i="63"/>
  <c r="Q420" i="63" l="1"/>
  <c r="V420" i="63" s="1"/>
  <c r="M420" i="63"/>
  <c r="L420" i="63" s="1"/>
  <c r="AN420" i="63"/>
  <c r="AS420" i="63" s="1"/>
  <c r="P420" i="63" l="1"/>
  <c r="U420" i="63" s="1"/>
  <c r="Z420" i="63"/>
  <c r="AM420" i="63"/>
  <c r="W420" i="63" l="1"/>
  <c r="AU420" i="63" s="1"/>
  <c r="AV420" i="63" s="1"/>
  <c r="O421" i="63" l="1"/>
  <c r="AN421" i="63" s="1"/>
  <c r="AS421" i="63" s="1"/>
  <c r="N421" i="63"/>
  <c r="Q421" i="63" s="1"/>
  <c r="V421" i="63" s="1"/>
  <c r="AT420" i="63"/>
  <c r="M421" i="63" l="1"/>
  <c r="L421" i="63" s="1"/>
  <c r="Z421" i="63" s="1"/>
  <c r="P421" i="63"/>
  <c r="AM421" i="63" l="1"/>
  <c r="U421" i="63"/>
  <c r="W421" i="63"/>
  <c r="O422" i="63" l="1"/>
  <c r="AT421" i="63"/>
  <c r="AV421" i="63"/>
  <c r="AO421" i="63"/>
  <c r="AU421" i="63"/>
  <c r="N422" i="63"/>
  <c r="B67" i="64"/>
  <c r="BI2" i="64" s="1"/>
  <c r="Q422" i="63" l="1"/>
  <c r="V422" i="63" s="1"/>
  <c r="M422" i="63"/>
  <c r="L422" i="63" s="1"/>
  <c r="AP422" i="63"/>
  <c r="AN422" i="63"/>
  <c r="AS422" i="63" s="1"/>
  <c r="CF2" i="64"/>
  <c r="P422" i="63" l="1"/>
  <c r="U422" i="63" s="1"/>
  <c r="AM422" i="63"/>
  <c r="Z422" i="63"/>
  <c r="W422" i="63" l="1"/>
  <c r="O423" i="63" s="1"/>
  <c r="AU422" i="63" l="1"/>
  <c r="N423" i="63"/>
  <c r="AO422" i="63"/>
  <c r="AT422" i="63"/>
  <c r="AV422" i="63"/>
  <c r="M423" i="63"/>
  <c r="L423" i="63" s="1"/>
  <c r="Q423" i="63"/>
  <c r="V423" i="63" s="1"/>
  <c r="AP423" i="63"/>
  <c r="AN423" i="63"/>
  <c r="AS423" i="63" s="1"/>
  <c r="P423" i="63" l="1"/>
  <c r="U423" i="63" s="1"/>
  <c r="Z423" i="63"/>
  <c r="AM423" i="63"/>
  <c r="W423" i="63" l="1"/>
  <c r="O424" i="63" s="1"/>
  <c r="AT423" i="63" l="1"/>
  <c r="N424" i="63"/>
  <c r="AV423" i="63"/>
  <c r="AU423" i="63"/>
  <c r="AO423" i="63"/>
  <c r="Q424" i="63"/>
  <c r="M424" i="63"/>
  <c r="L424" i="63" s="1"/>
  <c r="AN424" i="63"/>
  <c r="AS424" i="63" s="1"/>
  <c r="AP424" i="63"/>
  <c r="Z424" i="63" l="1"/>
  <c r="AM424" i="63"/>
  <c r="V424" i="63"/>
  <c r="P424" i="63"/>
  <c r="U424" i="63" l="1"/>
  <c r="W424" i="63"/>
  <c r="AT424" i="63" l="1"/>
  <c r="O425" i="63"/>
  <c r="AV424" i="63"/>
  <c r="AU424" i="63"/>
  <c r="AO424" i="63"/>
  <c r="N425" i="63"/>
  <c r="Q425" i="63" l="1"/>
  <c r="V425" i="63" s="1"/>
  <c r="M425" i="63"/>
  <c r="L425" i="63" s="1"/>
  <c r="AN425" i="63"/>
  <c r="AS425" i="63" s="1"/>
  <c r="AP425" i="63"/>
  <c r="P425" i="63" l="1"/>
  <c r="U425" i="63" s="1"/>
  <c r="Z425" i="63"/>
  <c r="AM425" i="63"/>
  <c r="W425" i="63" l="1"/>
  <c r="O426" i="63" s="1"/>
  <c r="AO425" i="63" l="1"/>
  <c r="AU425" i="63"/>
  <c r="N426" i="63"/>
  <c r="AT425" i="63"/>
  <c r="AV425" i="63"/>
  <c r="Q426" i="63"/>
  <c r="M426" i="63"/>
  <c r="L426" i="63" s="1"/>
  <c r="AN426" i="63"/>
  <c r="AS426" i="63" s="1"/>
  <c r="AP426" i="63"/>
  <c r="AM426" i="63" l="1"/>
  <c r="Z426" i="63"/>
  <c r="V426" i="63"/>
  <c r="P426" i="63"/>
  <c r="U426" i="63" l="1"/>
  <c r="W426" i="63"/>
  <c r="AT426" i="63" l="1"/>
  <c r="N427" i="63"/>
  <c r="AU426" i="63"/>
  <c r="O427" i="63"/>
  <c r="AV426" i="63"/>
  <c r="AO426" i="63"/>
  <c r="AN427" i="63" l="1"/>
  <c r="AS427" i="63" s="1"/>
  <c r="AP427" i="63"/>
  <c r="Q427" i="63"/>
  <c r="V427" i="63" s="1"/>
  <c r="M427" i="63"/>
  <c r="L427" i="63" s="1"/>
  <c r="AM427" i="63" l="1"/>
  <c r="Z427" i="63"/>
  <c r="P427" i="63"/>
  <c r="U427" i="63" l="1"/>
  <c r="W427" i="63"/>
  <c r="AT427" i="63" l="1"/>
  <c r="AO427" i="63"/>
  <c r="O428" i="63"/>
  <c r="N428" i="63"/>
  <c r="AV427" i="63"/>
  <c r="AU427" i="63"/>
  <c r="M428" i="63" l="1"/>
  <c r="L428" i="63" s="1"/>
  <c r="Q428" i="63"/>
  <c r="V428" i="63" s="1"/>
  <c r="AN428" i="63"/>
  <c r="AS428" i="63" s="1"/>
  <c r="AP428" i="63"/>
  <c r="P428" i="63" l="1"/>
  <c r="U428" i="63" s="1"/>
  <c r="Z428" i="63"/>
  <c r="AM428" i="63"/>
  <c r="W428" i="63" l="1"/>
  <c r="N429" i="63" s="1"/>
  <c r="O429" i="63" l="1"/>
  <c r="AN429" i="63" s="1"/>
  <c r="AS429" i="63" s="1"/>
  <c r="AT428" i="63"/>
  <c r="AV428" i="63"/>
  <c r="AU428" i="63"/>
  <c r="AO428" i="63"/>
  <c r="M429" i="63"/>
  <c r="L429" i="63" s="1"/>
  <c r="Q429" i="63"/>
  <c r="V429" i="63" s="1"/>
  <c r="AP429" i="63" l="1"/>
  <c r="AM429" i="63"/>
  <c r="Z429" i="63"/>
  <c r="P429" i="63"/>
  <c r="W429" i="63" l="1"/>
  <c r="U429" i="63"/>
  <c r="AO429" i="63" l="1"/>
  <c r="AT429" i="63"/>
  <c r="AU429" i="63"/>
  <c r="N430" i="63"/>
  <c r="O430" i="63"/>
  <c r="AV429" i="63"/>
  <c r="AN430" i="63" l="1"/>
  <c r="AS430" i="63" s="1"/>
  <c r="AP430" i="63"/>
  <c r="M430" i="63"/>
  <c r="L430" i="63" s="1"/>
  <c r="Q430" i="63"/>
  <c r="V430" i="63" s="1"/>
  <c r="Z430" i="63" l="1"/>
  <c r="AM430" i="63"/>
  <c r="P430" i="63"/>
  <c r="U430" i="63" l="1"/>
  <c r="W430" i="63"/>
  <c r="AO430" i="63" l="1"/>
  <c r="N431" i="63"/>
  <c r="AV430" i="63"/>
  <c r="AT430" i="63"/>
  <c r="O431" i="63"/>
  <c r="AU430" i="63"/>
  <c r="AN431" i="63" l="1"/>
  <c r="AS431" i="63" s="1"/>
  <c r="AP431" i="63"/>
  <c r="Q431" i="63"/>
  <c r="V431" i="63" s="1"/>
  <c r="M431" i="63"/>
  <c r="L431" i="63" s="1"/>
  <c r="AM431" i="63" l="1"/>
  <c r="Z431" i="63"/>
  <c r="P431" i="63"/>
  <c r="U431" i="63" l="1"/>
  <c r="W431" i="63"/>
  <c r="O432" i="63" l="1"/>
  <c r="AU431" i="63"/>
  <c r="N432" i="63"/>
  <c r="AT431" i="63"/>
  <c r="AV431" i="63"/>
  <c r="AO431" i="63"/>
  <c r="M432" i="63" l="1"/>
  <c r="L432" i="63" s="1"/>
  <c r="Q432" i="63"/>
  <c r="V432" i="63" s="1"/>
  <c r="AN432" i="63"/>
  <c r="AS432" i="63" s="1"/>
  <c r="AP432" i="63"/>
  <c r="P432" i="63" l="1"/>
  <c r="W432" i="63" s="1"/>
  <c r="AM432" i="63"/>
  <c r="Z432" i="63"/>
  <c r="U432" i="63" l="1"/>
  <c r="N433" i="63"/>
  <c r="AV432" i="63"/>
  <c r="O433" i="63"/>
  <c r="AT432" i="63"/>
  <c r="AO432" i="63"/>
  <c r="AU432" i="63"/>
  <c r="AP433" i="63" l="1"/>
  <c r="AN433" i="63"/>
  <c r="AS433" i="63" s="1"/>
  <c r="M433" i="63"/>
  <c r="L433" i="63" s="1"/>
  <c r="Q433" i="63"/>
  <c r="V433" i="63" s="1"/>
  <c r="AM433" i="63" l="1"/>
  <c r="Z433" i="63"/>
  <c r="P433" i="63"/>
  <c r="U433" i="63" l="1"/>
  <c r="W433" i="63"/>
  <c r="N434" i="63" l="1"/>
  <c r="AO433" i="63"/>
  <c r="AT433" i="63"/>
  <c r="AU433" i="63"/>
  <c r="AV433" i="63"/>
  <c r="O434" i="63"/>
  <c r="AP434" i="63" l="1"/>
  <c r="AN434" i="63"/>
  <c r="AS434" i="63" s="1"/>
  <c r="M434" i="63"/>
  <c r="L434" i="63" s="1"/>
  <c r="Q434" i="63"/>
  <c r="V434" i="63" s="1"/>
  <c r="Z434" i="63" l="1"/>
  <c r="AM434" i="63"/>
  <c r="P434" i="63"/>
  <c r="U434" i="63" l="1"/>
  <c r="W434" i="63"/>
  <c r="AU434" i="63" l="1"/>
  <c r="AT434" i="63"/>
  <c r="AV434" i="63"/>
  <c r="N435" i="63"/>
  <c r="AO434" i="63"/>
  <c r="O435" i="63"/>
  <c r="AN435" i="63" l="1"/>
  <c r="AS435" i="63" s="1"/>
  <c r="AP435" i="63"/>
  <c r="Q435" i="63"/>
  <c r="V435" i="63" s="1"/>
  <c r="M435" i="63"/>
  <c r="L435" i="63" s="1"/>
  <c r="AM435" i="63" l="1"/>
  <c r="Z435" i="63"/>
  <c r="P435" i="63"/>
  <c r="U435" i="63" l="1"/>
  <c r="W435" i="63"/>
  <c r="AT435" i="63" l="1"/>
  <c r="AU435" i="63"/>
  <c r="AO435" i="63"/>
  <c r="AV435" i="63"/>
  <c r="N436" i="63"/>
  <c r="O436" i="63"/>
  <c r="AN436" i="63" l="1"/>
  <c r="AS436" i="63" s="1"/>
  <c r="AP436" i="63"/>
  <c r="Q436" i="63"/>
  <c r="V436" i="63" s="1"/>
  <c r="M436" i="63"/>
  <c r="L436" i="63" s="1"/>
  <c r="AM436" i="63" l="1"/>
  <c r="Z436" i="63"/>
  <c r="P436" i="63"/>
  <c r="U436" i="63" l="1"/>
  <c r="W436" i="63"/>
  <c r="AU436" i="63" l="1"/>
  <c r="N437" i="63"/>
  <c r="AT436" i="63"/>
  <c r="O437" i="63"/>
  <c r="AO436" i="63"/>
  <c r="AV436" i="63"/>
  <c r="AP437" i="63" l="1"/>
  <c r="AN437" i="63"/>
  <c r="AS437" i="63" s="1"/>
  <c r="M437" i="63"/>
  <c r="L437" i="63" s="1"/>
  <c r="Q437" i="63"/>
  <c r="V437" i="63" s="1"/>
  <c r="P437" i="63" l="1"/>
  <c r="AM437" i="63"/>
  <c r="Z437" i="63"/>
  <c r="U437" i="63" l="1"/>
  <c r="W437" i="63"/>
  <c r="O438" i="63" l="1"/>
  <c r="N438" i="63"/>
  <c r="AU437" i="63"/>
  <c r="AV437" i="63"/>
  <c r="AO437" i="63"/>
  <c r="AT437" i="63"/>
  <c r="M438" i="63" l="1"/>
  <c r="L438" i="63" s="1"/>
  <c r="Q438" i="63"/>
  <c r="V438" i="63" s="1"/>
  <c r="AP438" i="63"/>
  <c r="AN438" i="63"/>
  <c r="AS438" i="63" s="1"/>
  <c r="P438" i="63" l="1"/>
  <c r="U438" i="63" s="1"/>
  <c r="Z438" i="63"/>
  <c r="AM438" i="63"/>
  <c r="W438" i="63" l="1"/>
  <c r="AT438" i="63" s="1"/>
  <c r="AV438" i="63" l="1"/>
  <c r="O439" i="63"/>
  <c r="AO438" i="63"/>
  <c r="N439" i="63"/>
  <c r="M439" i="63" s="1"/>
  <c r="L439" i="63" s="1"/>
  <c r="AU438" i="63"/>
  <c r="Q439" i="63"/>
  <c r="V439" i="63" s="1"/>
  <c r="AP439" i="63"/>
  <c r="AN439" i="63"/>
  <c r="AS439" i="63" s="1"/>
  <c r="P439" i="63" l="1"/>
  <c r="U439" i="63" s="1"/>
  <c r="AM439" i="63"/>
  <c r="Z439" i="63"/>
  <c r="W439" i="63" l="1"/>
  <c r="O440" i="63" s="1"/>
  <c r="AU439" i="63" l="1"/>
  <c r="AT439" i="63"/>
  <c r="AV439" i="63"/>
  <c r="N440" i="63"/>
  <c r="M440" i="63" s="1"/>
  <c r="L440" i="63" s="1"/>
  <c r="AO439" i="63"/>
  <c r="AP440" i="63"/>
  <c r="AN440" i="63"/>
  <c r="AS440" i="63" s="1"/>
  <c r="Q440" i="63" l="1"/>
  <c r="V440" i="63" s="1"/>
  <c r="AM440" i="63"/>
  <c r="Z440" i="63"/>
  <c r="P440" i="63" l="1"/>
  <c r="U440" i="63" s="1"/>
  <c r="W440" i="63" l="1"/>
  <c r="AU440" i="63" s="1"/>
  <c r="AO440" i="63" l="1"/>
  <c r="N441" i="63"/>
  <c r="M441" i="63" s="1"/>
  <c r="L441" i="63" s="1"/>
  <c r="AT440" i="63"/>
  <c r="O441" i="63"/>
  <c r="AV440" i="63"/>
  <c r="Q441" i="63"/>
  <c r="V441" i="63" s="1"/>
  <c r="Z441" i="63"/>
  <c r="AM441" i="63"/>
  <c r="AP441" i="63" l="1"/>
  <c r="AN441" i="63"/>
  <c r="AS441" i="63" s="1"/>
  <c r="P441" i="63"/>
  <c r="U441" i="63" s="1"/>
  <c r="W441" i="63" l="1"/>
  <c r="AU441" i="63" s="1"/>
  <c r="AV441" i="63" l="1"/>
  <c r="AT441" i="63"/>
  <c r="O442" i="63"/>
  <c r="AP442" i="63" s="1"/>
  <c r="N442" i="63"/>
  <c r="AO441" i="63"/>
  <c r="AN442" i="63"/>
  <c r="AS442" i="63" s="1"/>
  <c r="M442" i="63" l="1"/>
  <c r="L442" i="63" s="1"/>
  <c r="Q442" i="63"/>
  <c r="V442" i="63" l="1"/>
  <c r="P442" i="63"/>
  <c r="Z442" i="63"/>
  <c r="AM442" i="63"/>
  <c r="U442" i="63" l="1"/>
  <c r="W442" i="63"/>
  <c r="AU442" i="63" l="1"/>
  <c r="N443" i="63"/>
  <c r="AT442" i="63"/>
  <c r="O443" i="63"/>
  <c r="AO442" i="63"/>
  <c r="AV442" i="63"/>
  <c r="AP443" i="63" l="1"/>
  <c r="AN443" i="63"/>
  <c r="AS443" i="63" s="1"/>
  <c r="M443" i="63"/>
  <c r="L443" i="63" s="1"/>
  <c r="Q443" i="63"/>
  <c r="V443" i="63" l="1"/>
  <c r="P443" i="63"/>
  <c r="AM443" i="63"/>
  <c r="Z443" i="63"/>
  <c r="W443" i="63" l="1"/>
  <c r="U443" i="63"/>
  <c r="N444" i="63" l="1"/>
  <c r="AT443" i="63"/>
  <c r="O444" i="63"/>
  <c r="AO443" i="63"/>
  <c r="AV443" i="63"/>
  <c r="AU443" i="63"/>
  <c r="AN444" i="63" l="1"/>
  <c r="AS444" i="63" s="1"/>
  <c r="AP444" i="63"/>
  <c r="M444" i="63"/>
  <c r="L444" i="63" s="1"/>
  <c r="Q444" i="63"/>
  <c r="V444" i="63" s="1"/>
  <c r="AM444" i="63" l="1"/>
  <c r="Z444" i="63"/>
  <c r="P444" i="63"/>
  <c r="U444" i="63" l="1"/>
  <c r="W444" i="63"/>
  <c r="AU444" i="63" l="1"/>
  <c r="AO444" i="63"/>
  <c r="AT444" i="63"/>
  <c r="O445" i="63"/>
  <c r="N445" i="63"/>
  <c r="AV444" i="63"/>
  <c r="M445" i="63" l="1"/>
  <c r="L445" i="63" s="1"/>
  <c r="Q445" i="63"/>
  <c r="V445" i="63" s="1"/>
  <c r="AP445" i="63"/>
  <c r="AN445" i="63"/>
  <c r="AS445" i="63" s="1"/>
  <c r="P445" i="63" l="1"/>
  <c r="U445" i="63"/>
  <c r="W445" i="63"/>
  <c r="Z445" i="63"/>
  <c r="AM445" i="63"/>
  <c r="N446" i="63" l="1"/>
  <c r="AT445" i="63"/>
  <c r="AU445" i="63"/>
  <c r="AV445" i="63"/>
  <c r="O446" i="63"/>
  <c r="AO445" i="63"/>
  <c r="AP446" i="63" l="1"/>
  <c r="AN446" i="63"/>
  <c r="AS446" i="63" s="1"/>
  <c r="M446" i="63"/>
  <c r="L446" i="63" s="1"/>
  <c r="Q446" i="63"/>
  <c r="AI7" i="63"/>
  <c r="AI8" i="63" s="1"/>
  <c r="X5" i="63" s="1"/>
  <c r="AB3" i="63" s="1"/>
  <c r="V446" i="63" l="1"/>
  <c r="P446" i="63"/>
  <c r="Z446" i="63"/>
  <c r="AM446" i="63"/>
  <c r="AR9" i="63"/>
  <c r="AR8" i="63"/>
  <c r="AI10" i="63"/>
  <c r="AB5" i="63"/>
  <c r="AA5" i="63" s="1"/>
  <c r="AC3" i="63"/>
  <c r="AA3" i="63"/>
  <c r="AR4" i="63"/>
  <c r="AT3" i="63"/>
  <c r="AU5" i="63"/>
  <c r="AU3" i="63"/>
  <c r="AS3" i="63"/>
  <c r="AT5" i="63"/>
  <c r="AU4" i="63"/>
  <c r="AT4" i="63"/>
  <c r="AS4" i="63"/>
  <c r="AR3" i="63"/>
  <c r="AR5" i="63"/>
  <c r="AS5" i="63"/>
  <c r="AI9" i="63"/>
  <c r="W446" i="63" l="1"/>
  <c r="U446" i="63"/>
  <c r="AO418" i="63"/>
  <c r="AO419" i="63"/>
  <c r="AO420" i="63"/>
  <c r="F54" i="1"/>
  <c r="AR10" i="63"/>
  <c r="AC5" i="63"/>
  <c r="AD3" i="63"/>
  <c r="AD5" i="63" s="1"/>
  <c r="AO70" i="63"/>
  <c r="AO45" i="63"/>
  <c r="AO53" i="63"/>
  <c r="AO61" i="63"/>
  <c r="AO69" i="63"/>
  <c r="AO46" i="63"/>
  <c r="AO54" i="63"/>
  <c r="AO62" i="63"/>
  <c r="AO57" i="63"/>
  <c r="AO66" i="63"/>
  <c r="AO67" i="63"/>
  <c r="AO60" i="63"/>
  <c r="AO55" i="63"/>
  <c r="AO56" i="63"/>
  <c r="AO49" i="63"/>
  <c r="AO65" i="63"/>
  <c r="AO58" i="63"/>
  <c r="AO52" i="63"/>
  <c r="AO47" i="63"/>
  <c r="AO63" i="63"/>
  <c r="AO64" i="63"/>
  <c r="AO50" i="63"/>
  <c r="AB8" i="63"/>
  <c r="Z8" i="63" s="1"/>
  <c r="BJ2" i="64" s="1"/>
  <c r="AO48" i="63"/>
  <c r="Y15" i="63"/>
  <c r="AL15" i="63" s="1"/>
  <c r="AO59" i="63"/>
  <c r="AO68" i="63"/>
  <c r="AO51" i="63"/>
  <c r="AO71" i="63"/>
  <c r="AO72" i="63"/>
  <c r="AO73" i="63"/>
  <c r="AO74" i="63"/>
  <c r="AO75" i="63"/>
  <c r="AO76" i="63"/>
  <c r="AO77" i="63"/>
  <c r="AO78" i="63"/>
  <c r="AO79" i="63"/>
  <c r="AO80" i="63"/>
  <c r="AO81" i="63"/>
  <c r="AO82" i="63"/>
  <c r="AO83" i="63"/>
  <c r="AO84" i="63"/>
  <c r="AO85" i="63"/>
  <c r="AO86" i="63"/>
  <c r="AO87" i="63"/>
  <c r="AO88" i="63"/>
  <c r="AO89" i="63"/>
  <c r="AO90" i="63"/>
  <c r="AO91" i="63"/>
  <c r="AO92" i="63"/>
  <c r="AO93" i="63"/>
  <c r="AO94" i="63"/>
  <c r="AO95" i="63"/>
  <c r="AO96" i="63"/>
  <c r="AO97" i="63"/>
  <c r="AO98" i="63"/>
  <c r="AO99" i="63"/>
  <c r="AO100" i="63"/>
  <c r="AO101" i="63"/>
  <c r="AO102" i="63"/>
  <c r="AO103" i="63"/>
  <c r="AO104" i="63"/>
  <c r="AO105" i="63"/>
  <c r="AO106" i="63"/>
  <c r="AO107" i="63"/>
  <c r="AO108" i="63"/>
  <c r="AO109" i="63"/>
  <c r="AO110" i="63"/>
  <c r="AO111" i="63"/>
  <c r="AO112" i="63"/>
  <c r="AO113" i="63"/>
  <c r="AO114" i="63"/>
  <c r="AO115" i="63"/>
  <c r="AO116" i="63"/>
  <c r="AO117" i="63"/>
  <c r="AO118" i="63"/>
  <c r="AO119" i="63"/>
  <c r="AO120" i="63"/>
  <c r="AO121" i="63"/>
  <c r="AO122" i="63"/>
  <c r="AO123" i="63"/>
  <c r="AO124" i="63"/>
  <c r="AO125" i="63"/>
  <c r="AO126" i="63"/>
  <c r="AO127" i="63"/>
  <c r="AO128" i="63"/>
  <c r="AO129" i="63"/>
  <c r="AO130" i="63"/>
  <c r="AO131" i="63"/>
  <c r="AO132" i="63"/>
  <c r="AO133" i="63"/>
  <c r="AO134" i="63"/>
  <c r="AO135" i="63"/>
  <c r="AO136" i="63"/>
  <c r="AO137" i="63"/>
  <c r="AO138" i="63"/>
  <c r="AO139" i="63"/>
  <c r="AO140" i="63"/>
  <c r="AO141" i="63"/>
  <c r="AO142" i="63"/>
  <c r="AO143" i="63"/>
  <c r="AO144" i="63"/>
  <c r="AO145" i="63"/>
  <c r="AO146" i="63"/>
  <c r="AO147" i="63"/>
  <c r="AO148" i="63"/>
  <c r="AO149" i="63"/>
  <c r="AO150" i="63"/>
  <c r="AO151" i="63"/>
  <c r="AO152" i="63"/>
  <c r="AO153" i="63"/>
  <c r="AO154" i="63"/>
  <c r="AO155" i="63"/>
  <c r="AO156" i="63"/>
  <c r="AO157" i="63"/>
  <c r="AO158" i="63"/>
  <c r="AO159" i="63"/>
  <c r="AO160" i="63"/>
  <c r="AO161" i="63"/>
  <c r="AO162" i="63"/>
  <c r="AO163" i="63"/>
  <c r="AO164" i="63"/>
  <c r="AO165" i="63"/>
  <c r="AO166" i="63"/>
  <c r="AO167" i="63"/>
  <c r="AO168" i="63"/>
  <c r="AO169" i="63"/>
  <c r="AO170" i="63"/>
  <c r="AO171" i="63"/>
  <c r="AO172" i="63"/>
  <c r="AO173" i="63"/>
  <c r="AO174" i="63"/>
  <c r="AO175" i="63"/>
  <c r="AO176" i="63"/>
  <c r="AO177" i="63"/>
  <c r="AO178" i="63"/>
  <c r="AO179" i="63"/>
  <c r="AO180" i="63"/>
  <c r="AO181" i="63"/>
  <c r="AO182" i="63"/>
  <c r="AO183" i="63"/>
  <c r="AO184" i="63"/>
  <c r="AO185" i="63"/>
  <c r="AO186" i="63"/>
  <c r="AO187" i="63"/>
  <c r="AO188" i="63"/>
  <c r="AO189" i="63"/>
  <c r="AO190" i="63"/>
  <c r="AO191" i="63"/>
  <c r="AO192" i="63"/>
  <c r="AO193" i="63"/>
  <c r="AO194" i="63"/>
  <c r="AO195" i="63"/>
  <c r="AO196" i="63"/>
  <c r="AO197" i="63"/>
  <c r="AO198" i="63"/>
  <c r="AO199" i="63"/>
  <c r="AO200" i="63"/>
  <c r="AO201" i="63"/>
  <c r="AO202" i="63"/>
  <c r="AO203" i="63"/>
  <c r="AO204" i="63"/>
  <c r="AO205" i="63"/>
  <c r="AO206" i="63"/>
  <c r="AO207" i="63"/>
  <c r="AO208" i="63"/>
  <c r="AO209" i="63"/>
  <c r="AO210" i="63"/>
  <c r="AO211" i="63"/>
  <c r="AO212" i="63"/>
  <c r="AO213" i="63"/>
  <c r="AO214" i="63"/>
  <c r="AO215" i="63"/>
  <c r="AO216" i="63"/>
  <c r="AO217" i="63"/>
  <c r="AO218" i="63"/>
  <c r="AO219" i="63"/>
  <c r="AO220" i="63"/>
  <c r="AO221" i="63"/>
  <c r="AO222" i="63"/>
  <c r="AO223" i="63"/>
  <c r="AO224" i="63"/>
  <c r="AO225" i="63"/>
  <c r="AO226" i="63"/>
  <c r="AO227" i="63"/>
  <c r="AO228" i="63"/>
  <c r="AO229" i="63"/>
  <c r="AO230" i="63"/>
  <c r="AO231" i="63"/>
  <c r="AO232" i="63"/>
  <c r="AO233" i="63"/>
  <c r="AO234" i="63"/>
  <c r="AO235" i="63"/>
  <c r="AO236" i="63"/>
  <c r="AO237" i="63"/>
  <c r="AO238" i="63"/>
  <c r="AO239" i="63"/>
  <c r="AO240" i="63"/>
  <c r="AO241" i="63"/>
  <c r="AO242" i="63"/>
  <c r="AO243" i="63"/>
  <c r="AO244" i="63"/>
  <c r="AO245" i="63"/>
  <c r="AO246" i="63"/>
  <c r="AO247" i="63"/>
  <c r="AO248" i="63"/>
  <c r="AO249" i="63"/>
  <c r="AO250" i="63"/>
  <c r="AO251" i="63"/>
  <c r="AO252" i="63"/>
  <c r="AO253" i="63"/>
  <c r="AO254" i="63"/>
  <c r="AO255" i="63"/>
  <c r="AO256" i="63"/>
  <c r="AO257" i="63"/>
  <c r="AO258" i="63"/>
  <c r="AO259" i="63"/>
  <c r="AO260" i="63"/>
  <c r="AO261" i="63"/>
  <c r="AO262" i="63"/>
  <c r="AO263" i="63"/>
  <c r="AO264" i="63"/>
  <c r="AO265" i="63"/>
  <c r="AO266" i="63"/>
  <c r="AO267" i="63"/>
  <c r="AO268" i="63"/>
  <c r="AO269" i="63"/>
  <c r="AO270" i="63"/>
  <c r="AO271" i="63"/>
  <c r="AO272" i="63"/>
  <c r="AO273" i="63"/>
  <c r="AO274" i="63"/>
  <c r="AO275" i="63"/>
  <c r="AO276" i="63"/>
  <c r="AO277" i="63"/>
  <c r="AO278" i="63"/>
  <c r="AO279" i="63"/>
  <c r="AO280" i="63"/>
  <c r="AO281" i="63"/>
  <c r="AO282" i="63"/>
  <c r="AO283" i="63"/>
  <c r="AO284" i="63"/>
  <c r="AO285" i="63"/>
  <c r="AO286" i="63"/>
  <c r="AO287" i="63"/>
  <c r="AO288" i="63"/>
  <c r="AO289" i="63"/>
  <c r="AO290" i="63"/>
  <c r="AO291" i="63"/>
  <c r="AO292" i="63"/>
  <c r="AO293" i="63"/>
  <c r="AO294" i="63"/>
  <c r="AO295" i="63"/>
  <c r="AO296" i="63"/>
  <c r="AO297" i="63"/>
  <c r="AO298" i="63"/>
  <c r="AO299" i="63"/>
  <c r="AO300" i="63"/>
  <c r="AO301" i="63"/>
  <c r="AO302" i="63"/>
  <c r="AO303" i="63"/>
  <c r="AO304" i="63"/>
  <c r="AO305" i="63"/>
  <c r="AO306" i="63"/>
  <c r="AO307" i="63"/>
  <c r="AO308" i="63"/>
  <c r="AO309" i="63"/>
  <c r="AO310" i="63"/>
  <c r="AO311" i="63"/>
  <c r="AO312" i="63"/>
  <c r="AO313" i="63"/>
  <c r="AO314" i="63"/>
  <c r="AO315" i="63"/>
  <c r="AO316" i="63"/>
  <c r="AO317" i="63"/>
  <c r="AO318" i="63"/>
  <c r="AO319" i="63"/>
  <c r="AO320" i="63"/>
  <c r="AO321" i="63"/>
  <c r="AO322" i="63"/>
  <c r="AO323" i="63"/>
  <c r="AO324" i="63"/>
  <c r="AO325" i="63"/>
  <c r="AO326" i="63"/>
  <c r="AO327" i="63"/>
  <c r="AO328" i="63"/>
  <c r="AO329" i="63"/>
  <c r="AO330" i="63"/>
  <c r="AO331" i="63"/>
  <c r="AO332" i="63"/>
  <c r="AO333" i="63"/>
  <c r="AO334" i="63"/>
  <c r="AO335" i="63"/>
  <c r="AO336" i="63"/>
  <c r="AO337" i="63"/>
  <c r="AO338" i="63"/>
  <c r="AO339" i="63"/>
  <c r="AO340" i="63"/>
  <c r="AO341" i="63"/>
  <c r="AO342" i="63"/>
  <c r="AO343" i="63"/>
  <c r="AO344" i="63"/>
  <c r="AO345" i="63"/>
  <c r="AO346" i="63"/>
  <c r="AO347" i="63"/>
  <c r="AO348" i="63"/>
  <c r="AO349" i="63"/>
  <c r="AO350" i="63"/>
  <c r="AO351" i="63"/>
  <c r="AO352" i="63"/>
  <c r="AO353" i="63"/>
  <c r="AO354" i="63"/>
  <c r="AO355" i="63"/>
  <c r="AO356" i="63"/>
  <c r="AO357" i="63"/>
  <c r="AO358" i="63"/>
  <c r="AO359" i="63"/>
  <c r="AO360" i="63"/>
  <c r="AO361" i="63"/>
  <c r="AO362" i="63"/>
  <c r="AO363" i="63"/>
  <c r="AO364" i="63"/>
  <c r="AO365" i="63"/>
  <c r="AO366" i="63"/>
  <c r="AO367" i="63"/>
  <c r="AO368" i="63"/>
  <c r="AO369" i="63"/>
  <c r="AO370" i="63"/>
  <c r="AO371" i="63"/>
  <c r="AO372" i="63"/>
  <c r="AO373" i="63"/>
  <c r="AO374" i="63"/>
  <c r="AO375" i="63"/>
  <c r="AO376" i="63"/>
  <c r="AO377" i="63"/>
  <c r="AO378" i="63"/>
  <c r="AO379" i="63"/>
  <c r="AO380" i="63"/>
  <c r="AO381" i="63"/>
  <c r="AO382" i="63"/>
  <c r="AO383" i="63"/>
  <c r="AO384" i="63"/>
  <c r="AO385" i="63"/>
  <c r="AO386" i="63"/>
  <c r="AO387" i="63"/>
  <c r="AO388" i="63"/>
  <c r="AO389" i="63"/>
  <c r="AO390" i="63"/>
  <c r="AO391" i="63"/>
  <c r="AO392" i="63"/>
  <c r="AO393" i="63"/>
  <c r="AO394" i="63"/>
  <c r="AO395" i="63"/>
  <c r="AO396" i="63"/>
  <c r="AO397" i="63"/>
  <c r="AO398" i="63"/>
  <c r="AO399" i="63"/>
  <c r="AO400" i="63"/>
  <c r="AO401" i="63"/>
  <c r="AO402" i="63"/>
  <c r="AO403" i="63"/>
  <c r="AO404" i="63"/>
  <c r="AO405" i="63"/>
  <c r="AO406" i="63"/>
  <c r="AO407" i="63"/>
  <c r="AO408" i="63"/>
  <c r="AO409" i="63"/>
  <c r="AO410" i="63"/>
  <c r="AO411" i="63"/>
  <c r="AO412" i="63"/>
  <c r="AO413" i="63"/>
  <c r="AO414" i="63"/>
  <c r="AO415" i="63"/>
  <c r="AO416" i="63"/>
  <c r="AO417" i="63"/>
  <c r="AS6" i="63"/>
  <c r="AU6" i="63"/>
  <c r="AT6" i="63"/>
  <c r="AR6" i="63"/>
  <c r="AI11" i="63"/>
  <c r="T61" i="63"/>
  <c r="T60" i="63"/>
  <c r="T59" i="63"/>
  <c r="R62" i="63"/>
  <c r="T62" i="63" s="1"/>
  <c r="BK2" i="64"/>
  <c r="N447" i="63" l="1"/>
  <c r="AV446" i="63"/>
  <c r="AU446" i="63"/>
  <c r="O447" i="63"/>
  <c r="AT446" i="63"/>
  <c r="AO446" i="63"/>
  <c r="AA16" i="63"/>
  <c r="AU2" i="64"/>
  <c r="Y16" i="63"/>
  <c r="AJ15" i="63"/>
  <c r="BZ2" i="64"/>
  <c r="AV2" i="64"/>
  <c r="R63" i="63"/>
  <c r="AP447" i="63" l="1"/>
  <c r="AN447" i="63"/>
  <c r="AS447" i="63" s="1"/>
  <c r="Q447" i="63"/>
  <c r="M447" i="63"/>
  <c r="L447" i="63" s="1"/>
  <c r="AO2" i="64"/>
  <c r="B11" i="64"/>
  <c r="BW2" i="64" s="1"/>
  <c r="AC16" i="63"/>
  <c r="AH16" i="63" s="1"/>
  <c r="AI16" i="63"/>
  <c r="AP16" i="63"/>
  <c r="AD16" i="63"/>
  <c r="AT2" i="64"/>
  <c r="R64" i="63"/>
  <c r="T63" i="63"/>
  <c r="V447" i="63" l="1"/>
  <c r="P447" i="63"/>
  <c r="Z447" i="63"/>
  <c r="AM447" i="63"/>
  <c r="AB16" i="63"/>
  <c r="AG16" i="63" s="1"/>
  <c r="T64" i="63"/>
  <c r="R65" i="63"/>
  <c r="U447" i="63" l="1"/>
  <c r="W447" i="63"/>
  <c r="AE16" i="63"/>
  <c r="AF16" i="63" s="1"/>
  <c r="AL16" i="63"/>
  <c r="Y17" i="63" s="1"/>
  <c r="R66" i="63"/>
  <c r="T65" i="63"/>
  <c r="O448" i="63" l="1"/>
  <c r="AT447" i="63"/>
  <c r="AU447" i="63"/>
  <c r="N448" i="63"/>
  <c r="AV447" i="63"/>
  <c r="AO447" i="63"/>
  <c r="AJ16" i="63"/>
  <c r="AA17" i="63"/>
  <c r="AI17" i="63" s="1"/>
  <c r="AC17" i="63"/>
  <c r="AH17" i="63" s="1"/>
  <c r="T66" i="63"/>
  <c r="R67" i="63"/>
  <c r="M448" i="63" l="1"/>
  <c r="L448" i="63" s="1"/>
  <c r="Q448" i="63"/>
  <c r="V448" i="63" s="1"/>
  <c r="AN448" i="63"/>
  <c r="AS448" i="63" s="1"/>
  <c r="AP448" i="63"/>
  <c r="P448" i="63"/>
  <c r="AD17" i="63"/>
  <c r="AP17" i="63"/>
  <c r="AB17" i="63"/>
  <c r="T67" i="63"/>
  <c r="R68" i="63"/>
  <c r="U448" i="63" l="1"/>
  <c r="W448" i="63"/>
  <c r="Z448" i="63"/>
  <c r="AM448" i="63"/>
  <c r="AG17" i="63"/>
  <c r="AE17" i="63"/>
  <c r="AF17" i="63" s="1"/>
  <c r="AL17" i="63"/>
  <c r="T68" i="63"/>
  <c r="R69" i="63"/>
  <c r="AT448" i="63" l="1"/>
  <c r="AV448" i="63"/>
  <c r="N449" i="63"/>
  <c r="AO448" i="63"/>
  <c r="O449" i="63"/>
  <c r="AU448" i="63"/>
  <c r="AA18" i="63"/>
  <c r="AJ17" i="63"/>
  <c r="Y18" i="63"/>
  <c r="T69" i="63"/>
  <c r="R70" i="63"/>
  <c r="AP449" i="63" l="1"/>
  <c r="AN449" i="63"/>
  <c r="AS449" i="63" s="1"/>
  <c r="M449" i="63"/>
  <c r="L449" i="63" s="1"/>
  <c r="Q449" i="63"/>
  <c r="V449" i="63" s="1"/>
  <c r="AC18" i="63"/>
  <c r="AH18" i="63" s="1"/>
  <c r="AI18" i="63"/>
  <c r="AP18" i="63"/>
  <c r="AD18" i="63"/>
  <c r="R71" i="63"/>
  <c r="T70" i="63"/>
  <c r="Z449" i="63" l="1"/>
  <c r="AM449" i="63"/>
  <c r="P449" i="63"/>
  <c r="AB18" i="63"/>
  <c r="R72" i="63"/>
  <c r="T71" i="63"/>
  <c r="U449" i="63" l="1"/>
  <c r="W449" i="63"/>
  <c r="AE18" i="63"/>
  <c r="AF18" i="63" s="1"/>
  <c r="AG18" i="63"/>
  <c r="AL18" i="63"/>
  <c r="T72" i="63"/>
  <c r="R73" i="63"/>
  <c r="AU449" i="63" l="1"/>
  <c r="AV449" i="63"/>
  <c r="N450" i="63"/>
  <c r="AO449" i="63"/>
  <c r="O450" i="63"/>
  <c r="AT449" i="63"/>
  <c r="AA19" i="63"/>
  <c r="Y19" i="63"/>
  <c r="AJ18" i="63"/>
  <c r="R74" i="63"/>
  <c r="T73" i="63"/>
  <c r="AN450" i="63" l="1"/>
  <c r="AS450" i="63" s="1"/>
  <c r="AP450" i="63"/>
  <c r="Q450" i="63"/>
  <c r="V450" i="63" s="1"/>
  <c r="M450" i="63"/>
  <c r="L450" i="63" s="1"/>
  <c r="AC19" i="63"/>
  <c r="AH19" i="63" s="1"/>
  <c r="AI19" i="63"/>
  <c r="AP19" i="63"/>
  <c r="AD19" i="63"/>
  <c r="R75" i="63"/>
  <c r="T74" i="63"/>
  <c r="AM450" i="63" l="1"/>
  <c r="Z450" i="63"/>
  <c r="P450" i="63"/>
  <c r="AB19" i="63"/>
  <c r="R76" i="63"/>
  <c r="T75" i="63"/>
  <c r="U450" i="63" l="1"/>
  <c r="W450" i="63"/>
  <c r="AE19" i="63"/>
  <c r="AF19" i="63" s="1"/>
  <c r="AG19" i="63"/>
  <c r="AL19" i="63"/>
  <c r="T76" i="63"/>
  <c r="R77" i="63"/>
  <c r="AV450" i="63" l="1"/>
  <c r="O451" i="63"/>
  <c r="N451" i="63"/>
  <c r="AT450" i="63"/>
  <c r="AU450" i="63"/>
  <c r="AO450" i="63"/>
  <c r="AA20" i="63"/>
  <c r="AJ19" i="63"/>
  <c r="Y20" i="63"/>
  <c r="R78" i="63"/>
  <c r="T77" i="63"/>
  <c r="M451" i="63" l="1"/>
  <c r="L451" i="63" s="1"/>
  <c r="Q451" i="63"/>
  <c r="V451" i="63" s="1"/>
  <c r="AP451" i="63"/>
  <c r="AN451" i="63"/>
  <c r="AS451" i="63" s="1"/>
  <c r="P451" i="63"/>
  <c r="U451" i="63" s="1"/>
  <c r="AC20" i="63"/>
  <c r="AH20" i="63" s="1"/>
  <c r="AI20" i="63"/>
  <c r="AP20" i="63"/>
  <c r="AD20" i="63"/>
  <c r="R79" i="63"/>
  <c r="T78" i="63"/>
  <c r="W451" i="63" l="1"/>
  <c r="Z451" i="63"/>
  <c r="AM451" i="63"/>
  <c r="AB20" i="63"/>
  <c r="R80" i="63"/>
  <c r="T79" i="63"/>
  <c r="O452" i="63" l="1"/>
  <c r="AU451" i="63"/>
  <c r="AO451" i="63"/>
  <c r="AT451" i="63"/>
  <c r="AV451" i="63"/>
  <c r="N452" i="63"/>
  <c r="AE20" i="63"/>
  <c r="AF20" i="63" s="1"/>
  <c r="AG20" i="63"/>
  <c r="AL20" i="63"/>
  <c r="T80" i="63"/>
  <c r="R81" i="63"/>
  <c r="M452" i="63" l="1"/>
  <c r="L452" i="63" s="1"/>
  <c r="Q452" i="63"/>
  <c r="V452" i="63" s="1"/>
  <c r="AP452" i="63"/>
  <c r="AN452" i="63"/>
  <c r="AS452" i="63" s="1"/>
  <c r="P452" i="63"/>
  <c r="U452" i="63" s="1"/>
  <c r="AA21" i="63"/>
  <c r="AJ20" i="63"/>
  <c r="Y21" i="63"/>
  <c r="R82" i="63"/>
  <c r="T81" i="63"/>
  <c r="W452" i="63" l="1"/>
  <c r="Z452" i="63"/>
  <c r="AM452" i="63"/>
  <c r="AC21" i="63"/>
  <c r="AH21" i="63" s="1"/>
  <c r="AI21" i="63"/>
  <c r="AP21" i="63"/>
  <c r="AD21" i="63"/>
  <c r="R83" i="63"/>
  <c r="T82" i="63"/>
  <c r="AO452" i="63" l="1"/>
  <c r="AV452" i="63"/>
  <c r="AU452" i="63"/>
  <c r="N453" i="63"/>
  <c r="O453" i="63"/>
  <c r="AT452" i="63"/>
  <c r="AB21" i="63"/>
  <c r="R84" i="63"/>
  <c r="T83" i="63"/>
  <c r="AN453" i="63" l="1"/>
  <c r="AS453" i="63" s="1"/>
  <c r="AP453" i="63"/>
  <c r="M453" i="63"/>
  <c r="L453" i="63" s="1"/>
  <c r="Q453" i="63"/>
  <c r="V453" i="63" s="1"/>
  <c r="AG21" i="63"/>
  <c r="AE21" i="63"/>
  <c r="AF21" i="63" s="1"/>
  <c r="AL21" i="63"/>
  <c r="T84" i="63"/>
  <c r="R85" i="63"/>
  <c r="Z453" i="63" l="1"/>
  <c r="AM453" i="63"/>
  <c r="P453" i="63"/>
  <c r="AA22" i="63"/>
  <c r="Y22" i="63"/>
  <c r="AJ21" i="63"/>
  <c r="R86" i="63"/>
  <c r="T85" i="63"/>
  <c r="U453" i="63" l="1"/>
  <c r="W453" i="63"/>
  <c r="AC22" i="63"/>
  <c r="AH22" i="63" s="1"/>
  <c r="AI22" i="63"/>
  <c r="AP22" i="63"/>
  <c r="AD22" i="63"/>
  <c r="R87" i="63"/>
  <c r="T86" i="63"/>
  <c r="AO453" i="63" l="1"/>
  <c r="O454" i="63"/>
  <c r="N454" i="63"/>
  <c r="AU453" i="63"/>
  <c r="AV453" i="63"/>
  <c r="AT453" i="63"/>
  <c r="AB22" i="63"/>
  <c r="R88" i="63"/>
  <c r="T87" i="63"/>
  <c r="Q454" i="63" l="1"/>
  <c r="V454" i="63" s="1"/>
  <c r="M454" i="63"/>
  <c r="L454" i="63" s="1"/>
  <c r="AN454" i="63"/>
  <c r="AS454" i="63" s="1"/>
  <c r="AP454" i="63"/>
  <c r="AG22" i="63"/>
  <c r="AE22" i="63"/>
  <c r="AF22" i="63" s="1"/>
  <c r="AL22" i="63"/>
  <c r="T88" i="63"/>
  <c r="R89" i="63"/>
  <c r="P454" i="63" l="1"/>
  <c r="AM454" i="63"/>
  <c r="Z454" i="63"/>
  <c r="AA23" i="63"/>
  <c r="AJ22" i="63"/>
  <c r="Y23" i="63"/>
  <c r="R90" i="63"/>
  <c r="T89" i="63"/>
  <c r="U454" i="63" l="1"/>
  <c r="W454" i="63"/>
  <c r="AC23" i="63"/>
  <c r="AH23" i="63" s="1"/>
  <c r="AI23" i="63"/>
  <c r="AP23" i="63"/>
  <c r="AD23" i="63"/>
  <c r="R91" i="63"/>
  <c r="T90" i="63"/>
  <c r="AU454" i="63" l="1"/>
  <c r="N455" i="63"/>
  <c r="AV454" i="63"/>
  <c r="AO454" i="63"/>
  <c r="AT454" i="63"/>
  <c r="O455" i="63"/>
  <c r="AB23" i="63"/>
  <c r="R92" i="63"/>
  <c r="T91" i="63"/>
  <c r="AP455" i="63" l="1"/>
  <c r="AN455" i="63"/>
  <c r="AS455" i="63" s="1"/>
  <c r="Q455" i="63"/>
  <c r="V455" i="63" s="1"/>
  <c r="M455" i="63"/>
  <c r="L455" i="63" s="1"/>
  <c r="AG23" i="63"/>
  <c r="AE23" i="63"/>
  <c r="AF23" i="63" s="1"/>
  <c r="AL23" i="63"/>
  <c r="T92" i="63"/>
  <c r="R93" i="63"/>
  <c r="AM455" i="63" l="1"/>
  <c r="Z455" i="63"/>
  <c r="P455" i="63"/>
  <c r="AA24" i="63"/>
  <c r="Y24" i="63"/>
  <c r="AJ23" i="63"/>
  <c r="R94" i="63"/>
  <c r="T93" i="63"/>
  <c r="U455" i="63" l="1"/>
  <c r="W455" i="63"/>
  <c r="AC24" i="63"/>
  <c r="AH24" i="63" s="1"/>
  <c r="AI24" i="63"/>
  <c r="AP24" i="63"/>
  <c r="AD24" i="63"/>
  <c r="R95" i="63"/>
  <c r="T94" i="63"/>
  <c r="AU455" i="63" l="1"/>
  <c r="AO455" i="63"/>
  <c r="AT455" i="63"/>
  <c r="N456" i="63"/>
  <c r="AV455" i="63"/>
  <c r="O456" i="63"/>
  <c r="AB24" i="63"/>
  <c r="R96" i="63"/>
  <c r="T95" i="63"/>
  <c r="AN456" i="63" l="1"/>
  <c r="AS456" i="63" s="1"/>
  <c r="AP456" i="63"/>
  <c r="Q456" i="63"/>
  <c r="V456" i="63" s="1"/>
  <c r="M456" i="63"/>
  <c r="L456" i="63" s="1"/>
  <c r="AG24" i="63"/>
  <c r="AE24" i="63"/>
  <c r="AF24" i="63" s="1"/>
  <c r="AL24" i="63"/>
  <c r="T96" i="63"/>
  <c r="R97" i="63"/>
  <c r="AM456" i="63" l="1"/>
  <c r="Z456" i="63"/>
  <c r="P456" i="63"/>
  <c r="AA25" i="63"/>
  <c r="Y25" i="63"/>
  <c r="AJ24" i="63"/>
  <c r="R98" i="63"/>
  <c r="T97" i="63"/>
  <c r="W456" i="63" l="1"/>
  <c r="U456" i="63"/>
  <c r="AC25" i="63"/>
  <c r="AH25" i="63" s="1"/>
  <c r="AI25" i="63"/>
  <c r="AP25" i="63"/>
  <c r="AD25" i="63"/>
  <c r="R99" i="63"/>
  <c r="T98" i="63"/>
  <c r="N457" i="63" l="1"/>
  <c r="AU456" i="63"/>
  <c r="O457" i="63"/>
  <c r="AT456" i="63"/>
  <c r="AO456" i="63"/>
  <c r="AV456" i="63"/>
  <c r="AB25" i="63"/>
  <c r="R100" i="63"/>
  <c r="T99" i="63"/>
  <c r="AP457" i="63" l="1"/>
  <c r="AN457" i="63"/>
  <c r="AS457" i="63" s="1"/>
  <c r="Q457" i="63"/>
  <c r="V457" i="63" s="1"/>
  <c r="M457" i="63"/>
  <c r="L457" i="63" s="1"/>
  <c r="AG25" i="63"/>
  <c r="AE25" i="63"/>
  <c r="AF25" i="63" s="1"/>
  <c r="AL25" i="63"/>
  <c r="T100" i="63"/>
  <c r="R101" i="63"/>
  <c r="Z457" i="63" l="1"/>
  <c r="AM457" i="63"/>
  <c r="P457" i="63"/>
  <c r="AJ9" i="63"/>
  <c r="AA26" i="63"/>
  <c r="Y26" i="63"/>
  <c r="AJ25" i="63"/>
  <c r="R102" i="63"/>
  <c r="T101" i="63"/>
  <c r="U457" i="63" l="1"/>
  <c r="W457" i="63"/>
  <c r="AC26" i="63"/>
  <c r="AH26" i="63" s="1"/>
  <c r="AI26" i="63"/>
  <c r="AP26" i="63"/>
  <c r="AD26" i="63"/>
  <c r="R103" i="63"/>
  <c r="T102" i="63"/>
  <c r="AU457" i="63" l="1"/>
  <c r="AV457" i="63"/>
  <c r="O458" i="63"/>
  <c r="AT457" i="63"/>
  <c r="N458" i="63"/>
  <c r="AO457" i="63"/>
  <c r="AB26" i="63"/>
  <c r="R104" i="63"/>
  <c r="T103" i="63"/>
  <c r="M458" i="63" l="1"/>
  <c r="L458" i="63" s="1"/>
  <c r="Q458" i="63"/>
  <c r="V458" i="63" s="1"/>
  <c r="AP458" i="63"/>
  <c r="AN458" i="63"/>
  <c r="AS458" i="63" s="1"/>
  <c r="P458" i="63"/>
  <c r="U458" i="63" s="1"/>
  <c r="AG26" i="63"/>
  <c r="AE26" i="63"/>
  <c r="AF26" i="63" s="1"/>
  <c r="AL26" i="63"/>
  <c r="T104" i="63"/>
  <c r="R105" i="63"/>
  <c r="W458" i="63" l="1"/>
  <c r="Z458" i="63"/>
  <c r="AM458" i="63"/>
  <c r="AA27" i="63"/>
  <c r="AJ26" i="63"/>
  <c r="Y27" i="63"/>
  <c r="R106" i="63"/>
  <c r="T105" i="63"/>
  <c r="N459" i="63" l="1"/>
  <c r="AO458" i="63"/>
  <c r="AV458" i="63"/>
  <c r="AT458" i="63"/>
  <c r="AU458" i="63"/>
  <c r="O459" i="63"/>
  <c r="AC27" i="63"/>
  <c r="AH27" i="63" s="1"/>
  <c r="AI27" i="63"/>
  <c r="AP27" i="63"/>
  <c r="AD27" i="63"/>
  <c r="R107" i="63"/>
  <c r="T106" i="63"/>
  <c r="AN459" i="63" l="1"/>
  <c r="AS459" i="63" s="1"/>
  <c r="AP459" i="63"/>
  <c r="M459" i="63"/>
  <c r="L459" i="63" s="1"/>
  <c r="Q459" i="63"/>
  <c r="V459" i="63" s="1"/>
  <c r="AB27" i="63"/>
  <c r="R108" i="63"/>
  <c r="T107" i="63"/>
  <c r="Z459" i="63" l="1"/>
  <c r="AM459" i="63"/>
  <c r="P459" i="63"/>
  <c r="AG27" i="63"/>
  <c r="AE27" i="63"/>
  <c r="AF27" i="63" s="1"/>
  <c r="AL27" i="63"/>
  <c r="T108" i="63"/>
  <c r="R109" i="63"/>
  <c r="U459" i="63" l="1"/>
  <c r="W459" i="63"/>
  <c r="AA28" i="63"/>
  <c r="Y28" i="63"/>
  <c r="AJ27" i="63"/>
  <c r="R110" i="63"/>
  <c r="T109" i="63"/>
  <c r="AT459" i="63" l="1"/>
  <c r="O460" i="63"/>
  <c r="AO459" i="63"/>
  <c r="AU459" i="63"/>
  <c r="AV459" i="63"/>
  <c r="N460" i="63"/>
  <c r="AC28" i="63"/>
  <c r="AH28" i="63" s="1"/>
  <c r="AI28" i="63"/>
  <c r="AP28" i="63"/>
  <c r="AD28" i="63"/>
  <c r="R111" i="63"/>
  <c r="T110" i="63"/>
  <c r="Q460" i="63" l="1"/>
  <c r="V460" i="63" s="1"/>
  <c r="M460" i="63"/>
  <c r="L460" i="63" s="1"/>
  <c r="AN460" i="63"/>
  <c r="AS460" i="63" s="1"/>
  <c r="AP460" i="63"/>
  <c r="AB28" i="63"/>
  <c r="AE28" i="63" s="1"/>
  <c r="AF28" i="63" s="1"/>
  <c r="R112" i="63"/>
  <c r="T111" i="63"/>
  <c r="P460" i="63" l="1"/>
  <c r="Z460" i="63"/>
  <c r="AM460" i="63"/>
  <c r="AG28" i="63"/>
  <c r="AL28" i="63"/>
  <c r="Y29" i="63" s="1"/>
  <c r="T112" i="63"/>
  <c r="R113" i="63"/>
  <c r="U460" i="63" l="1"/>
  <c r="W460" i="63"/>
  <c r="AA29" i="63"/>
  <c r="AD29" i="63" s="1"/>
  <c r="AJ28" i="63"/>
  <c r="AC29" i="63"/>
  <c r="AH29" i="63" s="1"/>
  <c r="R114" i="63"/>
  <c r="T113" i="63"/>
  <c r="AO460" i="63" l="1"/>
  <c r="AT460" i="63"/>
  <c r="AU460" i="63"/>
  <c r="O461" i="63"/>
  <c r="N461" i="63"/>
  <c r="AV460" i="63"/>
  <c r="AI29" i="63"/>
  <c r="AP29" i="63"/>
  <c r="AB29" i="63"/>
  <c r="AG29" i="63" s="1"/>
  <c r="R115" i="63"/>
  <c r="T114" i="63"/>
  <c r="Q461" i="63" l="1"/>
  <c r="V461" i="63" s="1"/>
  <c r="M461" i="63"/>
  <c r="L461" i="63" s="1"/>
  <c r="AN461" i="63"/>
  <c r="AS461" i="63" s="1"/>
  <c r="AP461" i="63"/>
  <c r="AL29" i="63"/>
  <c r="AJ29" i="63" s="1"/>
  <c r="AE29" i="63"/>
  <c r="AF29" i="63" s="1"/>
  <c r="R116" i="63"/>
  <c r="T115" i="63"/>
  <c r="P461" i="63" l="1"/>
  <c r="Z461" i="63"/>
  <c r="AM461" i="63"/>
  <c r="Y30" i="63"/>
  <c r="AC30" i="63" s="1"/>
  <c r="AH30" i="63" s="1"/>
  <c r="AA30" i="63"/>
  <c r="AP30" i="63" s="1"/>
  <c r="T116" i="63"/>
  <c r="R117" i="63"/>
  <c r="U461" i="63" l="1"/>
  <c r="W461" i="63"/>
  <c r="AI30" i="63"/>
  <c r="AD30" i="63"/>
  <c r="AB30" i="63"/>
  <c r="R118" i="63"/>
  <c r="T117" i="63"/>
  <c r="AV461" i="63" l="1"/>
  <c r="AU461" i="63"/>
  <c r="N462" i="63"/>
  <c r="O462" i="63"/>
  <c r="AT461" i="63"/>
  <c r="AO461" i="63"/>
  <c r="AG30" i="63"/>
  <c r="AE30" i="63"/>
  <c r="AF30" i="63" s="1"/>
  <c r="AL30" i="63"/>
  <c r="R119" i="63"/>
  <c r="T118" i="63"/>
  <c r="AP462" i="63" l="1"/>
  <c r="AN462" i="63"/>
  <c r="AS462" i="63" s="1"/>
  <c r="M462" i="63"/>
  <c r="L462" i="63" s="1"/>
  <c r="Q462" i="63"/>
  <c r="V462" i="63" s="1"/>
  <c r="AA31" i="63"/>
  <c r="AJ30" i="63"/>
  <c r="Y31" i="63"/>
  <c r="R120" i="63"/>
  <c r="T119" i="63"/>
  <c r="Z462" i="63" l="1"/>
  <c r="AM462" i="63"/>
  <c r="P462" i="63"/>
  <c r="AC31" i="63"/>
  <c r="AH31" i="63" s="1"/>
  <c r="AI31" i="63"/>
  <c r="AP31" i="63"/>
  <c r="AD31" i="63"/>
  <c r="T120" i="63"/>
  <c r="R121" i="63"/>
  <c r="U462" i="63" l="1"/>
  <c r="W462" i="63"/>
  <c r="AB31" i="63"/>
  <c r="AG31" i="63" s="1"/>
  <c r="R122" i="63"/>
  <c r="T121" i="63"/>
  <c r="AV462" i="63" l="1"/>
  <c r="O463" i="63"/>
  <c r="AU462" i="63"/>
  <c r="AO462" i="63"/>
  <c r="AT462" i="63"/>
  <c r="N463" i="63"/>
  <c r="AE31" i="63"/>
  <c r="AF31" i="63" s="1"/>
  <c r="AL31" i="63"/>
  <c r="Y32" i="63" s="1"/>
  <c r="R123" i="63"/>
  <c r="T122" i="63"/>
  <c r="Q463" i="63" l="1"/>
  <c r="V463" i="63" s="1"/>
  <c r="M463" i="63"/>
  <c r="L463" i="63" s="1"/>
  <c r="AP463" i="63"/>
  <c r="AN463" i="63"/>
  <c r="AS463" i="63" s="1"/>
  <c r="AA32" i="63"/>
  <c r="AP32" i="63" s="1"/>
  <c r="AJ31" i="63"/>
  <c r="AC32" i="63"/>
  <c r="AH32" i="63" s="1"/>
  <c r="R124" i="63"/>
  <c r="T123" i="63"/>
  <c r="P463" i="63" l="1"/>
  <c r="U463" i="63" s="1"/>
  <c r="AM463" i="63"/>
  <c r="Z463" i="63"/>
  <c r="AI32" i="63"/>
  <c r="AD32" i="63"/>
  <c r="AB32" i="63"/>
  <c r="T124" i="63"/>
  <c r="R125" i="63"/>
  <c r="W463" i="63" l="1"/>
  <c r="AO463" i="63" s="1"/>
  <c r="AG32" i="63"/>
  <c r="AE32" i="63"/>
  <c r="AF32" i="63" s="1"/>
  <c r="AL32" i="63"/>
  <c r="R126" i="63"/>
  <c r="T125" i="63"/>
  <c r="AU463" i="63" l="1"/>
  <c r="AV463" i="63"/>
  <c r="AT463" i="63"/>
  <c r="O464" i="63"/>
  <c r="N464" i="63"/>
  <c r="AP464" i="63"/>
  <c r="AN464" i="63"/>
  <c r="AS464" i="63" s="1"/>
  <c r="Q464" i="63"/>
  <c r="V464" i="63" s="1"/>
  <c r="M464" i="63"/>
  <c r="L464" i="63" s="1"/>
  <c r="AA33" i="63"/>
  <c r="Y33" i="63"/>
  <c r="AJ32" i="63"/>
  <c r="R127" i="63"/>
  <c r="T126" i="63"/>
  <c r="AM464" i="63" l="1"/>
  <c r="Z464" i="63"/>
  <c r="P464" i="63"/>
  <c r="AC33" i="63"/>
  <c r="AH33" i="63" s="1"/>
  <c r="AI33" i="63"/>
  <c r="AP33" i="63"/>
  <c r="AD33" i="63"/>
  <c r="R128" i="63"/>
  <c r="T127" i="63"/>
  <c r="U464" i="63" l="1"/>
  <c r="W464" i="63"/>
  <c r="AB33" i="63"/>
  <c r="T128" i="63"/>
  <c r="R129" i="63"/>
  <c r="AU464" i="63" l="1"/>
  <c r="O465" i="63"/>
  <c r="AO464" i="63"/>
  <c r="AV464" i="63"/>
  <c r="N465" i="63"/>
  <c r="AT464" i="63"/>
  <c r="AE33" i="63"/>
  <c r="AF33" i="63" s="1"/>
  <c r="AG33" i="63"/>
  <c r="AL33" i="63"/>
  <c r="R130" i="63"/>
  <c r="T129" i="63"/>
  <c r="Q465" i="63" l="1"/>
  <c r="V465" i="63" s="1"/>
  <c r="M465" i="63"/>
  <c r="L465" i="63" s="1"/>
  <c r="AP465" i="63"/>
  <c r="AN465" i="63"/>
  <c r="AS465" i="63" s="1"/>
  <c r="AA34" i="63"/>
  <c r="Y34" i="63"/>
  <c r="AJ33" i="63"/>
  <c r="R131" i="63"/>
  <c r="T130" i="63"/>
  <c r="P465" i="63" l="1"/>
  <c r="Z465" i="63"/>
  <c r="AM465" i="63"/>
  <c r="AC34" i="63"/>
  <c r="AH34" i="63" s="1"/>
  <c r="AI34" i="63"/>
  <c r="AP34" i="63"/>
  <c r="AD34" i="63"/>
  <c r="R132" i="63"/>
  <c r="T131" i="63"/>
  <c r="U465" i="63" l="1"/>
  <c r="W465" i="63"/>
  <c r="AB34" i="63"/>
  <c r="T132" i="63"/>
  <c r="R133" i="63"/>
  <c r="N466" i="63" l="1"/>
  <c r="AU465" i="63"/>
  <c r="AT465" i="63"/>
  <c r="AO465" i="63"/>
  <c r="O466" i="63"/>
  <c r="AV465" i="63"/>
  <c r="AE34" i="63"/>
  <c r="AF34" i="63" s="1"/>
  <c r="AG34" i="63"/>
  <c r="AL34" i="63"/>
  <c r="R134" i="63"/>
  <c r="T133" i="63"/>
  <c r="AP466" i="63" l="1"/>
  <c r="AN466" i="63"/>
  <c r="AS466" i="63" s="1"/>
  <c r="Q466" i="63"/>
  <c r="V466" i="63" s="1"/>
  <c r="M466" i="63"/>
  <c r="L466" i="63" s="1"/>
  <c r="AA35" i="63"/>
  <c r="Y35" i="63"/>
  <c r="AJ34" i="63"/>
  <c r="R135" i="63"/>
  <c r="T134" i="63"/>
  <c r="AM466" i="63" l="1"/>
  <c r="Z466" i="63"/>
  <c r="P466" i="63"/>
  <c r="AC35" i="63"/>
  <c r="AH35" i="63" s="1"/>
  <c r="AI35" i="63"/>
  <c r="AP35" i="63"/>
  <c r="AD35" i="63"/>
  <c r="R136" i="63"/>
  <c r="T135" i="63"/>
  <c r="U466" i="63" l="1"/>
  <c r="W466" i="63"/>
  <c r="AB35" i="63"/>
  <c r="AE35" i="63" s="1"/>
  <c r="AF35" i="63" s="1"/>
  <c r="T136" i="63"/>
  <c r="R137" i="63"/>
  <c r="O467" i="63" l="1"/>
  <c r="AT466" i="63"/>
  <c r="N467" i="63"/>
  <c r="AV466" i="63"/>
  <c r="AO466" i="63"/>
  <c r="AU466" i="63"/>
  <c r="AL35" i="63"/>
  <c r="Y36" i="63" s="1"/>
  <c r="AG35" i="63"/>
  <c r="R138" i="63"/>
  <c r="T137" i="63"/>
  <c r="M467" i="63" l="1"/>
  <c r="L467" i="63" s="1"/>
  <c r="Q467" i="63"/>
  <c r="V467" i="63" s="1"/>
  <c r="AN467" i="63"/>
  <c r="AS467" i="63" s="1"/>
  <c r="AP467" i="63"/>
  <c r="P467" i="63"/>
  <c r="U467" i="63" s="1"/>
  <c r="AA36" i="63"/>
  <c r="AD36" i="63" s="1"/>
  <c r="AJ35" i="63"/>
  <c r="AC36" i="63"/>
  <c r="AH36" i="63" s="1"/>
  <c r="R139" i="63"/>
  <c r="T138" i="63"/>
  <c r="W467" i="63" l="1"/>
  <c r="Z467" i="63"/>
  <c r="AM467" i="63"/>
  <c r="AP36" i="63"/>
  <c r="AI36" i="63"/>
  <c r="AB36" i="63"/>
  <c r="R140" i="63"/>
  <c r="T139" i="63"/>
  <c r="N468" i="63" l="1"/>
  <c r="AT467" i="63"/>
  <c r="AU467" i="63"/>
  <c r="O468" i="63"/>
  <c r="AO467" i="63"/>
  <c r="AV467" i="63"/>
  <c r="AE36" i="63"/>
  <c r="AF36" i="63" s="1"/>
  <c r="AG36" i="63"/>
  <c r="AL36" i="63"/>
  <c r="T140" i="63"/>
  <c r="R141" i="63"/>
  <c r="AN468" i="63" l="1"/>
  <c r="AS468" i="63" s="1"/>
  <c r="AP468" i="63"/>
  <c r="M468" i="63"/>
  <c r="L468" i="63" s="1"/>
  <c r="Q468" i="63"/>
  <c r="V468" i="63" s="1"/>
  <c r="AA37" i="63"/>
  <c r="Y37" i="63"/>
  <c r="AJ36" i="63"/>
  <c r="R142" i="63"/>
  <c r="T141" i="63"/>
  <c r="AM468" i="63" l="1"/>
  <c r="Z468" i="63"/>
  <c r="P468" i="63"/>
  <c r="AC37" i="63"/>
  <c r="AH37" i="63" s="1"/>
  <c r="AI37" i="63"/>
  <c r="AP37" i="63"/>
  <c r="AD37" i="63"/>
  <c r="R143" i="63"/>
  <c r="T142" i="63"/>
  <c r="U468" i="63" l="1"/>
  <c r="W468" i="63"/>
  <c r="AB37" i="63"/>
  <c r="R144" i="63"/>
  <c r="T143" i="63"/>
  <c r="AT468" i="63" l="1"/>
  <c r="AV468" i="63"/>
  <c r="AU468" i="63"/>
  <c r="AO468" i="63"/>
  <c r="N469" i="63"/>
  <c r="O469" i="63"/>
  <c r="AG37" i="63"/>
  <c r="AE37" i="63"/>
  <c r="AF37" i="63" s="1"/>
  <c r="AL37" i="63"/>
  <c r="T144" i="63"/>
  <c r="R145" i="63"/>
  <c r="AN469" i="63" l="1"/>
  <c r="AS469" i="63" s="1"/>
  <c r="AP469" i="63"/>
  <c r="Q469" i="63"/>
  <c r="V469" i="63" s="1"/>
  <c r="M469" i="63"/>
  <c r="L469" i="63" s="1"/>
  <c r="AA38" i="63"/>
  <c r="Y38" i="63"/>
  <c r="AJ37" i="63"/>
  <c r="R146" i="63"/>
  <c r="T145" i="63"/>
  <c r="Z469" i="63" l="1"/>
  <c r="AM469" i="63"/>
  <c r="P469" i="63"/>
  <c r="AC38" i="63"/>
  <c r="AH38" i="63" s="1"/>
  <c r="AI38" i="63"/>
  <c r="AP38" i="63"/>
  <c r="AD38" i="63"/>
  <c r="R147" i="63"/>
  <c r="T146" i="63"/>
  <c r="U469" i="63" l="1"/>
  <c r="W469" i="63"/>
  <c r="AB38" i="63"/>
  <c r="R148" i="63"/>
  <c r="T147" i="63"/>
  <c r="AO469" i="63" l="1"/>
  <c r="O470" i="63"/>
  <c r="AT469" i="63"/>
  <c r="AU469" i="63"/>
  <c r="N470" i="63"/>
  <c r="AV469" i="63"/>
  <c r="AG38" i="63"/>
  <c r="AE38" i="63"/>
  <c r="AF38" i="63" s="1"/>
  <c r="AL38" i="63"/>
  <c r="T148" i="63"/>
  <c r="R149" i="63"/>
  <c r="Q470" i="63" l="1"/>
  <c r="V470" i="63" s="1"/>
  <c r="M470" i="63"/>
  <c r="L470" i="63" s="1"/>
  <c r="AP470" i="63"/>
  <c r="AN470" i="63"/>
  <c r="AS470" i="63" s="1"/>
  <c r="P470" i="63"/>
  <c r="U470" i="63" s="1"/>
  <c r="AA39" i="63"/>
  <c r="Y39" i="63"/>
  <c r="AJ38" i="63"/>
  <c r="R150" i="63"/>
  <c r="T149" i="63"/>
  <c r="W470" i="63" l="1"/>
  <c r="AM470" i="63"/>
  <c r="Z470" i="63"/>
  <c r="AC39" i="63"/>
  <c r="AH39" i="63" s="1"/>
  <c r="AP39" i="63"/>
  <c r="AI39" i="63"/>
  <c r="AD39" i="63"/>
  <c r="R151" i="63"/>
  <c r="T150" i="63"/>
  <c r="AU470" i="63" l="1"/>
  <c r="O471" i="63"/>
  <c r="AO470" i="63"/>
  <c r="AT470" i="63"/>
  <c r="N471" i="63"/>
  <c r="AV470" i="63"/>
  <c r="AB39" i="63"/>
  <c r="R152" i="63"/>
  <c r="T151" i="63"/>
  <c r="M471" i="63" l="1"/>
  <c r="L471" i="63" s="1"/>
  <c r="Q471" i="63"/>
  <c r="V471" i="63" s="1"/>
  <c r="AN471" i="63"/>
  <c r="AS471" i="63" s="1"/>
  <c r="AP471" i="63"/>
  <c r="AG39" i="63"/>
  <c r="AE39" i="63"/>
  <c r="AF39" i="63" s="1"/>
  <c r="AL39" i="63"/>
  <c r="T152" i="63"/>
  <c r="R153" i="63"/>
  <c r="P471" i="63" l="1"/>
  <c r="AM471" i="63"/>
  <c r="Z471" i="63"/>
  <c r="AA40" i="63"/>
  <c r="Y40" i="63"/>
  <c r="AJ39" i="63"/>
  <c r="H10" i="1"/>
  <c r="I54" i="1" s="1"/>
  <c r="R154" i="63"/>
  <c r="T153" i="63"/>
  <c r="U471" i="63" l="1"/>
  <c r="W471" i="63"/>
  <c r="AC40" i="63"/>
  <c r="AH40" i="63" s="1"/>
  <c r="AI40" i="63"/>
  <c r="AP40" i="63"/>
  <c r="AD40" i="63"/>
  <c r="I55" i="1"/>
  <c r="I57" i="1" s="1"/>
  <c r="R155" i="63"/>
  <c r="T154" i="63"/>
  <c r="AT471" i="63" l="1"/>
  <c r="N472" i="63"/>
  <c r="AO471" i="63"/>
  <c r="O472" i="63"/>
  <c r="AU471" i="63"/>
  <c r="AV471" i="63"/>
  <c r="AB40" i="63"/>
  <c r="R156" i="63"/>
  <c r="T155" i="63"/>
  <c r="AN472" i="63" l="1"/>
  <c r="AS472" i="63" s="1"/>
  <c r="AP472" i="63"/>
  <c r="M472" i="63"/>
  <c r="L472" i="63" s="1"/>
  <c r="Q472" i="63"/>
  <c r="V472" i="63" s="1"/>
  <c r="AG40" i="63"/>
  <c r="AE40" i="63"/>
  <c r="AF40" i="63" s="1"/>
  <c r="AL40" i="63"/>
  <c r="T156" i="63"/>
  <c r="R157" i="63"/>
  <c r="AM472" i="63" l="1"/>
  <c r="Z472" i="63"/>
  <c r="P472" i="63"/>
  <c r="AA41" i="63"/>
  <c r="Y41" i="63"/>
  <c r="AJ40" i="63"/>
  <c r="R158" i="63"/>
  <c r="T157" i="63"/>
  <c r="U472" i="63" l="1"/>
  <c r="W472" i="63"/>
  <c r="AC41" i="63"/>
  <c r="AH41" i="63" s="1"/>
  <c r="AI41" i="63"/>
  <c r="AP41" i="63"/>
  <c r="AD41" i="63"/>
  <c r="R159" i="63"/>
  <c r="T158" i="63"/>
  <c r="O473" i="63" l="1"/>
  <c r="N473" i="63"/>
  <c r="AT472" i="63"/>
  <c r="AO472" i="63"/>
  <c r="AU472" i="63"/>
  <c r="AV472" i="63"/>
  <c r="AB41" i="63"/>
  <c r="AE41" i="63" s="1"/>
  <c r="AF41" i="63" s="1"/>
  <c r="R160" i="63"/>
  <c r="T159" i="63"/>
  <c r="M473" i="63" l="1"/>
  <c r="L473" i="63" s="1"/>
  <c r="Q473" i="63"/>
  <c r="V473" i="63" s="1"/>
  <c r="AN473" i="63"/>
  <c r="AS473" i="63" s="1"/>
  <c r="AP473" i="63"/>
  <c r="P473" i="63"/>
  <c r="U473" i="63" s="1"/>
  <c r="AL41" i="63"/>
  <c r="AA42" i="63" s="1"/>
  <c r="AG41" i="63"/>
  <c r="T160" i="63"/>
  <c r="R161" i="63"/>
  <c r="W473" i="63" l="1"/>
  <c r="AM473" i="63"/>
  <c r="Z473" i="63"/>
  <c r="Y42" i="63"/>
  <c r="AC42" i="63" s="1"/>
  <c r="AH42" i="63" s="1"/>
  <c r="AJ41" i="63"/>
  <c r="AI42" i="63"/>
  <c r="AP42" i="63"/>
  <c r="AD42" i="63"/>
  <c r="R162" i="63"/>
  <c r="T161" i="63"/>
  <c r="N474" i="63" l="1"/>
  <c r="AV473" i="63"/>
  <c r="O474" i="63"/>
  <c r="AO473" i="63"/>
  <c r="AU473" i="63"/>
  <c r="AT473" i="63"/>
  <c r="AB42" i="63"/>
  <c r="AE42" i="63" s="1"/>
  <c r="AF42" i="63" s="1"/>
  <c r="R163" i="63"/>
  <c r="T162" i="63"/>
  <c r="AP474" i="63" l="1"/>
  <c r="AN474" i="63"/>
  <c r="AS474" i="63" s="1"/>
  <c r="M474" i="63"/>
  <c r="L474" i="63" s="1"/>
  <c r="Q474" i="63"/>
  <c r="V474" i="63" s="1"/>
  <c r="AL42" i="63"/>
  <c r="AA43" i="63" s="1"/>
  <c r="AG42" i="63"/>
  <c r="R164" i="63"/>
  <c r="T163" i="63"/>
  <c r="Z474" i="63" l="1"/>
  <c r="AM474" i="63"/>
  <c r="P474" i="63"/>
  <c r="AJ42" i="63"/>
  <c r="Y43" i="63"/>
  <c r="AC43" i="63" s="1"/>
  <c r="AH43" i="63" s="1"/>
  <c r="AI43" i="63"/>
  <c r="AP43" i="63"/>
  <c r="AD43" i="63"/>
  <c r="T164" i="63"/>
  <c r="R165" i="63"/>
  <c r="U474" i="63" l="1"/>
  <c r="W474" i="63"/>
  <c r="AB43" i="63"/>
  <c r="AG43" i="63" s="1"/>
  <c r="R166" i="63"/>
  <c r="T165" i="63"/>
  <c r="AU474" i="63" l="1"/>
  <c r="N475" i="63"/>
  <c r="AV474" i="63"/>
  <c r="AT474" i="63"/>
  <c r="AO474" i="63"/>
  <c r="O475" i="63"/>
  <c r="AL43" i="63"/>
  <c r="AA44" i="63" s="1"/>
  <c r="AE43" i="63"/>
  <c r="AF43" i="63" s="1"/>
  <c r="R167" i="63"/>
  <c r="T166" i="63"/>
  <c r="AN475" i="63" l="1"/>
  <c r="AS475" i="63" s="1"/>
  <c r="AP475" i="63"/>
  <c r="M475" i="63"/>
  <c r="L475" i="63" s="1"/>
  <c r="Q475" i="63"/>
  <c r="V475" i="63" s="1"/>
  <c r="AJ43" i="63"/>
  <c r="Y44" i="63"/>
  <c r="AC44" i="63" s="1"/>
  <c r="AH44" i="63" s="1"/>
  <c r="AI44" i="63"/>
  <c r="AP44" i="63"/>
  <c r="AD44" i="63"/>
  <c r="R168" i="63"/>
  <c r="T167" i="63"/>
  <c r="AM475" i="63" l="1"/>
  <c r="Z475" i="63"/>
  <c r="P475" i="63"/>
  <c r="AB44" i="63"/>
  <c r="T168" i="63"/>
  <c r="R169" i="63"/>
  <c r="U475" i="63" l="1"/>
  <c r="W475" i="63"/>
  <c r="AG44" i="63"/>
  <c r="AE44" i="63"/>
  <c r="AF44" i="63" s="1"/>
  <c r="AL44" i="63"/>
  <c r="R170" i="63"/>
  <c r="T169" i="63"/>
  <c r="O476" i="63" l="1"/>
  <c r="AU475" i="63"/>
  <c r="AT475" i="63"/>
  <c r="N476" i="63"/>
  <c r="AO475" i="63"/>
  <c r="AV475" i="63"/>
  <c r="AA45" i="63"/>
  <c r="Y45" i="63"/>
  <c r="AJ44" i="63"/>
  <c r="R171" i="63"/>
  <c r="T170" i="63"/>
  <c r="M476" i="63" l="1"/>
  <c r="L476" i="63" s="1"/>
  <c r="Q476" i="63"/>
  <c r="V476" i="63" s="1"/>
  <c r="AN476" i="63"/>
  <c r="AS476" i="63" s="1"/>
  <c r="AP476" i="63"/>
  <c r="AC45" i="63"/>
  <c r="AH45" i="63" s="1"/>
  <c r="AI45" i="63"/>
  <c r="AP45" i="63"/>
  <c r="AD45" i="63"/>
  <c r="R172" i="63"/>
  <c r="T171" i="63"/>
  <c r="P476" i="63" l="1"/>
  <c r="W476" i="63"/>
  <c r="U476" i="63"/>
  <c r="Z476" i="63"/>
  <c r="AM476" i="63"/>
  <c r="AB45" i="63"/>
  <c r="AG45" i="63" s="1"/>
  <c r="T172" i="63"/>
  <c r="R173" i="63"/>
  <c r="AT476" i="63" l="1"/>
  <c r="N477" i="63"/>
  <c r="AU476" i="63"/>
  <c r="AO476" i="63"/>
  <c r="AV476" i="63"/>
  <c r="O477" i="63"/>
  <c r="AE45" i="63"/>
  <c r="AF45" i="63" s="1"/>
  <c r="AL45" i="63"/>
  <c r="Y46" i="63" s="1"/>
  <c r="R174" i="63"/>
  <c r="T173" i="63"/>
  <c r="AN477" i="63" l="1"/>
  <c r="AS477" i="63" s="1"/>
  <c r="AP477" i="63"/>
  <c r="M477" i="63"/>
  <c r="L477" i="63" s="1"/>
  <c r="Q477" i="63"/>
  <c r="V477" i="63" s="1"/>
  <c r="AA46" i="63"/>
  <c r="AP46" i="63" s="1"/>
  <c r="AJ45" i="63"/>
  <c r="AC46" i="63"/>
  <c r="AH46" i="63" s="1"/>
  <c r="R175" i="63"/>
  <c r="T174" i="63"/>
  <c r="Z477" i="63" l="1"/>
  <c r="AM477" i="63"/>
  <c r="P477" i="63"/>
  <c r="AI46" i="63"/>
  <c r="AD46" i="63"/>
  <c r="AB46" i="63"/>
  <c r="R176" i="63"/>
  <c r="T175" i="63"/>
  <c r="U477" i="63" l="1"/>
  <c r="W477" i="63"/>
  <c r="AE46" i="63"/>
  <c r="AF46" i="63" s="1"/>
  <c r="AG46" i="63"/>
  <c r="AL46" i="63"/>
  <c r="T176" i="63"/>
  <c r="R177" i="63"/>
  <c r="AO477" i="63" l="1"/>
  <c r="AV477" i="63"/>
  <c r="O478" i="63"/>
  <c r="N478" i="63"/>
  <c r="AT477" i="63"/>
  <c r="AU477" i="63"/>
  <c r="AA47" i="63"/>
  <c r="Y47" i="63"/>
  <c r="AJ46" i="63"/>
  <c r="R178" i="63"/>
  <c r="T177" i="63"/>
  <c r="M478" i="63" l="1"/>
  <c r="L478" i="63" s="1"/>
  <c r="Q478" i="63"/>
  <c r="V478" i="63" s="1"/>
  <c r="AP478" i="63"/>
  <c r="AN478" i="63"/>
  <c r="AS478" i="63" s="1"/>
  <c r="AC47" i="63"/>
  <c r="AH47" i="63" s="1"/>
  <c r="AI47" i="63"/>
  <c r="AP47" i="63"/>
  <c r="AD47" i="63"/>
  <c r="R179" i="63"/>
  <c r="T178" i="63"/>
  <c r="P478" i="63" l="1"/>
  <c r="Z478" i="63"/>
  <c r="AM478" i="63"/>
  <c r="AB47" i="63"/>
  <c r="R180" i="63"/>
  <c r="T179" i="63"/>
  <c r="U478" i="63" l="1"/>
  <c r="W478" i="63"/>
  <c r="AE47" i="63"/>
  <c r="AF47" i="63" s="1"/>
  <c r="AG47" i="63"/>
  <c r="AL47" i="63"/>
  <c r="T180" i="63"/>
  <c r="R181" i="63"/>
  <c r="N479" i="63" l="1"/>
  <c r="AU478" i="63"/>
  <c r="AV478" i="63"/>
  <c r="AO478" i="63"/>
  <c r="AT478" i="63"/>
  <c r="O479" i="63"/>
  <c r="AA48" i="63"/>
  <c r="Y48" i="63"/>
  <c r="AJ47" i="63"/>
  <c r="R182" i="63"/>
  <c r="T181" i="63"/>
  <c r="AN479" i="63" l="1"/>
  <c r="AS479" i="63" s="1"/>
  <c r="AP479" i="63"/>
  <c r="Q479" i="63"/>
  <c r="V479" i="63" s="1"/>
  <c r="M479" i="63"/>
  <c r="L479" i="63" s="1"/>
  <c r="AC48" i="63"/>
  <c r="AH48" i="63" s="1"/>
  <c r="AI48" i="63"/>
  <c r="AP48" i="63"/>
  <c r="AD48" i="63"/>
  <c r="R183" i="63"/>
  <c r="T182" i="63"/>
  <c r="Z479" i="63" l="1"/>
  <c r="AM479" i="63"/>
  <c r="P479" i="63"/>
  <c r="AB48" i="63"/>
  <c r="R184" i="63"/>
  <c r="T183" i="63"/>
  <c r="U479" i="63" l="1"/>
  <c r="W479" i="63"/>
  <c r="AE48" i="63"/>
  <c r="AF48" i="63" s="1"/>
  <c r="AG48" i="63"/>
  <c r="AL48" i="63"/>
  <c r="T184" i="63"/>
  <c r="R185" i="63"/>
  <c r="AT479" i="63" l="1"/>
  <c r="O480" i="63"/>
  <c r="N480" i="63"/>
  <c r="AV479" i="63"/>
  <c r="AU479" i="63"/>
  <c r="AO479" i="63"/>
  <c r="AA49" i="63"/>
  <c r="Y49" i="63"/>
  <c r="AJ48" i="63"/>
  <c r="R186" i="63"/>
  <c r="T185" i="63"/>
  <c r="Q480" i="63" l="1"/>
  <c r="V480" i="63" s="1"/>
  <c r="M480" i="63"/>
  <c r="L480" i="63" s="1"/>
  <c r="AN480" i="63"/>
  <c r="AS480" i="63" s="1"/>
  <c r="AP480" i="63"/>
  <c r="AC49" i="63"/>
  <c r="AH49" i="63" s="1"/>
  <c r="AI49" i="63"/>
  <c r="AP49" i="63"/>
  <c r="AD49" i="63"/>
  <c r="R187" i="63"/>
  <c r="T186" i="63"/>
  <c r="P480" i="63" l="1"/>
  <c r="AM480" i="63"/>
  <c r="Z480" i="63"/>
  <c r="AB49" i="63"/>
  <c r="R188" i="63"/>
  <c r="T187" i="63"/>
  <c r="U480" i="63" l="1"/>
  <c r="W480" i="63"/>
  <c r="AE49" i="63"/>
  <c r="AF49" i="63" s="1"/>
  <c r="AG49" i="63"/>
  <c r="AL49" i="63"/>
  <c r="T188" i="63"/>
  <c r="R189" i="63"/>
  <c r="AO480" i="63" l="1"/>
  <c r="O481" i="63"/>
  <c r="AU480" i="63"/>
  <c r="N481" i="63"/>
  <c r="AV480" i="63"/>
  <c r="AT480" i="63"/>
  <c r="AA50" i="63"/>
  <c r="Y50" i="63"/>
  <c r="AJ49" i="63"/>
  <c r="R190" i="63"/>
  <c r="T189" i="63"/>
  <c r="Q481" i="63" l="1"/>
  <c r="V481" i="63" s="1"/>
  <c r="M481" i="63"/>
  <c r="L481" i="63" s="1"/>
  <c r="AN481" i="63"/>
  <c r="AS481" i="63" s="1"/>
  <c r="AP481" i="63"/>
  <c r="AC50" i="63"/>
  <c r="AH50" i="63" s="1"/>
  <c r="AI50" i="63"/>
  <c r="AP50" i="63"/>
  <c r="AD50" i="63"/>
  <c r="R191" i="63"/>
  <c r="T190" i="63"/>
  <c r="P481" i="63" l="1"/>
  <c r="U481" i="63" s="1"/>
  <c r="W481" i="63"/>
  <c r="Z481" i="63"/>
  <c r="AM481" i="63"/>
  <c r="AB50" i="63"/>
  <c r="AG50" i="63" s="1"/>
  <c r="R192" i="63"/>
  <c r="T191" i="63"/>
  <c r="AO481" i="63" l="1"/>
  <c r="AT481" i="63"/>
  <c r="N482" i="63"/>
  <c r="O482" i="63"/>
  <c r="AV481" i="63"/>
  <c r="AU481" i="63"/>
  <c r="AE50" i="63"/>
  <c r="AF50" i="63" s="1"/>
  <c r="AL50" i="63"/>
  <c r="Y51" i="63" s="1"/>
  <c r="T192" i="63"/>
  <c r="R193" i="63"/>
  <c r="AN482" i="63" l="1"/>
  <c r="AS482" i="63" s="1"/>
  <c r="AP482" i="63"/>
  <c r="Q482" i="63"/>
  <c r="V482" i="63" s="1"/>
  <c r="M482" i="63"/>
  <c r="L482" i="63" s="1"/>
  <c r="AA51" i="63"/>
  <c r="AP51" i="63" s="1"/>
  <c r="AJ50" i="63"/>
  <c r="AC51" i="63"/>
  <c r="AH51" i="63" s="1"/>
  <c r="R194" i="63"/>
  <c r="T193" i="63"/>
  <c r="Z482" i="63" l="1"/>
  <c r="AM482" i="63"/>
  <c r="P482" i="63"/>
  <c r="AI51" i="63"/>
  <c r="AD51" i="63"/>
  <c r="AB51" i="63"/>
  <c r="R195" i="63"/>
  <c r="T194" i="63"/>
  <c r="U482" i="63" l="1"/>
  <c r="W482" i="63"/>
  <c r="AE51" i="63"/>
  <c r="AF51" i="63" s="1"/>
  <c r="AG51" i="63"/>
  <c r="AL51" i="63"/>
  <c r="R196" i="63"/>
  <c r="T195" i="63"/>
  <c r="AV482" i="63" l="1"/>
  <c r="AU482" i="63"/>
  <c r="AO482" i="63"/>
  <c r="N483" i="63"/>
  <c r="AT482" i="63"/>
  <c r="O483" i="63"/>
  <c r="AA52" i="63"/>
  <c r="AJ51" i="63"/>
  <c r="Y52" i="63"/>
  <c r="T196" i="63"/>
  <c r="R197" i="63"/>
  <c r="AN483" i="63" l="1"/>
  <c r="AS483" i="63" s="1"/>
  <c r="AP483" i="63"/>
  <c r="M483" i="63"/>
  <c r="L483" i="63" s="1"/>
  <c r="Q483" i="63"/>
  <c r="V483" i="63" s="1"/>
  <c r="AC52" i="63"/>
  <c r="AH52" i="63" s="1"/>
  <c r="AI52" i="63"/>
  <c r="AP52" i="63"/>
  <c r="AD52" i="63"/>
  <c r="R198" i="63"/>
  <c r="T197" i="63"/>
  <c r="AM483" i="63" l="1"/>
  <c r="Z483" i="63"/>
  <c r="P483" i="63"/>
  <c r="AB52" i="63"/>
  <c r="R199" i="63"/>
  <c r="T198" i="63"/>
  <c r="U483" i="63" l="1"/>
  <c r="W483" i="63"/>
  <c r="AE52" i="63"/>
  <c r="AF52" i="63" s="1"/>
  <c r="AG52" i="63"/>
  <c r="AL52" i="63"/>
  <c r="R200" i="63"/>
  <c r="T199" i="63"/>
  <c r="O484" i="63" l="1"/>
  <c r="N484" i="63"/>
  <c r="AV483" i="63"/>
  <c r="AU483" i="63"/>
  <c r="AT483" i="63"/>
  <c r="AO483" i="63"/>
  <c r="AA53" i="63"/>
  <c r="Y53" i="63"/>
  <c r="AJ52" i="63"/>
  <c r="T200" i="63"/>
  <c r="R201" i="63"/>
  <c r="M484" i="63" l="1"/>
  <c r="L484" i="63" s="1"/>
  <c r="Q484" i="63"/>
  <c r="V484" i="63" s="1"/>
  <c r="AN484" i="63"/>
  <c r="AS484" i="63" s="1"/>
  <c r="AP484" i="63"/>
  <c r="AC53" i="63"/>
  <c r="AH53" i="63" s="1"/>
  <c r="AI53" i="63"/>
  <c r="AP53" i="63"/>
  <c r="AD53" i="63"/>
  <c r="R202" i="63"/>
  <c r="T201" i="63"/>
  <c r="P484" i="63" l="1"/>
  <c r="Z484" i="63"/>
  <c r="AM484" i="63"/>
  <c r="AB53" i="63"/>
  <c r="R203" i="63"/>
  <c r="T202" i="63"/>
  <c r="U484" i="63" l="1"/>
  <c r="W484" i="63"/>
  <c r="AE53" i="63"/>
  <c r="AF53" i="63" s="1"/>
  <c r="AG53" i="63"/>
  <c r="AL53" i="63"/>
  <c r="R204" i="63"/>
  <c r="T203" i="63"/>
  <c r="N485" i="63" l="1"/>
  <c r="AO484" i="63"/>
  <c r="AU484" i="63"/>
  <c r="AT484" i="63"/>
  <c r="O485" i="63"/>
  <c r="AV484" i="63"/>
  <c r="AA54" i="63"/>
  <c r="Y54" i="63"/>
  <c r="AJ53" i="63"/>
  <c r="T204" i="63"/>
  <c r="R205" i="63"/>
  <c r="AN485" i="63" l="1"/>
  <c r="AS485" i="63" s="1"/>
  <c r="AP485" i="63"/>
  <c r="Q485" i="63"/>
  <c r="V485" i="63" s="1"/>
  <c r="M485" i="63"/>
  <c r="L485" i="63" s="1"/>
  <c r="AC54" i="63"/>
  <c r="AH54" i="63" s="1"/>
  <c r="AI54" i="63"/>
  <c r="AP54" i="63"/>
  <c r="AD54" i="63"/>
  <c r="R206" i="63"/>
  <c r="T205" i="63"/>
  <c r="AM485" i="63" l="1"/>
  <c r="Z485" i="63"/>
  <c r="P485" i="63"/>
  <c r="AB54" i="63"/>
  <c r="R207" i="63"/>
  <c r="T206" i="63"/>
  <c r="U485" i="63" l="1"/>
  <c r="W485" i="63"/>
  <c r="AE54" i="63"/>
  <c r="AF54" i="63" s="1"/>
  <c r="AG54" i="63"/>
  <c r="AL54" i="63"/>
  <c r="R208" i="63"/>
  <c r="T207" i="63"/>
  <c r="AU485" i="63" l="1"/>
  <c r="AV485" i="63"/>
  <c r="AT485" i="63"/>
  <c r="AO485" i="63"/>
  <c r="N486" i="63"/>
  <c r="O486" i="63"/>
  <c r="AA55" i="63"/>
  <c r="Y55" i="63"/>
  <c r="AJ54" i="63"/>
  <c r="T208" i="63"/>
  <c r="R209" i="63"/>
  <c r="AP486" i="63" l="1"/>
  <c r="AN486" i="63"/>
  <c r="AS486" i="63" s="1"/>
  <c r="M486" i="63"/>
  <c r="L486" i="63" s="1"/>
  <c r="Q486" i="63"/>
  <c r="V486" i="63" s="1"/>
  <c r="AC55" i="63"/>
  <c r="AH55" i="63" s="1"/>
  <c r="AI55" i="63"/>
  <c r="AP55" i="63"/>
  <c r="AD55" i="63"/>
  <c r="R210" i="63"/>
  <c r="T209" i="63"/>
  <c r="AM486" i="63" l="1"/>
  <c r="Z486" i="63"/>
  <c r="P486" i="63"/>
  <c r="AB55" i="63"/>
  <c r="R211" i="63"/>
  <c r="T210" i="63"/>
  <c r="U486" i="63" l="1"/>
  <c r="W486" i="63"/>
  <c r="AE55" i="63"/>
  <c r="AF55" i="63" s="1"/>
  <c r="AG55" i="63"/>
  <c r="AL55" i="63"/>
  <c r="R212" i="63"/>
  <c r="T211" i="63"/>
  <c r="N487" i="63" l="1"/>
  <c r="AT486" i="63"/>
  <c r="AO486" i="63"/>
  <c r="O487" i="63"/>
  <c r="AV486" i="63"/>
  <c r="AU486" i="63"/>
  <c r="AA56" i="63"/>
  <c r="Y56" i="63"/>
  <c r="AJ55" i="63"/>
  <c r="T212" i="63"/>
  <c r="R213" i="63"/>
  <c r="AP487" i="63" l="1"/>
  <c r="AN487" i="63"/>
  <c r="AS487" i="63" s="1"/>
  <c r="M487" i="63"/>
  <c r="L487" i="63" s="1"/>
  <c r="Q487" i="63"/>
  <c r="V487" i="63" s="1"/>
  <c r="AC56" i="63"/>
  <c r="AH56" i="63" s="1"/>
  <c r="AI56" i="63"/>
  <c r="AP56" i="63"/>
  <c r="AD56" i="63"/>
  <c r="R214" i="63"/>
  <c r="T213" i="63"/>
  <c r="AM487" i="63" l="1"/>
  <c r="Z487" i="63"/>
  <c r="P487" i="63"/>
  <c r="AB56" i="63"/>
  <c r="AG56" i="63" s="1"/>
  <c r="R215" i="63"/>
  <c r="T214" i="63"/>
  <c r="U487" i="63" l="1"/>
  <c r="W487" i="63"/>
  <c r="AE56" i="63"/>
  <c r="AF56" i="63" s="1"/>
  <c r="AL56" i="63"/>
  <c r="AA57" i="63" s="1"/>
  <c r="R216" i="63"/>
  <c r="T215" i="63"/>
  <c r="AU487" i="63" l="1"/>
  <c r="O488" i="63"/>
  <c r="AO487" i="63"/>
  <c r="AT487" i="63"/>
  <c r="N488" i="63"/>
  <c r="AV487" i="63"/>
  <c r="AJ56" i="63"/>
  <c r="Y57" i="63"/>
  <c r="AC57" i="63" s="1"/>
  <c r="AH57" i="63" s="1"/>
  <c r="AI57" i="63"/>
  <c r="AP57" i="63"/>
  <c r="AD57" i="63"/>
  <c r="T216" i="63"/>
  <c r="R217" i="63"/>
  <c r="Q488" i="63" l="1"/>
  <c r="V488" i="63" s="1"/>
  <c r="M488" i="63"/>
  <c r="L488" i="63" s="1"/>
  <c r="AN488" i="63"/>
  <c r="AS488" i="63" s="1"/>
  <c r="AP488" i="63"/>
  <c r="AB57" i="63"/>
  <c r="R218" i="63"/>
  <c r="T217" i="63"/>
  <c r="P488" i="63" l="1"/>
  <c r="Z488" i="63"/>
  <c r="AM488" i="63"/>
  <c r="AG57" i="63"/>
  <c r="AE57" i="63"/>
  <c r="AF57" i="63" s="1"/>
  <c r="AL57" i="63"/>
  <c r="R219" i="63"/>
  <c r="T218" i="63"/>
  <c r="U488" i="63" l="1"/>
  <c r="W488" i="63"/>
  <c r="AA58" i="63"/>
  <c r="Y58" i="63"/>
  <c r="AJ57" i="63"/>
  <c r="R220" i="63"/>
  <c r="T219" i="63"/>
  <c r="AV488" i="63" l="1"/>
  <c r="AT488" i="63"/>
  <c r="O489" i="63"/>
  <c r="AU488" i="63"/>
  <c r="N489" i="63"/>
  <c r="AO488" i="63"/>
  <c r="AC58" i="63"/>
  <c r="AH58" i="63" s="1"/>
  <c r="AP58" i="63"/>
  <c r="AD58" i="63"/>
  <c r="AI58" i="63"/>
  <c r="T220" i="63"/>
  <c r="R221" i="63"/>
  <c r="M489" i="63" l="1"/>
  <c r="L489" i="63" s="1"/>
  <c r="Q489" i="63"/>
  <c r="V489" i="63" s="1"/>
  <c r="AP489" i="63"/>
  <c r="AN489" i="63"/>
  <c r="AS489" i="63" s="1"/>
  <c r="AB58" i="63"/>
  <c r="R222" i="63"/>
  <c r="T221" i="63"/>
  <c r="P489" i="63" l="1"/>
  <c r="U489" i="63" s="1"/>
  <c r="W489" i="63"/>
  <c r="Z489" i="63"/>
  <c r="AM489" i="63"/>
  <c r="AE58" i="63"/>
  <c r="AF58" i="63" s="1"/>
  <c r="AG58" i="63"/>
  <c r="AL58" i="63"/>
  <c r="R223" i="63"/>
  <c r="T222" i="63"/>
  <c r="AV489" i="63" l="1"/>
  <c r="AO489" i="63"/>
  <c r="N490" i="63"/>
  <c r="AT489" i="63"/>
  <c r="O490" i="63"/>
  <c r="AU489" i="63"/>
  <c r="AJ58" i="63"/>
  <c r="AA59" i="63"/>
  <c r="Y59" i="63"/>
  <c r="R224" i="63"/>
  <c r="T223" i="63"/>
  <c r="AP490" i="63" l="1"/>
  <c r="AN490" i="63"/>
  <c r="AS490" i="63" s="1"/>
  <c r="M490" i="63"/>
  <c r="L490" i="63" s="1"/>
  <c r="Q490" i="63"/>
  <c r="V490" i="63" s="1"/>
  <c r="AC59" i="63"/>
  <c r="AH59" i="63" s="1"/>
  <c r="AP59" i="63"/>
  <c r="AI59" i="63"/>
  <c r="AD59" i="63"/>
  <c r="AD60" i="63" s="1"/>
  <c r="AD61" i="63" s="1"/>
  <c r="AD62" i="63" s="1"/>
  <c r="AD63" i="63" s="1"/>
  <c r="AD64" i="63" s="1"/>
  <c r="AD65" i="63" s="1"/>
  <c r="AD66" i="63" s="1"/>
  <c r="AD67" i="63" s="1"/>
  <c r="AD68" i="63" s="1"/>
  <c r="AD69" i="63" s="1"/>
  <c r="AD70" i="63" s="1"/>
  <c r="AD71" i="63" s="1"/>
  <c r="AD72" i="63" s="1"/>
  <c r="AD73" i="63" s="1"/>
  <c r="AD74" i="63" s="1"/>
  <c r="AD75" i="63" s="1"/>
  <c r="AD76" i="63" s="1"/>
  <c r="AD77" i="63" s="1"/>
  <c r="AD78" i="63" s="1"/>
  <c r="AD79" i="63" s="1"/>
  <c r="AD80" i="63" s="1"/>
  <c r="AD81" i="63" s="1"/>
  <c r="AD82" i="63" s="1"/>
  <c r="AD83" i="63" s="1"/>
  <c r="AD84" i="63" s="1"/>
  <c r="AD85" i="63" s="1"/>
  <c r="AD86" i="63" s="1"/>
  <c r="AD87" i="63" s="1"/>
  <c r="AD88" i="63" s="1"/>
  <c r="AD89" i="63" s="1"/>
  <c r="AD90" i="63" s="1"/>
  <c r="AD91" i="63" s="1"/>
  <c r="AD92" i="63" s="1"/>
  <c r="AD93" i="63" s="1"/>
  <c r="AD94" i="63" s="1"/>
  <c r="AD95" i="63" s="1"/>
  <c r="AD96" i="63" s="1"/>
  <c r="AD97" i="63" s="1"/>
  <c r="AD98" i="63" s="1"/>
  <c r="AD99" i="63" s="1"/>
  <c r="AD100" i="63" s="1"/>
  <c r="AD101" i="63" s="1"/>
  <c r="AD102" i="63" s="1"/>
  <c r="AD103" i="63" s="1"/>
  <c r="AD104" i="63" s="1"/>
  <c r="AD105" i="63" s="1"/>
  <c r="AD106" i="63" s="1"/>
  <c r="AD107" i="63" s="1"/>
  <c r="AD108" i="63" s="1"/>
  <c r="AD109" i="63" s="1"/>
  <c r="AD110" i="63" s="1"/>
  <c r="AD111" i="63" s="1"/>
  <c r="AD112" i="63" s="1"/>
  <c r="AD113" i="63" s="1"/>
  <c r="AD114" i="63" s="1"/>
  <c r="AD115" i="63" s="1"/>
  <c r="AD116" i="63" s="1"/>
  <c r="AD117" i="63" s="1"/>
  <c r="AD118" i="63" s="1"/>
  <c r="AD119" i="63" s="1"/>
  <c r="AD120" i="63" s="1"/>
  <c r="AD121" i="63" s="1"/>
  <c r="AD122" i="63" s="1"/>
  <c r="AD123" i="63" s="1"/>
  <c r="AD124" i="63" s="1"/>
  <c r="AD125" i="63" s="1"/>
  <c r="AD126" i="63" s="1"/>
  <c r="AD127" i="63" s="1"/>
  <c r="AD128" i="63" s="1"/>
  <c r="AD129" i="63" s="1"/>
  <c r="AD130" i="63" s="1"/>
  <c r="AD131" i="63" s="1"/>
  <c r="AD132" i="63" s="1"/>
  <c r="AD133" i="63" s="1"/>
  <c r="AD134" i="63" s="1"/>
  <c r="AD135" i="63" s="1"/>
  <c r="AD136" i="63" s="1"/>
  <c r="AD137" i="63" s="1"/>
  <c r="AD138" i="63" s="1"/>
  <c r="AD139" i="63" s="1"/>
  <c r="AD140" i="63" s="1"/>
  <c r="AD141" i="63" s="1"/>
  <c r="AD142" i="63" s="1"/>
  <c r="AD143" i="63" s="1"/>
  <c r="AD144" i="63" s="1"/>
  <c r="AD145" i="63" s="1"/>
  <c r="AD146" i="63" s="1"/>
  <c r="AD147" i="63" s="1"/>
  <c r="AD148" i="63" s="1"/>
  <c r="AD149" i="63" s="1"/>
  <c r="AD150" i="63" s="1"/>
  <c r="AD151" i="63" s="1"/>
  <c r="AD152" i="63" s="1"/>
  <c r="AD153" i="63" s="1"/>
  <c r="AD154" i="63" s="1"/>
  <c r="AD155" i="63" s="1"/>
  <c r="AD156" i="63" s="1"/>
  <c r="AD157" i="63" s="1"/>
  <c r="AD158" i="63" s="1"/>
  <c r="AD159" i="63" s="1"/>
  <c r="AD160" i="63" s="1"/>
  <c r="AD161" i="63" s="1"/>
  <c r="AD162" i="63" s="1"/>
  <c r="AD163" i="63" s="1"/>
  <c r="AD164" i="63" s="1"/>
  <c r="AD165" i="63" s="1"/>
  <c r="AD166" i="63" s="1"/>
  <c r="AD167" i="63" s="1"/>
  <c r="AD168" i="63" s="1"/>
  <c r="AD169" i="63" s="1"/>
  <c r="AD170" i="63" s="1"/>
  <c r="AD171" i="63" s="1"/>
  <c r="AD172" i="63" s="1"/>
  <c r="AD173" i="63" s="1"/>
  <c r="AD174" i="63" s="1"/>
  <c r="AD175" i="63" s="1"/>
  <c r="AD176" i="63" s="1"/>
  <c r="AD177" i="63" s="1"/>
  <c r="AD178" i="63" s="1"/>
  <c r="AD179" i="63" s="1"/>
  <c r="AD180" i="63" s="1"/>
  <c r="AD181" i="63" s="1"/>
  <c r="AD182" i="63" s="1"/>
  <c r="AD183" i="63" s="1"/>
  <c r="AD184" i="63" s="1"/>
  <c r="AD185" i="63" s="1"/>
  <c r="AD186" i="63" s="1"/>
  <c r="AD187" i="63" s="1"/>
  <c r="AD188" i="63" s="1"/>
  <c r="AD189" i="63" s="1"/>
  <c r="AD190" i="63" s="1"/>
  <c r="AD191" i="63" s="1"/>
  <c r="AD192" i="63" s="1"/>
  <c r="AD193" i="63" s="1"/>
  <c r="AD194" i="63" s="1"/>
  <c r="AD195" i="63" s="1"/>
  <c r="AD196" i="63" s="1"/>
  <c r="AD197" i="63" s="1"/>
  <c r="AD198" i="63" s="1"/>
  <c r="AD199" i="63" s="1"/>
  <c r="AD200" i="63" s="1"/>
  <c r="AD201" i="63" s="1"/>
  <c r="AD202" i="63" s="1"/>
  <c r="AD203" i="63" s="1"/>
  <c r="AD204" i="63" s="1"/>
  <c r="AD205" i="63" s="1"/>
  <c r="AD206" i="63" s="1"/>
  <c r="AD207" i="63" s="1"/>
  <c r="AD208" i="63" s="1"/>
  <c r="AD209" i="63" s="1"/>
  <c r="AD210" i="63" s="1"/>
  <c r="AD211" i="63" s="1"/>
  <c r="AD212" i="63" s="1"/>
  <c r="AD213" i="63" s="1"/>
  <c r="AD214" i="63" s="1"/>
  <c r="AD215" i="63" s="1"/>
  <c r="AD216" i="63" s="1"/>
  <c r="AD217" i="63" s="1"/>
  <c r="AD218" i="63" s="1"/>
  <c r="AD219" i="63" s="1"/>
  <c r="AD220" i="63" s="1"/>
  <c r="AD221" i="63" s="1"/>
  <c r="AD222" i="63" s="1"/>
  <c r="AD223" i="63" s="1"/>
  <c r="AD224" i="63" s="1"/>
  <c r="AD225" i="63" s="1"/>
  <c r="AD226" i="63" s="1"/>
  <c r="AD227" i="63" s="1"/>
  <c r="AD228" i="63" s="1"/>
  <c r="AD229" i="63" s="1"/>
  <c r="AD230" i="63" s="1"/>
  <c r="AD231" i="63" s="1"/>
  <c r="AD232" i="63" s="1"/>
  <c r="AD233" i="63" s="1"/>
  <c r="AD234" i="63" s="1"/>
  <c r="AD235" i="63" s="1"/>
  <c r="AD236" i="63" s="1"/>
  <c r="AD237" i="63" s="1"/>
  <c r="AD238" i="63" s="1"/>
  <c r="AD239" i="63" s="1"/>
  <c r="AD240" i="63" s="1"/>
  <c r="AD241" i="63" s="1"/>
  <c r="AD242" i="63" s="1"/>
  <c r="AD243" i="63" s="1"/>
  <c r="AD244" i="63" s="1"/>
  <c r="AD245" i="63" s="1"/>
  <c r="AD246" i="63" s="1"/>
  <c r="AD247" i="63" s="1"/>
  <c r="AD248" i="63" s="1"/>
  <c r="AD249" i="63" s="1"/>
  <c r="AD250" i="63" s="1"/>
  <c r="AD251" i="63" s="1"/>
  <c r="AD252" i="63" s="1"/>
  <c r="AD253" i="63" s="1"/>
  <c r="AD254" i="63" s="1"/>
  <c r="AD255" i="63" s="1"/>
  <c r="AD256" i="63" s="1"/>
  <c r="AD257" i="63" s="1"/>
  <c r="AD258" i="63" s="1"/>
  <c r="AD259" i="63" s="1"/>
  <c r="AD260" i="63" s="1"/>
  <c r="AD261" i="63" s="1"/>
  <c r="AD262" i="63" s="1"/>
  <c r="AD263" i="63" s="1"/>
  <c r="AD264" i="63" s="1"/>
  <c r="AD265" i="63" s="1"/>
  <c r="AD266" i="63" s="1"/>
  <c r="AD267" i="63" s="1"/>
  <c r="AD268" i="63" s="1"/>
  <c r="AD269" i="63" s="1"/>
  <c r="AD270" i="63" s="1"/>
  <c r="AD271" i="63" s="1"/>
  <c r="AD272" i="63" s="1"/>
  <c r="AD273" i="63" s="1"/>
  <c r="AD274" i="63" s="1"/>
  <c r="AD275" i="63" s="1"/>
  <c r="AD276" i="63" s="1"/>
  <c r="AD277" i="63" s="1"/>
  <c r="AD278" i="63" s="1"/>
  <c r="AD279" i="63" s="1"/>
  <c r="AD280" i="63" s="1"/>
  <c r="AD281" i="63" s="1"/>
  <c r="AD282" i="63" s="1"/>
  <c r="AD283" i="63" s="1"/>
  <c r="AD284" i="63" s="1"/>
  <c r="AD285" i="63" s="1"/>
  <c r="AD286" i="63" s="1"/>
  <c r="AD287" i="63" s="1"/>
  <c r="AD288" i="63" s="1"/>
  <c r="AD289" i="63" s="1"/>
  <c r="AD290" i="63" s="1"/>
  <c r="AD291" i="63" s="1"/>
  <c r="AD292" i="63" s="1"/>
  <c r="AD293" i="63" s="1"/>
  <c r="AD294" i="63" s="1"/>
  <c r="AD295" i="63" s="1"/>
  <c r="AD296" i="63" s="1"/>
  <c r="AD297" i="63" s="1"/>
  <c r="AD298" i="63" s="1"/>
  <c r="AD299" i="63" s="1"/>
  <c r="AD300" i="63" s="1"/>
  <c r="AD301" i="63" s="1"/>
  <c r="AD302" i="63" s="1"/>
  <c r="AD303" i="63" s="1"/>
  <c r="AD304" i="63" s="1"/>
  <c r="AD305" i="63" s="1"/>
  <c r="AD306" i="63" s="1"/>
  <c r="AD307" i="63" s="1"/>
  <c r="AD308" i="63" s="1"/>
  <c r="AD309" i="63" s="1"/>
  <c r="AD310" i="63" s="1"/>
  <c r="AD311" i="63" s="1"/>
  <c r="AD312" i="63" s="1"/>
  <c r="AD313" i="63" s="1"/>
  <c r="AD314" i="63" s="1"/>
  <c r="AD315" i="63" s="1"/>
  <c r="AD316" i="63" s="1"/>
  <c r="AD317" i="63" s="1"/>
  <c r="AD318" i="63" s="1"/>
  <c r="AD319" i="63" s="1"/>
  <c r="AD320" i="63" s="1"/>
  <c r="AD321" i="63" s="1"/>
  <c r="AD322" i="63" s="1"/>
  <c r="AD323" i="63" s="1"/>
  <c r="AD324" i="63" s="1"/>
  <c r="AD325" i="63" s="1"/>
  <c r="AD326" i="63" s="1"/>
  <c r="AD327" i="63" s="1"/>
  <c r="AD328" i="63" s="1"/>
  <c r="AD329" i="63" s="1"/>
  <c r="AD330" i="63" s="1"/>
  <c r="AD331" i="63" s="1"/>
  <c r="AD332" i="63" s="1"/>
  <c r="AD333" i="63" s="1"/>
  <c r="AD334" i="63" s="1"/>
  <c r="AD335" i="63" s="1"/>
  <c r="AD336" i="63" s="1"/>
  <c r="AD337" i="63" s="1"/>
  <c r="AD338" i="63" s="1"/>
  <c r="AD339" i="63" s="1"/>
  <c r="AD340" i="63" s="1"/>
  <c r="AD341" i="63" s="1"/>
  <c r="AD342" i="63" s="1"/>
  <c r="AD343" i="63" s="1"/>
  <c r="AD344" i="63" s="1"/>
  <c r="AD345" i="63" s="1"/>
  <c r="AD346" i="63" s="1"/>
  <c r="AD347" i="63" s="1"/>
  <c r="AD348" i="63" s="1"/>
  <c r="AD349" i="63" s="1"/>
  <c r="AD350" i="63" s="1"/>
  <c r="AD351" i="63" s="1"/>
  <c r="AD352" i="63" s="1"/>
  <c r="AD353" i="63" s="1"/>
  <c r="AD354" i="63" s="1"/>
  <c r="AD355" i="63" s="1"/>
  <c r="AD356" i="63" s="1"/>
  <c r="AD357" i="63" s="1"/>
  <c r="AD358" i="63" s="1"/>
  <c r="AD359" i="63" s="1"/>
  <c r="AD360" i="63" s="1"/>
  <c r="AD361" i="63" s="1"/>
  <c r="AD362" i="63" s="1"/>
  <c r="AD363" i="63" s="1"/>
  <c r="AD364" i="63" s="1"/>
  <c r="AD365" i="63" s="1"/>
  <c r="AD366" i="63" s="1"/>
  <c r="AD367" i="63" s="1"/>
  <c r="AD368" i="63" s="1"/>
  <c r="AD369" i="63" s="1"/>
  <c r="AD370" i="63" s="1"/>
  <c r="AD371" i="63" s="1"/>
  <c r="AD372" i="63" s="1"/>
  <c r="AD373" i="63" s="1"/>
  <c r="AD374" i="63" s="1"/>
  <c r="AD375" i="63" s="1"/>
  <c r="AD376" i="63" s="1"/>
  <c r="AD377" i="63" s="1"/>
  <c r="AD378" i="63" s="1"/>
  <c r="AD379" i="63" s="1"/>
  <c r="AD380" i="63" s="1"/>
  <c r="AD381" i="63" s="1"/>
  <c r="AD382" i="63" s="1"/>
  <c r="AD383" i="63" s="1"/>
  <c r="AD384" i="63" s="1"/>
  <c r="AD385" i="63" s="1"/>
  <c r="AD386" i="63" s="1"/>
  <c r="AD387" i="63" s="1"/>
  <c r="AD388" i="63" s="1"/>
  <c r="AD389" i="63" s="1"/>
  <c r="AD390" i="63" s="1"/>
  <c r="AD391" i="63" s="1"/>
  <c r="AD392" i="63" s="1"/>
  <c r="AD393" i="63" s="1"/>
  <c r="AD394" i="63" s="1"/>
  <c r="AD395" i="63" s="1"/>
  <c r="AD396" i="63" s="1"/>
  <c r="AD397" i="63" s="1"/>
  <c r="AD398" i="63" s="1"/>
  <c r="AD399" i="63" s="1"/>
  <c r="AD400" i="63" s="1"/>
  <c r="AD401" i="63" s="1"/>
  <c r="AD402" i="63" s="1"/>
  <c r="AD403" i="63" s="1"/>
  <c r="AD404" i="63" s="1"/>
  <c r="AD405" i="63" s="1"/>
  <c r="AD406" i="63" s="1"/>
  <c r="AD407" i="63" s="1"/>
  <c r="AD408" i="63" s="1"/>
  <c r="AD409" i="63" s="1"/>
  <c r="AD410" i="63" s="1"/>
  <c r="AD411" i="63" s="1"/>
  <c r="AD412" i="63" s="1"/>
  <c r="AD413" i="63" s="1"/>
  <c r="AD414" i="63" s="1"/>
  <c r="AD415" i="63" s="1"/>
  <c r="AD416" i="63" s="1"/>
  <c r="AD417" i="63" s="1"/>
  <c r="AD418" i="63" s="1"/>
  <c r="AD419" i="63" s="1"/>
  <c r="AD420" i="63" s="1"/>
  <c r="AD421" i="63" s="1"/>
  <c r="AD422" i="63" s="1"/>
  <c r="AD423" i="63" s="1"/>
  <c r="AD424" i="63" s="1"/>
  <c r="AD425" i="63" s="1"/>
  <c r="AD426" i="63" s="1"/>
  <c r="AD427" i="63" s="1"/>
  <c r="AD428" i="63" s="1"/>
  <c r="AD429" i="63" s="1"/>
  <c r="AD430" i="63" s="1"/>
  <c r="AD431" i="63" s="1"/>
  <c r="AD432" i="63" s="1"/>
  <c r="AD433" i="63" s="1"/>
  <c r="AD434" i="63" s="1"/>
  <c r="AD435" i="63" s="1"/>
  <c r="AD436" i="63" s="1"/>
  <c r="AD437" i="63" s="1"/>
  <c r="AD438" i="63" s="1"/>
  <c r="AD439" i="63" s="1"/>
  <c r="AD440" i="63" s="1"/>
  <c r="AD441" i="63" s="1"/>
  <c r="AD442" i="63" s="1"/>
  <c r="AD443" i="63" s="1"/>
  <c r="AD444" i="63" s="1"/>
  <c r="AD445" i="63" s="1"/>
  <c r="AD446" i="63" s="1"/>
  <c r="AD447" i="63" s="1"/>
  <c r="AD448" i="63" s="1"/>
  <c r="AD449" i="63" s="1"/>
  <c r="AD450" i="63" s="1"/>
  <c r="AD451" i="63" s="1"/>
  <c r="AD452" i="63" s="1"/>
  <c r="AD453" i="63" s="1"/>
  <c r="AD454" i="63" s="1"/>
  <c r="AD455" i="63" s="1"/>
  <c r="AD456" i="63" s="1"/>
  <c r="AD457" i="63" s="1"/>
  <c r="AD458" i="63" s="1"/>
  <c r="AD459" i="63" s="1"/>
  <c r="AD460" i="63" s="1"/>
  <c r="AD461" i="63" s="1"/>
  <c r="AD462" i="63" s="1"/>
  <c r="AD463" i="63" s="1"/>
  <c r="AD464" i="63" s="1"/>
  <c r="AD465" i="63" s="1"/>
  <c r="AD466" i="63" s="1"/>
  <c r="AD467" i="63" s="1"/>
  <c r="AD468" i="63" s="1"/>
  <c r="AD469" i="63" s="1"/>
  <c r="AD470" i="63" s="1"/>
  <c r="AD471" i="63" s="1"/>
  <c r="AD472" i="63" s="1"/>
  <c r="AD473" i="63" s="1"/>
  <c r="AD474" i="63" s="1"/>
  <c r="AD475" i="63" s="1"/>
  <c r="AD476" i="63" s="1"/>
  <c r="AD477" i="63" s="1"/>
  <c r="AD478" i="63" s="1"/>
  <c r="AD479" i="63" s="1"/>
  <c r="AD480" i="63" s="1"/>
  <c r="AD481" i="63" s="1"/>
  <c r="AD482" i="63" s="1"/>
  <c r="AD483" i="63" s="1"/>
  <c r="AD484" i="63" s="1"/>
  <c r="AD485" i="63" s="1"/>
  <c r="AD486" i="63" s="1"/>
  <c r="AD487" i="63" s="1"/>
  <c r="AD488" i="63" s="1"/>
  <c r="AD489" i="63" s="1"/>
  <c r="AD490" i="63" s="1"/>
  <c r="AD491" i="63" s="1"/>
  <c r="T224" i="63"/>
  <c r="R225" i="63"/>
  <c r="Z490" i="63" l="1"/>
  <c r="AM490" i="63"/>
  <c r="P490" i="63"/>
  <c r="AB59" i="63"/>
  <c r="AE59" i="63" s="1"/>
  <c r="AE60" i="63" s="1"/>
  <c r="AE61" i="63" s="1"/>
  <c r="AE62" i="63" s="1"/>
  <c r="AE63" i="63" s="1"/>
  <c r="AE64" i="63" s="1"/>
  <c r="AE65" i="63" s="1"/>
  <c r="AE66" i="63" s="1"/>
  <c r="AE67" i="63" s="1"/>
  <c r="AE68" i="63" s="1"/>
  <c r="AE69" i="63" s="1"/>
  <c r="AE70" i="63" s="1"/>
  <c r="AE71" i="63" s="1"/>
  <c r="AE72" i="63" s="1"/>
  <c r="AE73" i="63" s="1"/>
  <c r="AE74" i="63" s="1"/>
  <c r="AE75" i="63" s="1"/>
  <c r="AE76" i="63" s="1"/>
  <c r="AE77" i="63" s="1"/>
  <c r="AE78" i="63" s="1"/>
  <c r="AE79" i="63" s="1"/>
  <c r="AE80" i="63" s="1"/>
  <c r="AE81" i="63" s="1"/>
  <c r="AE82" i="63" s="1"/>
  <c r="AE83" i="63" s="1"/>
  <c r="AE84" i="63" s="1"/>
  <c r="AE85" i="63" s="1"/>
  <c r="AE86" i="63" s="1"/>
  <c r="AE87" i="63" s="1"/>
  <c r="AE88" i="63" s="1"/>
  <c r="AE89" i="63" s="1"/>
  <c r="AE90" i="63" s="1"/>
  <c r="AE91" i="63" s="1"/>
  <c r="AE92" i="63" s="1"/>
  <c r="AE93" i="63" s="1"/>
  <c r="AE94" i="63" s="1"/>
  <c r="AE95" i="63" s="1"/>
  <c r="AE96" i="63" s="1"/>
  <c r="AE97" i="63" s="1"/>
  <c r="AE98" i="63" s="1"/>
  <c r="AE99" i="63" s="1"/>
  <c r="AE100" i="63" s="1"/>
  <c r="AE101" i="63" s="1"/>
  <c r="AE102" i="63" s="1"/>
  <c r="AE103" i="63" s="1"/>
  <c r="AE104" i="63" s="1"/>
  <c r="AE105" i="63" s="1"/>
  <c r="AE106" i="63" s="1"/>
  <c r="AE107" i="63" s="1"/>
  <c r="AE108" i="63" s="1"/>
  <c r="AE109" i="63" s="1"/>
  <c r="AE110" i="63" s="1"/>
  <c r="AE111" i="63" s="1"/>
  <c r="AE112" i="63" s="1"/>
  <c r="AE113" i="63" s="1"/>
  <c r="AE114" i="63" s="1"/>
  <c r="AE115" i="63" s="1"/>
  <c r="AE116" i="63" s="1"/>
  <c r="AE117" i="63" s="1"/>
  <c r="AE118" i="63" s="1"/>
  <c r="AE119" i="63" s="1"/>
  <c r="AE120" i="63" s="1"/>
  <c r="AE121" i="63" s="1"/>
  <c r="AE122" i="63" s="1"/>
  <c r="AE123" i="63" s="1"/>
  <c r="AE124" i="63" s="1"/>
  <c r="AE125" i="63" s="1"/>
  <c r="AE126" i="63" s="1"/>
  <c r="AE127" i="63" s="1"/>
  <c r="AE128" i="63" s="1"/>
  <c r="AE129" i="63" s="1"/>
  <c r="AE130" i="63" s="1"/>
  <c r="AE131" i="63" s="1"/>
  <c r="AE132" i="63" s="1"/>
  <c r="AE133" i="63" s="1"/>
  <c r="AE134" i="63" s="1"/>
  <c r="AE135" i="63" s="1"/>
  <c r="AE136" i="63" s="1"/>
  <c r="AE137" i="63" s="1"/>
  <c r="AE138" i="63" s="1"/>
  <c r="AE139" i="63" s="1"/>
  <c r="AE140" i="63" s="1"/>
  <c r="AE141" i="63" s="1"/>
  <c r="AE142" i="63" s="1"/>
  <c r="AE143" i="63" s="1"/>
  <c r="AE144" i="63" s="1"/>
  <c r="AE145" i="63" s="1"/>
  <c r="AE146" i="63" s="1"/>
  <c r="AE147" i="63" s="1"/>
  <c r="AE148" i="63" s="1"/>
  <c r="AE149" i="63" s="1"/>
  <c r="AE150" i="63" s="1"/>
  <c r="AE151" i="63" s="1"/>
  <c r="AE152" i="63" s="1"/>
  <c r="AE153" i="63" s="1"/>
  <c r="AE154" i="63" s="1"/>
  <c r="AE155" i="63" s="1"/>
  <c r="AE156" i="63" s="1"/>
  <c r="AE157" i="63" s="1"/>
  <c r="AE158" i="63" s="1"/>
  <c r="AE159" i="63" s="1"/>
  <c r="AE160" i="63" s="1"/>
  <c r="AE161" i="63" s="1"/>
  <c r="AE162" i="63" s="1"/>
  <c r="AE163" i="63" s="1"/>
  <c r="AE164" i="63" s="1"/>
  <c r="AE165" i="63" s="1"/>
  <c r="AE166" i="63" s="1"/>
  <c r="AE167" i="63" s="1"/>
  <c r="AE168" i="63" s="1"/>
  <c r="AE169" i="63" s="1"/>
  <c r="AE170" i="63" s="1"/>
  <c r="AE171" i="63" s="1"/>
  <c r="AE172" i="63" s="1"/>
  <c r="AE173" i="63" s="1"/>
  <c r="AE174" i="63" s="1"/>
  <c r="AE175" i="63" s="1"/>
  <c r="AE176" i="63" s="1"/>
  <c r="AE177" i="63" s="1"/>
  <c r="AE178" i="63" s="1"/>
  <c r="AE179" i="63" s="1"/>
  <c r="AE180" i="63" s="1"/>
  <c r="AE181" i="63" s="1"/>
  <c r="AE182" i="63" s="1"/>
  <c r="AE183" i="63" s="1"/>
  <c r="AE184" i="63" s="1"/>
  <c r="AE185" i="63" s="1"/>
  <c r="AE186" i="63" s="1"/>
  <c r="AE187" i="63" s="1"/>
  <c r="AE188" i="63" s="1"/>
  <c r="AE189" i="63" s="1"/>
  <c r="AE190" i="63" s="1"/>
  <c r="AE191" i="63" s="1"/>
  <c r="AE192" i="63" s="1"/>
  <c r="AE193" i="63" s="1"/>
  <c r="AE194" i="63" s="1"/>
  <c r="AE195" i="63" s="1"/>
  <c r="AE196" i="63" s="1"/>
  <c r="AE197" i="63" s="1"/>
  <c r="AE198" i="63" s="1"/>
  <c r="AE199" i="63" s="1"/>
  <c r="AE200" i="63" s="1"/>
  <c r="AE201" i="63" s="1"/>
  <c r="AE202" i="63" s="1"/>
  <c r="AE203" i="63" s="1"/>
  <c r="AE204" i="63" s="1"/>
  <c r="AE205" i="63" s="1"/>
  <c r="AE206" i="63" s="1"/>
  <c r="AE207" i="63" s="1"/>
  <c r="AE208" i="63" s="1"/>
  <c r="AE209" i="63" s="1"/>
  <c r="AE210" i="63" s="1"/>
  <c r="AE211" i="63" s="1"/>
  <c r="AE212" i="63" s="1"/>
  <c r="AE213" i="63" s="1"/>
  <c r="AE214" i="63" s="1"/>
  <c r="AE215" i="63" s="1"/>
  <c r="AE216" i="63" s="1"/>
  <c r="AE217" i="63" s="1"/>
  <c r="AE218" i="63" s="1"/>
  <c r="AE219" i="63" s="1"/>
  <c r="AE220" i="63" s="1"/>
  <c r="AE221" i="63" s="1"/>
  <c r="AE222" i="63" s="1"/>
  <c r="AE223" i="63" s="1"/>
  <c r="AE224" i="63" s="1"/>
  <c r="AE225" i="63" s="1"/>
  <c r="AE226" i="63" s="1"/>
  <c r="AE227" i="63" s="1"/>
  <c r="AE228" i="63" s="1"/>
  <c r="AE229" i="63" s="1"/>
  <c r="AE230" i="63" s="1"/>
  <c r="AE231" i="63" s="1"/>
  <c r="AE232" i="63" s="1"/>
  <c r="AE233" i="63" s="1"/>
  <c r="AE234" i="63" s="1"/>
  <c r="AE235" i="63" s="1"/>
  <c r="AE236" i="63" s="1"/>
  <c r="AE237" i="63" s="1"/>
  <c r="AE238" i="63" s="1"/>
  <c r="AE239" i="63" s="1"/>
  <c r="AE240" i="63" s="1"/>
  <c r="AE241" i="63" s="1"/>
  <c r="AE242" i="63" s="1"/>
  <c r="AE243" i="63" s="1"/>
  <c r="AE244" i="63" s="1"/>
  <c r="AE245" i="63" s="1"/>
  <c r="AE246" i="63" s="1"/>
  <c r="AE247" i="63" s="1"/>
  <c r="AE248" i="63" s="1"/>
  <c r="AE249" i="63" s="1"/>
  <c r="AE250" i="63" s="1"/>
  <c r="AE251" i="63" s="1"/>
  <c r="AE252" i="63" s="1"/>
  <c r="AE253" i="63" s="1"/>
  <c r="AE254" i="63" s="1"/>
  <c r="AE255" i="63" s="1"/>
  <c r="AE256" i="63" s="1"/>
  <c r="AE257" i="63" s="1"/>
  <c r="AE258" i="63" s="1"/>
  <c r="AE259" i="63" s="1"/>
  <c r="AE260" i="63" s="1"/>
  <c r="AE261" i="63" s="1"/>
  <c r="AE262" i="63" s="1"/>
  <c r="AE263" i="63" s="1"/>
  <c r="AE264" i="63" s="1"/>
  <c r="AE265" i="63" s="1"/>
  <c r="AE266" i="63" s="1"/>
  <c r="AE267" i="63" s="1"/>
  <c r="AE268" i="63" s="1"/>
  <c r="AE269" i="63" s="1"/>
  <c r="AE270" i="63" s="1"/>
  <c r="AE271" i="63" s="1"/>
  <c r="AE272" i="63" s="1"/>
  <c r="AE273" i="63" s="1"/>
  <c r="AE274" i="63" s="1"/>
  <c r="AE275" i="63" s="1"/>
  <c r="AE276" i="63" s="1"/>
  <c r="AE277" i="63" s="1"/>
  <c r="AE278" i="63" s="1"/>
  <c r="AE279" i="63" s="1"/>
  <c r="AE280" i="63" s="1"/>
  <c r="AE281" i="63" s="1"/>
  <c r="AE282" i="63" s="1"/>
  <c r="AE283" i="63" s="1"/>
  <c r="AE284" i="63" s="1"/>
  <c r="AE285" i="63" s="1"/>
  <c r="AE286" i="63" s="1"/>
  <c r="AE287" i="63" s="1"/>
  <c r="AE288" i="63" s="1"/>
  <c r="AE289" i="63" s="1"/>
  <c r="AE290" i="63" s="1"/>
  <c r="AE291" i="63" s="1"/>
  <c r="AE292" i="63" s="1"/>
  <c r="AE293" i="63" s="1"/>
  <c r="AE294" i="63" s="1"/>
  <c r="AE295" i="63" s="1"/>
  <c r="AE296" i="63" s="1"/>
  <c r="AE297" i="63" s="1"/>
  <c r="AE298" i="63" s="1"/>
  <c r="AE299" i="63" s="1"/>
  <c r="AE300" i="63" s="1"/>
  <c r="AE301" i="63" s="1"/>
  <c r="AE302" i="63" s="1"/>
  <c r="AE303" i="63" s="1"/>
  <c r="AE304" i="63" s="1"/>
  <c r="AE305" i="63" s="1"/>
  <c r="AE306" i="63" s="1"/>
  <c r="AE307" i="63" s="1"/>
  <c r="AE308" i="63" s="1"/>
  <c r="AE309" i="63" s="1"/>
  <c r="AE310" i="63" s="1"/>
  <c r="AE311" i="63" s="1"/>
  <c r="AE312" i="63" s="1"/>
  <c r="AE313" i="63" s="1"/>
  <c r="AE314" i="63" s="1"/>
  <c r="AE315" i="63" s="1"/>
  <c r="AE316" i="63" s="1"/>
  <c r="AE317" i="63" s="1"/>
  <c r="AE318" i="63" s="1"/>
  <c r="AE319" i="63" s="1"/>
  <c r="AE320" i="63" s="1"/>
  <c r="AE321" i="63" s="1"/>
  <c r="AE322" i="63" s="1"/>
  <c r="AE323" i="63" s="1"/>
  <c r="AE324" i="63" s="1"/>
  <c r="AE325" i="63" s="1"/>
  <c r="AE326" i="63" s="1"/>
  <c r="AE327" i="63" s="1"/>
  <c r="AE328" i="63" s="1"/>
  <c r="AE329" i="63" s="1"/>
  <c r="AE330" i="63" s="1"/>
  <c r="AE331" i="63" s="1"/>
  <c r="AE332" i="63" s="1"/>
  <c r="AE333" i="63" s="1"/>
  <c r="AE334" i="63" s="1"/>
  <c r="AE335" i="63" s="1"/>
  <c r="AE336" i="63" s="1"/>
  <c r="AE337" i="63" s="1"/>
  <c r="AE338" i="63" s="1"/>
  <c r="AE339" i="63" s="1"/>
  <c r="AE340" i="63" s="1"/>
  <c r="AE341" i="63" s="1"/>
  <c r="AE342" i="63" s="1"/>
  <c r="AE343" i="63" s="1"/>
  <c r="AE344" i="63" s="1"/>
  <c r="AE345" i="63" s="1"/>
  <c r="AE346" i="63" s="1"/>
  <c r="AE347" i="63" s="1"/>
  <c r="AE348" i="63" s="1"/>
  <c r="AE349" i="63" s="1"/>
  <c r="AE350" i="63" s="1"/>
  <c r="AE351" i="63" s="1"/>
  <c r="AE352" i="63" s="1"/>
  <c r="AE353" i="63" s="1"/>
  <c r="AE354" i="63" s="1"/>
  <c r="AE355" i="63" s="1"/>
  <c r="AE356" i="63" s="1"/>
  <c r="AE357" i="63" s="1"/>
  <c r="AE358" i="63" s="1"/>
  <c r="AE359" i="63" s="1"/>
  <c r="AE360" i="63" s="1"/>
  <c r="AE361" i="63" s="1"/>
  <c r="AE362" i="63" s="1"/>
  <c r="AE363" i="63" s="1"/>
  <c r="AE364" i="63" s="1"/>
  <c r="AE365" i="63" s="1"/>
  <c r="AE366" i="63" s="1"/>
  <c r="AE367" i="63" s="1"/>
  <c r="AE368" i="63" s="1"/>
  <c r="AE369" i="63" s="1"/>
  <c r="AE370" i="63" s="1"/>
  <c r="AE371" i="63" s="1"/>
  <c r="AE372" i="63" s="1"/>
  <c r="AE373" i="63" s="1"/>
  <c r="AE374" i="63" s="1"/>
  <c r="AE375" i="63" s="1"/>
  <c r="AE376" i="63" s="1"/>
  <c r="AE377" i="63" s="1"/>
  <c r="AE378" i="63" s="1"/>
  <c r="AE379" i="63" s="1"/>
  <c r="AE380" i="63" s="1"/>
  <c r="AE381" i="63" s="1"/>
  <c r="AE382" i="63" s="1"/>
  <c r="AE383" i="63" s="1"/>
  <c r="AE384" i="63" s="1"/>
  <c r="AE385" i="63" s="1"/>
  <c r="AE386" i="63" s="1"/>
  <c r="AE387" i="63" s="1"/>
  <c r="AE388" i="63" s="1"/>
  <c r="AE389" i="63" s="1"/>
  <c r="AE390" i="63" s="1"/>
  <c r="AE391" i="63" s="1"/>
  <c r="AE392" i="63" s="1"/>
  <c r="AE393" i="63" s="1"/>
  <c r="AE394" i="63" s="1"/>
  <c r="AE395" i="63" s="1"/>
  <c r="AE396" i="63" s="1"/>
  <c r="AE397" i="63" s="1"/>
  <c r="AE398" i="63" s="1"/>
  <c r="AE399" i="63" s="1"/>
  <c r="AE400" i="63" s="1"/>
  <c r="AE401" i="63" s="1"/>
  <c r="AE402" i="63" s="1"/>
  <c r="AE403" i="63" s="1"/>
  <c r="AE404" i="63" s="1"/>
  <c r="AE405" i="63" s="1"/>
  <c r="AE406" i="63" s="1"/>
  <c r="AE407" i="63" s="1"/>
  <c r="AE408" i="63" s="1"/>
  <c r="AE409" i="63" s="1"/>
  <c r="AE410" i="63" s="1"/>
  <c r="AE411" i="63" s="1"/>
  <c r="AE412" i="63" s="1"/>
  <c r="AE413" i="63" s="1"/>
  <c r="AE414" i="63" s="1"/>
  <c r="AE415" i="63" s="1"/>
  <c r="AE416" i="63" s="1"/>
  <c r="AE417" i="63" s="1"/>
  <c r="AE418" i="63" s="1"/>
  <c r="AE419" i="63" s="1"/>
  <c r="AE420" i="63" s="1"/>
  <c r="AE421" i="63" s="1"/>
  <c r="AE422" i="63" s="1"/>
  <c r="AE423" i="63" s="1"/>
  <c r="AE424" i="63" s="1"/>
  <c r="AE425" i="63" s="1"/>
  <c r="AE426" i="63" s="1"/>
  <c r="AE427" i="63" s="1"/>
  <c r="AE428" i="63" s="1"/>
  <c r="AE429" i="63" s="1"/>
  <c r="AE430" i="63" s="1"/>
  <c r="AE431" i="63" s="1"/>
  <c r="AE432" i="63" s="1"/>
  <c r="AE433" i="63" s="1"/>
  <c r="AE434" i="63" s="1"/>
  <c r="AE435" i="63" s="1"/>
  <c r="AE436" i="63" s="1"/>
  <c r="AE437" i="63" s="1"/>
  <c r="AE438" i="63" s="1"/>
  <c r="AE439" i="63" s="1"/>
  <c r="AE440" i="63" s="1"/>
  <c r="AE441" i="63" s="1"/>
  <c r="AE442" i="63" s="1"/>
  <c r="AE443" i="63" s="1"/>
  <c r="AE444" i="63" s="1"/>
  <c r="AE445" i="63" s="1"/>
  <c r="AE446" i="63" s="1"/>
  <c r="AE447" i="63" s="1"/>
  <c r="AE448" i="63" s="1"/>
  <c r="AE449" i="63" s="1"/>
  <c r="AE450" i="63" s="1"/>
  <c r="AE451" i="63" s="1"/>
  <c r="AE452" i="63" s="1"/>
  <c r="AE453" i="63" s="1"/>
  <c r="AE454" i="63" s="1"/>
  <c r="AE455" i="63" s="1"/>
  <c r="AE456" i="63" s="1"/>
  <c r="AE457" i="63" s="1"/>
  <c r="AE458" i="63" s="1"/>
  <c r="AE459" i="63" s="1"/>
  <c r="AE460" i="63" s="1"/>
  <c r="AE461" i="63" s="1"/>
  <c r="AE462" i="63" s="1"/>
  <c r="AE463" i="63" s="1"/>
  <c r="AE464" i="63" s="1"/>
  <c r="AE465" i="63" s="1"/>
  <c r="AE466" i="63" s="1"/>
  <c r="AE467" i="63" s="1"/>
  <c r="AE468" i="63" s="1"/>
  <c r="AE469" i="63" s="1"/>
  <c r="AE470" i="63" s="1"/>
  <c r="AE471" i="63" s="1"/>
  <c r="AE472" i="63" s="1"/>
  <c r="AE473" i="63" s="1"/>
  <c r="AE474" i="63" s="1"/>
  <c r="AE475" i="63" s="1"/>
  <c r="AE476" i="63" s="1"/>
  <c r="AE477" i="63" s="1"/>
  <c r="AE478" i="63" s="1"/>
  <c r="AE479" i="63" s="1"/>
  <c r="AE480" i="63" s="1"/>
  <c r="AE481" i="63" s="1"/>
  <c r="AE482" i="63" s="1"/>
  <c r="AE483" i="63" s="1"/>
  <c r="AE484" i="63" s="1"/>
  <c r="AE485" i="63" s="1"/>
  <c r="AE486" i="63" s="1"/>
  <c r="AE487" i="63" s="1"/>
  <c r="AE488" i="63" s="1"/>
  <c r="AE489" i="63" s="1"/>
  <c r="AE490" i="63" s="1"/>
  <c r="AE491" i="63" s="1"/>
  <c r="AE492" i="63" s="1"/>
  <c r="AE493" i="63" s="1"/>
  <c r="AE494" i="63" s="1"/>
  <c r="AE495" i="63" s="1"/>
  <c r="AE496" i="63" s="1"/>
  <c r="AE497" i="63" s="1"/>
  <c r="AE498" i="63" s="1"/>
  <c r="AE499" i="63" s="1"/>
  <c r="AE500" i="63" s="1"/>
  <c r="AE501" i="63" s="1"/>
  <c r="AE502" i="63" s="1"/>
  <c r="AE503" i="63" s="1"/>
  <c r="AE504" i="63" s="1"/>
  <c r="AE505" i="63" s="1"/>
  <c r="AE506" i="63" s="1"/>
  <c r="AE507" i="63" s="1"/>
  <c r="AE508" i="63" s="1"/>
  <c r="AE509" i="63" s="1"/>
  <c r="AE510" i="63" s="1"/>
  <c r="AE511" i="63" s="1"/>
  <c r="AE512" i="63" s="1"/>
  <c r="AE513" i="63" s="1"/>
  <c r="AE514" i="63" s="1"/>
  <c r="AE515" i="63" s="1"/>
  <c r="AE516" i="63" s="1"/>
  <c r="AE517" i="63" s="1"/>
  <c r="AE518" i="63" s="1"/>
  <c r="AE519" i="63" s="1"/>
  <c r="AE520" i="63" s="1"/>
  <c r="AE521" i="63" s="1"/>
  <c r="AE522" i="63" s="1"/>
  <c r="AE523" i="63" s="1"/>
  <c r="AE524" i="63" s="1"/>
  <c r="AE525" i="63" s="1"/>
  <c r="AE526" i="63" s="1"/>
  <c r="AE527" i="63" s="1"/>
  <c r="AE528" i="63" s="1"/>
  <c r="AE529" i="63" s="1"/>
  <c r="AE530" i="63" s="1"/>
  <c r="AE531" i="63" s="1"/>
  <c r="AE532" i="63" s="1"/>
  <c r="AE533" i="63" s="1"/>
  <c r="AE534" i="63" s="1"/>
  <c r="AE535" i="63" s="1"/>
  <c r="AE536" i="63" s="1"/>
  <c r="AE537" i="63" s="1"/>
  <c r="AE538" i="63" s="1"/>
  <c r="AE539" i="63" s="1"/>
  <c r="AE540" i="63" s="1"/>
  <c r="AE541" i="63" s="1"/>
  <c r="AE542" i="63" s="1"/>
  <c r="AE543" i="63" s="1"/>
  <c r="AD492" i="63"/>
  <c r="R226" i="63"/>
  <c r="T225" i="63"/>
  <c r="U490" i="63" l="1"/>
  <c r="W490" i="63"/>
  <c r="AG59" i="63"/>
  <c r="AL59" i="63"/>
  <c r="Y60" i="63" s="1"/>
  <c r="AF491" i="63"/>
  <c r="AD493" i="63"/>
  <c r="AF492" i="63"/>
  <c r="AF59" i="63"/>
  <c r="R227" i="63"/>
  <c r="T226" i="63"/>
  <c r="AU490" i="63" l="1"/>
  <c r="AV490" i="63"/>
  <c r="AO490" i="63"/>
  <c r="AT490" i="63"/>
  <c r="AA60" i="63"/>
  <c r="AP60" i="63" s="1"/>
  <c r="AJ59" i="63"/>
  <c r="AK59" i="63" s="1"/>
  <c r="AC60" i="63"/>
  <c r="AH60" i="63" s="1"/>
  <c r="AD494" i="63"/>
  <c r="AF493" i="63"/>
  <c r="R228" i="63"/>
  <c r="T227" i="63"/>
  <c r="AI60" i="63" l="1"/>
  <c r="AD495" i="63"/>
  <c r="AF494" i="63"/>
  <c r="AB60" i="63"/>
  <c r="T228" i="63"/>
  <c r="R229" i="63"/>
  <c r="AG60" i="63" l="1"/>
  <c r="AF60" i="63"/>
  <c r="AL60" i="63"/>
  <c r="AD496" i="63"/>
  <c r="AF495" i="63"/>
  <c r="R230" i="63"/>
  <c r="T229" i="63"/>
  <c r="AD497" i="63" l="1"/>
  <c r="AF496" i="63"/>
  <c r="AA61" i="63"/>
  <c r="AJ60" i="63"/>
  <c r="AK60" i="63" s="1"/>
  <c r="Y61" i="63"/>
  <c r="R231" i="63"/>
  <c r="T230" i="63"/>
  <c r="AC61" i="63" l="1"/>
  <c r="AH61" i="63" s="1"/>
  <c r="AP61" i="63"/>
  <c r="AI61" i="63"/>
  <c r="AD498" i="63"/>
  <c r="AF497" i="63"/>
  <c r="R232" i="63"/>
  <c r="T231" i="63"/>
  <c r="AB61" i="63" l="1"/>
  <c r="AL61" i="63" s="1"/>
  <c r="AA62" i="63" s="1"/>
  <c r="AD499" i="63"/>
  <c r="AF498" i="63"/>
  <c r="T232" i="63"/>
  <c r="R233" i="63"/>
  <c r="AJ61" i="63" l="1"/>
  <c r="AK61" i="63" s="1"/>
  <c r="AG61" i="63"/>
  <c r="AF61" i="63"/>
  <c r="Y62" i="63"/>
  <c r="AC62" i="63" s="1"/>
  <c r="AH62" i="63" s="1"/>
  <c r="AP62" i="63"/>
  <c r="AI62" i="63"/>
  <c r="AD500" i="63"/>
  <c r="AF499" i="63"/>
  <c r="R234" i="63"/>
  <c r="T233" i="63"/>
  <c r="AD501" i="63" l="1"/>
  <c r="AF500" i="63"/>
  <c r="AB62" i="63"/>
  <c r="R235" i="63"/>
  <c r="T234" i="63"/>
  <c r="AG62" i="63" l="1"/>
  <c r="AF62" i="63"/>
  <c r="AL62" i="63"/>
  <c r="AD502" i="63"/>
  <c r="AF501" i="63"/>
  <c r="R236" i="63"/>
  <c r="T235" i="63"/>
  <c r="AD503" i="63" l="1"/>
  <c r="AF502" i="63"/>
  <c r="AJ62" i="63"/>
  <c r="AK62" i="63" s="1"/>
  <c r="Y63" i="63"/>
  <c r="AA63" i="63"/>
  <c r="T236" i="63"/>
  <c r="R237" i="63"/>
  <c r="AC63" i="63" l="1"/>
  <c r="AH63" i="63" s="1"/>
  <c r="AP63" i="63"/>
  <c r="AI63" i="63"/>
  <c r="AD504" i="63"/>
  <c r="AF503" i="63"/>
  <c r="R238" i="63"/>
  <c r="T237" i="63"/>
  <c r="AB63" i="63" l="1"/>
  <c r="AL63" i="63" s="1"/>
  <c r="Y64" i="63" s="1"/>
  <c r="AD505" i="63"/>
  <c r="AF504" i="63"/>
  <c r="R239" i="63"/>
  <c r="T238" i="63"/>
  <c r="AA64" i="63" l="1"/>
  <c r="AP64" i="63" s="1"/>
  <c r="AG63" i="63"/>
  <c r="AF63" i="63"/>
  <c r="AJ63" i="63"/>
  <c r="AK63" i="63" s="1"/>
  <c r="AD506" i="63"/>
  <c r="AF505" i="63"/>
  <c r="AC64" i="63"/>
  <c r="AH64" i="63" s="1"/>
  <c r="R240" i="63"/>
  <c r="T239" i="63"/>
  <c r="AI64" i="63" l="1"/>
  <c r="AB64" i="63"/>
  <c r="AG64" i="63" s="1"/>
  <c r="AD507" i="63"/>
  <c r="AF506" i="63"/>
  <c r="T240" i="63"/>
  <c r="R241" i="63"/>
  <c r="AF64" i="63" l="1"/>
  <c r="AL64" i="63"/>
  <c r="AJ64" i="63" s="1"/>
  <c r="AK64" i="63" s="1"/>
  <c r="AD508" i="63"/>
  <c r="AF507" i="63"/>
  <c r="R242" i="63"/>
  <c r="T241" i="63"/>
  <c r="AA65" i="63" l="1"/>
  <c r="AP65" i="63" s="1"/>
  <c r="Y65" i="63"/>
  <c r="AC65" i="63" s="1"/>
  <c r="AH65" i="63" s="1"/>
  <c r="AD509" i="63"/>
  <c r="AF508" i="63"/>
  <c r="R243" i="63"/>
  <c r="T242" i="63"/>
  <c r="AI65" i="63" l="1"/>
  <c r="AB65" i="63"/>
  <c r="AF65" i="63" s="1"/>
  <c r="AD510" i="63"/>
  <c r="AF509" i="63"/>
  <c r="R244" i="63"/>
  <c r="T243" i="63"/>
  <c r="AG65" i="63" l="1"/>
  <c r="AL65" i="63"/>
  <c r="AA66" i="63" s="1"/>
  <c r="AD511" i="63"/>
  <c r="AF510" i="63"/>
  <c r="T244" i="63"/>
  <c r="R245" i="63"/>
  <c r="AJ65" i="63" l="1"/>
  <c r="AK65" i="63" s="1"/>
  <c r="Y66" i="63"/>
  <c r="AC66" i="63" s="1"/>
  <c r="AH66" i="63" s="1"/>
  <c r="AP66" i="63"/>
  <c r="AI66" i="63"/>
  <c r="AD512" i="63"/>
  <c r="AF511" i="63"/>
  <c r="R246" i="63"/>
  <c r="T245" i="63"/>
  <c r="AB66" i="63" l="1"/>
  <c r="AG66" i="63" s="1"/>
  <c r="AD513" i="63"/>
  <c r="AF512" i="63"/>
  <c r="R247" i="63"/>
  <c r="T246" i="63"/>
  <c r="AL66" i="63" l="1"/>
  <c r="AA67" i="63" s="1"/>
  <c r="AF66" i="63"/>
  <c r="AD514" i="63"/>
  <c r="AF513" i="63"/>
  <c r="R248" i="63"/>
  <c r="T247" i="63"/>
  <c r="Y67" i="63" l="1"/>
  <c r="AC67" i="63" s="1"/>
  <c r="AH67" i="63" s="1"/>
  <c r="AJ66" i="63"/>
  <c r="AK66" i="63" s="1"/>
  <c r="AD515" i="63"/>
  <c r="AF514" i="63"/>
  <c r="AP67" i="63"/>
  <c r="AI67" i="63"/>
  <c r="T248" i="63"/>
  <c r="R249" i="63"/>
  <c r="AB67" i="63" l="1"/>
  <c r="AG67" i="63" s="1"/>
  <c r="AD516" i="63"/>
  <c r="AF515" i="63"/>
  <c r="R250" i="63"/>
  <c r="T249" i="63"/>
  <c r="AF67" i="63" l="1"/>
  <c r="AL67" i="63"/>
  <c r="AJ67" i="63" s="1"/>
  <c r="AK67" i="63" s="1"/>
  <c r="AD517" i="63"/>
  <c r="AF516" i="63"/>
  <c r="R251" i="63"/>
  <c r="T250" i="63"/>
  <c r="Y68" i="63" l="1"/>
  <c r="AC68" i="63" s="1"/>
  <c r="AH68" i="63" s="1"/>
  <c r="AA68" i="63"/>
  <c r="AP68" i="63" s="1"/>
  <c r="AD518" i="63"/>
  <c r="AF517" i="63"/>
  <c r="R252" i="63"/>
  <c r="T251" i="63"/>
  <c r="AI68" i="63" l="1"/>
  <c r="AD519" i="63"/>
  <c r="AF518" i="63"/>
  <c r="AB68" i="63"/>
  <c r="T252" i="63"/>
  <c r="R253" i="63"/>
  <c r="AG68" i="63" l="1"/>
  <c r="AF68" i="63"/>
  <c r="AL68" i="63"/>
  <c r="AD520" i="63"/>
  <c r="AF519" i="63"/>
  <c r="R254" i="63"/>
  <c r="T253" i="63"/>
  <c r="AD521" i="63" l="1"/>
  <c r="AF520" i="63"/>
  <c r="AA69" i="63"/>
  <c r="Y69" i="63"/>
  <c r="AJ68" i="63"/>
  <c r="AK68" i="63" s="1"/>
  <c r="R255" i="63"/>
  <c r="T254" i="63"/>
  <c r="AC69" i="63" l="1"/>
  <c r="AH69" i="63" s="1"/>
  <c r="AP69" i="63"/>
  <c r="AI69" i="63"/>
  <c r="AD522" i="63"/>
  <c r="AF521" i="63"/>
  <c r="R256" i="63"/>
  <c r="T255" i="63"/>
  <c r="AB69" i="63" l="1"/>
  <c r="AL69" i="63" s="1"/>
  <c r="AJ69" i="63" s="1"/>
  <c r="AK69" i="63" s="1"/>
  <c r="AD523" i="63"/>
  <c r="AF522" i="63"/>
  <c r="T256" i="63"/>
  <c r="R257" i="63"/>
  <c r="AA70" i="63" l="1"/>
  <c r="AP70" i="63" s="1"/>
  <c r="AG69" i="63"/>
  <c r="AF69" i="63"/>
  <c r="Y70" i="63"/>
  <c r="AC70" i="63" s="1"/>
  <c r="AH70" i="63" s="1"/>
  <c r="AD524" i="63"/>
  <c r="AF523" i="63"/>
  <c r="R258" i="63"/>
  <c r="T257" i="63"/>
  <c r="AI70" i="63" l="1"/>
  <c r="AB70" i="63"/>
  <c r="AF70" i="63" s="1"/>
  <c r="AD525" i="63"/>
  <c r="AF524" i="63"/>
  <c r="R259" i="63"/>
  <c r="T258" i="63"/>
  <c r="AG70" i="63" l="1"/>
  <c r="AL70" i="63"/>
  <c r="AA71" i="63" s="1"/>
  <c r="AD526" i="63"/>
  <c r="AF525" i="63"/>
  <c r="R260" i="63"/>
  <c r="T259" i="63"/>
  <c r="AJ70" i="63" l="1"/>
  <c r="AK70" i="63" s="1"/>
  <c r="Y71" i="63"/>
  <c r="AC71" i="63" s="1"/>
  <c r="AH71" i="63" s="1"/>
  <c r="AP71" i="63"/>
  <c r="AJ7" i="63" s="1"/>
  <c r="AJ8" i="63" s="1"/>
  <c r="AI71" i="63"/>
  <c r="AD527" i="63"/>
  <c r="AF526" i="63"/>
  <c r="T260" i="63"/>
  <c r="R261" i="63"/>
  <c r="AD528" i="63" l="1"/>
  <c r="AF527" i="63"/>
  <c r="AB71" i="63"/>
  <c r="R262" i="63"/>
  <c r="T261" i="63"/>
  <c r="AF71" i="63" l="1"/>
  <c r="AG71" i="63"/>
  <c r="AL71" i="63"/>
  <c r="AD529" i="63"/>
  <c r="AF528" i="63"/>
  <c r="R263" i="63"/>
  <c r="T262" i="63"/>
  <c r="AD530" i="63" l="1"/>
  <c r="AF529" i="63"/>
  <c r="Y72" i="63"/>
  <c r="AJ71" i="63"/>
  <c r="AK71" i="63" s="1"/>
  <c r="AA72" i="63"/>
  <c r="R264" i="63"/>
  <c r="T263" i="63"/>
  <c r="AP72" i="63" l="1"/>
  <c r="AI72" i="63"/>
  <c r="AC72" i="63"/>
  <c r="AH72" i="63" s="1"/>
  <c r="AD531" i="63"/>
  <c r="AF530" i="63"/>
  <c r="T264" i="63"/>
  <c r="R265" i="63"/>
  <c r="AD532" i="63" l="1"/>
  <c r="AF531" i="63"/>
  <c r="AB72" i="63"/>
  <c r="R266" i="63"/>
  <c r="T265" i="63"/>
  <c r="AF72" i="63" l="1"/>
  <c r="AG72" i="63"/>
  <c r="AL72" i="63"/>
  <c r="AD533" i="63"/>
  <c r="AF532" i="63"/>
  <c r="R267" i="63"/>
  <c r="T266" i="63"/>
  <c r="AD534" i="63" l="1"/>
  <c r="AF533" i="63"/>
  <c r="AJ72" i="63"/>
  <c r="AK72" i="63" s="1"/>
  <c r="AA73" i="63"/>
  <c r="Y73" i="63"/>
  <c r="R268" i="63"/>
  <c r="T267" i="63"/>
  <c r="AC73" i="63" l="1"/>
  <c r="AH73" i="63" s="1"/>
  <c r="AP73" i="63"/>
  <c r="AI73" i="63"/>
  <c r="AD535" i="63"/>
  <c r="AF534" i="63"/>
  <c r="T268" i="63"/>
  <c r="R269" i="63"/>
  <c r="AB73" i="63" l="1"/>
  <c r="AG73" i="63" s="1"/>
  <c r="AD536" i="63"/>
  <c r="AF535" i="63"/>
  <c r="R270" i="63"/>
  <c r="T269" i="63"/>
  <c r="AL73" i="63" l="1"/>
  <c r="Y74" i="63" s="1"/>
  <c r="AF73" i="63"/>
  <c r="AD537" i="63"/>
  <c r="AF536" i="63"/>
  <c r="R271" i="63"/>
  <c r="T270" i="63"/>
  <c r="AA74" i="63" l="1"/>
  <c r="AP74" i="63" s="1"/>
  <c r="AJ73" i="63"/>
  <c r="AK73" i="63" s="1"/>
  <c r="AD538" i="63"/>
  <c r="AF537" i="63"/>
  <c r="AC74" i="63"/>
  <c r="AH74" i="63" s="1"/>
  <c r="R272" i="63"/>
  <c r="T271" i="63"/>
  <c r="AI74" i="63" l="1"/>
  <c r="AB74" i="63"/>
  <c r="AD539" i="63"/>
  <c r="AF538" i="63"/>
  <c r="T272" i="63"/>
  <c r="R273" i="63"/>
  <c r="AD540" i="63" l="1"/>
  <c r="AF539" i="63"/>
  <c r="AF74" i="63"/>
  <c r="AG74" i="63"/>
  <c r="AL74" i="63"/>
  <c r="R274" i="63"/>
  <c r="T273" i="63"/>
  <c r="AJ74" i="63" l="1"/>
  <c r="AK74" i="63" s="1"/>
  <c r="AA75" i="63"/>
  <c r="Y75" i="63"/>
  <c r="AD541" i="63"/>
  <c r="AF540" i="63"/>
  <c r="R275" i="63"/>
  <c r="T274" i="63"/>
  <c r="AD542" i="63" l="1"/>
  <c r="AF541" i="63"/>
  <c r="AC75" i="63"/>
  <c r="AH75" i="63" s="1"/>
  <c r="AP75" i="63"/>
  <c r="AI75" i="63"/>
  <c r="R276" i="63"/>
  <c r="T275" i="63"/>
  <c r="AB75" i="63" l="1"/>
  <c r="AF75" i="63" s="1"/>
  <c r="AD543" i="63"/>
  <c r="AF543" i="63" s="1"/>
  <c r="AF542" i="63"/>
  <c r="T276" i="63"/>
  <c r="R277" i="63"/>
  <c r="AG75" i="63" l="1"/>
  <c r="AL75" i="63"/>
  <c r="Y76" i="63" s="1"/>
  <c r="R278" i="63"/>
  <c r="T277" i="63"/>
  <c r="AA76" i="63" l="1"/>
  <c r="AP76" i="63" s="1"/>
  <c r="AJ75" i="63"/>
  <c r="AK75" i="63" s="1"/>
  <c r="AC76" i="63"/>
  <c r="AH76" i="63" s="1"/>
  <c r="R279" i="63"/>
  <c r="T278" i="63"/>
  <c r="AI76" i="63" l="1"/>
  <c r="AB76" i="63"/>
  <c r="R280" i="63"/>
  <c r="T279" i="63"/>
  <c r="AF76" i="63" l="1"/>
  <c r="AG76" i="63"/>
  <c r="AL76" i="63"/>
  <c r="T280" i="63"/>
  <c r="R281" i="63"/>
  <c r="Y77" i="63" l="1"/>
  <c r="AJ76" i="63"/>
  <c r="AK76" i="63" s="1"/>
  <c r="AA77" i="63"/>
  <c r="R282" i="63"/>
  <c r="T281" i="63"/>
  <c r="AP77" i="63" l="1"/>
  <c r="AI77" i="63"/>
  <c r="AC77" i="63"/>
  <c r="AH77" i="63" s="1"/>
  <c r="R283" i="63"/>
  <c r="T282" i="63"/>
  <c r="AB77" i="63" l="1"/>
  <c r="R284" i="63"/>
  <c r="T283" i="63"/>
  <c r="AF77" i="63" l="1"/>
  <c r="AG77" i="63"/>
  <c r="AL77" i="63"/>
  <c r="T284" i="63"/>
  <c r="R285" i="63"/>
  <c r="AA78" i="63" l="1"/>
  <c r="AJ77" i="63"/>
  <c r="AK77" i="63" s="1"/>
  <c r="Y78" i="63"/>
  <c r="R286" i="63"/>
  <c r="T285" i="63"/>
  <c r="AC78" i="63" l="1"/>
  <c r="AH78" i="63" s="1"/>
  <c r="AP78" i="63"/>
  <c r="AI78" i="63"/>
  <c r="R287" i="63"/>
  <c r="T286" i="63"/>
  <c r="AB78" i="63" l="1"/>
  <c r="AG78" i="63" s="1"/>
  <c r="R288" i="63"/>
  <c r="T287" i="63"/>
  <c r="AF78" i="63" l="1"/>
  <c r="AL78" i="63"/>
  <c r="AJ78" i="63" s="1"/>
  <c r="AK78" i="63" s="1"/>
  <c r="T288" i="63"/>
  <c r="R289" i="63"/>
  <c r="AA79" i="63" l="1"/>
  <c r="AP79" i="63" s="1"/>
  <c r="Y79" i="63"/>
  <c r="AC79" i="63" s="1"/>
  <c r="AH79" i="63" s="1"/>
  <c r="R290" i="63"/>
  <c r="T289" i="63"/>
  <c r="AI79" i="63" l="1"/>
  <c r="AB79" i="63"/>
  <c r="R291" i="63"/>
  <c r="T290" i="63"/>
  <c r="AG79" i="63" l="1"/>
  <c r="AF79" i="63"/>
  <c r="AL79" i="63"/>
  <c r="R292" i="63"/>
  <c r="T291" i="63"/>
  <c r="AJ79" i="63" l="1"/>
  <c r="AK79" i="63" s="1"/>
  <c r="AA80" i="63"/>
  <c r="Y80" i="63"/>
  <c r="T292" i="63"/>
  <c r="R293" i="63"/>
  <c r="AC80" i="63" l="1"/>
  <c r="AH80" i="63" s="1"/>
  <c r="AP80" i="63"/>
  <c r="AI80" i="63"/>
  <c r="R294" i="63"/>
  <c r="T293" i="63"/>
  <c r="AB80" i="63" l="1"/>
  <c r="AF80" i="63" s="1"/>
  <c r="R295" i="63"/>
  <c r="T294" i="63"/>
  <c r="AL80" i="63" l="1"/>
  <c r="AJ80" i="63" s="1"/>
  <c r="AK80" i="63" s="1"/>
  <c r="AG80" i="63"/>
  <c r="R296" i="63"/>
  <c r="T295" i="63"/>
  <c r="Y81" i="63" l="1"/>
  <c r="AC81" i="63" s="1"/>
  <c r="AH81" i="63" s="1"/>
  <c r="AA81" i="63"/>
  <c r="AI81" i="63" s="1"/>
  <c r="T296" i="63"/>
  <c r="R297" i="63"/>
  <c r="AP81" i="63" l="1"/>
  <c r="AB81" i="63"/>
  <c r="AF81" i="63" s="1"/>
  <c r="R298" i="63"/>
  <c r="T297" i="63"/>
  <c r="AG81" i="63" l="1"/>
  <c r="AL81" i="63"/>
  <c r="Y82" i="63" s="1"/>
  <c r="R299" i="63"/>
  <c r="T298" i="63"/>
  <c r="AA82" i="63" l="1"/>
  <c r="AP82" i="63" s="1"/>
  <c r="AJ81" i="63"/>
  <c r="AK81" i="63" s="1"/>
  <c r="AC82" i="63"/>
  <c r="AH82" i="63" s="1"/>
  <c r="R300" i="63"/>
  <c r="T299" i="63"/>
  <c r="AI82" i="63" l="1"/>
  <c r="AB82" i="63"/>
  <c r="AG82" i="63" s="1"/>
  <c r="T300" i="63"/>
  <c r="R301" i="63"/>
  <c r="AL82" i="63" l="1"/>
  <c r="AJ82" i="63" s="1"/>
  <c r="AK82" i="63" s="1"/>
  <c r="AF82" i="63"/>
  <c r="R302" i="63"/>
  <c r="T301" i="63"/>
  <c r="AA83" i="63" l="1"/>
  <c r="AP83" i="63" s="1"/>
  <c r="Y83" i="63"/>
  <c r="AC83" i="63" s="1"/>
  <c r="AH83" i="63" s="1"/>
  <c r="R303" i="63"/>
  <c r="T302" i="63"/>
  <c r="AI83" i="63" l="1"/>
  <c r="AB83" i="63"/>
  <c r="R304" i="63"/>
  <c r="T303" i="63"/>
  <c r="AF83" i="63" l="1"/>
  <c r="AG83" i="63"/>
  <c r="AL83" i="63"/>
  <c r="T304" i="63"/>
  <c r="R305" i="63"/>
  <c r="Y84" i="63" l="1"/>
  <c r="AC84" i="63" s="1"/>
  <c r="AH84" i="63" s="1"/>
  <c r="AJ83" i="63"/>
  <c r="AK83" i="63" s="1"/>
  <c r="AA84" i="63"/>
  <c r="R306" i="63"/>
  <c r="T305" i="63"/>
  <c r="AP84" i="63" l="1"/>
  <c r="AI84" i="63"/>
  <c r="AB84" i="63"/>
  <c r="R307" i="63"/>
  <c r="T306" i="63"/>
  <c r="AL84" i="63" l="1"/>
  <c r="AG84" i="63"/>
  <c r="AF84" i="63"/>
  <c r="R308" i="63"/>
  <c r="T307" i="63"/>
  <c r="AJ84" i="63" l="1"/>
  <c r="AK84" i="63" s="1"/>
  <c r="Y85" i="63"/>
  <c r="AA85" i="63"/>
  <c r="T308" i="63"/>
  <c r="R309" i="63"/>
  <c r="AP85" i="63" l="1"/>
  <c r="AI85" i="63"/>
  <c r="AC85" i="63"/>
  <c r="AH85" i="63" s="1"/>
  <c r="R310" i="63"/>
  <c r="T309" i="63"/>
  <c r="AB85" i="63" l="1"/>
  <c r="R311" i="63"/>
  <c r="T310" i="63"/>
  <c r="AG85" i="63" l="1"/>
  <c r="AF85" i="63"/>
  <c r="AL85" i="63"/>
  <c r="R312" i="63"/>
  <c r="T311" i="63"/>
  <c r="AA86" i="63" l="1"/>
  <c r="AJ85" i="63"/>
  <c r="AK85" i="63" s="1"/>
  <c r="Y86" i="63"/>
  <c r="AC86" i="63" s="1"/>
  <c r="AH86" i="63" s="1"/>
  <c r="T312" i="63"/>
  <c r="R313" i="63"/>
  <c r="AP86" i="63" l="1"/>
  <c r="AI86" i="63"/>
  <c r="AB86" i="63"/>
  <c r="R314" i="63"/>
  <c r="T313" i="63"/>
  <c r="AL86" i="63" l="1"/>
  <c r="AF86" i="63"/>
  <c r="AG86" i="63"/>
  <c r="R315" i="63"/>
  <c r="T314" i="63"/>
  <c r="AA87" i="63" l="1"/>
  <c r="AJ86" i="63"/>
  <c r="AK86" i="63" s="1"/>
  <c r="Y87" i="63"/>
  <c r="AC87" i="63" s="1"/>
  <c r="AH87" i="63" s="1"/>
  <c r="R316" i="63"/>
  <c r="T315" i="63"/>
  <c r="AP87" i="63" l="1"/>
  <c r="AI87" i="63"/>
  <c r="AB87" i="63"/>
  <c r="T316" i="63"/>
  <c r="R317" i="63"/>
  <c r="AL87" i="63" l="1"/>
  <c r="AG87" i="63"/>
  <c r="AF87" i="63"/>
  <c r="R318" i="63"/>
  <c r="T317" i="63"/>
  <c r="AJ87" i="63" l="1"/>
  <c r="AK87" i="63" s="1"/>
  <c r="Y88" i="63"/>
  <c r="AA88" i="63"/>
  <c r="R319" i="63"/>
  <c r="T318" i="63"/>
  <c r="AP88" i="63" l="1"/>
  <c r="AI88" i="63"/>
  <c r="AC88" i="63"/>
  <c r="AH88" i="63" s="1"/>
  <c r="R320" i="63"/>
  <c r="T319" i="63"/>
  <c r="AB88" i="63" l="1"/>
  <c r="T320" i="63"/>
  <c r="R321" i="63"/>
  <c r="AF88" i="63" l="1"/>
  <c r="AG88" i="63"/>
  <c r="AL88" i="63"/>
  <c r="R322" i="63"/>
  <c r="T321" i="63"/>
  <c r="AJ88" i="63" l="1"/>
  <c r="AK88" i="63" s="1"/>
  <c r="Y89" i="63"/>
  <c r="AA89" i="63"/>
  <c r="R323" i="63"/>
  <c r="T322" i="63"/>
  <c r="AP89" i="63" l="1"/>
  <c r="AI89" i="63"/>
  <c r="AC89" i="63"/>
  <c r="AH89" i="63" s="1"/>
  <c r="R324" i="63"/>
  <c r="T323" i="63"/>
  <c r="AB89" i="63" l="1"/>
  <c r="T324" i="63"/>
  <c r="R325" i="63"/>
  <c r="AF89" i="63" l="1"/>
  <c r="AG89" i="63"/>
  <c r="AL89" i="63"/>
  <c r="R326" i="63"/>
  <c r="T325" i="63"/>
  <c r="AA90" i="63" l="1"/>
  <c r="AJ89" i="63"/>
  <c r="AK89" i="63" s="1"/>
  <c r="Y90" i="63"/>
  <c r="R327" i="63"/>
  <c r="T326" i="63"/>
  <c r="AC90" i="63" l="1"/>
  <c r="AH90" i="63" s="1"/>
  <c r="AP90" i="63"/>
  <c r="AI90" i="63"/>
  <c r="R328" i="63"/>
  <c r="T327" i="63"/>
  <c r="AB90" i="63" l="1"/>
  <c r="AG90" i="63" s="1"/>
  <c r="T328" i="63"/>
  <c r="R329" i="63"/>
  <c r="AL90" i="63" l="1"/>
  <c r="AJ90" i="63" s="1"/>
  <c r="AK90" i="63" s="1"/>
  <c r="AF90" i="63"/>
  <c r="R330" i="63"/>
  <c r="T329" i="63"/>
  <c r="Y91" i="63" l="1"/>
  <c r="AC91" i="63" s="1"/>
  <c r="AH91" i="63" s="1"/>
  <c r="AA91" i="63"/>
  <c r="AP91" i="63" s="1"/>
  <c r="R331" i="63"/>
  <c r="T330" i="63"/>
  <c r="AI91" i="63" l="1"/>
  <c r="AB91" i="63"/>
  <c r="AL91" i="63" s="1"/>
  <c r="AJ91" i="63" s="1"/>
  <c r="R332" i="63"/>
  <c r="T331" i="63"/>
  <c r="AK91" i="63" l="1"/>
  <c r="AF91" i="63"/>
  <c r="AG91" i="63"/>
  <c r="Y92" i="63"/>
  <c r="AC92" i="63" s="1"/>
  <c r="AH92" i="63" s="1"/>
  <c r="AA92" i="63"/>
  <c r="AP92" i="63" s="1"/>
  <c r="T332" i="63"/>
  <c r="R333" i="63"/>
  <c r="AI92" i="63" l="1"/>
  <c r="AB92" i="63"/>
  <c r="R334" i="63"/>
  <c r="T333" i="63"/>
  <c r="AF92" i="63" l="1"/>
  <c r="AG92" i="63"/>
  <c r="AL92" i="63"/>
  <c r="R335" i="63"/>
  <c r="T334" i="63"/>
  <c r="AA93" i="63" l="1"/>
  <c r="AJ92" i="63"/>
  <c r="AK92" i="63" s="1"/>
  <c r="Y93" i="63"/>
  <c r="AC93" i="63" s="1"/>
  <c r="AH93" i="63" s="1"/>
  <c r="R336" i="63"/>
  <c r="T335" i="63"/>
  <c r="AP93" i="63" l="1"/>
  <c r="AI93" i="63"/>
  <c r="AB93" i="63"/>
  <c r="T336" i="63"/>
  <c r="R337" i="63"/>
  <c r="AL93" i="63" l="1"/>
  <c r="AF93" i="63"/>
  <c r="AG93" i="63"/>
  <c r="R338" i="63"/>
  <c r="T337" i="63"/>
  <c r="AJ93" i="63" l="1"/>
  <c r="AK93" i="63" s="1"/>
  <c r="Y94" i="63"/>
  <c r="AA94" i="63"/>
  <c r="R339" i="63"/>
  <c r="T338" i="63"/>
  <c r="AP94" i="63" l="1"/>
  <c r="AI94" i="63"/>
  <c r="AC94" i="63"/>
  <c r="AH94" i="63" s="1"/>
  <c r="R340" i="63"/>
  <c r="T339" i="63"/>
  <c r="AB94" i="63" l="1"/>
  <c r="T340" i="63"/>
  <c r="R341" i="63"/>
  <c r="AF94" i="63" l="1"/>
  <c r="AG94" i="63"/>
  <c r="AL94" i="63"/>
  <c r="R342" i="63"/>
  <c r="T341" i="63"/>
  <c r="AJ94" i="63" l="1"/>
  <c r="AK94" i="63" s="1"/>
  <c r="Y95" i="63"/>
  <c r="AC95" i="63" s="1"/>
  <c r="AH95" i="63" s="1"/>
  <c r="AA95" i="63"/>
  <c r="R343" i="63"/>
  <c r="T342" i="63"/>
  <c r="AP95" i="63" l="1"/>
  <c r="AI95" i="63"/>
  <c r="AB95" i="63"/>
  <c r="R344" i="63"/>
  <c r="T343" i="63"/>
  <c r="AL95" i="63" l="1"/>
  <c r="AG95" i="63"/>
  <c r="AF95" i="63"/>
  <c r="T344" i="63"/>
  <c r="R345" i="63"/>
  <c r="AJ95" i="63" l="1"/>
  <c r="AK95" i="63" s="1"/>
  <c r="AA96" i="63"/>
  <c r="Y96" i="63"/>
  <c r="R346" i="63"/>
  <c r="T345" i="63"/>
  <c r="AC96" i="63" l="1"/>
  <c r="AH96" i="63" s="1"/>
  <c r="AP96" i="63"/>
  <c r="AI96" i="63"/>
  <c r="R347" i="63"/>
  <c r="T346" i="63"/>
  <c r="AB96" i="63" l="1"/>
  <c r="AG96" i="63" s="1"/>
  <c r="R348" i="63"/>
  <c r="T347" i="63"/>
  <c r="AL96" i="63" l="1"/>
  <c r="AJ96" i="63" s="1"/>
  <c r="AK96" i="63" s="1"/>
  <c r="AF96" i="63"/>
  <c r="T348" i="63"/>
  <c r="R349" i="63"/>
  <c r="AA97" i="63" l="1"/>
  <c r="AP97" i="63" s="1"/>
  <c r="Y97" i="63"/>
  <c r="AC97" i="63" s="1"/>
  <c r="AH97" i="63" s="1"/>
  <c r="R350" i="63"/>
  <c r="T349" i="63"/>
  <c r="AI97" i="63" l="1"/>
  <c r="AB97" i="63"/>
  <c r="R351" i="63"/>
  <c r="T350" i="63"/>
  <c r="AG97" i="63" l="1"/>
  <c r="AF97" i="63"/>
  <c r="AL97" i="63"/>
  <c r="R352" i="63"/>
  <c r="T351" i="63"/>
  <c r="Y98" i="63" l="1"/>
  <c r="AC98" i="63" s="1"/>
  <c r="AH98" i="63" s="1"/>
  <c r="AJ97" i="63"/>
  <c r="AK97" i="63" s="1"/>
  <c r="AA98" i="63"/>
  <c r="T352" i="63"/>
  <c r="R353" i="63"/>
  <c r="AP98" i="63" l="1"/>
  <c r="AI98" i="63"/>
  <c r="AB98" i="63"/>
  <c r="R354" i="63"/>
  <c r="T353" i="63"/>
  <c r="AL98" i="63" l="1"/>
  <c r="AG98" i="63"/>
  <c r="AF98" i="63"/>
  <c r="R355" i="63"/>
  <c r="T354" i="63"/>
  <c r="Y99" i="63" l="1"/>
  <c r="AJ98" i="63"/>
  <c r="AK98" i="63" s="1"/>
  <c r="AA99" i="63"/>
  <c r="R356" i="63"/>
  <c r="T355" i="63"/>
  <c r="AP99" i="63" l="1"/>
  <c r="AI99" i="63"/>
  <c r="AC99" i="63"/>
  <c r="AH99" i="63" s="1"/>
  <c r="T356" i="63"/>
  <c r="R357" i="63"/>
  <c r="AB99" i="63" l="1"/>
  <c r="R358" i="63"/>
  <c r="T357" i="63"/>
  <c r="AG99" i="63" l="1"/>
  <c r="AF99" i="63"/>
  <c r="AL99" i="63"/>
  <c r="R359" i="63"/>
  <c r="T358" i="63"/>
  <c r="AJ99" i="63" l="1"/>
  <c r="AK99" i="63" s="1"/>
  <c r="AA100" i="63"/>
  <c r="Y100" i="63"/>
  <c r="R360" i="63"/>
  <c r="T359" i="63"/>
  <c r="AP100" i="63" l="1"/>
  <c r="AI100" i="63"/>
  <c r="AC100" i="63"/>
  <c r="AH100" i="63" s="1"/>
  <c r="T360" i="63"/>
  <c r="R361" i="63"/>
  <c r="AB100" i="63" l="1"/>
  <c r="R362" i="63"/>
  <c r="T361" i="63"/>
  <c r="AF100" i="63" l="1"/>
  <c r="AG100" i="63"/>
  <c r="AL100" i="63"/>
  <c r="R363" i="63"/>
  <c r="T362" i="63"/>
  <c r="AJ100" i="63" l="1"/>
  <c r="AK100" i="63" s="1"/>
  <c r="Y101" i="63"/>
  <c r="AA101" i="63"/>
  <c r="R364" i="63"/>
  <c r="T363" i="63"/>
  <c r="AP101" i="63" l="1"/>
  <c r="AI101" i="63"/>
  <c r="AC101" i="63"/>
  <c r="AH101" i="63" s="1"/>
  <c r="T364" i="63"/>
  <c r="R365" i="63"/>
  <c r="AB101" i="63" l="1"/>
  <c r="R366" i="63"/>
  <c r="T365" i="63"/>
  <c r="AF101" i="63" l="1"/>
  <c r="AG101" i="63"/>
  <c r="AL101" i="63"/>
  <c r="R367" i="63"/>
  <c r="T366" i="63"/>
  <c r="AA102" i="63" l="1"/>
  <c r="Y102" i="63"/>
  <c r="AJ101" i="63"/>
  <c r="AK101" i="63" s="1"/>
  <c r="R368" i="63"/>
  <c r="T367" i="63"/>
  <c r="AC102" i="63" l="1"/>
  <c r="AH102" i="63" s="1"/>
  <c r="AP102" i="63"/>
  <c r="AI102" i="63"/>
  <c r="T368" i="63"/>
  <c r="R369" i="63"/>
  <c r="AB102" i="63" l="1"/>
  <c r="R370" i="63"/>
  <c r="T369" i="63"/>
  <c r="AG102" i="63" l="1"/>
  <c r="AF102" i="63"/>
  <c r="AL102" i="63"/>
  <c r="R371" i="63"/>
  <c r="T370" i="63"/>
  <c r="AA103" i="63" l="1"/>
  <c r="AJ102" i="63"/>
  <c r="AK102" i="63" s="1"/>
  <c r="Y103" i="63"/>
  <c r="R372" i="63"/>
  <c r="T371" i="63"/>
  <c r="AC103" i="63" l="1"/>
  <c r="AH103" i="63" s="1"/>
  <c r="AP103" i="63"/>
  <c r="AI103" i="63"/>
  <c r="T372" i="63"/>
  <c r="R373" i="63"/>
  <c r="AB103" i="63" l="1"/>
  <c r="R374" i="63"/>
  <c r="T373" i="63"/>
  <c r="AF103" i="63" l="1"/>
  <c r="AG103" i="63"/>
  <c r="AL103" i="63"/>
  <c r="R375" i="63"/>
  <c r="T374" i="63"/>
  <c r="Y104" i="63" l="1"/>
  <c r="AC104" i="63" s="1"/>
  <c r="AH104" i="63" s="1"/>
  <c r="AJ103" i="63"/>
  <c r="AK103" i="63" s="1"/>
  <c r="AA104" i="63"/>
  <c r="R376" i="63"/>
  <c r="T375" i="63"/>
  <c r="AP104" i="63" l="1"/>
  <c r="AI104" i="63"/>
  <c r="AB104" i="63"/>
  <c r="T376" i="63"/>
  <c r="R377" i="63"/>
  <c r="AL104" i="63" l="1"/>
  <c r="AG104" i="63"/>
  <c r="AF104" i="63"/>
  <c r="R378" i="63"/>
  <c r="T377" i="63"/>
  <c r="AJ104" i="63" l="1"/>
  <c r="AK104" i="63" s="1"/>
  <c r="Y105" i="63"/>
  <c r="AA105" i="63"/>
  <c r="R379" i="63"/>
  <c r="T378" i="63"/>
  <c r="AC105" i="63" l="1"/>
  <c r="AH105" i="63" s="1"/>
  <c r="AP105" i="63"/>
  <c r="AI105" i="63"/>
  <c r="R380" i="63"/>
  <c r="T379" i="63"/>
  <c r="AB105" i="63" l="1"/>
  <c r="AF105" i="63" s="1"/>
  <c r="T380" i="63"/>
  <c r="R381" i="63"/>
  <c r="AL105" i="63" l="1"/>
  <c r="AJ105" i="63" s="1"/>
  <c r="AK105" i="63" s="1"/>
  <c r="AG105" i="63"/>
  <c r="R382" i="63"/>
  <c r="T381" i="63"/>
  <c r="AA106" i="63" l="1"/>
  <c r="AP106" i="63" s="1"/>
  <c r="Y106" i="63"/>
  <c r="AC106" i="63" s="1"/>
  <c r="AH106" i="63" s="1"/>
  <c r="R383" i="63"/>
  <c r="T382" i="63"/>
  <c r="AI106" i="63" l="1"/>
  <c r="AB106" i="63"/>
  <c r="R384" i="63"/>
  <c r="T383" i="63"/>
  <c r="AF106" i="63" l="1"/>
  <c r="AG106" i="63"/>
  <c r="AL106" i="63"/>
  <c r="T384" i="63"/>
  <c r="R385" i="63"/>
  <c r="AJ106" i="63" l="1"/>
  <c r="AK106" i="63" s="1"/>
  <c r="Y107" i="63"/>
  <c r="AC107" i="63" s="1"/>
  <c r="AH107" i="63" s="1"/>
  <c r="AA107" i="63"/>
  <c r="R386" i="63"/>
  <c r="T385" i="63"/>
  <c r="AP107" i="63" l="1"/>
  <c r="AI107" i="63"/>
  <c r="AB107" i="63"/>
  <c r="R387" i="63"/>
  <c r="T386" i="63"/>
  <c r="AL107" i="63" l="1"/>
  <c r="AG107" i="63"/>
  <c r="AF107" i="63"/>
  <c r="R388" i="63"/>
  <c r="T387" i="63"/>
  <c r="AJ107" i="63" l="1"/>
  <c r="AK107" i="63" s="1"/>
  <c r="Y108" i="63"/>
  <c r="AC108" i="63" s="1"/>
  <c r="AH108" i="63" s="1"/>
  <c r="AA108" i="63"/>
  <c r="T388" i="63"/>
  <c r="R389" i="63"/>
  <c r="AP108" i="63" l="1"/>
  <c r="AI108" i="63"/>
  <c r="AB108" i="63"/>
  <c r="R390" i="63"/>
  <c r="T389" i="63"/>
  <c r="AL108" i="63" l="1"/>
  <c r="AG108" i="63"/>
  <c r="AF108" i="63"/>
  <c r="R391" i="63"/>
  <c r="T390" i="63"/>
  <c r="AJ108" i="63" l="1"/>
  <c r="AK108" i="63" s="1"/>
  <c r="Y109" i="63"/>
  <c r="AA109" i="63"/>
  <c r="R392" i="63"/>
  <c r="T391" i="63"/>
  <c r="AP109" i="63" l="1"/>
  <c r="AI109" i="63"/>
  <c r="AC109" i="63"/>
  <c r="AH109" i="63" s="1"/>
  <c r="T392" i="63"/>
  <c r="R393" i="63"/>
  <c r="AB109" i="63" l="1"/>
  <c r="R394" i="63"/>
  <c r="T393" i="63"/>
  <c r="AF109" i="63" l="1"/>
  <c r="AG109" i="63"/>
  <c r="AL109" i="63"/>
  <c r="R395" i="63"/>
  <c r="T394" i="63"/>
  <c r="AJ109" i="63" l="1"/>
  <c r="AK109" i="63" s="1"/>
  <c r="Y110" i="63"/>
  <c r="AC110" i="63" s="1"/>
  <c r="AH110" i="63" s="1"/>
  <c r="AA110" i="63"/>
  <c r="R396" i="63"/>
  <c r="T395" i="63"/>
  <c r="AP110" i="63" l="1"/>
  <c r="AI110" i="63"/>
  <c r="AB110" i="63"/>
  <c r="T396" i="63"/>
  <c r="R397" i="63"/>
  <c r="AL110" i="63" l="1"/>
  <c r="AG110" i="63"/>
  <c r="AF110" i="63"/>
  <c r="R398" i="63"/>
  <c r="T397" i="63"/>
  <c r="AJ110" i="63" l="1"/>
  <c r="AK110" i="63" s="1"/>
  <c r="Y111" i="63"/>
  <c r="AA111" i="63"/>
  <c r="R399" i="63"/>
  <c r="T398" i="63"/>
  <c r="AP111" i="63" l="1"/>
  <c r="AI111" i="63"/>
  <c r="AC111" i="63"/>
  <c r="AH111" i="63" s="1"/>
  <c r="R400" i="63"/>
  <c r="T399" i="63"/>
  <c r="AB111" i="63" l="1"/>
  <c r="T400" i="63"/>
  <c r="R401" i="63"/>
  <c r="AG111" i="63" l="1"/>
  <c r="AF111" i="63"/>
  <c r="AL111" i="63"/>
  <c r="R402" i="63"/>
  <c r="T401" i="63"/>
  <c r="AJ111" i="63" l="1"/>
  <c r="AK111" i="63" s="1"/>
  <c r="AA112" i="63"/>
  <c r="Y112" i="63"/>
  <c r="R403" i="63"/>
  <c r="T402" i="63"/>
  <c r="AC112" i="63" l="1"/>
  <c r="AH112" i="63" s="1"/>
  <c r="AP112" i="63"/>
  <c r="AI112" i="63"/>
  <c r="R404" i="63"/>
  <c r="T403" i="63"/>
  <c r="AB112" i="63" l="1"/>
  <c r="AF112" i="63" s="1"/>
  <c r="T404" i="63"/>
  <c r="R405" i="63"/>
  <c r="AG112" i="63" l="1"/>
  <c r="AL112" i="63"/>
  <c r="AA113" i="63" s="1"/>
  <c r="R406" i="63"/>
  <c r="T405" i="63"/>
  <c r="Y113" i="63" l="1"/>
  <c r="AC113" i="63" s="1"/>
  <c r="AH113" i="63" s="1"/>
  <c r="AJ112" i="63"/>
  <c r="AK112" i="63" s="1"/>
  <c r="AP113" i="63"/>
  <c r="AI113" i="63"/>
  <c r="R407" i="63"/>
  <c r="T406" i="63"/>
  <c r="AB113" i="63" l="1"/>
  <c r="R408" i="63"/>
  <c r="T407" i="63"/>
  <c r="AG113" i="63" l="1"/>
  <c r="AF113" i="63"/>
  <c r="AL113" i="63"/>
  <c r="T408" i="63"/>
  <c r="R409" i="63"/>
  <c r="Y114" i="63" l="1"/>
  <c r="AA114" i="63"/>
  <c r="AJ113" i="63"/>
  <c r="AK113" i="63" s="1"/>
  <c r="R410" i="63"/>
  <c r="T409" i="63"/>
  <c r="AP114" i="63" l="1"/>
  <c r="AI114" i="63"/>
  <c r="AC114" i="63"/>
  <c r="AH114" i="63" s="1"/>
  <c r="R411" i="63"/>
  <c r="T410" i="63"/>
  <c r="AB114" i="63" l="1"/>
  <c r="R412" i="63"/>
  <c r="T411" i="63"/>
  <c r="AF114" i="63" l="1"/>
  <c r="AG114" i="63"/>
  <c r="AL114" i="63"/>
  <c r="T412" i="63"/>
  <c r="R413" i="63"/>
  <c r="AJ114" i="63" l="1"/>
  <c r="AK114" i="63" s="1"/>
  <c r="Y115" i="63"/>
  <c r="AA115" i="63"/>
  <c r="R414" i="63"/>
  <c r="T413" i="63"/>
  <c r="AP115" i="63" l="1"/>
  <c r="AI115" i="63"/>
  <c r="AC115" i="63"/>
  <c r="AH115" i="63" s="1"/>
  <c r="R415" i="63"/>
  <c r="T414" i="63"/>
  <c r="AB115" i="63" l="1"/>
  <c r="R416" i="63"/>
  <c r="T415" i="63"/>
  <c r="AG115" i="63" l="1"/>
  <c r="AF115" i="63"/>
  <c r="AL115" i="63"/>
  <c r="T416" i="63"/>
  <c r="R417" i="63"/>
  <c r="AJ115" i="63" l="1"/>
  <c r="AK115" i="63" s="1"/>
  <c r="Y116" i="63"/>
  <c r="AA116" i="63"/>
  <c r="R418" i="63"/>
  <c r="T417" i="63"/>
  <c r="AC116" i="63" l="1"/>
  <c r="AH116" i="63" s="1"/>
  <c r="AP116" i="63"/>
  <c r="AI116" i="63"/>
  <c r="R419" i="63"/>
  <c r="T418" i="63"/>
  <c r="AB116" i="63" l="1"/>
  <c r="AF116" i="63" s="1"/>
  <c r="R420" i="63"/>
  <c r="T419" i="63"/>
  <c r="AG116" i="63" l="1"/>
  <c r="AL116" i="63"/>
  <c r="Y117" i="63" s="1"/>
  <c r="T420" i="63"/>
  <c r="R421" i="63"/>
  <c r="AJ116" i="63" l="1"/>
  <c r="AK116" i="63" s="1"/>
  <c r="AA117" i="63"/>
  <c r="AI117" i="63" s="1"/>
  <c r="AC117" i="63"/>
  <c r="AH117" i="63" s="1"/>
  <c r="R422" i="63"/>
  <c r="T421" i="63"/>
  <c r="AP117" i="63" l="1"/>
  <c r="AB117" i="63"/>
  <c r="R423" i="63"/>
  <c r="T422" i="63"/>
  <c r="AF117" i="63" l="1"/>
  <c r="AG117" i="63"/>
  <c r="AL117" i="63"/>
  <c r="R424" i="63"/>
  <c r="T423" i="63"/>
  <c r="AJ117" i="63" l="1"/>
  <c r="AK117" i="63" s="1"/>
  <c r="Y118" i="63"/>
  <c r="AA118" i="63"/>
  <c r="T424" i="63"/>
  <c r="R425" i="63"/>
  <c r="AP118" i="63" l="1"/>
  <c r="AI118" i="63"/>
  <c r="AC118" i="63"/>
  <c r="AH118" i="63" s="1"/>
  <c r="R426" i="63"/>
  <c r="T425" i="63"/>
  <c r="AB118" i="63" l="1"/>
  <c r="R427" i="63"/>
  <c r="T426" i="63"/>
  <c r="AF118" i="63" l="1"/>
  <c r="AG118" i="63"/>
  <c r="AL118" i="63"/>
  <c r="R428" i="63"/>
  <c r="T427" i="63"/>
  <c r="AJ118" i="63" l="1"/>
  <c r="AK118" i="63" s="1"/>
  <c r="Y119" i="63"/>
  <c r="AC119" i="63" s="1"/>
  <c r="AH119" i="63" s="1"/>
  <c r="T428" i="63"/>
  <c r="R429" i="63"/>
  <c r="R430" i="63" l="1"/>
  <c r="T429" i="63"/>
  <c r="R431" i="63" l="1"/>
  <c r="T430" i="63"/>
  <c r="R432" i="63" l="1"/>
  <c r="T431" i="63"/>
  <c r="T432" i="63" l="1"/>
  <c r="R433" i="63"/>
  <c r="R434" i="63" l="1"/>
  <c r="T433" i="63"/>
  <c r="R435" i="63" l="1"/>
  <c r="T434" i="63"/>
  <c r="R436" i="63" l="1"/>
  <c r="T435" i="63"/>
  <c r="T436" i="63" l="1"/>
  <c r="R437" i="63"/>
  <c r="R438" i="63" l="1"/>
  <c r="T437" i="63"/>
  <c r="R439" i="63" l="1"/>
  <c r="T438" i="63"/>
  <c r="R440" i="63" l="1"/>
  <c r="T439" i="63"/>
  <c r="T440" i="63" l="1"/>
  <c r="R441" i="63"/>
  <c r="R442" i="63" l="1"/>
  <c r="T441" i="63"/>
  <c r="R443" i="63" l="1"/>
  <c r="T442" i="63"/>
  <c r="R444" i="63" l="1"/>
  <c r="T443" i="63"/>
  <c r="T444" i="63" l="1"/>
  <c r="R445" i="63"/>
  <c r="R446" i="63" l="1"/>
  <c r="T445" i="63"/>
  <c r="R447" i="63" l="1"/>
  <c r="T446" i="63"/>
  <c r="R448" i="63" l="1"/>
  <c r="T447" i="63"/>
  <c r="T448" i="63" l="1"/>
  <c r="R449" i="63"/>
  <c r="R450" i="63" l="1"/>
  <c r="T449" i="63"/>
  <c r="R451" i="63" l="1"/>
  <c r="T450" i="63"/>
  <c r="R452" i="63" l="1"/>
  <c r="T451" i="63"/>
  <c r="T452" i="63" l="1"/>
  <c r="R453" i="63"/>
  <c r="R454" i="63" l="1"/>
  <c r="T453" i="63"/>
  <c r="R455" i="63" l="1"/>
  <c r="T454" i="63"/>
  <c r="R456" i="63" l="1"/>
  <c r="T455" i="63"/>
  <c r="T456" i="63" l="1"/>
  <c r="R457" i="63"/>
  <c r="R458" i="63" l="1"/>
  <c r="T457" i="63"/>
  <c r="R459" i="63" l="1"/>
  <c r="T458" i="63"/>
  <c r="R460" i="63" l="1"/>
  <c r="T459" i="63"/>
  <c r="T460" i="63" l="1"/>
  <c r="R461" i="63"/>
  <c r="R462" i="63" l="1"/>
  <c r="T461" i="63"/>
  <c r="R463" i="63" l="1"/>
  <c r="T462" i="63"/>
  <c r="R464" i="63" l="1"/>
  <c r="T463" i="63"/>
  <c r="T464" i="63" l="1"/>
  <c r="R465" i="63"/>
  <c r="R466" i="63" l="1"/>
  <c r="T465" i="63"/>
  <c r="R467" i="63" l="1"/>
  <c r="T466" i="63"/>
  <c r="R468" i="63" l="1"/>
  <c r="T467" i="63"/>
  <c r="T468" i="63" l="1"/>
  <c r="R469" i="63"/>
  <c r="R470" i="63" l="1"/>
  <c r="T469" i="63"/>
  <c r="R471" i="63" l="1"/>
  <c r="T470" i="63"/>
  <c r="R472" i="63" l="1"/>
  <c r="T471" i="63"/>
  <c r="T472" i="63" l="1"/>
  <c r="R473" i="63"/>
  <c r="R474" i="63" l="1"/>
  <c r="T473" i="63"/>
  <c r="R475" i="63" l="1"/>
  <c r="T474" i="63"/>
  <c r="R476" i="63" l="1"/>
  <c r="T475" i="63"/>
  <c r="T476" i="63" l="1"/>
  <c r="R477" i="63"/>
  <c r="R478" i="63" l="1"/>
  <c r="T477" i="63"/>
  <c r="R479" i="63" l="1"/>
  <c r="T478" i="63"/>
  <c r="R480" i="63" l="1"/>
  <c r="T479" i="63"/>
  <c r="T480" i="63" l="1"/>
  <c r="R481" i="63"/>
  <c r="R482" i="63" l="1"/>
  <c r="T481" i="63"/>
  <c r="R483" i="63" l="1"/>
  <c r="T482" i="63"/>
  <c r="R484" i="63" l="1"/>
  <c r="T483" i="63"/>
  <c r="T484" i="63" l="1"/>
  <c r="R485" i="63"/>
  <c r="R486" i="63" l="1"/>
  <c r="T485" i="63"/>
  <c r="R487" i="63" l="1"/>
  <c r="T486" i="63"/>
  <c r="R488" i="63" l="1"/>
  <c r="T487" i="63"/>
  <c r="T488" i="63" l="1"/>
  <c r="R489" i="63"/>
  <c r="R490" i="63" l="1"/>
  <c r="T490" i="63" s="1"/>
  <c r="T489" i="63"/>
  <c r="AA119" i="63"/>
  <c r="AP119" i="63" s="1"/>
  <c r="AI119" i="63" l="1"/>
  <c r="AB119" i="63"/>
  <c r="AG119" i="63" l="1"/>
  <c r="AF119" i="63"/>
  <c r="AL119" i="63"/>
  <c r="AB10" i="63" l="1"/>
  <c r="AJ10" i="63"/>
  <c r="AA120" i="63"/>
  <c r="AP120" i="63" s="1"/>
  <c r="AJ119" i="63"/>
  <c r="AK119" i="63" s="1"/>
  <c r="Y120" i="63"/>
  <c r="AJ11" i="63" l="1"/>
  <c r="F55" i="1"/>
  <c r="AC120" i="63"/>
  <c r="AH120" i="63" s="1"/>
  <c r="AI120" i="63"/>
  <c r="AB120" i="63" l="1"/>
  <c r="AL120" i="63" s="1"/>
  <c r="AA121" i="63" s="1"/>
  <c r="AP121" i="63" s="1"/>
  <c r="AF120" i="63" l="1"/>
  <c r="Y121" i="63"/>
  <c r="AC121" i="63" s="1"/>
  <c r="AH121" i="63" s="1"/>
  <c r="AG120" i="63"/>
  <c r="AJ120" i="63"/>
  <c r="AK120" i="63" s="1"/>
  <c r="AI121" i="63"/>
  <c r="AB121" i="63" l="1"/>
  <c r="AL121" i="63" s="1"/>
  <c r="AJ121" i="63" s="1"/>
  <c r="AK121" i="63" s="1"/>
  <c r="AF121" i="63" l="1"/>
  <c r="AG121" i="63"/>
  <c r="Y122" i="63"/>
  <c r="AC122" i="63" s="1"/>
  <c r="AH122" i="63" s="1"/>
  <c r="AA122" i="63"/>
  <c r="AP122" i="63" s="1"/>
  <c r="AI122" i="63" l="1"/>
  <c r="AB122" i="63"/>
  <c r="AG122" i="63" s="1"/>
  <c r="AL122" i="63" l="1"/>
  <c r="AA123" i="63" s="1"/>
  <c r="AP123" i="63" s="1"/>
  <c r="AF122" i="63"/>
  <c r="AJ122" i="63" l="1"/>
  <c r="AK122" i="63" s="1"/>
  <c r="Y123" i="63"/>
  <c r="AC123" i="63" s="1"/>
  <c r="AH123" i="63" s="1"/>
  <c r="AI123" i="63"/>
  <c r="AB123" i="63" l="1"/>
  <c r="AG123" i="63" s="1"/>
  <c r="AF123" i="63" l="1"/>
  <c r="AL123" i="63"/>
  <c r="AJ123" i="63" s="1"/>
  <c r="AK123" i="63" s="1"/>
  <c r="Y124" i="63" l="1"/>
  <c r="AC124" i="63" s="1"/>
  <c r="AH124" i="63" s="1"/>
  <c r="AA124" i="63"/>
  <c r="AP124" i="63" s="1"/>
  <c r="AI124" i="63" l="1"/>
  <c r="AB124" i="63"/>
  <c r="AF124" i="63" s="1"/>
  <c r="AL124" i="63" l="1"/>
  <c r="AA125" i="63" s="1"/>
  <c r="AP125" i="63" s="1"/>
  <c r="AG124" i="63"/>
  <c r="Y125" i="63" l="1"/>
  <c r="AC125" i="63" s="1"/>
  <c r="AH125" i="63" s="1"/>
  <c r="AJ124" i="63"/>
  <c r="AK124" i="63" s="1"/>
  <c r="AI125" i="63"/>
  <c r="AB125" i="63" l="1"/>
  <c r="AG125" i="63" s="1"/>
  <c r="AF125" i="63" l="1"/>
  <c r="AL125" i="63"/>
  <c r="AJ125" i="63" s="1"/>
  <c r="AK125" i="63" s="1"/>
  <c r="Y126" i="63" l="1"/>
  <c r="AC126" i="63" s="1"/>
  <c r="AH126" i="63" s="1"/>
  <c r="AA126" i="63"/>
  <c r="AP126" i="63" s="1"/>
  <c r="AI126" i="63" l="1"/>
  <c r="AB126" i="63"/>
  <c r="AG126" i="63" s="1"/>
  <c r="AF126" i="63" l="1"/>
  <c r="AL126" i="63"/>
  <c r="AA127" i="63" s="1"/>
  <c r="AP127" i="63" s="1"/>
  <c r="AJ126" i="63" l="1"/>
  <c r="AK126" i="63" s="1"/>
  <c r="Y127" i="63"/>
  <c r="AC127" i="63" s="1"/>
  <c r="AH127" i="63" s="1"/>
  <c r="AI127" i="63"/>
  <c r="AB127" i="63" l="1"/>
  <c r="AL127" i="63" s="1"/>
  <c r="AJ127" i="63" s="1"/>
  <c r="AK127" i="63" s="1"/>
  <c r="AF127" i="63" l="1"/>
  <c r="AG127" i="63"/>
  <c r="Y128" i="63"/>
  <c r="AC128" i="63" s="1"/>
  <c r="AH128" i="63" s="1"/>
  <c r="AA128" i="63"/>
  <c r="AP128" i="63" s="1"/>
  <c r="AI128" i="63" l="1"/>
  <c r="AB128" i="63"/>
  <c r="AL128" i="63" s="1"/>
  <c r="AJ128" i="63" s="1"/>
  <c r="AK128" i="63" l="1"/>
  <c r="Y129" i="63"/>
  <c r="AC129" i="63" s="1"/>
  <c r="AH129" i="63" s="1"/>
  <c r="AF128" i="63"/>
  <c r="AG128" i="63"/>
  <c r="AA129" i="63"/>
  <c r="AP129" i="63" s="1"/>
  <c r="AI129" i="63" l="1"/>
  <c r="AB129" i="63"/>
  <c r="AL129" i="63" s="1"/>
  <c r="AA130" i="63" s="1"/>
  <c r="AP130" i="63" s="1"/>
  <c r="AG129" i="63" l="1"/>
  <c r="AF129" i="63"/>
  <c r="AJ129" i="63"/>
  <c r="AK129" i="63" s="1"/>
  <c r="Y130" i="63"/>
  <c r="AC130" i="63" s="1"/>
  <c r="AH130" i="63" s="1"/>
  <c r="AI130" i="63"/>
  <c r="AB130" i="63" l="1"/>
  <c r="AG130" i="63" s="1"/>
  <c r="AL130" i="63" l="1"/>
  <c r="AA131" i="63" s="1"/>
  <c r="AP131" i="63" s="1"/>
  <c r="AF130" i="63"/>
  <c r="Y131" i="63" l="1"/>
  <c r="AC131" i="63" s="1"/>
  <c r="AH131" i="63" s="1"/>
  <c r="AJ130" i="63"/>
  <c r="AK130" i="63" s="1"/>
  <c r="AI131" i="63"/>
  <c r="AB131" i="63" l="1"/>
  <c r="AF131" i="63" s="1"/>
  <c r="AG131" i="63" l="1"/>
  <c r="AL131" i="63"/>
  <c r="AJ131" i="63" s="1"/>
  <c r="AK131" i="63" s="1"/>
  <c r="Y132" i="63" l="1"/>
  <c r="AC132" i="63" s="1"/>
  <c r="AH132" i="63" s="1"/>
  <c r="AA132" i="63"/>
  <c r="AP132" i="63" s="1"/>
  <c r="AI132" i="63" l="1"/>
  <c r="AB132" i="63"/>
  <c r="AF132" i="63" s="1"/>
  <c r="AL132" i="63" l="1"/>
  <c r="AJ132" i="63" s="1"/>
  <c r="AK132" i="63" s="1"/>
  <c r="AG132" i="63"/>
  <c r="Y133" i="63" l="1"/>
  <c r="AC133" i="63" s="1"/>
  <c r="AH133" i="63" s="1"/>
  <c r="AA133" i="63"/>
  <c r="AP133" i="63" s="1"/>
  <c r="AI133" i="63" l="1"/>
  <c r="AB133" i="63"/>
  <c r="AG133" i="63" s="1"/>
  <c r="AF133" i="63" l="1"/>
  <c r="AL133" i="63"/>
  <c r="AJ133" i="63" s="1"/>
  <c r="AK133" i="63" s="1"/>
  <c r="Y134" i="63" l="1"/>
  <c r="AC134" i="63" s="1"/>
  <c r="AH134" i="63" s="1"/>
  <c r="AA134" i="63"/>
  <c r="AP134" i="63" s="1"/>
  <c r="AI134" i="63" l="1"/>
  <c r="AB134" i="63"/>
  <c r="AF134" i="63" s="1"/>
  <c r="AL134" i="63" l="1"/>
  <c r="AJ134" i="63" s="1"/>
  <c r="AK134" i="63" s="1"/>
  <c r="AG134" i="63"/>
  <c r="Y135" i="63" l="1"/>
  <c r="AC135" i="63" s="1"/>
  <c r="AH135" i="63" s="1"/>
  <c r="AA135" i="63"/>
  <c r="AP135" i="63" s="1"/>
  <c r="AI135" i="63" l="1"/>
  <c r="AB135" i="63"/>
  <c r="AL135" i="63" s="1"/>
  <c r="AJ135" i="63" s="1"/>
  <c r="AK135" i="63" l="1"/>
  <c r="AF135" i="63"/>
  <c r="AG135" i="63"/>
  <c r="Y136" i="63"/>
  <c r="AA136" i="63"/>
  <c r="AP136" i="63" s="1"/>
  <c r="AC136" i="63"/>
  <c r="AH136" i="63" s="1"/>
  <c r="AI136" i="63" l="1"/>
  <c r="AB136" i="63"/>
  <c r="AF136" i="63" s="1"/>
  <c r="AL136" i="63" l="1"/>
  <c r="AJ136" i="63" s="1"/>
  <c r="AK136" i="63" s="1"/>
  <c r="AG136" i="63"/>
  <c r="Y137" i="63" l="1"/>
  <c r="AC137" i="63" s="1"/>
  <c r="AH137" i="63" s="1"/>
  <c r="AA137" i="63"/>
  <c r="AP137" i="63" s="1"/>
  <c r="AI137" i="63" l="1"/>
  <c r="AB137" i="63"/>
  <c r="AG137" i="63" s="1"/>
  <c r="AL137" i="63" l="1"/>
  <c r="AA138" i="63" s="1"/>
  <c r="AP138" i="63" s="1"/>
  <c r="AF137" i="63"/>
  <c r="Y138" i="63" l="1"/>
  <c r="AC138" i="63" s="1"/>
  <c r="AH138" i="63" s="1"/>
  <c r="AJ137" i="63"/>
  <c r="AK137" i="63" s="1"/>
  <c r="AI138" i="63"/>
  <c r="AB138" i="63" l="1"/>
  <c r="AG138" i="63" s="1"/>
  <c r="AF138" i="63" l="1"/>
  <c r="AL138" i="63"/>
  <c r="AJ138" i="63" s="1"/>
  <c r="AK138" i="63" s="1"/>
  <c r="Y139" i="63" l="1"/>
  <c r="AC139" i="63" s="1"/>
  <c r="AH139" i="63" s="1"/>
  <c r="AA139" i="63"/>
  <c r="AP139" i="63" s="1"/>
  <c r="AI139" i="63" l="1"/>
  <c r="AB139" i="63"/>
  <c r="AG139" i="63" s="1"/>
  <c r="AL139" i="63" l="1"/>
  <c r="Y140" i="63" s="1"/>
  <c r="AF139" i="63"/>
  <c r="AA140" i="63" l="1"/>
  <c r="AP140" i="63" s="1"/>
  <c r="AJ139" i="63"/>
  <c r="AK139" i="63" s="1"/>
  <c r="AC140" i="63"/>
  <c r="AH140" i="63" s="1"/>
  <c r="AI140" i="63" l="1"/>
  <c r="AB140" i="63"/>
  <c r="AF140" i="63" s="1"/>
  <c r="AL140" i="63" l="1"/>
  <c r="AA141" i="63" s="1"/>
  <c r="AP141" i="63" s="1"/>
  <c r="AG140" i="63"/>
  <c r="Y141" i="63" l="1"/>
  <c r="AC141" i="63" s="1"/>
  <c r="AH141" i="63" s="1"/>
  <c r="AJ140" i="63"/>
  <c r="AK140" i="63" s="1"/>
  <c r="AI141" i="63"/>
  <c r="AB141" i="63" l="1"/>
  <c r="AG141" i="63" s="1"/>
  <c r="AL141" i="63" l="1"/>
  <c r="AJ141" i="63" s="1"/>
  <c r="AK141" i="63" s="1"/>
  <c r="AF141" i="63"/>
  <c r="Y142" i="63" l="1"/>
  <c r="AC142" i="63" s="1"/>
  <c r="AH142" i="63" s="1"/>
  <c r="AA142" i="63"/>
  <c r="AP142" i="63" s="1"/>
  <c r="AI142" i="63" l="1"/>
  <c r="AB142" i="63"/>
  <c r="AG142" i="63" s="1"/>
  <c r="AL142" i="63" l="1"/>
  <c r="AJ142" i="63" s="1"/>
  <c r="AK142" i="63" s="1"/>
  <c r="AF142" i="63"/>
  <c r="Y143" i="63" l="1"/>
  <c r="AC143" i="63" s="1"/>
  <c r="AH143" i="63" s="1"/>
  <c r="AA143" i="63"/>
  <c r="AP143" i="63" s="1"/>
  <c r="AI143" i="63" l="1"/>
  <c r="AB143" i="63"/>
  <c r="AF143" i="63" s="1"/>
  <c r="AG143" i="63" l="1"/>
  <c r="AL143" i="63"/>
  <c r="AA144" i="63" s="1"/>
  <c r="AP144" i="63" s="1"/>
  <c r="Y144" i="63" l="1"/>
  <c r="AC144" i="63" s="1"/>
  <c r="AH144" i="63" s="1"/>
  <c r="AJ143" i="63"/>
  <c r="AK143" i="63" s="1"/>
  <c r="AI144" i="63"/>
  <c r="AB144" i="63" l="1"/>
  <c r="AG144" i="63" s="1"/>
  <c r="AL144" i="63" l="1"/>
  <c r="AJ144" i="63" s="1"/>
  <c r="AK144" i="63" s="1"/>
  <c r="AF144" i="63"/>
  <c r="Y145" i="63" l="1"/>
  <c r="AC145" i="63" s="1"/>
  <c r="AH145" i="63" s="1"/>
  <c r="AA145" i="63"/>
  <c r="AP145" i="63" s="1"/>
  <c r="AI145" i="63" l="1"/>
  <c r="AB145" i="63"/>
  <c r="AL145" i="63" s="1"/>
  <c r="AJ145" i="63" s="1"/>
  <c r="AK145" i="63" l="1"/>
  <c r="AG145" i="63"/>
  <c r="AF145" i="63"/>
  <c r="Y146" i="63"/>
  <c r="AC146" i="63" s="1"/>
  <c r="AH146" i="63" s="1"/>
  <c r="AA146" i="63"/>
  <c r="AP146" i="63" s="1"/>
  <c r="AI146" i="63" l="1"/>
  <c r="AB146" i="63"/>
  <c r="AG146" i="63" s="1"/>
  <c r="AL146" i="63" l="1"/>
  <c r="AJ146" i="63" s="1"/>
  <c r="AK146" i="63" s="1"/>
  <c r="AF146" i="63"/>
  <c r="Y147" i="63" l="1"/>
  <c r="AC147" i="63" s="1"/>
  <c r="AH147" i="63" s="1"/>
  <c r="AA147" i="63"/>
  <c r="AP147" i="63" s="1"/>
  <c r="AI147" i="63" l="1"/>
  <c r="AB147" i="63"/>
  <c r="AF147" i="63" s="1"/>
  <c r="AL147" i="63" l="1"/>
  <c r="AJ147" i="63" s="1"/>
  <c r="AK147" i="63" s="1"/>
  <c r="AG147" i="63"/>
  <c r="Y148" i="63" l="1"/>
  <c r="AC148" i="63" s="1"/>
  <c r="AH148" i="63" s="1"/>
  <c r="AA148" i="63"/>
  <c r="AP148" i="63" s="1"/>
  <c r="AI148" i="63" l="1"/>
  <c r="AB148" i="63"/>
  <c r="AL148" i="63" s="1"/>
  <c r="AA149" i="63" s="1"/>
  <c r="AP149" i="63" s="1"/>
  <c r="AF148" i="63" l="1"/>
  <c r="AG148" i="63"/>
  <c r="Y149" i="63"/>
  <c r="AJ148" i="63"/>
  <c r="AK148" i="63" s="1"/>
  <c r="AC149" i="63"/>
  <c r="AH149" i="63" s="1"/>
  <c r="AI149" i="63"/>
  <c r="AB149" i="63" l="1"/>
  <c r="AF149" i="63" s="1"/>
  <c r="AL149" i="63" l="1"/>
  <c r="AJ149" i="63" s="1"/>
  <c r="AK149" i="63" s="1"/>
  <c r="AG149" i="63"/>
  <c r="Y150" i="63" l="1"/>
  <c r="AC150" i="63" s="1"/>
  <c r="AH150" i="63" s="1"/>
  <c r="AA150" i="63"/>
  <c r="AP150" i="63" s="1"/>
  <c r="AI150" i="63" l="1"/>
  <c r="AB150" i="63"/>
  <c r="AF150" i="63" s="1"/>
  <c r="AL150" i="63" l="1"/>
  <c r="AJ150" i="63" s="1"/>
  <c r="AK150" i="63" s="1"/>
  <c r="AG150" i="63"/>
  <c r="Y151" i="63" l="1"/>
  <c r="AC151" i="63" s="1"/>
  <c r="AH151" i="63" s="1"/>
  <c r="AA151" i="63"/>
  <c r="AP151" i="63" s="1"/>
  <c r="AI151" i="63" l="1"/>
  <c r="AB151" i="63"/>
  <c r="AF151" i="63" s="1"/>
  <c r="AL151" i="63" l="1"/>
  <c r="AJ151" i="63" s="1"/>
  <c r="AK151" i="63" s="1"/>
  <c r="AG151" i="63"/>
  <c r="Y152" i="63" l="1"/>
  <c r="AC152" i="63" s="1"/>
  <c r="AH152" i="63" s="1"/>
  <c r="AA152" i="63"/>
  <c r="AP152" i="63" s="1"/>
  <c r="AI152" i="63" l="1"/>
  <c r="AB152" i="63"/>
  <c r="AF152" i="63" s="1"/>
  <c r="AG152" i="63" l="1"/>
  <c r="AL152" i="63"/>
  <c r="AJ152" i="63" s="1"/>
  <c r="AK152" i="63" s="1"/>
  <c r="Y153" i="63" l="1"/>
  <c r="AC153" i="63" s="1"/>
  <c r="AH153" i="63" s="1"/>
  <c r="AA153" i="63"/>
  <c r="AP153" i="63" s="1"/>
  <c r="AI153" i="63" l="1"/>
  <c r="AB153" i="63"/>
  <c r="AG153" i="63" s="1"/>
  <c r="AL153" i="63" l="1"/>
  <c r="AA154" i="63" s="1"/>
  <c r="AP154" i="63" s="1"/>
  <c r="AF153" i="63"/>
  <c r="Y154" i="63" l="1"/>
  <c r="AC154" i="63" s="1"/>
  <c r="AH154" i="63" s="1"/>
  <c r="AJ153" i="63"/>
  <c r="AK153" i="63" s="1"/>
  <c r="AI154" i="63"/>
  <c r="AB154" i="63" l="1"/>
  <c r="AG154" i="63" s="1"/>
  <c r="AL154" i="63" l="1"/>
  <c r="AJ154" i="63" s="1"/>
  <c r="AK154" i="63" s="1"/>
  <c r="AF154" i="63"/>
  <c r="AA155" i="63" l="1"/>
  <c r="AP155" i="63" s="1"/>
  <c r="Y155" i="63"/>
  <c r="AC155" i="63" s="1"/>
  <c r="AH155" i="63" s="1"/>
  <c r="AI155" i="63" l="1"/>
  <c r="AB155" i="63"/>
  <c r="AF155" i="63" s="1"/>
  <c r="AG155" i="63" l="1"/>
  <c r="AL155" i="63"/>
  <c r="AJ155" i="63" s="1"/>
  <c r="AK155" i="63" s="1"/>
  <c r="Y156" i="63" l="1"/>
  <c r="AC156" i="63" s="1"/>
  <c r="AH156" i="63" s="1"/>
  <c r="AA156" i="63"/>
  <c r="AP156" i="63" s="1"/>
  <c r="AI156" i="63" l="1"/>
  <c r="AB156" i="63"/>
  <c r="AL156" i="63" s="1"/>
  <c r="AJ156" i="63" s="1"/>
  <c r="AK156" i="63" l="1"/>
  <c r="AF156" i="63"/>
  <c r="AA157" i="63"/>
  <c r="AP157" i="63" s="1"/>
  <c r="AG156" i="63"/>
  <c r="Y157" i="63"/>
  <c r="AC157" i="63" s="1"/>
  <c r="AH157" i="63" s="1"/>
  <c r="AI157" i="63" l="1"/>
  <c r="AB157" i="63"/>
  <c r="AG157" i="63" s="1"/>
  <c r="AL157" i="63" l="1"/>
  <c r="AA158" i="63" s="1"/>
  <c r="AP158" i="63" s="1"/>
  <c r="AF157" i="63"/>
  <c r="Y158" i="63" l="1"/>
  <c r="AC158" i="63" s="1"/>
  <c r="AH158" i="63" s="1"/>
  <c r="AJ157" i="63"/>
  <c r="AK157" i="63" s="1"/>
  <c r="AI158" i="63"/>
  <c r="AB158" i="63" l="1"/>
  <c r="AL158" i="63" s="1"/>
  <c r="AJ158" i="63" s="1"/>
  <c r="AK158" i="63" s="1"/>
  <c r="AF158" i="63" l="1"/>
  <c r="AG158" i="63"/>
  <c r="Y159" i="63"/>
  <c r="AC159" i="63" s="1"/>
  <c r="AH159" i="63" s="1"/>
  <c r="AA159" i="63"/>
  <c r="AP159" i="63" s="1"/>
  <c r="AI159" i="63" l="1"/>
  <c r="AB159" i="63"/>
  <c r="AL159" i="63" s="1"/>
  <c r="AA160" i="63" s="1"/>
  <c r="AP160" i="63" s="1"/>
  <c r="AJ159" i="63" l="1"/>
  <c r="AK159" i="63" s="1"/>
  <c r="AF159" i="63"/>
  <c r="AG159" i="63"/>
  <c r="Y160" i="63"/>
  <c r="AC160" i="63" s="1"/>
  <c r="AH160" i="63" s="1"/>
  <c r="AI160" i="63"/>
  <c r="AB160" i="63" l="1"/>
  <c r="AF160" i="63" s="1"/>
  <c r="AG160" i="63" l="1"/>
  <c r="AL160" i="63"/>
  <c r="AJ160" i="63" s="1"/>
  <c r="AK160" i="63" s="1"/>
  <c r="AA161" i="63" l="1"/>
  <c r="AP161" i="63" s="1"/>
  <c r="Y161" i="63"/>
  <c r="AC161" i="63" s="1"/>
  <c r="AH161" i="63" s="1"/>
  <c r="AI161" i="63" l="1"/>
  <c r="AB161" i="63"/>
  <c r="AL161" i="63" s="1"/>
  <c r="AA162" i="63" s="1"/>
  <c r="AP162" i="63" s="1"/>
  <c r="AG161" i="63" l="1"/>
  <c r="AF161" i="63"/>
  <c r="Y162" i="63"/>
  <c r="AC162" i="63" s="1"/>
  <c r="AH162" i="63" s="1"/>
  <c r="AJ161" i="63"/>
  <c r="AK161" i="63" s="1"/>
  <c r="AI162" i="63"/>
  <c r="AB162" i="63" l="1"/>
  <c r="AG162" i="63" s="1"/>
  <c r="AF162" i="63" l="1"/>
  <c r="AL162" i="63"/>
  <c r="AJ162" i="63" s="1"/>
  <c r="AK162" i="63" s="1"/>
  <c r="AA163" i="63" l="1"/>
  <c r="AP163" i="63" s="1"/>
  <c r="Y163" i="63"/>
  <c r="AC163" i="63" s="1"/>
  <c r="AH163" i="63" s="1"/>
  <c r="AI163" i="63" l="1"/>
  <c r="AB163" i="63"/>
  <c r="AG163" i="63" s="1"/>
  <c r="AL163" i="63" l="1"/>
  <c r="AJ163" i="63" s="1"/>
  <c r="AK163" i="63" s="1"/>
  <c r="AF163" i="63"/>
  <c r="Y164" i="63" l="1"/>
  <c r="AC164" i="63" s="1"/>
  <c r="AH164" i="63" s="1"/>
  <c r="AA164" i="63"/>
  <c r="AP164" i="63" s="1"/>
  <c r="AI164" i="63" l="1"/>
  <c r="AB164" i="63"/>
  <c r="AL164" i="63" s="1"/>
  <c r="AJ164" i="63" s="1"/>
  <c r="AK164" i="63" l="1"/>
  <c r="AA165" i="63"/>
  <c r="AP165" i="63" s="1"/>
  <c r="AG164" i="63"/>
  <c r="Y165" i="63"/>
  <c r="AC165" i="63" s="1"/>
  <c r="AH165" i="63" s="1"/>
  <c r="AF164" i="63"/>
  <c r="AI165" i="63" l="1"/>
  <c r="AB165" i="63"/>
  <c r="AL165" i="63" s="1"/>
  <c r="AJ165" i="63" s="1"/>
  <c r="AK165" i="63" l="1"/>
  <c r="AA166" i="63"/>
  <c r="AP166" i="63" s="1"/>
  <c r="AF165" i="63"/>
  <c r="AG165" i="63"/>
  <c r="Y166" i="63"/>
  <c r="AC166" i="63" s="1"/>
  <c r="AH166" i="63" s="1"/>
  <c r="AI166" i="63" l="1"/>
  <c r="AB166" i="63"/>
  <c r="AL166" i="63" s="1"/>
  <c r="AA167" i="63" s="1"/>
  <c r="AP167" i="63" s="1"/>
  <c r="AF166" i="63" l="1"/>
  <c r="AJ166" i="63"/>
  <c r="AK166" i="63" s="1"/>
  <c r="AG166" i="63"/>
  <c r="Y167" i="63"/>
  <c r="AC167" i="63" s="1"/>
  <c r="AH167" i="63" s="1"/>
  <c r="AI167" i="63"/>
  <c r="AB167" i="63" l="1"/>
  <c r="AL167" i="63" s="1"/>
  <c r="AJ167" i="63" s="1"/>
  <c r="AK167" i="63" s="1"/>
  <c r="AA168" i="63" l="1"/>
  <c r="AP168" i="63" s="1"/>
  <c r="AG167" i="63"/>
  <c r="AF167" i="63"/>
  <c r="Y168" i="63"/>
  <c r="AC168" i="63" s="1"/>
  <c r="AH168" i="63" s="1"/>
  <c r="AI168" i="63" l="1"/>
  <c r="AB168" i="63"/>
  <c r="AL168" i="63" s="1"/>
  <c r="AJ168" i="63" s="1"/>
  <c r="AK168" i="63" l="1"/>
  <c r="AF168" i="63"/>
  <c r="AG168" i="63"/>
  <c r="Y169" i="63"/>
  <c r="AC169" i="63" s="1"/>
  <c r="AH169" i="63" s="1"/>
  <c r="AA169" i="63"/>
  <c r="AP169" i="63" s="1"/>
  <c r="AI169" i="63" l="1"/>
  <c r="AB169" i="63"/>
  <c r="AG169" i="63" s="1"/>
  <c r="AL169" i="63" l="1"/>
  <c r="AJ169" i="63" s="1"/>
  <c r="AK169" i="63" s="1"/>
  <c r="AF169" i="63"/>
  <c r="Y170" i="63" l="1"/>
  <c r="AC170" i="63" s="1"/>
  <c r="AH170" i="63" s="1"/>
  <c r="AA170" i="63"/>
  <c r="AP170" i="63" s="1"/>
  <c r="AI170" i="63" l="1"/>
  <c r="AB170" i="63"/>
  <c r="AG170" i="63" s="1"/>
  <c r="AF170" i="63" l="1"/>
  <c r="AL170" i="63"/>
  <c r="AA171" i="63" s="1"/>
  <c r="AP171" i="63" s="1"/>
  <c r="AJ170" i="63" l="1"/>
  <c r="AK170" i="63" s="1"/>
  <c r="Y171" i="63"/>
  <c r="AC171" i="63" s="1"/>
  <c r="AH171" i="63" s="1"/>
  <c r="AI171" i="63"/>
  <c r="AB171" i="63" l="1"/>
  <c r="AL171" i="63" s="1"/>
  <c r="AJ171" i="63" s="1"/>
  <c r="AK171" i="63" s="1"/>
  <c r="Y172" i="63" l="1"/>
  <c r="AC172" i="63" s="1"/>
  <c r="AH172" i="63" s="1"/>
  <c r="AG171" i="63"/>
  <c r="AF171" i="63"/>
  <c r="AA172" i="63"/>
  <c r="AI172" i="63" l="1"/>
  <c r="AP172" i="63"/>
  <c r="AB172" i="63"/>
  <c r="AF172" i="63" s="1"/>
  <c r="AG172" i="63" l="1"/>
  <c r="AL172" i="63"/>
  <c r="AA173" i="63" s="1"/>
  <c r="AP173" i="63" s="1"/>
  <c r="Y173" i="63" l="1"/>
  <c r="AC173" i="63" s="1"/>
  <c r="AH173" i="63" s="1"/>
  <c r="AJ172" i="63"/>
  <c r="AK172" i="63" s="1"/>
  <c r="AI173" i="63"/>
  <c r="AB173" i="63" l="1"/>
  <c r="AL173" i="63" s="1"/>
  <c r="AA174" i="63" s="1"/>
  <c r="AP174" i="63" s="1"/>
  <c r="AF173" i="63" l="1"/>
  <c r="AG173" i="63"/>
  <c r="Y174" i="63"/>
  <c r="AC174" i="63" s="1"/>
  <c r="AH174" i="63" s="1"/>
  <c r="AJ173" i="63"/>
  <c r="AK173" i="63" s="1"/>
  <c r="AI174" i="63"/>
  <c r="AB174" i="63" l="1"/>
  <c r="AG174" i="63" s="1"/>
  <c r="AL174" i="63" l="1"/>
  <c r="AA175" i="63" s="1"/>
  <c r="AP175" i="63" s="1"/>
  <c r="AF174" i="63"/>
  <c r="AJ174" i="63" l="1"/>
  <c r="AK174" i="63" s="1"/>
  <c r="Y175" i="63"/>
  <c r="AC175" i="63" s="1"/>
  <c r="AH175" i="63" s="1"/>
  <c r="AI175" i="63"/>
  <c r="AB175" i="63" l="1"/>
  <c r="AL175" i="63" s="1"/>
  <c r="AJ175" i="63" s="1"/>
  <c r="AK175" i="63" s="1"/>
  <c r="AG175" i="63" l="1"/>
  <c r="AF175" i="63"/>
  <c r="AA176" i="63"/>
  <c r="AP176" i="63" s="1"/>
  <c r="Y176" i="63"/>
  <c r="AC176" i="63" s="1"/>
  <c r="AH176" i="63" s="1"/>
  <c r="AI176" i="63" l="1"/>
  <c r="AB176" i="63"/>
  <c r="AL176" i="63" s="1"/>
  <c r="AJ176" i="63" s="1"/>
  <c r="AK176" i="63" l="1"/>
  <c r="AF176" i="63"/>
  <c r="AG176" i="63"/>
  <c r="Y177" i="63"/>
  <c r="AA177" i="63"/>
  <c r="AP177" i="63" s="1"/>
  <c r="AC177" i="63"/>
  <c r="AH177" i="63" s="1"/>
  <c r="AI177" i="63" l="1"/>
  <c r="AB177" i="63"/>
  <c r="AL177" i="63" s="1"/>
  <c r="AJ177" i="63" s="1"/>
  <c r="AF177" i="63" l="1"/>
  <c r="AK177" i="63"/>
  <c r="AG177" i="63"/>
  <c r="Y178" i="63"/>
  <c r="AC178" i="63" s="1"/>
  <c r="AH178" i="63" s="1"/>
  <c r="AA178" i="63"/>
  <c r="AP178" i="63" s="1"/>
  <c r="AI178" i="63" l="1"/>
  <c r="AB178" i="63"/>
  <c r="AG178" i="63" s="1"/>
  <c r="AF178" i="63" l="1"/>
  <c r="AL178" i="63"/>
  <c r="AJ178" i="63" s="1"/>
  <c r="AK178" i="63" s="1"/>
  <c r="Y179" i="63" l="1"/>
  <c r="AC179" i="63" s="1"/>
  <c r="AH179" i="63" s="1"/>
  <c r="AA179" i="63"/>
  <c r="AP179" i="63" s="1"/>
  <c r="AI179" i="63" l="1"/>
  <c r="AB179" i="63"/>
  <c r="AF179" i="63" s="1"/>
  <c r="AG179" i="63" l="1"/>
  <c r="AL179" i="63"/>
  <c r="AJ179" i="63" s="1"/>
  <c r="AK179" i="63" s="1"/>
  <c r="AA180" i="63" l="1"/>
  <c r="AP180" i="63" s="1"/>
  <c r="Y180" i="63"/>
  <c r="AC180" i="63" s="1"/>
  <c r="AH180" i="63" s="1"/>
  <c r="AI180" i="63" l="1"/>
  <c r="AB180" i="63"/>
  <c r="AL180" i="63" s="1"/>
  <c r="AJ180" i="63" s="1"/>
  <c r="AK180" i="63" l="1"/>
  <c r="AA181" i="63"/>
  <c r="AP181" i="63" s="1"/>
  <c r="AG180" i="63"/>
  <c r="AF180" i="63"/>
  <c r="Y181" i="63"/>
  <c r="AC181" i="63" s="1"/>
  <c r="AH181" i="63" s="1"/>
  <c r="AI181" i="63" l="1"/>
  <c r="AB181" i="63"/>
  <c r="AL181" i="63" s="1"/>
  <c r="AJ181" i="63" s="1"/>
  <c r="AK181" i="63" l="1"/>
  <c r="AA182" i="63"/>
  <c r="AP182" i="63" s="1"/>
  <c r="AG181" i="63"/>
  <c r="AF181" i="63"/>
  <c r="Y182" i="63"/>
  <c r="AC182" i="63" s="1"/>
  <c r="AH182" i="63" s="1"/>
  <c r="AI182" i="63" l="1"/>
  <c r="AB182" i="63"/>
  <c r="AF182" i="63" s="1"/>
  <c r="AL182" i="63" l="1"/>
  <c r="AJ182" i="63" s="1"/>
  <c r="AK182" i="63" s="1"/>
  <c r="AG182" i="63"/>
  <c r="Y183" i="63" l="1"/>
  <c r="AC183" i="63" s="1"/>
  <c r="AH183" i="63" s="1"/>
  <c r="AA183" i="63"/>
  <c r="AP183" i="63" s="1"/>
  <c r="AI183" i="63" l="1"/>
  <c r="AB183" i="63"/>
  <c r="AG183" i="63" s="1"/>
  <c r="AF183" i="63" l="1"/>
  <c r="AL183" i="63"/>
  <c r="AA184" i="63" s="1"/>
  <c r="AP184" i="63" s="1"/>
  <c r="Y184" i="63" l="1"/>
  <c r="AC184" i="63" s="1"/>
  <c r="AH184" i="63" s="1"/>
  <c r="AJ183" i="63"/>
  <c r="AK183" i="63" s="1"/>
  <c r="AI184" i="63"/>
  <c r="AB184" i="63" l="1"/>
  <c r="AL184" i="63" s="1"/>
  <c r="AJ184" i="63" s="1"/>
  <c r="AK184" i="63" s="1"/>
  <c r="AG184" i="63" l="1"/>
  <c r="AF184" i="63"/>
  <c r="Y185" i="63"/>
  <c r="AC185" i="63" s="1"/>
  <c r="AH185" i="63" s="1"/>
  <c r="AA185" i="63"/>
  <c r="AI185" i="63" l="1"/>
  <c r="AP185" i="63"/>
  <c r="AB185" i="63"/>
  <c r="AG185" i="63" s="1"/>
  <c r="AL185" i="63" l="1"/>
  <c r="AJ185" i="63" s="1"/>
  <c r="AK185" i="63" s="1"/>
  <c r="AF185" i="63"/>
  <c r="AA186" i="63" l="1"/>
  <c r="AP186" i="63" s="1"/>
  <c r="Y186" i="63"/>
  <c r="AC186" i="63" s="1"/>
  <c r="AH186" i="63" s="1"/>
  <c r="AI186" i="63" l="1"/>
  <c r="AB186" i="63"/>
  <c r="AF186" i="63" s="1"/>
  <c r="AL186" i="63" l="1"/>
  <c r="AA187" i="63" s="1"/>
  <c r="AP187" i="63" s="1"/>
  <c r="AG186" i="63"/>
  <c r="Y187" i="63" l="1"/>
  <c r="AC187" i="63" s="1"/>
  <c r="AH187" i="63" s="1"/>
  <c r="AJ186" i="63"/>
  <c r="AK186" i="63" s="1"/>
  <c r="AI187" i="63"/>
  <c r="AB187" i="63" l="1"/>
  <c r="AG187" i="63" s="1"/>
  <c r="AL187" i="63" l="1"/>
  <c r="AA188" i="63" s="1"/>
  <c r="AP188" i="63" s="1"/>
  <c r="AF187" i="63"/>
  <c r="AJ187" i="63" l="1"/>
  <c r="AK187" i="63" s="1"/>
  <c r="Y188" i="63"/>
  <c r="AC188" i="63" s="1"/>
  <c r="AH188" i="63" s="1"/>
  <c r="AI188" i="63"/>
  <c r="AB188" i="63" l="1"/>
  <c r="AG188" i="63" s="1"/>
  <c r="AF188" i="63" l="1"/>
  <c r="AL188" i="63"/>
  <c r="AJ188" i="63" s="1"/>
  <c r="AK188" i="63" s="1"/>
  <c r="Y189" i="63" l="1"/>
  <c r="AC189" i="63" s="1"/>
  <c r="AH189" i="63" s="1"/>
  <c r="AA189" i="63"/>
  <c r="AP189" i="63" s="1"/>
  <c r="AI189" i="63" l="1"/>
  <c r="AB189" i="63"/>
  <c r="AL189" i="63" s="1"/>
  <c r="AJ189" i="63" s="1"/>
  <c r="AK189" i="63" l="1"/>
  <c r="AA190" i="63"/>
  <c r="AP190" i="63" s="1"/>
  <c r="AG189" i="63"/>
  <c r="AF189" i="63"/>
  <c r="Y190" i="63"/>
  <c r="AC190" i="63" s="1"/>
  <c r="AH190" i="63" s="1"/>
  <c r="AI190" i="63" l="1"/>
  <c r="AB190" i="63"/>
  <c r="AF190" i="63" s="1"/>
  <c r="AL190" i="63" l="1"/>
  <c r="AJ190" i="63" s="1"/>
  <c r="AK190" i="63" s="1"/>
  <c r="AG190" i="63"/>
  <c r="Y191" i="63" l="1"/>
  <c r="AC191" i="63" s="1"/>
  <c r="AH191" i="63" s="1"/>
  <c r="AA191" i="63"/>
  <c r="AP191" i="63" s="1"/>
  <c r="AI191" i="63" l="1"/>
  <c r="AB191" i="63"/>
  <c r="AG191" i="63" s="1"/>
  <c r="AL191" i="63" l="1"/>
  <c r="AA192" i="63" s="1"/>
  <c r="AP192" i="63" s="1"/>
  <c r="AF191" i="63"/>
  <c r="Y192" i="63" l="1"/>
  <c r="AC192" i="63" s="1"/>
  <c r="AH192" i="63" s="1"/>
  <c r="AJ191" i="63"/>
  <c r="AK191" i="63" s="1"/>
  <c r="AI192" i="63"/>
  <c r="AB192" i="63" l="1"/>
  <c r="AF192" i="63" s="1"/>
  <c r="AL192" i="63" l="1"/>
  <c r="AJ192" i="63" s="1"/>
  <c r="AK192" i="63" s="1"/>
  <c r="AG192" i="63"/>
  <c r="Y193" i="63" l="1"/>
  <c r="AC193" i="63" s="1"/>
  <c r="AH193" i="63" s="1"/>
  <c r="AA193" i="63"/>
  <c r="AP193" i="63" s="1"/>
  <c r="AI193" i="63" l="1"/>
  <c r="AB193" i="63"/>
  <c r="AG193" i="63" s="1"/>
  <c r="AL193" i="63" l="1"/>
  <c r="AJ193" i="63" s="1"/>
  <c r="AK193" i="63" s="1"/>
  <c r="AF193" i="63"/>
  <c r="AA194" i="63" l="1"/>
  <c r="AP194" i="63" s="1"/>
  <c r="Y194" i="63"/>
  <c r="AC194" i="63" s="1"/>
  <c r="AH194" i="63" s="1"/>
  <c r="AI194" i="63" l="1"/>
  <c r="AB194" i="63"/>
  <c r="AF194" i="63" l="1"/>
  <c r="AG194" i="63"/>
  <c r="AL194" i="63"/>
  <c r="AA195" i="63" l="1"/>
  <c r="AP195" i="63" s="1"/>
  <c r="AJ194" i="63"/>
  <c r="AK194" i="63" s="1"/>
  <c r="Y195" i="63"/>
  <c r="AC195" i="63" l="1"/>
  <c r="AH195" i="63" s="1"/>
  <c r="AI195" i="63"/>
  <c r="AB195" i="63" l="1"/>
  <c r="AG195" i="63" s="1"/>
  <c r="AL195" i="63" l="1"/>
  <c r="AJ195" i="63" s="1"/>
  <c r="AK195" i="63" s="1"/>
  <c r="AF195" i="63"/>
  <c r="AA196" i="63" l="1"/>
  <c r="AP196" i="63" s="1"/>
  <c r="Y196" i="63"/>
  <c r="AC196" i="63" s="1"/>
  <c r="AH196" i="63" s="1"/>
  <c r="AI196" i="63" l="1"/>
  <c r="AB196" i="63"/>
  <c r="AG196" i="63" s="1"/>
  <c r="AL196" i="63" l="1"/>
  <c r="AA197" i="63" s="1"/>
  <c r="AP197" i="63" s="1"/>
  <c r="AF196" i="63"/>
  <c r="Y197" i="63" l="1"/>
  <c r="AC197" i="63" s="1"/>
  <c r="AH197" i="63" s="1"/>
  <c r="AJ196" i="63"/>
  <c r="AK196" i="63" s="1"/>
  <c r="AI197" i="63"/>
  <c r="AB197" i="63" l="1"/>
  <c r="AG197" i="63" s="1"/>
  <c r="AL197" i="63" l="1"/>
  <c r="AJ197" i="63" s="1"/>
  <c r="AK197" i="63" s="1"/>
  <c r="AF197" i="63"/>
  <c r="Y198" i="63" l="1"/>
  <c r="AC198" i="63" s="1"/>
  <c r="AH198" i="63" s="1"/>
  <c r="AA198" i="63"/>
  <c r="AP198" i="63" s="1"/>
  <c r="AI198" i="63" l="1"/>
  <c r="AB198" i="63"/>
  <c r="AG198" i="63" s="1"/>
  <c r="AF198" i="63" l="1"/>
  <c r="AL198" i="63"/>
  <c r="AJ198" i="63" s="1"/>
  <c r="AK198" i="63" s="1"/>
  <c r="Y199" i="63" l="1"/>
  <c r="AC199" i="63" s="1"/>
  <c r="AH199" i="63" s="1"/>
  <c r="AA199" i="63"/>
  <c r="AP199" i="63" s="1"/>
  <c r="AI199" i="63" l="1"/>
  <c r="AB199" i="63"/>
  <c r="AG199" i="63" s="1"/>
  <c r="AL199" i="63" l="1"/>
  <c r="AJ199" i="63" s="1"/>
  <c r="AK199" i="63" s="1"/>
  <c r="AF199" i="63"/>
  <c r="AA200" i="63" l="1"/>
  <c r="AP200" i="63" s="1"/>
  <c r="Y200" i="63"/>
  <c r="AC200" i="63" s="1"/>
  <c r="AH200" i="63" s="1"/>
  <c r="AI200" i="63" l="1"/>
  <c r="AB200" i="63"/>
  <c r="AG200" i="63" s="1"/>
  <c r="AF200" i="63" l="1"/>
  <c r="AL200" i="63"/>
  <c r="AA201" i="63" s="1"/>
  <c r="AP201" i="63" s="1"/>
  <c r="Y201" i="63" l="1"/>
  <c r="AC201" i="63" s="1"/>
  <c r="AH201" i="63" s="1"/>
  <c r="AJ200" i="63"/>
  <c r="AK200" i="63" s="1"/>
  <c r="AI201" i="63"/>
  <c r="AB201" i="63" l="1"/>
  <c r="AF201" i="63" s="1"/>
  <c r="AG201" i="63" l="1"/>
  <c r="AL201" i="63"/>
  <c r="AJ201" i="63" s="1"/>
  <c r="AK201" i="63" s="1"/>
  <c r="Y202" i="63" l="1"/>
  <c r="AC202" i="63" s="1"/>
  <c r="AH202" i="63" s="1"/>
  <c r="AA202" i="63"/>
  <c r="AP202" i="63" s="1"/>
  <c r="AI202" i="63" l="1"/>
  <c r="AB202" i="63"/>
  <c r="AG202" i="63" s="1"/>
  <c r="AL202" i="63" l="1"/>
  <c r="AA203" i="63" s="1"/>
  <c r="AP203" i="63" s="1"/>
  <c r="AF202" i="63"/>
  <c r="Y203" i="63" l="1"/>
  <c r="AC203" i="63" s="1"/>
  <c r="AH203" i="63" s="1"/>
  <c r="AJ202" i="63"/>
  <c r="AK202" i="63" s="1"/>
  <c r="AI203" i="63"/>
  <c r="AB203" i="63" l="1"/>
  <c r="AF203" i="63" s="1"/>
  <c r="AG203" i="63" l="1"/>
  <c r="AL203" i="63"/>
  <c r="AA204" i="63" s="1"/>
  <c r="AP204" i="63" s="1"/>
  <c r="AJ203" i="63" l="1"/>
  <c r="AK203" i="63" s="1"/>
  <c r="Y204" i="63"/>
  <c r="AC204" i="63" s="1"/>
  <c r="AH204" i="63" s="1"/>
  <c r="AI204" i="63"/>
  <c r="AB204" i="63" l="1"/>
  <c r="AL204" i="63" s="1"/>
  <c r="AJ204" i="63" s="1"/>
  <c r="AK204" i="63" s="1"/>
  <c r="AG204" i="63" l="1"/>
  <c r="AA205" i="63"/>
  <c r="AP205" i="63" s="1"/>
  <c r="AF204" i="63"/>
  <c r="Y205" i="63"/>
  <c r="AC205" i="63" s="1"/>
  <c r="AH205" i="63" s="1"/>
  <c r="AI205" i="63" l="1"/>
  <c r="AB205" i="63"/>
  <c r="AL205" i="63" s="1"/>
  <c r="AJ205" i="63" s="1"/>
  <c r="AK205" i="63" l="1"/>
  <c r="AF205" i="63"/>
  <c r="AG205" i="63"/>
  <c r="Y206" i="63"/>
  <c r="AC206" i="63" s="1"/>
  <c r="AH206" i="63" s="1"/>
  <c r="AA206" i="63"/>
  <c r="AP206" i="63" s="1"/>
  <c r="AI206" i="63" l="1"/>
  <c r="AB206" i="63"/>
  <c r="AF206" i="63" s="1"/>
  <c r="AL206" i="63" l="1"/>
  <c r="AA207" i="63" s="1"/>
  <c r="AP207" i="63" s="1"/>
  <c r="AG206" i="63"/>
  <c r="Y207" i="63" l="1"/>
  <c r="AC207" i="63" s="1"/>
  <c r="AH207" i="63" s="1"/>
  <c r="AJ206" i="63"/>
  <c r="AK206" i="63" s="1"/>
  <c r="AI207" i="63"/>
  <c r="AB207" i="63" l="1"/>
  <c r="AG207" i="63" s="1"/>
  <c r="AL207" i="63" l="1"/>
  <c r="Y208" i="63" s="1"/>
  <c r="AF207" i="63"/>
  <c r="AA208" i="63" l="1"/>
  <c r="AP208" i="63" s="1"/>
  <c r="AJ207" i="63"/>
  <c r="AK207" i="63" s="1"/>
  <c r="AC208" i="63"/>
  <c r="AH208" i="63" s="1"/>
  <c r="AI208" i="63" l="1"/>
  <c r="AB208" i="63"/>
  <c r="AF208" i="63" s="1"/>
  <c r="AL208" i="63" l="1"/>
  <c r="AJ208" i="63" s="1"/>
  <c r="AK208" i="63" s="1"/>
  <c r="AG208" i="63"/>
  <c r="Y209" i="63" l="1"/>
  <c r="AC209" i="63" s="1"/>
  <c r="AH209" i="63" s="1"/>
  <c r="AA209" i="63"/>
  <c r="AP209" i="63" s="1"/>
  <c r="AI209" i="63" l="1"/>
  <c r="AB209" i="63"/>
  <c r="AL209" i="63" s="1"/>
  <c r="AJ209" i="63" s="1"/>
  <c r="AK209" i="63" l="1"/>
  <c r="AF209" i="63"/>
  <c r="AG209" i="63"/>
  <c r="AA210" i="63"/>
  <c r="AP210" i="63" s="1"/>
  <c r="Y210" i="63"/>
  <c r="AC210" i="63" s="1"/>
  <c r="AH210" i="63" s="1"/>
  <c r="AI210" i="63" l="1"/>
  <c r="AB210" i="63"/>
  <c r="AG210" i="63" s="1"/>
  <c r="AF210" i="63" l="1"/>
  <c r="AL210" i="63"/>
  <c r="AJ210" i="63" s="1"/>
  <c r="AK210" i="63" s="1"/>
  <c r="AA211" i="63" l="1"/>
  <c r="AP211" i="63" s="1"/>
  <c r="Y211" i="63"/>
  <c r="AC211" i="63" s="1"/>
  <c r="AH211" i="63" s="1"/>
  <c r="AI211" i="63" l="1"/>
  <c r="AB211" i="63"/>
  <c r="AG211" i="63" s="1"/>
  <c r="AL211" i="63" l="1"/>
  <c r="AJ211" i="63" s="1"/>
  <c r="AK211" i="63" s="1"/>
  <c r="AF211" i="63"/>
  <c r="AA212" i="63" l="1"/>
  <c r="AP212" i="63" s="1"/>
  <c r="Y212" i="63"/>
  <c r="AC212" i="63" s="1"/>
  <c r="AH212" i="63" s="1"/>
  <c r="AI212" i="63" l="1"/>
  <c r="AB212" i="63"/>
  <c r="AG212" i="63" s="1"/>
  <c r="AF212" i="63" l="1"/>
  <c r="AL212" i="63"/>
  <c r="AA213" i="63" s="1"/>
  <c r="AP213" i="63" s="1"/>
  <c r="AJ212" i="63" l="1"/>
  <c r="AK212" i="63" s="1"/>
  <c r="Y213" i="63"/>
  <c r="AC213" i="63" s="1"/>
  <c r="AH213" i="63" s="1"/>
  <c r="AI213" i="63"/>
  <c r="AB213" i="63" l="1"/>
  <c r="AL213" i="63" s="1"/>
  <c r="AJ213" i="63" s="1"/>
  <c r="AK213" i="63" s="1"/>
  <c r="AF213" i="63" l="1"/>
  <c r="Y214" i="63"/>
  <c r="AC214" i="63" s="1"/>
  <c r="AH214" i="63" s="1"/>
  <c r="AG213" i="63"/>
  <c r="AA214" i="63"/>
  <c r="AP214" i="63" s="1"/>
  <c r="AI214" i="63" l="1"/>
  <c r="AB214" i="63"/>
  <c r="AF214" i="63" s="1"/>
  <c r="AL214" i="63" l="1"/>
  <c r="AA215" i="63" s="1"/>
  <c r="AP215" i="63" s="1"/>
  <c r="AG214" i="63"/>
  <c r="Y215" i="63" l="1"/>
  <c r="AC215" i="63" s="1"/>
  <c r="AH215" i="63" s="1"/>
  <c r="AJ214" i="63"/>
  <c r="AK214" i="63" s="1"/>
  <c r="AI215" i="63"/>
  <c r="AB215" i="63" l="1"/>
  <c r="AG215" i="63" s="1"/>
  <c r="AL215" i="63" l="1"/>
  <c r="AA216" i="63" s="1"/>
  <c r="AP216" i="63" s="1"/>
  <c r="AF215" i="63"/>
  <c r="Y216" i="63" l="1"/>
  <c r="AC216" i="63" s="1"/>
  <c r="AH216" i="63" s="1"/>
  <c r="AJ215" i="63"/>
  <c r="AK215" i="63" s="1"/>
  <c r="AI216" i="63"/>
  <c r="AB216" i="63" l="1"/>
  <c r="AF216" i="63" s="1"/>
  <c r="AL216" i="63" l="1"/>
  <c r="AA217" i="63" s="1"/>
  <c r="AP217" i="63" s="1"/>
  <c r="AG216" i="63"/>
  <c r="Y217" i="63" l="1"/>
  <c r="AC217" i="63" s="1"/>
  <c r="AH217" i="63" s="1"/>
  <c r="AJ216" i="63"/>
  <c r="AK216" i="63" s="1"/>
  <c r="AI217" i="63"/>
  <c r="AB217" i="63" l="1"/>
  <c r="AL217" i="63" s="1"/>
  <c r="AA218" i="63" s="1"/>
  <c r="AP218" i="63" s="1"/>
  <c r="AF217" i="63" l="1"/>
  <c r="AG217" i="63"/>
  <c r="Y218" i="63"/>
  <c r="AC218" i="63" s="1"/>
  <c r="AH218" i="63" s="1"/>
  <c r="AJ217" i="63"/>
  <c r="AK217" i="63" s="1"/>
  <c r="AI218" i="63"/>
  <c r="AB218" i="63" l="1"/>
  <c r="AF218" i="63" s="1"/>
  <c r="AL218" i="63" l="1"/>
  <c r="AJ218" i="63" s="1"/>
  <c r="AK218" i="63" s="1"/>
  <c r="AG218" i="63"/>
  <c r="AA219" i="63" l="1"/>
  <c r="AP219" i="63" s="1"/>
  <c r="Y219" i="63"/>
  <c r="AC219" i="63" s="1"/>
  <c r="AH219" i="63" s="1"/>
  <c r="AI219" i="63" l="1"/>
  <c r="AB219" i="63"/>
  <c r="AF219" i="63" s="1"/>
  <c r="AL219" i="63" l="1"/>
  <c r="AJ219" i="63" s="1"/>
  <c r="AK219" i="63" s="1"/>
  <c r="AG219" i="63"/>
  <c r="Y220" i="63" l="1"/>
  <c r="AC220" i="63" s="1"/>
  <c r="AH220" i="63" s="1"/>
  <c r="AA220" i="63"/>
  <c r="AP220" i="63" s="1"/>
  <c r="AI220" i="63" l="1"/>
  <c r="AB220" i="63"/>
  <c r="AG220" i="63" s="1"/>
  <c r="AL220" i="63" l="1"/>
  <c r="AJ220" i="63" s="1"/>
  <c r="AK220" i="63" s="1"/>
  <c r="AF220" i="63"/>
  <c r="Y221" i="63" l="1"/>
  <c r="AC221" i="63" s="1"/>
  <c r="AH221" i="63" s="1"/>
  <c r="AA221" i="63"/>
  <c r="AP221" i="63" s="1"/>
  <c r="AI221" i="63" l="1"/>
  <c r="AB221" i="63"/>
  <c r="AL221" i="63" s="1"/>
  <c r="AJ221" i="63" s="1"/>
  <c r="AK221" i="63" l="1"/>
  <c r="AG221" i="63"/>
  <c r="AF221" i="63"/>
  <c r="Y222" i="63"/>
  <c r="AC222" i="63" s="1"/>
  <c r="AH222" i="63" s="1"/>
  <c r="AA222" i="63"/>
  <c r="AP222" i="63" s="1"/>
  <c r="AI222" i="63" l="1"/>
  <c r="AB222" i="63"/>
  <c r="AF222" i="63" s="1"/>
  <c r="AL222" i="63" l="1"/>
  <c r="AJ222" i="63" s="1"/>
  <c r="AK222" i="63" s="1"/>
  <c r="AG222" i="63"/>
  <c r="Y223" i="63" l="1"/>
  <c r="AC223" i="63" s="1"/>
  <c r="AH223" i="63" s="1"/>
  <c r="AA223" i="63"/>
  <c r="AP223" i="63" s="1"/>
  <c r="AI223" i="63" l="1"/>
  <c r="AB223" i="63"/>
  <c r="AF223" i="63" s="1"/>
  <c r="AL223" i="63" l="1"/>
  <c r="AA224" i="63" s="1"/>
  <c r="AP224" i="63" s="1"/>
  <c r="AG223" i="63"/>
  <c r="Y224" i="63" l="1"/>
  <c r="AC224" i="63" s="1"/>
  <c r="AH224" i="63" s="1"/>
  <c r="AJ223" i="63"/>
  <c r="AK223" i="63" s="1"/>
  <c r="AI224" i="63"/>
  <c r="AB224" i="63" l="1"/>
  <c r="AL224" i="63" s="1"/>
  <c r="AJ224" i="63" s="1"/>
  <c r="AK224" i="63" s="1"/>
  <c r="AG224" i="63" l="1"/>
  <c r="AF224" i="63"/>
  <c r="Y225" i="63"/>
  <c r="AC225" i="63" s="1"/>
  <c r="AH225" i="63" s="1"/>
  <c r="AA225" i="63"/>
  <c r="AP225" i="63" s="1"/>
  <c r="AI225" i="63" l="1"/>
  <c r="AB225" i="63"/>
  <c r="AL225" i="63" s="1"/>
  <c r="AA226" i="63" s="1"/>
  <c r="AP226" i="63" s="1"/>
  <c r="AG225" i="63" l="1"/>
  <c r="AF225" i="63"/>
  <c r="Y226" i="63"/>
  <c r="AC226" i="63" s="1"/>
  <c r="AH226" i="63" s="1"/>
  <c r="AJ225" i="63"/>
  <c r="AK225" i="63" s="1"/>
  <c r="AI226" i="63"/>
  <c r="AB226" i="63" l="1"/>
  <c r="AG226" i="63" s="1"/>
  <c r="AL226" i="63" l="1"/>
  <c r="AJ226" i="63" s="1"/>
  <c r="AK226" i="63" s="1"/>
  <c r="AF226" i="63"/>
  <c r="AA227" i="63" l="1"/>
  <c r="AP227" i="63" s="1"/>
  <c r="Y227" i="63"/>
  <c r="AC227" i="63" s="1"/>
  <c r="AH227" i="63" s="1"/>
  <c r="AI227" i="63" l="1"/>
  <c r="AB227" i="63"/>
  <c r="AL227" i="63" s="1"/>
  <c r="AA228" i="63" s="1"/>
  <c r="AP228" i="63" s="1"/>
  <c r="AF227" i="63" l="1"/>
  <c r="AG227" i="63"/>
  <c r="Y228" i="63"/>
  <c r="AC228" i="63" s="1"/>
  <c r="AH228" i="63" s="1"/>
  <c r="AJ227" i="63"/>
  <c r="AK227" i="63" s="1"/>
  <c r="AI228" i="63"/>
  <c r="AB228" i="63" l="1"/>
  <c r="AL228" i="63" s="1"/>
  <c r="AJ228" i="63" s="1"/>
  <c r="AK228" i="63" s="1"/>
  <c r="AG228" i="63" l="1"/>
  <c r="AF228" i="63"/>
  <c r="Y229" i="63"/>
  <c r="AC229" i="63" s="1"/>
  <c r="AH229" i="63" s="1"/>
  <c r="AA229" i="63"/>
  <c r="AP229" i="63" s="1"/>
  <c r="AI229" i="63" l="1"/>
  <c r="AB229" i="63"/>
  <c r="AG229" i="63" s="1"/>
  <c r="AL229" i="63" l="1"/>
  <c r="Y230" i="63" s="1"/>
  <c r="AF229" i="63"/>
  <c r="AJ229" i="63" l="1"/>
  <c r="AK229" i="63" s="1"/>
  <c r="AA230" i="63"/>
  <c r="AP230" i="63" s="1"/>
  <c r="AC230" i="63"/>
  <c r="AH230" i="63" s="1"/>
  <c r="AI230" i="63" l="1"/>
  <c r="AB230" i="63"/>
  <c r="AF230" i="63" s="1"/>
  <c r="AL230" i="63" l="1"/>
  <c r="AA231" i="63" s="1"/>
  <c r="AP231" i="63" s="1"/>
  <c r="AG230" i="63"/>
  <c r="Y231" i="63" l="1"/>
  <c r="AC231" i="63" s="1"/>
  <c r="AH231" i="63" s="1"/>
  <c r="AJ230" i="63"/>
  <c r="AK230" i="63" s="1"/>
  <c r="AI231" i="63"/>
  <c r="AB231" i="63" l="1"/>
  <c r="AF231" i="63" s="1"/>
  <c r="AL231" i="63" l="1"/>
  <c r="AA232" i="63" s="1"/>
  <c r="AP232" i="63" s="1"/>
  <c r="AG231" i="63"/>
  <c r="Y232" i="63" l="1"/>
  <c r="AC232" i="63" s="1"/>
  <c r="AH232" i="63" s="1"/>
  <c r="AJ231" i="63"/>
  <c r="AK231" i="63" s="1"/>
  <c r="AI232" i="63"/>
  <c r="AB232" i="63" l="1"/>
  <c r="AF232" i="63" s="1"/>
  <c r="AG232" i="63" l="1"/>
  <c r="AL232" i="63"/>
  <c r="AJ232" i="63" s="1"/>
  <c r="AK232" i="63" s="1"/>
  <c r="Y233" i="63" l="1"/>
  <c r="AC233" i="63" s="1"/>
  <c r="AH233" i="63" s="1"/>
  <c r="AA233" i="63"/>
  <c r="AP233" i="63" s="1"/>
  <c r="AI233" i="63" l="1"/>
  <c r="AB233" i="63"/>
  <c r="AL233" i="63" s="1"/>
  <c r="AJ233" i="63" s="1"/>
  <c r="AK233" i="63" l="1"/>
  <c r="AF233" i="63"/>
  <c r="AG233" i="63"/>
  <c r="Y234" i="63"/>
  <c r="AC234" i="63" s="1"/>
  <c r="AH234" i="63" s="1"/>
  <c r="AA234" i="63"/>
  <c r="AP234" i="63" s="1"/>
  <c r="AI234" i="63" l="1"/>
  <c r="AB234" i="63"/>
  <c r="AF234" i="63" s="1"/>
  <c r="AL234" i="63" l="1"/>
  <c r="Y235" i="63" s="1"/>
  <c r="AG234" i="63"/>
  <c r="AJ234" i="63" l="1"/>
  <c r="AK234" i="63" s="1"/>
  <c r="AA235" i="63"/>
  <c r="AP235" i="63" s="1"/>
  <c r="AC235" i="63"/>
  <c r="AH235" i="63" s="1"/>
  <c r="AI235" i="63" l="1"/>
  <c r="AB235" i="63"/>
  <c r="AG235" i="63" s="1"/>
  <c r="AL235" i="63" l="1"/>
  <c r="AJ235" i="63" s="1"/>
  <c r="AK235" i="63" s="1"/>
  <c r="AF235" i="63"/>
  <c r="Y236" i="63" l="1"/>
  <c r="AC236" i="63" s="1"/>
  <c r="AH236" i="63" s="1"/>
  <c r="AA236" i="63"/>
  <c r="AP236" i="63" s="1"/>
  <c r="AI236" i="63" l="1"/>
  <c r="AB236" i="63"/>
  <c r="AL236" i="63" s="1"/>
  <c r="AJ236" i="63" s="1"/>
  <c r="AF236" i="63" l="1"/>
  <c r="AK236" i="63"/>
  <c r="AG236" i="63"/>
  <c r="Y237" i="63"/>
  <c r="AA237" i="63"/>
  <c r="AP237" i="63" s="1"/>
  <c r="AC237" i="63"/>
  <c r="AH237" i="63" s="1"/>
  <c r="AI237" i="63" l="1"/>
  <c r="AB237" i="63"/>
  <c r="AL237" i="63" s="1"/>
  <c r="AJ237" i="63" s="1"/>
  <c r="AG237" i="63" l="1"/>
  <c r="AK237" i="63"/>
  <c r="AF237" i="63"/>
  <c r="Y238" i="63"/>
  <c r="AC238" i="63" s="1"/>
  <c r="AH238" i="63" s="1"/>
  <c r="AA238" i="63"/>
  <c r="AP238" i="63" s="1"/>
  <c r="AI238" i="63" l="1"/>
  <c r="AB238" i="63"/>
  <c r="AF238" i="63" s="1"/>
  <c r="AL238" i="63" l="1"/>
  <c r="AJ238" i="63" s="1"/>
  <c r="AK238" i="63" s="1"/>
  <c r="AG238" i="63"/>
  <c r="Y239" i="63" l="1"/>
  <c r="AC239" i="63" s="1"/>
  <c r="AH239" i="63" s="1"/>
  <c r="AA239" i="63"/>
  <c r="AP239" i="63" s="1"/>
  <c r="AI239" i="63" l="1"/>
  <c r="AB239" i="63"/>
  <c r="AG239" i="63" s="1"/>
  <c r="AL239" i="63" l="1"/>
  <c r="AJ239" i="63" s="1"/>
  <c r="AK239" i="63" s="1"/>
  <c r="AF239" i="63"/>
  <c r="Y240" i="63" l="1"/>
  <c r="AC240" i="63" s="1"/>
  <c r="AH240" i="63" s="1"/>
  <c r="AA240" i="63"/>
  <c r="AP240" i="63" s="1"/>
  <c r="AI240" i="63" l="1"/>
  <c r="AB240" i="63"/>
  <c r="AF240" i="63" s="1"/>
  <c r="AL240" i="63" l="1"/>
  <c r="AJ240" i="63" s="1"/>
  <c r="AK240" i="63" s="1"/>
  <c r="AG240" i="63"/>
  <c r="Y241" i="63" l="1"/>
  <c r="AC241" i="63" s="1"/>
  <c r="AH241" i="63" s="1"/>
  <c r="AA241" i="63"/>
  <c r="AP241" i="63" s="1"/>
  <c r="AI241" i="63" l="1"/>
  <c r="AB241" i="63"/>
  <c r="AL241" i="63" s="1"/>
  <c r="AJ241" i="63" s="1"/>
  <c r="AG241" i="63" l="1"/>
  <c r="AF241" i="63"/>
  <c r="AK241" i="63"/>
  <c r="Y242" i="63"/>
  <c r="AC242" i="63" s="1"/>
  <c r="AH242" i="63" s="1"/>
  <c r="AA242" i="63"/>
  <c r="AP242" i="63" s="1"/>
  <c r="AI242" i="63" l="1"/>
  <c r="AB242" i="63"/>
  <c r="AG242" i="63" s="1"/>
  <c r="AF242" i="63" l="1"/>
  <c r="AL242" i="63"/>
  <c r="AJ242" i="63" s="1"/>
  <c r="AK242" i="63" s="1"/>
  <c r="Y243" i="63" l="1"/>
  <c r="AC243" i="63" s="1"/>
  <c r="AH243" i="63" s="1"/>
  <c r="AA243" i="63"/>
  <c r="AP243" i="63" s="1"/>
  <c r="AI243" i="63" l="1"/>
  <c r="AB243" i="63"/>
  <c r="AG243" i="63" s="1"/>
  <c r="AL243" i="63" l="1"/>
  <c r="Y244" i="63" s="1"/>
  <c r="AF243" i="63"/>
  <c r="AA244" i="63" l="1"/>
  <c r="AP244" i="63" s="1"/>
  <c r="AJ243" i="63"/>
  <c r="AK243" i="63" s="1"/>
  <c r="AC244" i="63"/>
  <c r="AH244" i="63" s="1"/>
  <c r="AI244" i="63" l="1"/>
  <c r="AB244" i="63"/>
  <c r="AF244" i="63" s="1"/>
  <c r="AL244" i="63" l="1"/>
  <c r="AA245" i="63" s="1"/>
  <c r="AP245" i="63" s="1"/>
  <c r="AG244" i="63"/>
  <c r="AJ244" i="63" l="1"/>
  <c r="AK244" i="63" s="1"/>
  <c r="Y245" i="63"/>
  <c r="AC245" i="63" s="1"/>
  <c r="AH245" i="63" s="1"/>
  <c r="AI245" i="63"/>
  <c r="AB245" i="63" l="1"/>
  <c r="AL245" i="63" s="1"/>
  <c r="AJ245" i="63" s="1"/>
  <c r="AK245" i="63" s="1"/>
  <c r="AF245" i="63" l="1"/>
  <c r="AG245" i="63"/>
  <c r="Y246" i="63"/>
  <c r="AC246" i="63" s="1"/>
  <c r="AH246" i="63" s="1"/>
  <c r="AA246" i="63"/>
  <c r="AP246" i="63" s="1"/>
  <c r="AI246" i="63" l="1"/>
  <c r="AB246" i="63"/>
  <c r="AL246" i="63" s="1"/>
  <c r="AA247" i="63" s="1"/>
  <c r="AP247" i="63" s="1"/>
  <c r="AF246" i="63" l="1"/>
  <c r="AG246" i="63"/>
  <c r="Y247" i="63"/>
  <c r="AC247" i="63" s="1"/>
  <c r="AH247" i="63" s="1"/>
  <c r="AJ246" i="63"/>
  <c r="AK246" i="63" s="1"/>
  <c r="AI247" i="63"/>
  <c r="AB247" i="63" l="1"/>
  <c r="AG247" i="63" s="1"/>
  <c r="AL247" i="63" l="1"/>
  <c r="AA248" i="63" s="1"/>
  <c r="AP248" i="63" s="1"/>
  <c r="AF247" i="63"/>
  <c r="Y248" i="63" l="1"/>
  <c r="AC248" i="63" s="1"/>
  <c r="AH248" i="63" s="1"/>
  <c r="AJ247" i="63"/>
  <c r="AK247" i="63" s="1"/>
  <c r="AI248" i="63"/>
  <c r="AB248" i="63" l="1"/>
  <c r="AL248" i="63" s="1"/>
  <c r="AF248" i="63" l="1"/>
  <c r="AG248" i="63"/>
  <c r="AJ248" i="63"/>
  <c r="AK248" i="63" s="1"/>
  <c r="AA249" i="63"/>
  <c r="AP249" i="63" s="1"/>
  <c r="Y249" i="63"/>
  <c r="AC249" i="63" l="1"/>
  <c r="AH249" i="63" s="1"/>
  <c r="AI249" i="63"/>
  <c r="AB249" i="63" l="1"/>
  <c r="AL249" i="63" s="1"/>
  <c r="AJ249" i="63" s="1"/>
  <c r="AK249" i="63" s="1"/>
  <c r="AG249" i="63" l="1"/>
  <c r="AF249" i="63"/>
  <c r="Y250" i="63"/>
  <c r="AC250" i="63" s="1"/>
  <c r="AH250" i="63" s="1"/>
  <c r="AA250" i="63"/>
  <c r="AP250" i="63" s="1"/>
  <c r="AI250" i="63" l="1"/>
  <c r="AB250" i="63"/>
  <c r="AG250" i="63" s="1"/>
  <c r="AL250" i="63" l="1"/>
  <c r="AA251" i="63" s="1"/>
  <c r="AP251" i="63" s="1"/>
  <c r="AF250" i="63"/>
  <c r="Y251" i="63" l="1"/>
  <c r="AC251" i="63" s="1"/>
  <c r="AH251" i="63" s="1"/>
  <c r="AJ250" i="63"/>
  <c r="AK250" i="63" s="1"/>
  <c r="AI251" i="63"/>
  <c r="AB251" i="63" l="1"/>
  <c r="AG251" i="63" s="1"/>
  <c r="AF251" i="63" l="1"/>
  <c r="AL251" i="63"/>
  <c r="AJ251" i="63" s="1"/>
  <c r="AK251" i="63" s="1"/>
  <c r="AA252" i="63" l="1"/>
  <c r="AP252" i="63" s="1"/>
  <c r="Y252" i="63"/>
  <c r="AC252" i="63" s="1"/>
  <c r="AH252" i="63" s="1"/>
  <c r="AI252" i="63" l="1"/>
  <c r="AB252" i="63"/>
  <c r="AF252" i="63" s="1"/>
  <c r="AL252" i="63" l="1"/>
  <c r="AJ252" i="63" s="1"/>
  <c r="AK252" i="63" s="1"/>
  <c r="AG252" i="63"/>
  <c r="Y253" i="63" l="1"/>
  <c r="AC253" i="63" s="1"/>
  <c r="AH253" i="63" s="1"/>
  <c r="AA253" i="63"/>
  <c r="AP253" i="63" s="1"/>
  <c r="AI253" i="63" l="1"/>
  <c r="AB253" i="63"/>
  <c r="AL253" i="63" s="1"/>
  <c r="AJ253" i="63" s="1"/>
  <c r="AK253" i="63" l="1"/>
  <c r="AG253" i="63"/>
  <c r="AF253" i="63"/>
  <c r="Y254" i="63"/>
  <c r="AC254" i="63" s="1"/>
  <c r="AH254" i="63" s="1"/>
  <c r="AA254" i="63"/>
  <c r="AP254" i="63" s="1"/>
  <c r="AI254" i="63" l="1"/>
  <c r="AB254" i="63"/>
  <c r="AG254" i="63" s="1"/>
  <c r="AL254" i="63" l="1"/>
  <c r="AJ254" i="63" s="1"/>
  <c r="AK254" i="63" s="1"/>
  <c r="AF254" i="63"/>
  <c r="Y255" i="63" l="1"/>
  <c r="AC255" i="63" s="1"/>
  <c r="AH255" i="63" s="1"/>
  <c r="AA255" i="63"/>
  <c r="AP255" i="63" s="1"/>
  <c r="AI255" i="63" l="1"/>
  <c r="AB255" i="63"/>
  <c r="AF255" i="63" s="1"/>
  <c r="AG255" i="63" l="1"/>
  <c r="AL255" i="63"/>
  <c r="AA256" i="63" s="1"/>
  <c r="AP256" i="63" s="1"/>
  <c r="Y256" i="63" l="1"/>
  <c r="AC256" i="63" s="1"/>
  <c r="AH256" i="63" s="1"/>
  <c r="AJ255" i="63"/>
  <c r="AK255" i="63" s="1"/>
  <c r="AI256" i="63"/>
  <c r="AB256" i="63" l="1"/>
  <c r="AG256" i="63" s="1"/>
  <c r="AL256" i="63" l="1"/>
  <c r="Y257" i="63" s="1"/>
  <c r="AF256" i="63"/>
  <c r="AA257" i="63" l="1"/>
  <c r="AP257" i="63" s="1"/>
  <c r="AJ256" i="63"/>
  <c r="AK256" i="63" s="1"/>
  <c r="AC257" i="63"/>
  <c r="AH257" i="63" s="1"/>
  <c r="AI257" i="63" l="1"/>
  <c r="AB257" i="63"/>
  <c r="AL257" i="63" s="1"/>
  <c r="AA258" i="63" s="1"/>
  <c r="AP258" i="63" s="1"/>
  <c r="AF257" i="63" l="1"/>
  <c r="AG257" i="63"/>
  <c r="Y258" i="63"/>
  <c r="AC258" i="63" s="1"/>
  <c r="AH258" i="63" s="1"/>
  <c r="AJ257" i="63"/>
  <c r="AK257" i="63" s="1"/>
  <c r="AI258" i="63"/>
  <c r="AB258" i="63" l="1"/>
  <c r="AL258" i="63" s="1"/>
  <c r="AJ258" i="63" s="1"/>
  <c r="AK258" i="63" s="1"/>
  <c r="AF258" i="63" l="1"/>
  <c r="AG258" i="63"/>
  <c r="Y259" i="63"/>
  <c r="AC259" i="63" s="1"/>
  <c r="AH259" i="63" s="1"/>
  <c r="AA259" i="63"/>
  <c r="AP259" i="63" s="1"/>
  <c r="AI259" i="63" l="1"/>
  <c r="AB259" i="63"/>
  <c r="AG259" i="63" s="1"/>
  <c r="AL259" i="63" l="1"/>
  <c r="AJ259" i="63" s="1"/>
  <c r="AK259" i="63" s="1"/>
  <c r="AF259" i="63"/>
  <c r="Y260" i="63" l="1"/>
  <c r="AC260" i="63" s="1"/>
  <c r="AH260" i="63" s="1"/>
  <c r="AA260" i="63"/>
  <c r="AP260" i="63" s="1"/>
  <c r="AI260" i="63" l="1"/>
  <c r="AB260" i="63"/>
  <c r="AL260" i="63" s="1"/>
  <c r="AJ260" i="63" s="1"/>
  <c r="AK260" i="63" l="1"/>
  <c r="AF260" i="63"/>
  <c r="AG260" i="63"/>
  <c r="Y261" i="63"/>
  <c r="AC261" i="63" s="1"/>
  <c r="AH261" i="63" s="1"/>
  <c r="AA261" i="63"/>
  <c r="AP261" i="63" s="1"/>
  <c r="AI261" i="63" l="1"/>
  <c r="AB261" i="63"/>
  <c r="AL261" i="63" s="1"/>
  <c r="AA262" i="63" s="1"/>
  <c r="AP262" i="63" s="1"/>
  <c r="AG261" i="63" l="1"/>
  <c r="AF261" i="63"/>
  <c r="Y262" i="63"/>
  <c r="AC262" i="63" s="1"/>
  <c r="AH262" i="63" s="1"/>
  <c r="AJ261" i="63"/>
  <c r="AK261" i="63" s="1"/>
  <c r="AI262" i="63"/>
  <c r="AB262" i="63" l="1"/>
  <c r="AG262" i="63" s="1"/>
  <c r="AF262" i="63" l="1"/>
  <c r="AL262" i="63"/>
  <c r="AJ262" i="63" s="1"/>
  <c r="AK262" i="63" s="1"/>
  <c r="AA263" i="63" l="1"/>
  <c r="AP263" i="63" s="1"/>
  <c r="Y263" i="63"/>
  <c r="AC263" i="63" s="1"/>
  <c r="AH263" i="63" s="1"/>
  <c r="AI263" i="63" l="1"/>
  <c r="AB263" i="63"/>
  <c r="AF263" i="63" s="1"/>
  <c r="AL263" i="63" l="1"/>
  <c r="AJ263" i="63" s="1"/>
  <c r="AK263" i="63" s="1"/>
  <c r="AG263" i="63"/>
  <c r="Y264" i="63" l="1"/>
  <c r="AC264" i="63" s="1"/>
  <c r="AH264" i="63" s="1"/>
  <c r="AA264" i="63"/>
  <c r="AP264" i="63" s="1"/>
  <c r="AI264" i="63" l="1"/>
  <c r="AB264" i="63"/>
  <c r="AL264" i="63" s="1"/>
  <c r="AJ264" i="63" s="1"/>
  <c r="AK264" i="63" l="1"/>
  <c r="AF264" i="63"/>
  <c r="AG264" i="63"/>
  <c r="Y265" i="63"/>
  <c r="AC265" i="63" s="1"/>
  <c r="AH265" i="63" s="1"/>
  <c r="AA265" i="63"/>
  <c r="AP265" i="63" s="1"/>
  <c r="AI265" i="63" l="1"/>
  <c r="AB265" i="63"/>
  <c r="AF265" i="63" s="1"/>
  <c r="AL265" i="63" l="1"/>
  <c r="AJ265" i="63" s="1"/>
  <c r="AK265" i="63" s="1"/>
  <c r="AG265" i="63"/>
  <c r="Y266" i="63" l="1"/>
  <c r="AC266" i="63" s="1"/>
  <c r="AH266" i="63" s="1"/>
  <c r="AA266" i="63"/>
  <c r="AP266" i="63" s="1"/>
  <c r="AI266" i="63" l="1"/>
  <c r="AB266" i="63"/>
  <c r="AG266" i="63" s="1"/>
  <c r="AL266" i="63" l="1"/>
  <c r="AJ266" i="63" s="1"/>
  <c r="AK266" i="63" s="1"/>
  <c r="AF266" i="63"/>
  <c r="AA267" i="63" l="1"/>
  <c r="AP267" i="63" s="1"/>
  <c r="Y267" i="63"/>
  <c r="AC267" i="63" s="1"/>
  <c r="AH267" i="63" s="1"/>
  <c r="AI267" i="63" l="1"/>
  <c r="AB267" i="63"/>
  <c r="AL267" i="63" s="1"/>
  <c r="AJ267" i="63" s="1"/>
  <c r="AK267" i="63" l="1"/>
  <c r="AA268" i="63"/>
  <c r="AP268" i="63" s="1"/>
  <c r="AF267" i="63"/>
  <c r="AG267" i="63"/>
  <c r="Y268" i="63"/>
  <c r="AC268" i="63" s="1"/>
  <c r="AH268" i="63" s="1"/>
  <c r="AI268" i="63" l="1"/>
  <c r="AB268" i="63"/>
  <c r="AG268" i="63" s="1"/>
  <c r="AF268" i="63" l="1"/>
  <c r="AL268" i="63"/>
  <c r="AJ268" i="63" s="1"/>
  <c r="AK268" i="63" s="1"/>
  <c r="AA269" i="63" l="1"/>
  <c r="AP269" i="63" s="1"/>
  <c r="Y269" i="63"/>
  <c r="AC269" i="63" s="1"/>
  <c r="AH269" i="63" s="1"/>
  <c r="AI269" i="63" l="1"/>
  <c r="AB269" i="63"/>
  <c r="AL269" i="63" s="1"/>
  <c r="AJ269" i="63" s="1"/>
  <c r="AK269" i="63" l="1"/>
  <c r="AG269" i="63"/>
  <c r="AF269" i="63"/>
  <c r="Y270" i="63"/>
  <c r="AA270" i="63"/>
  <c r="AP270" i="63" s="1"/>
  <c r="AC270" i="63"/>
  <c r="AH270" i="63" s="1"/>
  <c r="AI270" i="63" l="1"/>
  <c r="AB270" i="63"/>
  <c r="AL270" i="63" s="1"/>
  <c r="AA271" i="63" s="1"/>
  <c r="AP271" i="63" s="1"/>
  <c r="AF270" i="63" l="1"/>
  <c r="AG270" i="63"/>
  <c r="Y271" i="63"/>
  <c r="AC271" i="63" s="1"/>
  <c r="AH271" i="63" s="1"/>
  <c r="AJ270" i="63"/>
  <c r="AK270" i="63" s="1"/>
  <c r="AI271" i="63"/>
  <c r="AB271" i="63" l="1"/>
  <c r="AL271" i="63" s="1"/>
  <c r="AJ271" i="63" s="1"/>
  <c r="AK271" i="63" s="1"/>
  <c r="AG271" i="63" l="1"/>
  <c r="AF271" i="63"/>
  <c r="Y272" i="63"/>
  <c r="AC272" i="63" s="1"/>
  <c r="AH272" i="63" s="1"/>
  <c r="AA272" i="63"/>
  <c r="AP272" i="63" s="1"/>
  <c r="AI272" i="63" l="1"/>
  <c r="AB272" i="63"/>
  <c r="AL272" i="63" s="1"/>
  <c r="AA273" i="63" s="1"/>
  <c r="AP273" i="63" s="1"/>
  <c r="AF272" i="63" l="1"/>
  <c r="AG272" i="63"/>
  <c r="Y273" i="63"/>
  <c r="AC273" i="63" s="1"/>
  <c r="AH273" i="63" s="1"/>
  <c r="AJ272" i="63"/>
  <c r="AK272" i="63" s="1"/>
  <c r="AI273" i="63"/>
  <c r="AB273" i="63" l="1"/>
  <c r="AL273" i="63" s="1"/>
  <c r="AJ273" i="63" s="1"/>
  <c r="AK273" i="63" s="1"/>
  <c r="AF273" i="63" l="1"/>
  <c r="AG273" i="63"/>
  <c r="Y274" i="63"/>
  <c r="AC274" i="63" s="1"/>
  <c r="AH274" i="63" s="1"/>
  <c r="AA274" i="63"/>
  <c r="AP274" i="63" s="1"/>
  <c r="AI274" i="63" l="1"/>
  <c r="AB274" i="63"/>
  <c r="AF274" i="63" s="1"/>
  <c r="AL274" i="63" l="1"/>
  <c r="AJ274" i="63" s="1"/>
  <c r="AK274" i="63" s="1"/>
  <c r="AG274" i="63"/>
  <c r="Y275" i="63" l="1"/>
  <c r="AC275" i="63" s="1"/>
  <c r="AH275" i="63" s="1"/>
  <c r="AA275" i="63"/>
  <c r="AP275" i="63" s="1"/>
  <c r="AI275" i="63" l="1"/>
  <c r="AB275" i="63"/>
  <c r="AL275" i="63" s="1"/>
  <c r="AJ275" i="63" s="1"/>
  <c r="AK275" i="63" l="1"/>
  <c r="AF275" i="63"/>
  <c r="AG275" i="63"/>
  <c r="Y276" i="63"/>
  <c r="AC276" i="63" s="1"/>
  <c r="AH276" i="63" s="1"/>
  <c r="AA276" i="63"/>
  <c r="AP276" i="63" s="1"/>
  <c r="AI276" i="63" l="1"/>
  <c r="AB276" i="63"/>
  <c r="AL276" i="63" s="1"/>
  <c r="AJ276" i="63" s="1"/>
  <c r="AK276" i="63" l="1"/>
  <c r="AF276" i="63"/>
  <c r="AG276" i="63"/>
  <c r="Y277" i="63"/>
  <c r="AC277" i="63" s="1"/>
  <c r="AH277" i="63" s="1"/>
  <c r="AA277" i="63"/>
  <c r="AP277" i="63" s="1"/>
  <c r="AI277" i="63" l="1"/>
  <c r="AB277" i="63"/>
  <c r="AL277" i="63" s="1"/>
  <c r="AA278" i="63" s="1"/>
  <c r="AP278" i="63" s="1"/>
  <c r="AG277" i="63" l="1"/>
  <c r="AF277" i="63"/>
  <c r="Y278" i="63"/>
  <c r="AC278" i="63" s="1"/>
  <c r="AH278" i="63" s="1"/>
  <c r="AJ277" i="63"/>
  <c r="AK277" i="63" s="1"/>
  <c r="AI278" i="63"/>
  <c r="AB278" i="63" l="1"/>
  <c r="AF278" i="63" s="1"/>
  <c r="AL278" i="63" l="1"/>
  <c r="AA279" i="63" s="1"/>
  <c r="AP279" i="63" s="1"/>
  <c r="AG278" i="63"/>
  <c r="Y279" i="63" l="1"/>
  <c r="AC279" i="63" s="1"/>
  <c r="AH279" i="63" s="1"/>
  <c r="AJ278" i="63"/>
  <c r="AK278" i="63" s="1"/>
  <c r="AI279" i="63"/>
  <c r="AB279" i="63" l="1"/>
  <c r="AG279" i="63" s="1"/>
  <c r="AL279" i="63" l="1"/>
  <c r="AJ279" i="63" s="1"/>
  <c r="AK279" i="63" s="1"/>
  <c r="AF279" i="63"/>
  <c r="Y280" i="63" l="1"/>
  <c r="AC280" i="63" s="1"/>
  <c r="AH280" i="63" s="1"/>
  <c r="AA280" i="63"/>
  <c r="AP280" i="63" s="1"/>
  <c r="AI280" i="63" l="1"/>
  <c r="AB280" i="63"/>
  <c r="AL280" i="63" s="1"/>
  <c r="AJ280" i="63" s="1"/>
  <c r="AK280" i="63" l="1"/>
  <c r="AF280" i="63"/>
  <c r="AG280" i="63"/>
  <c r="Y281" i="63"/>
  <c r="AA281" i="63"/>
  <c r="AP281" i="63" s="1"/>
  <c r="AC281" i="63"/>
  <c r="AH281" i="63" s="1"/>
  <c r="AB281" i="63" l="1"/>
  <c r="AL281" i="63" s="1"/>
  <c r="AJ281" i="63" s="1"/>
  <c r="AI281" i="63"/>
  <c r="AF281" i="63" l="1"/>
  <c r="AA282" i="63"/>
  <c r="AP282" i="63" s="1"/>
  <c r="AG281" i="63"/>
  <c r="Y282" i="63"/>
  <c r="AC282" i="63" s="1"/>
  <c r="AH282" i="63" s="1"/>
  <c r="AK281" i="63"/>
  <c r="AI282" i="63" l="1"/>
  <c r="AB282" i="63"/>
  <c r="AG282" i="63" s="1"/>
  <c r="AL282" i="63" l="1"/>
  <c r="AA283" i="63" s="1"/>
  <c r="AP283" i="63" s="1"/>
  <c r="AF282" i="63"/>
  <c r="Y283" i="63" l="1"/>
  <c r="AC283" i="63" s="1"/>
  <c r="AH283" i="63" s="1"/>
  <c r="AJ282" i="63"/>
  <c r="AK282" i="63" s="1"/>
  <c r="AI283" i="63"/>
  <c r="AB283" i="63" l="1"/>
  <c r="AL283" i="63" s="1"/>
  <c r="AA284" i="63" s="1"/>
  <c r="AP284" i="63" s="1"/>
  <c r="AF283" i="63" l="1"/>
  <c r="AG283" i="63"/>
  <c r="Y284" i="63"/>
  <c r="AC284" i="63" s="1"/>
  <c r="AH284" i="63" s="1"/>
  <c r="AJ283" i="63"/>
  <c r="AK283" i="63" s="1"/>
  <c r="AI284" i="63"/>
  <c r="AB284" i="63" l="1"/>
  <c r="AG284" i="63" s="1"/>
  <c r="AL284" i="63" l="1"/>
  <c r="AJ284" i="63" s="1"/>
  <c r="AK284" i="63" s="1"/>
  <c r="AF284" i="63"/>
  <c r="AA285" i="63" l="1"/>
  <c r="AP285" i="63" s="1"/>
  <c r="Y285" i="63"/>
  <c r="AC285" i="63" s="1"/>
  <c r="AH285" i="63" s="1"/>
  <c r="AI285" i="63" l="1"/>
  <c r="AB285" i="63"/>
  <c r="AL285" i="63" s="1"/>
  <c r="AJ285" i="63" s="1"/>
  <c r="AK285" i="63" l="1"/>
  <c r="AG285" i="63"/>
  <c r="AF285" i="63"/>
  <c r="Y286" i="63"/>
  <c r="AC286" i="63" s="1"/>
  <c r="AH286" i="63" s="1"/>
  <c r="AA286" i="63"/>
  <c r="AP286" i="63" s="1"/>
  <c r="AI286" i="63" l="1"/>
  <c r="AB286" i="63"/>
  <c r="AF286" i="63" s="1"/>
  <c r="AL286" i="63" l="1"/>
  <c r="AJ286" i="63" s="1"/>
  <c r="AK286" i="63" s="1"/>
  <c r="AG286" i="63"/>
  <c r="AA287" i="63" l="1"/>
  <c r="AP287" i="63" s="1"/>
  <c r="Y287" i="63"/>
  <c r="AC287" i="63" s="1"/>
  <c r="AH287" i="63" s="1"/>
  <c r="AI287" i="63" l="1"/>
  <c r="AB287" i="63"/>
  <c r="AG287" i="63" s="1"/>
  <c r="AL287" i="63" l="1"/>
  <c r="AJ287" i="63" s="1"/>
  <c r="AK287" i="63" s="1"/>
  <c r="AF287" i="63"/>
  <c r="Y288" i="63" l="1"/>
  <c r="AC288" i="63" s="1"/>
  <c r="AH288" i="63" s="1"/>
  <c r="AA288" i="63"/>
  <c r="AP288" i="63" s="1"/>
  <c r="AI288" i="63" l="1"/>
  <c r="AB288" i="63"/>
  <c r="AG288" i="63" s="1"/>
  <c r="AL288" i="63" l="1"/>
  <c r="AA289" i="63" s="1"/>
  <c r="AP289" i="63" s="1"/>
  <c r="AF288" i="63"/>
  <c r="Y289" i="63" l="1"/>
  <c r="AC289" i="63" s="1"/>
  <c r="AH289" i="63" s="1"/>
  <c r="AJ288" i="63"/>
  <c r="AK288" i="63" s="1"/>
  <c r="AI289" i="63"/>
  <c r="AB289" i="63" l="1"/>
  <c r="AG289" i="63" s="1"/>
  <c r="AL289" i="63" l="1"/>
  <c r="AJ289" i="63" s="1"/>
  <c r="AK289" i="63" s="1"/>
  <c r="AF289" i="63"/>
  <c r="AA290" i="63" l="1"/>
  <c r="AP290" i="63" s="1"/>
  <c r="Y290" i="63"/>
  <c r="AC290" i="63" s="1"/>
  <c r="AH290" i="63" s="1"/>
  <c r="AI290" i="63" l="1"/>
  <c r="AB290" i="63"/>
  <c r="AG290" i="63" s="1"/>
  <c r="AL290" i="63" l="1"/>
  <c r="AJ290" i="63" s="1"/>
  <c r="AK290" i="63" s="1"/>
  <c r="AF290" i="63"/>
  <c r="AA291" i="63" l="1"/>
  <c r="AP291" i="63" s="1"/>
  <c r="Y291" i="63"/>
  <c r="AC291" i="63" s="1"/>
  <c r="AH291" i="63" s="1"/>
  <c r="AI291" i="63" l="1"/>
  <c r="AB291" i="63"/>
  <c r="AF291" i="63" s="1"/>
  <c r="AL291" i="63" l="1"/>
  <c r="AA292" i="63" s="1"/>
  <c r="AP292" i="63" s="1"/>
  <c r="AG291" i="63"/>
  <c r="Y292" i="63" l="1"/>
  <c r="AC292" i="63" s="1"/>
  <c r="AH292" i="63" s="1"/>
  <c r="AJ291" i="63"/>
  <c r="AK291" i="63" s="1"/>
  <c r="AI292" i="63"/>
  <c r="AB292" i="63" l="1"/>
  <c r="AL292" i="63" s="1"/>
  <c r="AJ292" i="63" s="1"/>
  <c r="AK292" i="63" s="1"/>
  <c r="AG292" i="63" l="1"/>
  <c r="AF292" i="63"/>
  <c r="Y293" i="63"/>
  <c r="AC293" i="63" s="1"/>
  <c r="AH293" i="63" s="1"/>
  <c r="AA293" i="63"/>
  <c r="AP293" i="63" s="1"/>
  <c r="AI293" i="63" l="1"/>
  <c r="AB293" i="63"/>
  <c r="AL293" i="63" s="1"/>
  <c r="AA294" i="63" s="1"/>
  <c r="AP294" i="63" s="1"/>
  <c r="AG293" i="63" l="1"/>
  <c r="AF293" i="63"/>
  <c r="Y294" i="63"/>
  <c r="AC294" i="63" s="1"/>
  <c r="AH294" i="63" s="1"/>
  <c r="AJ293" i="63"/>
  <c r="AK293" i="63" s="1"/>
  <c r="AI294" i="63"/>
  <c r="AB294" i="63" l="1"/>
  <c r="AG294" i="63" s="1"/>
  <c r="AL294" i="63" l="1"/>
  <c r="AJ294" i="63" s="1"/>
  <c r="AK294" i="63" s="1"/>
  <c r="AF294" i="63"/>
  <c r="Y295" i="63" l="1"/>
  <c r="AC295" i="63" s="1"/>
  <c r="AH295" i="63" s="1"/>
  <c r="AA295" i="63"/>
  <c r="AP295" i="63" s="1"/>
  <c r="AI295" i="63" l="1"/>
  <c r="AB295" i="63"/>
  <c r="AF295" i="63" s="1"/>
  <c r="AL295" i="63" l="1"/>
  <c r="AJ295" i="63" s="1"/>
  <c r="AK295" i="63" s="1"/>
  <c r="AG295" i="63"/>
  <c r="Y296" i="63" l="1"/>
  <c r="AC296" i="63" s="1"/>
  <c r="AH296" i="63" s="1"/>
  <c r="AA296" i="63"/>
  <c r="AP296" i="63" s="1"/>
  <c r="AI296" i="63" l="1"/>
  <c r="AB296" i="63"/>
  <c r="AG296" i="63" s="1"/>
  <c r="AL296" i="63" l="1"/>
  <c r="AJ296" i="63" s="1"/>
  <c r="AK296" i="63" s="1"/>
  <c r="AF296" i="63"/>
  <c r="Y297" i="63" l="1"/>
  <c r="AC297" i="63" s="1"/>
  <c r="AH297" i="63" s="1"/>
  <c r="AA297" i="63"/>
  <c r="AP297" i="63" s="1"/>
  <c r="AI297" i="63" l="1"/>
  <c r="AB297" i="63"/>
  <c r="AG297" i="63" s="1"/>
  <c r="AF297" i="63" l="1"/>
  <c r="AL297" i="63"/>
  <c r="AA298" i="63" s="1"/>
  <c r="AP298" i="63" s="1"/>
  <c r="Y298" i="63" l="1"/>
  <c r="AC298" i="63" s="1"/>
  <c r="AH298" i="63" s="1"/>
  <c r="AJ297" i="63"/>
  <c r="AK297" i="63" s="1"/>
  <c r="AI298" i="63"/>
  <c r="AB298" i="63" l="1"/>
  <c r="AF298" i="63" s="1"/>
  <c r="AL298" i="63" l="1"/>
  <c r="AJ298" i="63" s="1"/>
  <c r="AK298" i="63" s="1"/>
  <c r="AG298" i="63"/>
  <c r="AA299" i="63" l="1"/>
  <c r="AP299" i="63" s="1"/>
  <c r="Y299" i="63"/>
  <c r="AC299" i="63" s="1"/>
  <c r="AH299" i="63" s="1"/>
  <c r="AI299" i="63" l="1"/>
  <c r="AB299" i="63"/>
  <c r="AG299" i="63" s="1"/>
  <c r="AL299" i="63" l="1"/>
  <c r="AJ299" i="63" s="1"/>
  <c r="AK299" i="63" s="1"/>
  <c r="AF299" i="63"/>
  <c r="Y300" i="63" l="1"/>
  <c r="AC300" i="63" s="1"/>
  <c r="AH300" i="63" s="1"/>
  <c r="AA300" i="63"/>
  <c r="AP300" i="63" s="1"/>
  <c r="AI300" i="63" l="1"/>
  <c r="AB300" i="63"/>
  <c r="AF300" i="63" s="1"/>
  <c r="AL300" i="63" l="1"/>
  <c r="AJ300" i="63" s="1"/>
  <c r="AK300" i="63" s="1"/>
  <c r="AG300" i="63"/>
  <c r="AA301" i="63" l="1"/>
  <c r="AP301" i="63" s="1"/>
  <c r="Y301" i="63"/>
  <c r="AC301" i="63" s="1"/>
  <c r="AH301" i="63" s="1"/>
  <c r="AI301" i="63" l="1"/>
  <c r="AB301" i="63"/>
  <c r="AL301" i="63" s="1"/>
  <c r="AJ301" i="63" s="1"/>
  <c r="AK301" i="63" l="1"/>
  <c r="AF301" i="63"/>
  <c r="AG301" i="63"/>
  <c r="Y302" i="63"/>
  <c r="AC302" i="63" s="1"/>
  <c r="AH302" i="63" s="1"/>
  <c r="AA302" i="63"/>
  <c r="AP302" i="63" s="1"/>
  <c r="AI302" i="63" l="1"/>
  <c r="AB302" i="63"/>
  <c r="AF302" i="63" s="1"/>
  <c r="AL302" i="63" l="1"/>
  <c r="AJ302" i="63" s="1"/>
  <c r="AK302" i="63" s="1"/>
  <c r="AG302" i="63"/>
  <c r="Y303" i="63" l="1"/>
  <c r="AC303" i="63" s="1"/>
  <c r="AH303" i="63" s="1"/>
  <c r="AA303" i="63"/>
  <c r="AP303" i="63" s="1"/>
  <c r="AI303" i="63" l="1"/>
  <c r="AB303" i="63"/>
  <c r="AF303" i="63" l="1"/>
  <c r="AG303" i="63"/>
  <c r="AL303" i="63"/>
  <c r="AJ303" i="63" l="1"/>
  <c r="AK303" i="63" s="1"/>
  <c r="AA304" i="63"/>
  <c r="AP304" i="63" s="1"/>
  <c r="Y304" i="63"/>
  <c r="AC304" i="63" l="1"/>
  <c r="AH304" i="63" s="1"/>
  <c r="AI304" i="63"/>
  <c r="AB304" i="63" l="1"/>
  <c r="AG304" i="63" s="1"/>
  <c r="AL304" i="63" l="1"/>
  <c r="AJ304" i="63" s="1"/>
  <c r="AK304" i="63" s="1"/>
  <c r="AF304" i="63"/>
  <c r="AA305" i="63" l="1"/>
  <c r="AP305" i="63" s="1"/>
  <c r="Y305" i="63"/>
  <c r="AC305" i="63" s="1"/>
  <c r="AH305" i="63" s="1"/>
  <c r="AI305" i="63" l="1"/>
  <c r="AB305" i="63"/>
  <c r="AL305" i="63" s="1"/>
  <c r="AJ305" i="63" s="1"/>
  <c r="AK305" i="63" l="1"/>
  <c r="AF305" i="63"/>
  <c r="AG305" i="63"/>
  <c r="Y306" i="63"/>
  <c r="AA306" i="63"/>
  <c r="AP306" i="63" s="1"/>
  <c r="AC306" i="63"/>
  <c r="AH306" i="63" s="1"/>
  <c r="AI306" i="63" l="1"/>
  <c r="AB306" i="63"/>
  <c r="AF306" i="63" s="1"/>
  <c r="AL306" i="63" l="1"/>
  <c r="AJ306" i="63" s="1"/>
  <c r="AK306" i="63" s="1"/>
  <c r="AG306" i="63"/>
  <c r="AA307" i="63" l="1"/>
  <c r="AP307" i="63" s="1"/>
  <c r="Y307" i="63"/>
  <c r="AC307" i="63" s="1"/>
  <c r="AH307" i="63" s="1"/>
  <c r="AI307" i="63" l="1"/>
  <c r="AB307" i="63"/>
  <c r="AG307" i="63" s="1"/>
  <c r="AL307" i="63" l="1"/>
  <c r="AJ307" i="63" s="1"/>
  <c r="AK307" i="63" s="1"/>
  <c r="AF307" i="63"/>
  <c r="Y308" i="63" l="1"/>
  <c r="AC308" i="63" s="1"/>
  <c r="AH308" i="63" s="1"/>
  <c r="AA308" i="63"/>
  <c r="AP308" i="63" s="1"/>
  <c r="AI308" i="63" l="1"/>
  <c r="AB308" i="63"/>
  <c r="AG308" i="63" s="1"/>
  <c r="AL308" i="63" l="1"/>
  <c r="AA309" i="63" s="1"/>
  <c r="AP309" i="63" s="1"/>
  <c r="AF308" i="63"/>
  <c r="Y309" i="63" l="1"/>
  <c r="AC309" i="63" s="1"/>
  <c r="AH309" i="63" s="1"/>
  <c r="AJ308" i="63"/>
  <c r="AK308" i="63" s="1"/>
  <c r="AI309" i="63"/>
  <c r="AB309" i="63" l="1"/>
  <c r="AL309" i="63" s="1"/>
  <c r="AJ309" i="63" s="1"/>
  <c r="AK309" i="63" s="1"/>
  <c r="AG309" i="63" l="1"/>
  <c r="AA310" i="63"/>
  <c r="AP310" i="63" s="1"/>
  <c r="AF309" i="63"/>
  <c r="Y310" i="63"/>
  <c r="AC310" i="63" s="1"/>
  <c r="AH310" i="63" s="1"/>
  <c r="AI310" i="63" l="1"/>
  <c r="AB310" i="63"/>
  <c r="AL310" i="63" s="1"/>
  <c r="AJ310" i="63" s="1"/>
  <c r="AF310" i="63" l="1"/>
  <c r="AG310" i="63"/>
  <c r="Y311" i="63"/>
  <c r="AA311" i="63"/>
  <c r="AP311" i="63" s="1"/>
  <c r="AK310" i="63"/>
  <c r="AC311" i="63"/>
  <c r="AH311" i="63" s="1"/>
  <c r="AI311" i="63" l="1"/>
  <c r="AB311" i="63"/>
  <c r="AG311" i="63" s="1"/>
  <c r="AF311" i="63" l="1"/>
  <c r="AL311" i="63"/>
  <c r="AJ311" i="63" s="1"/>
  <c r="AK311" i="63" s="1"/>
  <c r="Y312" i="63" l="1"/>
  <c r="AC312" i="63" s="1"/>
  <c r="AH312" i="63" s="1"/>
  <c r="AA312" i="63"/>
  <c r="AP312" i="63" s="1"/>
  <c r="AI312" i="63" l="1"/>
  <c r="AB312" i="63"/>
  <c r="AL312" i="63" s="1"/>
  <c r="AJ312" i="63" s="1"/>
  <c r="AK312" i="63" l="1"/>
  <c r="AF312" i="63"/>
  <c r="AG312" i="63"/>
  <c r="Y313" i="63"/>
  <c r="AC313" i="63" s="1"/>
  <c r="AH313" i="63" s="1"/>
  <c r="AA313" i="63"/>
  <c r="AP313" i="63" s="1"/>
  <c r="AI313" i="63" l="1"/>
  <c r="AB313" i="63"/>
  <c r="AL313" i="63" s="1"/>
  <c r="AA314" i="63" s="1"/>
  <c r="AP314" i="63" s="1"/>
  <c r="AG313" i="63" l="1"/>
  <c r="AF313" i="63"/>
  <c r="Y314" i="63"/>
  <c r="AC314" i="63" s="1"/>
  <c r="AH314" i="63" s="1"/>
  <c r="AJ313" i="63"/>
  <c r="AK313" i="63" s="1"/>
  <c r="AI314" i="63"/>
  <c r="AB314" i="63" l="1"/>
  <c r="AF314" i="63" s="1"/>
  <c r="AG314" i="63" l="1"/>
  <c r="AL314" i="63"/>
  <c r="AJ314" i="63" s="1"/>
  <c r="AK314" i="63" s="1"/>
  <c r="Y315" i="63" l="1"/>
  <c r="AC315" i="63" s="1"/>
  <c r="AH315" i="63" s="1"/>
  <c r="AA315" i="63"/>
  <c r="AP315" i="63" s="1"/>
  <c r="AI315" i="63" l="1"/>
  <c r="AB315" i="63"/>
  <c r="AF315" i="63" s="1"/>
  <c r="AL315" i="63" l="1"/>
  <c r="AJ315" i="63" s="1"/>
  <c r="AK315" i="63" s="1"/>
  <c r="AG315" i="63"/>
  <c r="AA316" i="63" l="1"/>
  <c r="AP316" i="63" s="1"/>
  <c r="Y316" i="63"/>
  <c r="AC316" i="63" s="1"/>
  <c r="AH316" i="63" s="1"/>
  <c r="AI316" i="63" l="1"/>
  <c r="AB316" i="63"/>
  <c r="AL316" i="63" s="1"/>
  <c r="AJ316" i="63" s="1"/>
  <c r="Y317" i="63" l="1"/>
  <c r="AC317" i="63" s="1"/>
  <c r="AH317" i="63" s="1"/>
  <c r="AF316" i="63"/>
  <c r="AG316" i="63"/>
  <c r="AA317" i="63"/>
  <c r="AP317" i="63" s="1"/>
  <c r="AK316" i="63"/>
  <c r="AI317" i="63" l="1"/>
  <c r="AB317" i="63"/>
  <c r="AL317" i="63" s="1"/>
  <c r="AJ317" i="63" s="1"/>
  <c r="AK317" i="63" l="1"/>
  <c r="AG317" i="63"/>
  <c r="AF317" i="63"/>
  <c r="Y318" i="63"/>
  <c r="AC318" i="63" s="1"/>
  <c r="AH318" i="63" s="1"/>
  <c r="AA318" i="63"/>
  <c r="AP318" i="63" s="1"/>
  <c r="AI318" i="63" l="1"/>
  <c r="AB318" i="63"/>
  <c r="AF318" i="63" s="1"/>
  <c r="AL318" i="63" l="1"/>
  <c r="AA319" i="63" s="1"/>
  <c r="AP319" i="63" s="1"/>
  <c r="AG318" i="63"/>
  <c r="Y319" i="63" l="1"/>
  <c r="AC319" i="63" s="1"/>
  <c r="AH319" i="63" s="1"/>
  <c r="AJ318" i="63"/>
  <c r="AK318" i="63" s="1"/>
  <c r="AI319" i="63"/>
  <c r="AB319" i="63" l="1"/>
  <c r="AG319" i="63" s="1"/>
  <c r="AL319" i="63" l="1"/>
  <c r="Y320" i="63" s="1"/>
  <c r="AF319" i="63"/>
  <c r="AA320" i="63" l="1"/>
  <c r="AP320" i="63" s="1"/>
  <c r="AJ319" i="63"/>
  <c r="AK319" i="63" s="1"/>
  <c r="AC320" i="63"/>
  <c r="AH320" i="63" s="1"/>
  <c r="AI320" i="63" l="1"/>
  <c r="AB320" i="63"/>
  <c r="AL320" i="63" s="1"/>
  <c r="AJ320" i="63" s="1"/>
  <c r="AK320" i="63" l="1"/>
  <c r="AG320" i="63"/>
  <c r="AF320" i="63"/>
  <c r="Y321" i="63"/>
  <c r="AC321" i="63" s="1"/>
  <c r="AH321" i="63" s="1"/>
  <c r="AA321" i="63"/>
  <c r="AP321" i="63" s="1"/>
  <c r="AI321" i="63" l="1"/>
  <c r="AB321" i="63"/>
  <c r="AL321" i="63" s="1"/>
  <c r="AA322" i="63" s="1"/>
  <c r="AP322" i="63" s="1"/>
  <c r="AG321" i="63" l="1"/>
  <c r="AF321" i="63"/>
  <c r="Y322" i="63"/>
  <c r="AC322" i="63" s="1"/>
  <c r="AH322" i="63" s="1"/>
  <c r="AJ321" i="63"/>
  <c r="AK321" i="63" s="1"/>
  <c r="AI322" i="63"/>
  <c r="AB322" i="63" l="1"/>
  <c r="AL322" i="63" s="1"/>
  <c r="AJ322" i="63" s="1"/>
  <c r="AK322" i="63" s="1"/>
  <c r="AG322" i="63" l="1"/>
  <c r="AF322" i="63"/>
  <c r="Y323" i="63"/>
  <c r="AA323" i="63"/>
  <c r="AP323" i="63" s="1"/>
  <c r="AC323" i="63"/>
  <c r="AH323" i="63" s="1"/>
  <c r="AI323" i="63" l="1"/>
  <c r="AB323" i="63"/>
  <c r="AF323" i="63" s="1"/>
  <c r="AL323" i="63" l="1"/>
  <c r="AA324" i="63" s="1"/>
  <c r="AP324" i="63" s="1"/>
  <c r="AG323" i="63"/>
  <c r="Y324" i="63" l="1"/>
  <c r="AC324" i="63" s="1"/>
  <c r="AH324" i="63" s="1"/>
  <c r="AJ323" i="63"/>
  <c r="AK323" i="63" s="1"/>
  <c r="AI324" i="63"/>
  <c r="AB324" i="63" l="1"/>
  <c r="AG324" i="63" s="1"/>
  <c r="AL324" i="63" l="1"/>
  <c r="AJ324" i="63" s="1"/>
  <c r="AK324" i="63" s="1"/>
  <c r="AF324" i="63"/>
  <c r="Y325" i="63" l="1"/>
  <c r="AC325" i="63" s="1"/>
  <c r="AH325" i="63" s="1"/>
  <c r="AA325" i="63"/>
  <c r="AP325" i="63" s="1"/>
  <c r="AI325" i="63" l="1"/>
  <c r="AB325" i="63"/>
  <c r="AL325" i="63" s="1"/>
  <c r="AA326" i="63" s="1"/>
  <c r="AP326" i="63" s="1"/>
  <c r="AF325" i="63" l="1"/>
  <c r="AG325" i="63"/>
  <c r="Y326" i="63"/>
  <c r="AC326" i="63" s="1"/>
  <c r="AH326" i="63" s="1"/>
  <c r="AJ325" i="63"/>
  <c r="AK325" i="63" s="1"/>
  <c r="AI326" i="63"/>
  <c r="AB326" i="63" l="1"/>
  <c r="AF326" i="63" s="1"/>
  <c r="AL326" i="63" l="1"/>
  <c r="AJ326" i="63" s="1"/>
  <c r="AK326" i="63" s="1"/>
  <c r="AG326" i="63"/>
  <c r="AA327" i="63" l="1"/>
  <c r="AP327" i="63" s="1"/>
  <c r="Y327" i="63"/>
  <c r="AC327" i="63" s="1"/>
  <c r="AH327" i="63" s="1"/>
  <c r="AI327" i="63" l="1"/>
  <c r="AB327" i="63"/>
  <c r="AG327" i="63" s="1"/>
  <c r="AL327" i="63" l="1"/>
  <c r="AA328" i="63" s="1"/>
  <c r="AP328" i="63" s="1"/>
  <c r="AF327" i="63"/>
  <c r="Y328" i="63" l="1"/>
  <c r="AC328" i="63" s="1"/>
  <c r="AH328" i="63" s="1"/>
  <c r="AJ327" i="63"/>
  <c r="AK327" i="63" s="1"/>
  <c r="AI328" i="63"/>
  <c r="AB328" i="63" l="1"/>
  <c r="AF328" i="63" s="1"/>
  <c r="AL328" i="63" l="1"/>
  <c r="AA329" i="63" s="1"/>
  <c r="AP329" i="63" s="1"/>
  <c r="AG328" i="63"/>
  <c r="Y329" i="63" l="1"/>
  <c r="AC329" i="63" s="1"/>
  <c r="AH329" i="63" s="1"/>
  <c r="AJ328" i="63"/>
  <c r="AK328" i="63" s="1"/>
  <c r="AI329" i="63"/>
  <c r="AB329" i="63" l="1"/>
  <c r="AL329" i="63" s="1"/>
  <c r="AJ329" i="63" s="1"/>
  <c r="AK329" i="63" s="1"/>
  <c r="AA330" i="63" l="1"/>
  <c r="AP330" i="63" s="1"/>
  <c r="AG329" i="63"/>
  <c r="Y330" i="63"/>
  <c r="AC330" i="63" s="1"/>
  <c r="AH330" i="63" s="1"/>
  <c r="AF329" i="63"/>
  <c r="AI330" i="63" l="1"/>
  <c r="AB330" i="63"/>
  <c r="AF330" i="63" s="1"/>
  <c r="AL330" i="63" l="1"/>
  <c r="AJ330" i="63" s="1"/>
  <c r="AK330" i="63" s="1"/>
  <c r="AG330" i="63"/>
  <c r="Y331" i="63" l="1"/>
  <c r="AC331" i="63" s="1"/>
  <c r="AH331" i="63" s="1"/>
  <c r="AA331" i="63"/>
  <c r="AP331" i="63" s="1"/>
  <c r="AI331" i="63" l="1"/>
  <c r="AB331" i="63"/>
  <c r="AF331" i="63" s="1"/>
  <c r="AL331" i="63" l="1"/>
  <c r="AA332" i="63" s="1"/>
  <c r="AP332" i="63" s="1"/>
  <c r="AG331" i="63"/>
  <c r="Y332" i="63" l="1"/>
  <c r="AC332" i="63" s="1"/>
  <c r="AH332" i="63" s="1"/>
  <c r="AJ331" i="63"/>
  <c r="AK331" i="63" s="1"/>
  <c r="AI332" i="63"/>
  <c r="AB332" i="63" l="1"/>
  <c r="AG332" i="63" s="1"/>
  <c r="AL332" i="63" l="1"/>
  <c r="AJ332" i="63" s="1"/>
  <c r="AK332" i="63" s="1"/>
  <c r="AF332" i="63"/>
  <c r="Y333" i="63" l="1"/>
  <c r="AC333" i="63" s="1"/>
  <c r="AH333" i="63" s="1"/>
  <c r="AA333" i="63"/>
  <c r="AP333" i="63" s="1"/>
  <c r="AI333" i="63" l="1"/>
  <c r="AB333" i="63"/>
  <c r="AL333" i="63" s="1"/>
  <c r="AJ333" i="63" s="1"/>
  <c r="AK333" i="63" l="1"/>
  <c r="AF333" i="63"/>
  <c r="AG333" i="63"/>
  <c r="Y334" i="63"/>
  <c r="AC334" i="63" s="1"/>
  <c r="AH334" i="63" s="1"/>
  <c r="AA334" i="63"/>
  <c r="AP334" i="63" s="1"/>
  <c r="AI334" i="63" l="1"/>
  <c r="AB334" i="63"/>
  <c r="AF334" i="63" s="1"/>
  <c r="AL334" i="63" l="1"/>
  <c r="AJ334" i="63" s="1"/>
  <c r="AK334" i="63" s="1"/>
  <c r="AG334" i="63"/>
  <c r="Y335" i="63" l="1"/>
  <c r="AC335" i="63" s="1"/>
  <c r="AH335" i="63" s="1"/>
  <c r="AA335" i="63"/>
  <c r="AP335" i="63" s="1"/>
  <c r="AI335" i="63" l="1"/>
  <c r="AB335" i="63"/>
  <c r="AG335" i="63" s="1"/>
  <c r="AL335" i="63" l="1"/>
  <c r="AA336" i="63" s="1"/>
  <c r="AP336" i="63" s="1"/>
  <c r="AF335" i="63"/>
  <c r="Y336" i="63" l="1"/>
  <c r="AC336" i="63" s="1"/>
  <c r="AH336" i="63" s="1"/>
  <c r="AJ335" i="63"/>
  <c r="AK335" i="63" s="1"/>
  <c r="AI336" i="63"/>
  <c r="AB336" i="63" l="1"/>
  <c r="AL336" i="63" s="1"/>
  <c r="AJ336" i="63" s="1"/>
  <c r="AK336" i="63" s="1"/>
  <c r="AF336" i="63" l="1"/>
  <c r="AG336" i="63"/>
  <c r="Y337" i="63"/>
  <c r="AA337" i="63"/>
  <c r="AP337" i="63" s="1"/>
  <c r="AC337" i="63"/>
  <c r="AH337" i="63" s="1"/>
  <c r="AI337" i="63" l="1"/>
  <c r="AB337" i="63"/>
  <c r="AF337" i="63" s="1"/>
  <c r="AL337" i="63" l="1"/>
  <c r="AA338" i="63" s="1"/>
  <c r="AP338" i="63" s="1"/>
  <c r="AG337" i="63"/>
  <c r="Y338" i="63" l="1"/>
  <c r="AC338" i="63" s="1"/>
  <c r="AH338" i="63" s="1"/>
  <c r="AJ337" i="63"/>
  <c r="AK337" i="63" s="1"/>
  <c r="AI338" i="63"/>
  <c r="AB338" i="63" l="1"/>
  <c r="AL338" i="63" s="1"/>
  <c r="AJ338" i="63" s="1"/>
  <c r="AK338" i="63" s="1"/>
  <c r="AG338" i="63" l="1"/>
  <c r="AF338" i="63"/>
  <c r="Y339" i="63"/>
  <c r="AC339" i="63" s="1"/>
  <c r="AH339" i="63" s="1"/>
  <c r="AA339" i="63"/>
  <c r="AP339" i="63" s="1"/>
  <c r="AI339" i="63" l="1"/>
  <c r="AB339" i="63"/>
  <c r="AF339" i="63" s="1"/>
  <c r="AL339" i="63" l="1"/>
  <c r="AA340" i="63" s="1"/>
  <c r="AP340" i="63" s="1"/>
  <c r="AG339" i="63"/>
  <c r="Y340" i="63" l="1"/>
  <c r="AC340" i="63" s="1"/>
  <c r="AH340" i="63" s="1"/>
  <c r="AJ339" i="63"/>
  <c r="AK339" i="63" s="1"/>
  <c r="AI340" i="63"/>
  <c r="AB340" i="63" l="1"/>
  <c r="AL340" i="63" s="1"/>
  <c r="AJ340" i="63" s="1"/>
  <c r="AK340" i="63" s="1"/>
  <c r="AG340" i="63" l="1"/>
  <c r="AF340" i="63"/>
  <c r="Y341" i="63"/>
  <c r="AC341" i="63" s="1"/>
  <c r="AH341" i="63" s="1"/>
  <c r="AA341" i="63"/>
  <c r="AP341" i="63" s="1"/>
  <c r="AI341" i="63" l="1"/>
  <c r="AB341" i="63"/>
  <c r="AF341" i="63" s="1"/>
  <c r="AL341" i="63" l="1"/>
  <c r="AJ341" i="63" s="1"/>
  <c r="AK341" i="63" s="1"/>
  <c r="AG341" i="63"/>
  <c r="Y342" i="63" l="1"/>
  <c r="AC342" i="63" s="1"/>
  <c r="AH342" i="63" s="1"/>
  <c r="AA342" i="63"/>
  <c r="AP342" i="63" s="1"/>
  <c r="AI342" i="63" l="1"/>
  <c r="AB342" i="63"/>
  <c r="AF342" i="63" s="1"/>
  <c r="AG342" i="63" l="1"/>
  <c r="AL342" i="63"/>
  <c r="AJ342" i="63" s="1"/>
  <c r="AK342" i="63" s="1"/>
  <c r="Y343" i="63" l="1"/>
  <c r="AC343" i="63" s="1"/>
  <c r="AH343" i="63" s="1"/>
  <c r="AA343" i="63"/>
  <c r="AP343" i="63" s="1"/>
  <c r="AI343" i="63" l="1"/>
  <c r="AB343" i="63"/>
  <c r="AG343" i="63" s="1"/>
  <c r="AL343" i="63" l="1"/>
  <c r="AA344" i="63" s="1"/>
  <c r="AP344" i="63" s="1"/>
  <c r="AF343" i="63"/>
  <c r="Y344" i="63" l="1"/>
  <c r="AC344" i="63" s="1"/>
  <c r="AH344" i="63" s="1"/>
  <c r="AJ343" i="63"/>
  <c r="AK343" i="63" s="1"/>
  <c r="AI344" i="63"/>
  <c r="AB344" i="63" l="1"/>
  <c r="AL344" i="63" s="1"/>
  <c r="AJ344" i="63" s="1"/>
  <c r="AK344" i="63" s="1"/>
  <c r="AF344" i="63" l="1"/>
  <c r="AG344" i="63"/>
  <c r="Y345" i="63"/>
  <c r="AC345" i="63" s="1"/>
  <c r="AH345" i="63" s="1"/>
  <c r="AA345" i="63"/>
  <c r="AP345" i="63" s="1"/>
  <c r="AI345" i="63" l="1"/>
  <c r="AB345" i="63"/>
  <c r="AG345" i="63" s="1"/>
  <c r="AL345" i="63" l="1"/>
  <c r="AA346" i="63" s="1"/>
  <c r="AP346" i="63" s="1"/>
  <c r="AF345" i="63"/>
  <c r="AJ345" i="63" l="1"/>
  <c r="AK345" i="63" s="1"/>
  <c r="Y346" i="63"/>
  <c r="AC346" i="63" s="1"/>
  <c r="AH346" i="63" s="1"/>
  <c r="AI346" i="63"/>
  <c r="AB346" i="63" l="1"/>
  <c r="AL346" i="63" s="1"/>
  <c r="AJ346" i="63" s="1"/>
  <c r="AK346" i="63" s="1"/>
  <c r="AF346" i="63" l="1"/>
  <c r="AG346" i="63"/>
  <c r="AA347" i="63"/>
  <c r="AP347" i="63" s="1"/>
  <c r="Y347" i="63"/>
  <c r="AC347" i="63" s="1"/>
  <c r="AH347" i="63" s="1"/>
  <c r="AI347" i="63" l="1"/>
  <c r="AB347" i="63"/>
  <c r="AG347" i="63" s="1"/>
  <c r="AL347" i="63" l="1"/>
  <c r="AA348" i="63" s="1"/>
  <c r="AP348" i="63" s="1"/>
  <c r="AF347" i="63"/>
  <c r="AJ347" i="63" l="1"/>
  <c r="AK347" i="63" s="1"/>
  <c r="Y348" i="63"/>
  <c r="AC348" i="63" s="1"/>
  <c r="AH348" i="63" s="1"/>
  <c r="AI348" i="63"/>
  <c r="AB348" i="63" l="1"/>
  <c r="AG348" i="63" s="1"/>
  <c r="AL348" i="63" l="1"/>
  <c r="AJ348" i="63" s="1"/>
  <c r="AK348" i="63" s="1"/>
  <c r="AF348" i="63"/>
  <c r="Y349" i="63" l="1"/>
  <c r="AC349" i="63" s="1"/>
  <c r="AH349" i="63" s="1"/>
  <c r="AA349" i="63"/>
  <c r="AP349" i="63" s="1"/>
  <c r="AI349" i="63" l="1"/>
  <c r="AB349" i="63"/>
  <c r="AG349" i="63" s="1"/>
  <c r="AL349" i="63" l="1"/>
  <c r="AJ349" i="63" s="1"/>
  <c r="AK349" i="63" s="1"/>
  <c r="AF349" i="63"/>
  <c r="Y350" i="63" l="1"/>
  <c r="AC350" i="63" s="1"/>
  <c r="AH350" i="63" s="1"/>
  <c r="AA350" i="63"/>
  <c r="AP350" i="63" s="1"/>
  <c r="AI350" i="63" l="1"/>
  <c r="AB350" i="63"/>
  <c r="AG350" i="63" s="1"/>
  <c r="AL350" i="63" l="1"/>
  <c r="AJ350" i="63" s="1"/>
  <c r="AK350" i="63" s="1"/>
  <c r="AF350" i="63"/>
  <c r="Y351" i="63" l="1"/>
  <c r="AC351" i="63" s="1"/>
  <c r="AH351" i="63" s="1"/>
  <c r="AA351" i="63"/>
  <c r="AP351" i="63" s="1"/>
  <c r="AI351" i="63" l="1"/>
  <c r="AB351" i="63"/>
  <c r="AG351" i="63" l="1"/>
  <c r="AF351" i="63"/>
  <c r="AL351" i="63"/>
  <c r="AA352" i="63" l="1"/>
  <c r="AP352" i="63" s="1"/>
  <c r="AJ351" i="63"/>
  <c r="AK351" i="63" s="1"/>
  <c r="Y352" i="63"/>
  <c r="AC352" i="63" l="1"/>
  <c r="AH352" i="63" s="1"/>
  <c r="AI352" i="63"/>
  <c r="AB352" i="63" l="1"/>
  <c r="AL352" i="63" s="1"/>
  <c r="AA353" i="63" s="1"/>
  <c r="AP353" i="63" s="1"/>
  <c r="AG352" i="63" l="1"/>
  <c r="AF352" i="63"/>
  <c r="Y353" i="63"/>
  <c r="AC353" i="63" s="1"/>
  <c r="AH353" i="63" s="1"/>
  <c r="AJ352" i="63"/>
  <c r="AK352" i="63" s="1"/>
  <c r="AI353" i="63"/>
  <c r="AB353" i="63" l="1"/>
  <c r="AF353" i="63" s="1"/>
  <c r="AL353" i="63" l="1"/>
  <c r="AA354" i="63" s="1"/>
  <c r="AP354" i="63" s="1"/>
  <c r="AG353" i="63"/>
  <c r="Y354" i="63" l="1"/>
  <c r="AC354" i="63" s="1"/>
  <c r="AH354" i="63" s="1"/>
  <c r="AJ353" i="63"/>
  <c r="AK353" i="63" s="1"/>
  <c r="AI354" i="63"/>
  <c r="AB354" i="63" l="1"/>
  <c r="AF354" i="63" s="1"/>
  <c r="AG354" i="63" l="1"/>
  <c r="AL354" i="63"/>
  <c r="AJ354" i="63" s="1"/>
  <c r="AK354" i="63" s="1"/>
  <c r="AA355" i="63" l="1"/>
  <c r="AP355" i="63" s="1"/>
  <c r="Y355" i="63"/>
  <c r="AC355" i="63" s="1"/>
  <c r="AH355" i="63" s="1"/>
  <c r="AI355" i="63" l="1"/>
  <c r="AB355" i="63"/>
  <c r="AF355" i="63" s="1"/>
  <c r="AL355" i="63" l="1"/>
  <c r="AA356" i="63" s="1"/>
  <c r="AP356" i="63" s="1"/>
  <c r="AG355" i="63"/>
  <c r="AJ355" i="63" l="1"/>
  <c r="AK355" i="63" s="1"/>
  <c r="Y356" i="63"/>
  <c r="AC356" i="63" s="1"/>
  <c r="AH356" i="63" s="1"/>
  <c r="AI356" i="63"/>
  <c r="AB356" i="63" l="1"/>
  <c r="AF356" i="63" s="1"/>
  <c r="AG356" i="63" l="1"/>
  <c r="AL356" i="63"/>
  <c r="AA357" i="63" s="1"/>
  <c r="AP357" i="63" s="1"/>
  <c r="Y357" i="63" l="1"/>
  <c r="AC357" i="63" s="1"/>
  <c r="AH357" i="63" s="1"/>
  <c r="AJ356" i="63"/>
  <c r="AK356" i="63" s="1"/>
  <c r="AI357" i="63"/>
  <c r="AB357" i="63" l="1"/>
  <c r="AF357" i="63" s="1"/>
  <c r="AL357" i="63" l="1"/>
  <c r="AJ357" i="63" s="1"/>
  <c r="AK357" i="63" s="1"/>
  <c r="AG357" i="63"/>
  <c r="Y358" i="63" l="1"/>
  <c r="AC358" i="63" s="1"/>
  <c r="AH358" i="63" s="1"/>
  <c r="AA358" i="63"/>
  <c r="AP358" i="63" s="1"/>
  <c r="AI358" i="63" l="1"/>
  <c r="AB358" i="63"/>
  <c r="AG358" i="63" s="1"/>
  <c r="AL358" i="63" l="1"/>
  <c r="AJ358" i="63" s="1"/>
  <c r="AK358" i="63" s="1"/>
  <c r="AF358" i="63"/>
  <c r="Y359" i="63" l="1"/>
  <c r="AC359" i="63" s="1"/>
  <c r="AH359" i="63" s="1"/>
  <c r="AA359" i="63"/>
  <c r="AP359" i="63" s="1"/>
  <c r="AI359" i="63" l="1"/>
  <c r="AB359" i="63"/>
  <c r="AL359" i="63" s="1"/>
  <c r="AA360" i="63" s="1"/>
  <c r="AP360" i="63" s="1"/>
  <c r="AG359" i="63" l="1"/>
  <c r="AF359" i="63"/>
  <c r="Y360" i="63"/>
  <c r="AC360" i="63" s="1"/>
  <c r="AH360" i="63" s="1"/>
  <c r="AJ359" i="63"/>
  <c r="AK359" i="63" s="1"/>
  <c r="AI360" i="63"/>
  <c r="AB360" i="63" l="1"/>
  <c r="AF360" i="63" s="1"/>
  <c r="AL360" i="63" l="1"/>
  <c r="AJ360" i="63" s="1"/>
  <c r="AK360" i="63" s="1"/>
  <c r="AG360" i="63"/>
  <c r="Y361" i="63" l="1"/>
  <c r="AC361" i="63" s="1"/>
  <c r="AH361" i="63" s="1"/>
  <c r="AA361" i="63"/>
  <c r="AP361" i="63" s="1"/>
  <c r="AI361" i="63" l="1"/>
  <c r="AB361" i="63"/>
  <c r="AF361" i="63" s="1"/>
  <c r="AL361" i="63" l="1"/>
  <c r="AA362" i="63" s="1"/>
  <c r="AP362" i="63" s="1"/>
  <c r="AG361" i="63"/>
  <c r="AJ361" i="63" l="1"/>
  <c r="AK361" i="63" s="1"/>
  <c r="Y362" i="63"/>
  <c r="AC362" i="63" s="1"/>
  <c r="AH362" i="63" s="1"/>
  <c r="AI362" i="63"/>
  <c r="AB362" i="63" l="1"/>
  <c r="AL362" i="63" s="1"/>
  <c r="AF362" i="63" l="1"/>
  <c r="AG362" i="63"/>
  <c r="AA363" i="63"/>
  <c r="AP363" i="63" s="1"/>
  <c r="AJ362" i="63"/>
  <c r="AK362" i="63" s="1"/>
  <c r="Y363" i="63"/>
  <c r="AC363" i="63" l="1"/>
  <c r="AH363" i="63" s="1"/>
  <c r="AI363" i="63"/>
  <c r="AB363" i="63" l="1"/>
  <c r="AL363" i="63" s="1"/>
  <c r="AA364" i="63" s="1"/>
  <c r="AP364" i="63" s="1"/>
  <c r="AJ363" i="63" l="1"/>
  <c r="AK363" i="63" s="1"/>
  <c r="AF363" i="63"/>
  <c r="AG363" i="63"/>
  <c r="Y364" i="63"/>
  <c r="AC364" i="63" s="1"/>
  <c r="AH364" i="63" s="1"/>
  <c r="AI364" i="63"/>
  <c r="AB364" i="63" l="1"/>
  <c r="AF364" i="63" s="1"/>
  <c r="AL364" i="63" l="1"/>
  <c r="AJ364" i="63" s="1"/>
  <c r="AK364" i="63" s="1"/>
  <c r="AG364" i="63"/>
  <c r="Y365" i="63" l="1"/>
  <c r="AC365" i="63" s="1"/>
  <c r="AH365" i="63" s="1"/>
  <c r="AA365" i="63"/>
  <c r="AP365" i="63" s="1"/>
  <c r="AI365" i="63" l="1"/>
  <c r="AB365" i="63"/>
  <c r="AF365" i="63" s="1"/>
  <c r="AL365" i="63" l="1"/>
  <c r="AJ365" i="63" s="1"/>
  <c r="AK365" i="63" s="1"/>
  <c r="AG365" i="63"/>
  <c r="Y366" i="63" l="1"/>
  <c r="AC366" i="63" s="1"/>
  <c r="AH366" i="63" s="1"/>
  <c r="AA366" i="63"/>
  <c r="AP366" i="63" s="1"/>
  <c r="AI366" i="63" l="1"/>
  <c r="AB366" i="63"/>
  <c r="AG366" i="63" s="1"/>
  <c r="AF366" i="63" l="1"/>
  <c r="AL366" i="63"/>
  <c r="Y367" i="63" s="1"/>
  <c r="AA367" i="63" l="1"/>
  <c r="AP367" i="63" s="1"/>
  <c r="AJ366" i="63"/>
  <c r="AK366" i="63" s="1"/>
  <c r="AC367" i="63"/>
  <c r="AH367" i="63" s="1"/>
  <c r="AI367" i="63" l="1"/>
  <c r="AB367" i="63"/>
  <c r="AL367" i="63" s="1"/>
  <c r="AF367" i="63" l="1"/>
  <c r="AG367" i="63"/>
  <c r="AA368" i="63"/>
  <c r="AP368" i="63" s="1"/>
  <c r="AJ367" i="63"/>
  <c r="AK367" i="63" s="1"/>
  <c r="Y368" i="63"/>
  <c r="AC368" i="63" l="1"/>
  <c r="AH368" i="63" s="1"/>
  <c r="AI368" i="63"/>
  <c r="AB368" i="63" l="1"/>
  <c r="AL368" i="63" s="1"/>
  <c r="AA369" i="63" s="1"/>
  <c r="AP369" i="63" s="1"/>
  <c r="AJ368" i="63" l="1"/>
  <c r="AK368" i="63" s="1"/>
  <c r="AF368" i="63"/>
  <c r="Y369" i="63"/>
  <c r="AC369" i="63" s="1"/>
  <c r="AH369" i="63" s="1"/>
  <c r="AG368" i="63"/>
  <c r="AI369" i="63"/>
  <c r="AB369" i="63" l="1"/>
  <c r="AG369" i="63" s="1"/>
  <c r="AL369" i="63" l="1"/>
  <c r="AJ369" i="63" s="1"/>
  <c r="AK369" i="63" s="1"/>
  <c r="AF369" i="63"/>
  <c r="Y370" i="63" l="1"/>
  <c r="AC370" i="63" s="1"/>
  <c r="AH370" i="63" s="1"/>
  <c r="AA370" i="63"/>
  <c r="AP370" i="63" s="1"/>
  <c r="AI370" i="63" l="1"/>
  <c r="AB370" i="63"/>
  <c r="AL370" i="63" s="1"/>
  <c r="AJ370" i="63" s="1"/>
  <c r="AF370" i="63" l="1"/>
  <c r="AK370" i="63"/>
  <c r="AA371" i="63"/>
  <c r="AP371" i="63" s="1"/>
  <c r="AG370" i="63"/>
  <c r="Y371" i="63"/>
  <c r="AC371" i="63" s="1"/>
  <c r="AH371" i="63" s="1"/>
  <c r="AI371" i="63" l="1"/>
  <c r="AB371" i="63"/>
  <c r="AF371" i="63" s="1"/>
  <c r="AL371" i="63" l="1"/>
  <c r="AA372" i="63" s="1"/>
  <c r="AP372" i="63" s="1"/>
  <c r="AG371" i="63"/>
  <c r="Y372" i="63" l="1"/>
  <c r="AC372" i="63" s="1"/>
  <c r="AH372" i="63" s="1"/>
  <c r="AJ371" i="63"/>
  <c r="AK371" i="63" s="1"/>
  <c r="AI372" i="63"/>
  <c r="AB372" i="63" l="1"/>
  <c r="AG372" i="63" s="1"/>
  <c r="AL372" i="63" l="1"/>
  <c r="AJ372" i="63" s="1"/>
  <c r="AK372" i="63" s="1"/>
  <c r="AF372" i="63"/>
  <c r="AA373" i="63" l="1"/>
  <c r="AP373" i="63" s="1"/>
  <c r="Y373" i="63"/>
  <c r="AC373" i="63" s="1"/>
  <c r="AH373" i="63" s="1"/>
  <c r="AI373" i="63" l="1"/>
  <c r="AB373" i="63"/>
  <c r="AL373" i="63" s="1"/>
  <c r="AJ373" i="63" s="1"/>
  <c r="AG373" i="63" l="1"/>
  <c r="AF373" i="63"/>
  <c r="Y374" i="63"/>
  <c r="AC374" i="63" s="1"/>
  <c r="AH374" i="63" s="1"/>
  <c r="AA374" i="63"/>
  <c r="AP374" i="63" s="1"/>
  <c r="AK373" i="63"/>
  <c r="AI374" i="63" l="1"/>
  <c r="AB374" i="63"/>
  <c r="AL374" i="63" s="1"/>
  <c r="AJ374" i="63" s="1"/>
  <c r="AK374" i="63" l="1"/>
  <c r="AG374" i="63"/>
  <c r="AF374" i="63"/>
  <c r="Y375" i="63"/>
  <c r="AC375" i="63" s="1"/>
  <c r="AH375" i="63" s="1"/>
  <c r="AA375" i="63"/>
  <c r="AP375" i="63" s="1"/>
  <c r="AI375" i="63" l="1"/>
  <c r="AB375" i="63"/>
  <c r="AG375" i="63" s="1"/>
  <c r="AL375" i="63" l="1"/>
  <c r="AA376" i="63" s="1"/>
  <c r="AP376" i="63" s="1"/>
  <c r="AF375" i="63"/>
  <c r="Y376" i="63" l="1"/>
  <c r="AC376" i="63" s="1"/>
  <c r="AH376" i="63" s="1"/>
  <c r="AJ375" i="63"/>
  <c r="AK375" i="63" s="1"/>
  <c r="AI376" i="63"/>
  <c r="AB376" i="63" l="1"/>
  <c r="AL376" i="63" s="1"/>
  <c r="AA377" i="63" s="1"/>
  <c r="AP377" i="63" s="1"/>
  <c r="AG376" i="63" l="1"/>
  <c r="AF376" i="63"/>
  <c r="Y377" i="63"/>
  <c r="AC377" i="63" s="1"/>
  <c r="AH377" i="63" s="1"/>
  <c r="AJ376" i="63"/>
  <c r="AK376" i="63" s="1"/>
  <c r="AI377" i="63"/>
  <c r="AB377" i="63" l="1"/>
  <c r="AL377" i="63" s="1"/>
  <c r="AJ377" i="63" s="1"/>
  <c r="AK377" i="63" s="1"/>
  <c r="Y378" i="63" l="1"/>
  <c r="AC378" i="63" s="1"/>
  <c r="AH378" i="63" s="1"/>
  <c r="AG377" i="63"/>
  <c r="AF377" i="63"/>
  <c r="AA378" i="63"/>
  <c r="AP378" i="63" s="1"/>
  <c r="AI378" i="63" l="1"/>
  <c r="AB378" i="63"/>
  <c r="AG378" i="63" s="1"/>
  <c r="AF378" i="63" l="1"/>
  <c r="AL378" i="63"/>
  <c r="AJ378" i="63" s="1"/>
  <c r="AK378" i="63" s="1"/>
  <c r="Y379" i="63" l="1"/>
  <c r="AC379" i="63" s="1"/>
  <c r="AH379" i="63" s="1"/>
  <c r="AA379" i="63"/>
  <c r="AP379" i="63" s="1"/>
  <c r="AI379" i="63" l="1"/>
  <c r="AB379" i="63"/>
  <c r="AG379" i="63" s="1"/>
  <c r="AL379" i="63" l="1"/>
  <c r="AA380" i="63" s="1"/>
  <c r="AP380" i="63" s="1"/>
  <c r="AF379" i="63"/>
  <c r="Y380" i="63" l="1"/>
  <c r="AC380" i="63" s="1"/>
  <c r="AH380" i="63" s="1"/>
  <c r="AJ379" i="63"/>
  <c r="AK379" i="63" s="1"/>
  <c r="AI380" i="63"/>
  <c r="AB380" i="63" l="1"/>
  <c r="AL380" i="63" s="1"/>
  <c r="AA381" i="63" s="1"/>
  <c r="AP381" i="63" s="1"/>
  <c r="AG380" i="63" l="1"/>
  <c r="AF380" i="63"/>
  <c r="Y381" i="63"/>
  <c r="AJ380" i="63"/>
  <c r="AK380" i="63" s="1"/>
  <c r="AC381" i="63"/>
  <c r="AH381" i="63" s="1"/>
  <c r="AI381" i="63"/>
  <c r="AB381" i="63" l="1"/>
  <c r="AL381" i="63" s="1"/>
  <c r="AA382" i="63" s="1"/>
  <c r="AP382" i="63" s="1"/>
  <c r="Y382" i="63" l="1"/>
  <c r="AC382" i="63" s="1"/>
  <c r="AH382" i="63" s="1"/>
  <c r="AG381" i="63"/>
  <c r="AF381" i="63"/>
  <c r="AJ381" i="63"/>
  <c r="AK381" i="63" s="1"/>
  <c r="AI382" i="63"/>
  <c r="AB382" i="63" l="1"/>
  <c r="AL382" i="63" s="1"/>
  <c r="AJ382" i="63" s="1"/>
  <c r="AK382" i="63" s="1"/>
  <c r="AG382" i="63" l="1"/>
  <c r="AF382" i="63"/>
  <c r="Y383" i="63"/>
  <c r="AC383" i="63" s="1"/>
  <c r="AH383" i="63" s="1"/>
  <c r="AA383" i="63"/>
  <c r="AP383" i="63" s="1"/>
  <c r="AI383" i="63" l="1"/>
  <c r="AB383" i="63"/>
  <c r="AL383" i="63" s="1"/>
  <c r="AJ383" i="63" s="1"/>
  <c r="AK383" i="63" l="1"/>
  <c r="AF383" i="63"/>
  <c r="AG383" i="63"/>
  <c r="AA384" i="63"/>
  <c r="AP384" i="63" s="1"/>
  <c r="Y384" i="63"/>
  <c r="AC384" i="63" s="1"/>
  <c r="AH384" i="63" s="1"/>
  <c r="AI384" i="63" l="1"/>
  <c r="AB384" i="63"/>
  <c r="AF384" i="63" s="1"/>
  <c r="AL384" i="63" l="1"/>
  <c r="AJ384" i="63" s="1"/>
  <c r="AK384" i="63" s="1"/>
  <c r="AG384" i="63"/>
  <c r="Y385" i="63" l="1"/>
  <c r="AC385" i="63" s="1"/>
  <c r="AH385" i="63" s="1"/>
  <c r="AA385" i="63"/>
  <c r="AP385" i="63" s="1"/>
  <c r="AI385" i="63" l="1"/>
  <c r="AB385" i="63"/>
  <c r="AF385" i="63" s="1"/>
  <c r="AL385" i="63" l="1"/>
  <c r="AJ385" i="63" s="1"/>
  <c r="AK385" i="63" s="1"/>
  <c r="AG385" i="63"/>
  <c r="Y386" i="63" l="1"/>
  <c r="AC386" i="63" s="1"/>
  <c r="AH386" i="63" s="1"/>
  <c r="AA386" i="63"/>
  <c r="AP386" i="63" s="1"/>
  <c r="AI386" i="63" l="1"/>
  <c r="AB386" i="63"/>
  <c r="AF386" i="63" s="1"/>
  <c r="AL386" i="63" l="1"/>
  <c r="AJ386" i="63" s="1"/>
  <c r="AK386" i="63" s="1"/>
  <c r="AG386" i="63"/>
  <c r="Y387" i="63" l="1"/>
  <c r="AC387" i="63" s="1"/>
  <c r="AH387" i="63" s="1"/>
  <c r="AA387" i="63"/>
  <c r="AP387" i="63" s="1"/>
  <c r="AI387" i="63" l="1"/>
  <c r="AB387" i="63"/>
  <c r="AG387" i="63" s="1"/>
  <c r="AL387" i="63" l="1"/>
  <c r="AA388" i="63" s="1"/>
  <c r="AP388" i="63" s="1"/>
  <c r="AF387" i="63"/>
  <c r="Y388" i="63" l="1"/>
  <c r="AC388" i="63" s="1"/>
  <c r="AH388" i="63" s="1"/>
  <c r="AJ387" i="63"/>
  <c r="AK387" i="63" s="1"/>
  <c r="AI388" i="63"/>
  <c r="AB388" i="63" l="1"/>
  <c r="AL388" i="63" s="1"/>
  <c r="AJ388" i="63" s="1"/>
  <c r="AK388" i="63" s="1"/>
  <c r="AG388" i="63" l="1"/>
  <c r="AF388" i="63"/>
  <c r="Y389" i="63"/>
  <c r="AC389" i="63" s="1"/>
  <c r="AH389" i="63" s="1"/>
  <c r="AA389" i="63"/>
  <c r="AP389" i="63" s="1"/>
  <c r="AI389" i="63" l="1"/>
  <c r="AB389" i="63"/>
  <c r="AF389" i="63" s="1"/>
  <c r="AL389" i="63" l="1"/>
  <c r="AJ389" i="63" s="1"/>
  <c r="AK389" i="63" s="1"/>
  <c r="AG389" i="63"/>
  <c r="Y390" i="63" l="1"/>
  <c r="AC390" i="63" s="1"/>
  <c r="AH390" i="63" s="1"/>
  <c r="AA390" i="63"/>
  <c r="AP390" i="63" s="1"/>
  <c r="AI390" i="63" l="1"/>
  <c r="AB390" i="63"/>
  <c r="AL390" i="63" s="1"/>
  <c r="AJ390" i="63" s="1"/>
  <c r="AK390" i="63" l="1"/>
  <c r="AG390" i="63"/>
  <c r="AF390" i="63"/>
  <c r="Y391" i="63"/>
  <c r="AC391" i="63" s="1"/>
  <c r="AH391" i="63" s="1"/>
  <c r="AA391" i="63"/>
  <c r="AP391" i="63" s="1"/>
  <c r="AI391" i="63" l="1"/>
  <c r="AB391" i="63"/>
  <c r="AF391" i="63" s="1"/>
  <c r="AG391" i="63" l="1"/>
  <c r="AL391" i="63"/>
  <c r="AA392" i="63" s="1"/>
  <c r="AP392" i="63" s="1"/>
  <c r="Y392" i="63" l="1"/>
  <c r="AC392" i="63" s="1"/>
  <c r="AH392" i="63" s="1"/>
  <c r="AJ391" i="63"/>
  <c r="AK391" i="63" s="1"/>
  <c r="AI392" i="63"/>
  <c r="AB392" i="63" l="1"/>
  <c r="AL392" i="63" s="1"/>
  <c r="AA393" i="63" s="1"/>
  <c r="AP393" i="63" s="1"/>
  <c r="AF392" i="63" l="1"/>
  <c r="AG392" i="63"/>
  <c r="AJ392" i="63"/>
  <c r="AK392" i="63" s="1"/>
  <c r="Y393" i="63"/>
  <c r="AC393" i="63" s="1"/>
  <c r="AH393" i="63" s="1"/>
  <c r="AI393" i="63"/>
  <c r="AB393" i="63" l="1"/>
  <c r="AG393" i="63" s="1"/>
  <c r="AF393" i="63" l="1"/>
  <c r="AL393" i="63"/>
  <c r="AJ393" i="63" s="1"/>
  <c r="AK393" i="63" s="1"/>
  <c r="AA394" i="63" l="1"/>
  <c r="AP394" i="63" s="1"/>
  <c r="Y394" i="63"/>
  <c r="AC394" i="63" s="1"/>
  <c r="AH394" i="63" s="1"/>
  <c r="AI394" i="63" l="1"/>
  <c r="AB394" i="63"/>
  <c r="AG394" i="63" s="1"/>
  <c r="AL394" i="63" l="1"/>
  <c r="AJ394" i="63" s="1"/>
  <c r="AK394" i="63" s="1"/>
  <c r="AF394" i="63"/>
  <c r="Y395" i="63" l="1"/>
  <c r="AC395" i="63" s="1"/>
  <c r="AH395" i="63" s="1"/>
  <c r="AA395" i="63"/>
  <c r="AP395" i="63" s="1"/>
  <c r="AI395" i="63" l="1"/>
  <c r="AB395" i="63"/>
  <c r="AF395" i="63" s="1"/>
  <c r="AL395" i="63" l="1"/>
  <c r="AA396" i="63" s="1"/>
  <c r="AP396" i="63" s="1"/>
  <c r="AG395" i="63"/>
  <c r="AJ395" i="63" l="1"/>
  <c r="AK395" i="63" s="1"/>
  <c r="Y396" i="63"/>
  <c r="AC396" i="63" s="1"/>
  <c r="AH396" i="63" s="1"/>
  <c r="AI396" i="63"/>
  <c r="AB396" i="63" l="1"/>
  <c r="AL396" i="63" s="1"/>
  <c r="AA397" i="63" s="1"/>
  <c r="AP397" i="63" s="1"/>
  <c r="AG396" i="63" l="1"/>
  <c r="AF396" i="63"/>
  <c r="Y397" i="63"/>
  <c r="AC397" i="63" s="1"/>
  <c r="AH397" i="63" s="1"/>
  <c r="AJ396" i="63"/>
  <c r="AK396" i="63" s="1"/>
  <c r="AI397" i="63"/>
  <c r="AB397" i="63" l="1"/>
  <c r="AL397" i="63" s="1"/>
  <c r="AJ397" i="63" s="1"/>
  <c r="AK397" i="63" s="1"/>
  <c r="AF397" i="63" l="1"/>
  <c r="AG397" i="63"/>
  <c r="Y398" i="63"/>
  <c r="AC398" i="63" s="1"/>
  <c r="AH398" i="63" s="1"/>
  <c r="AA398" i="63"/>
  <c r="AP398" i="63" s="1"/>
  <c r="AI398" i="63" l="1"/>
  <c r="AB398" i="63"/>
  <c r="AL398" i="63" s="1"/>
  <c r="AJ398" i="63" s="1"/>
  <c r="AG398" i="63" l="1"/>
  <c r="AF398" i="63"/>
  <c r="AK398" i="63"/>
  <c r="Y399" i="63"/>
  <c r="AC399" i="63" s="1"/>
  <c r="AH399" i="63" s="1"/>
  <c r="AA399" i="63"/>
  <c r="AP399" i="63" s="1"/>
  <c r="AI399" i="63" l="1"/>
  <c r="AB399" i="63"/>
  <c r="AG399" i="63" s="1"/>
  <c r="AL399" i="63" l="1"/>
  <c r="AA400" i="63" s="1"/>
  <c r="AP400" i="63" s="1"/>
  <c r="AF399" i="63"/>
  <c r="Y400" i="63" l="1"/>
  <c r="AC400" i="63" s="1"/>
  <c r="AH400" i="63" s="1"/>
  <c r="AJ399" i="63"/>
  <c r="AK399" i="63" s="1"/>
  <c r="AI400" i="63"/>
  <c r="AB400" i="63" l="1"/>
  <c r="AF400" i="63" s="1"/>
  <c r="AG400" i="63" l="1"/>
  <c r="AL400" i="63"/>
  <c r="AA401" i="63" s="1"/>
  <c r="AP401" i="63" s="1"/>
  <c r="AJ400" i="63" l="1"/>
  <c r="AK400" i="63" s="1"/>
  <c r="Y401" i="63"/>
  <c r="AC401" i="63" s="1"/>
  <c r="AH401" i="63" s="1"/>
  <c r="AI401" i="63"/>
  <c r="AB401" i="63" l="1"/>
  <c r="AG401" i="63" s="1"/>
  <c r="AF401" i="63" l="1"/>
  <c r="AL401" i="63"/>
  <c r="AA402" i="63" s="1"/>
  <c r="AP402" i="63" s="1"/>
  <c r="Y402" i="63" l="1"/>
  <c r="AC402" i="63" s="1"/>
  <c r="AH402" i="63" s="1"/>
  <c r="AJ401" i="63"/>
  <c r="AK401" i="63" s="1"/>
  <c r="AI402" i="63"/>
  <c r="AB402" i="63" l="1"/>
  <c r="AG402" i="63" s="1"/>
  <c r="AL402" i="63" l="1"/>
  <c r="AA403" i="63" s="1"/>
  <c r="AP403" i="63" s="1"/>
  <c r="AF402" i="63"/>
  <c r="Y403" i="63" l="1"/>
  <c r="AC403" i="63" s="1"/>
  <c r="AH403" i="63" s="1"/>
  <c r="AJ402" i="63"/>
  <c r="AK402" i="63" s="1"/>
  <c r="AI403" i="63"/>
  <c r="AB403" i="63" l="1"/>
  <c r="AL403" i="63" s="1"/>
  <c r="AJ403" i="63" s="1"/>
  <c r="AK403" i="63" s="1"/>
  <c r="Y404" i="63" l="1"/>
  <c r="AC404" i="63" s="1"/>
  <c r="AH404" i="63" s="1"/>
  <c r="AG403" i="63"/>
  <c r="AF403" i="63"/>
  <c r="AA404" i="63"/>
  <c r="AP404" i="63" s="1"/>
  <c r="AI404" i="63" l="1"/>
  <c r="AB404" i="63"/>
  <c r="AL404" i="63" s="1"/>
  <c r="AJ404" i="63" s="1"/>
  <c r="AK404" i="63" l="1"/>
  <c r="AF404" i="63"/>
  <c r="AG404" i="63"/>
  <c r="Y405" i="63"/>
  <c r="AC405" i="63" s="1"/>
  <c r="AH405" i="63" s="1"/>
  <c r="AA405" i="63"/>
  <c r="AP405" i="63" s="1"/>
  <c r="AI405" i="63" l="1"/>
  <c r="AB405" i="63"/>
  <c r="AG405" i="63" s="1"/>
  <c r="AL405" i="63" l="1"/>
  <c r="AA406" i="63" s="1"/>
  <c r="AP406" i="63" s="1"/>
  <c r="AF405" i="63"/>
  <c r="Y406" i="63" l="1"/>
  <c r="AC406" i="63" s="1"/>
  <c r="AH406" i="63" s="1"/>
  <c r="AJ405" i="63"/>
  <c r="AK405" i="63" s="1"/>
  <c r="AI406" i="63"/>
  <c r="AB406" i="63" l="1"/>
  <c r="AL406" i="63" s="1"/>
  <c r="AA407" i="63" s="1"/>
  <c r="AP407" i="63" s="1"/>
  <c r="AF406" i="63" l="1"/>
  <c r="AG406" i="63"/>
  <c r="Y407" i="63"/>
  <c r="AC407" i="63" s="1"/>
  <c r="AH407" i="63" s="1"/>
  <c r="AJ406" i="63"/>
  <c r="AK406" i="63" s="1"/>
  <c r="AI407" i="63"/>
  <c r="AB407" i="63" l="1"/>
  <c r="AG407" i="63" s="1"/>
  <c r="AF407" i="63" l="1"/>
  <c r="AL407" i="63"/>
  <c r="AA408" i="63" s="1"/>
  <c r="AP408" i="63" s="1"/>
  <c r="Y408" i="63" l="1"/>
  <c r="AC408" i="63" s="1"/>
  <c r="AH408" i="63" s="1"/>
  <c r="AJ407" i="63"/>
  <c r="AK407" i="63" s="1"/>
  <c r="AI408" i="63"/>
  <c r="AB408" i="63" l="1"/>
  <c r="AF408" i="63" s="1"/>
  <c r="AL408" i="63" l="1"/>
  <c r="AJ408" i="63" s="1"/>
  <c r="AK408" i="63" s="1"/>
  <c r="AG408" i="63"/>
  <c r="Y409" i="63" l="1"/>
  <c r="AC409" i="63" s="1"/>
  <c r="AH409" i="63" s="1"/>
  <c r="AA409" i="63"/>
  <c r="AP409" i="63" s="1"/>
  <c r="AI409" i="63" l="1"/>
  <c r="AB409" i="63"/>
  <c r="AG409" i="63" s="1"/>
  <c r="AL409" i="63" l="1"/>
  <c r="AJ409" i="63" s="1"/>
  <c r="AK409" i="63" s="1"/>
  <c r="AF409" i="63"/>
  <c r="Y410" i="63" l="1"/>
  <c r="AC410" i="63" s="1"/>
  <c r="AH410" i="63" s="1"/>
  <c r="AA410" i="63"/>
  <c r="AP410" i="63" s="1"/>
  <c r="AI410" i="63" l="1"/>
  <c r="AB410" i="63"/>
  <c r="AG410" i="63" s="1"/>
  <c r="AL410" i="63" l="1"/>
  <c r="AA411" i="63" s="1"/>
  <c r="AP411" i="63" s="1"/>
  <c r="AF410" i="63"/>
  <c r="Y411" i="63" l="1"/>
  <c r="AC411" i="63" s="1"/>
  <c r="AH411" i="63" s="1"/>
  <c r="AJ410" i="63"/>
  <c r="AK410" i="63" s="1"/>
  <c r="AI411" i="63"/>
  <c r="AB411" i="63" l="1"/>
  <c r="AL411" i="63" s="1"/>
  <c r="AJ411" i="63" s="1"/>
  <c r="AK411" i="63" s="1"/>
  <c r="AF411" i="63" l="1"/>
  <c r="AG411" i="63"/>
  <c r="AA412" i="63"/>
  <c r="AP412" i="63" s="1"/>
  <c r="Y412" i="63"/>
  <c r="AC412" i="63" s="1"/>
  <c r="AH412" i="63" s="1"/>
  <c r="AI412" i="63" l="1"/>
  <c r="AB412" i="63"/>
  <c r="AG412" i="63" l="1"/>
  <c r="AF412" i="63"/>
  <c r="AL412" i="63"/>
  <c r="AJ412" i="63" l="1"/>
  <c r="AK412" i="63" s="1"/>
  <c r="AA413" i="63"/>
  <c r="AP413" i="63" s="1"/>
  <c r="Y413" i="63"/>
  <c r="AC413" i="63" l="1"/>
  <c r="AH413" i="63" s="1"/>
  <c r="AI413" i="63"/>
  <c r="AB413" i="63" l="1"/>
  <c r="AF413" i="63" s="1"/>
  <c r="AL413" i="63" l="1"/>
  <c r="AA414" i="63" s="1"/>
  <c r="AP414" i="63" s="1"/>
  <c r="AG413" i="63"/>
  <c r="Y414" i="63" l="1"/>
  <c r="AC414" i="63" s="1"/>
  <c r="AH414" i="63" s="1"/>
  <c r="AJ413" i="63"/>
  <c r="AK413" i="63" s="1"/>
  <c r="AI414" i="63"/>
  <c r="AB414" i="63" l="1"/>
  <c r="AL414" i="63" s="1"/>
  <c r="AJ414" i="63" s="1"/>
  <c r="AK414" i="63" s="1"/>
  <c r="AG414" i="63" l="1"/>
  <c r="AF414" i="63"/>
  <c r="Y415" i="63"/>
  <c r="AC415" i="63" s="1"/>
  <c r="AH415" i="63" s="1"/>
  <c r="AA415" i="63"/>
  <c r="AP415" i="63" s="1"/>
  <c r="AI415" i="63" l="1"/>
  <c r="AB415" i="63"/>
  <c r="AL415" i="63" s="1"/>
  <c r="AJ415" i="63" s="1"/>
  <c r="AK415" i="63" l="1"/>
  <c r="AG415" i="63"/>
  <c r="AF415" i="63"/>
  <c r="Y416" i="63"/>
  <c r="AC416" i="63" s="1"/>
  <c r="AH416" i="63" s="1"/>
  <c r="AA416" i="63"/>
  <c r="AP416" i="63" s="1"/>
  <c r="AI416" i="63" l="1"/>
  <c r="AB416" i="63"/>
  <c r="AG416" i="63" s="1"/>
  <c r="AL416" i="63" l="1"/>
  <c r="AJ416" i="63" s="1"/>
  <c r="AK416" i="63" s="1"/>
  <c r="AF416" i="63"/>
  <c r="Y417" i="63" l="1"/>
  <c r="AC417" i="63" s="1"/>
  <c r="AH417" i="63" s="1"/>
  <c r="AA417" i="63"/>
  <c r="AP417" i="63" s="1"/>
  <c r="AI417" i="63" l="1"/>
  <c r="AB417" i="63"/>
  <c r="AL417" i="63" s="1"/>
  <c r="AJ417" i="63" s="1"/>
  <c r="AK417" i="63" l="1"/>
  <c r="AF417" i="63"/>
  <c r="AG417" i="63"/>
  <c r="AA418" i="63"/>
  <c r="AP418" i="63" s="1"/>
  <c r="Y418" i="63"/>
  <c r="AC418" i="63" s="1"/>
  <c r="AH418" i="63" s="1"/>
  <c r="AI418" i="63" l="1"/>
  <c r="AB418" i="63"/>
  <c r="AF418" i="63" s="1"/>
  <c r="AL418" i="63" l="1"/>
  <c r="AA419" i="63" s="1"/>
  <c r="AP419" i="63" s="1"/>
  <c r="AG418" i="63"/>
  <c r="AJ418" i="63" l="1"/>
  <c r="AK418" i="63" s="1"/>
  <c r="Y419" i="63"/>
  <c r="AC419" i="63" s="1"/>
  <c r="AH419" i="63" s="1"/>
  <c r="AI419" i="63"/>
  <c r="AB419" i="63" l="1"/>
  <c r="AG419" i="63" s="1"/>
  <c r="AL419" i="63" l="1"/>
  <c r="AJ419" i="63" s="1"/>
  <c r="AK419" i="63" s="1"/>
  <c r="AF419" i="63"/>
  <c r="Y420" i="63" l="1"/>
  <c r="AC420" i="63" s="1"/>
  <c r="AH420" i="63" s="1"/>
  <c r="AA420" i="63"/>
  <c r="AP420" i="63" s="1"/>
  <c r="AI420" i="63" l="1"/>
  <c r="AB420" i="63"/>
  <c r="AL420" i="63" s="1"/>
  <c r="AJ420" i="63" s="1"/>
  <c r="AK420" i="63" l="1"/>
  <c r="AA421" i="63"/>
  <c r="AP421" i="63" s="1"/>
  <c r="AF420" i="63"/>
  <c r="AG420" i="63"/>
  <c r="Y421" i="63"/>
  <c r="AC421" i="63" s="1"/>
  <c r="AH421" i="63" s="1"/>
  <c r="AI421" i="63" l="1"/>
  <c r="AB421" i="63"/>
  <c r="AG421" i="63" s="1"/>
  <c r="AL421" i="63" l="1"/>
  <c r="AJ421" i="63" s="1"/>
  <c r="AK421" i="63" s="1"/>
  <c r="AF421" i="63"/>
  <c r="AA422" i="63" l="1"/>
  <c r="AI422" i="63" s="1"/>
  <c r="Y422" i="63"/>
  <c r="AC422" i="63" s="1"/>
  <c r="AH422" i="63" s="1"/>
  <c r="AB422" i="63" l="1"/>
  <c r="AL422" i="63" s="1"/>
  <c r="AJ422" i="63" s="1"/>
  <c r="AK422" i="63" s="1"/>
  <c r="AG422" i="63" l="1"/>
  <c r="AF422" i="63"/>
  <c r="Y423" i="63"/>
  <c r="AC423" i="63" s="1"/>
  <c r="AH423" i="63" s="1"/>
  <c r="AA423" i="63"/>
  <c r="AI423" i="63" s="1"/>
  <c r="AB423" i="63" l="1"/>
  <c r="AL423" i="63" s="1"/>
  <c r="AJ423" i="63" s="1"/>
  <c r="AK423" i="63" s="1"/>
  <c r="AF423" i="63" l="1"/>
  <c r="AG423" i="63"/>
  <c r="Y424" i="63"/>
  <c r="AC424" i="63" s="1"/>
  <c r="AH424" i="63" s="1"/>
  <c r="AA424" i="63"/>
  <c r="AI424" i="63" s="1"/>
  <c r="AB424" i="63" l="1"/>
  <c r="AF424" i="63" s="1"/>
  <c r="AL424" i="63" l="1"/>
  <c r="AJ424" i="63" s="1"/>
  <c r="AK424" i="63" s="1"/>
  <c r="AG424" i="63"/>
  <c r="AA425" i="63" l="1"/>
  <c r="AI425" i="63" s="1"/>
  <c r="Y425" i="63"/>
  <c r="AC425" i="63" s="1"/>
  <c r="AH425" i="63" s="1"/>
  <c r="AB425" i="63" l="1"/>
  <c r="AF425" i="63" s="1"/>
  <c r="AL425" i="63" l="1"/>
  <c r="AJ425" i="63" s="1"/>
  <c r="AK425" i="63" s="1"/>
  <c r="AG425" i="63"/>
  <c r="Y426" i="63" l="1"/>
  <c r="AC426" i="63" s="1"/>
  <c r="AH426" i="63" s="1"/>
  <c r="AA426" i="63"/>
  <c r="AI426" i="63" s="1"/>
  <c r="AB426" i="63" l="1"/>
  <c r="AG426" i="63" s="1"/>
  <c r="AF426" i="63" l="1"/>
  <c r="AL426" i="63"/>
  <c r="AJ426" i="63" s="1"/>
  <c r="AK426" i="63" s="1"/>
  <c r="Y427" i="63" l="1"/>
  <c r="AC427" i="63" s="1"/>
  <c r="AH427" i="63" s="1"/>
  <c r="AA427" i="63"/>
  <c r="AI427" i="63" s="1"/>
  <c r="AB427" i="63" l="1"/>
  <c r="AG427" i="63" s="1"/>
  <c r="AL427" i="63" l="1"/>
  <c r="AA428" i="63" s="1"/>
  <c r="AF427" i="63"/>
  <c r="Y428" i="63" l="1"/>
  <c r="AC428" i="63" s="1"/>
  <c r="AH428" i="63" s="1"/>
  <c r="AJ427" i="63"/>
  <c r="AK427" i="63" s="1"/>
  <c r="AI428" i="63"/>
  <c r="AB428" i="63" l="1"/>
  <c r="AF428" i="63" s="1"/>
  <c r="AL428" i="63" l="1"/>
  <c r="AA429" i="63" s="1"/>
  <c r="AG428" i="63"/>
  <c r="Y429" i="63" l="1"/>
  <c r="AC429" i="63" s="1"/>
  <c r="AH429" i="63" s="1"/>
  <c r="AJ428" i="63"/>
  <c r="AK428" i="63" s="1"/>
  <c r="AI429" i="63"/>
  <c r="AB429" i="63" l="1"/>
  <c r="AG429" i="63" s="1"/>
  <c r="AL429" i="63" l="1"/>
  <c r="AJ429" i="63" s="1"/>
  <c r="AK429" i="63" s="1"/>
  <c r="AF429" i="63"/>
  <c r="Y430" i="63" l="1"/>
  <c r="AC430" i="63" s="1"/>
  <c r="AH430" i="63" s="1"/>
  <c r="AA430" i="63"/>
  <c r="AI430" i="63" s="1"/>
  <c r="AB430" i="63" l="1"/>
  <c r="AF430" i="63" s="1"/>
  <c r="AL430" i="63" l="1"/>
  <c r="AJ430" i="63" s="1"/>
  <c r="AK430" i="63" s="1"/>
  <c r="AG430" i="63"/>
  <c r="Y431" i="63" l="1"/>
  <c r="AC431" i="63" s="1"/>
  <c r="AH431" i="63" s="1"/>
  <c r="AA431" i="63"/>
  <c r="AI431" i="63" s="1"/>
  <c r="AB431" i="63" l="1"/>
  <c r="AL431" i="63" s="1"/>
  <c r="AJ431" i="63" s="1"/>
  <c r="AK431" i="63" s="1"/>
  <c r="AG431" i="63" l="1"/>
  <c r="AF431" i="63"/>
  <c r="Y432" i="63"/>
  <c r="AC432" i="63" s="1"/>
  <c r="AH432" i="63" s="1"/>
  <c r="AA432" i="63"/>
  <c r="AI432" i="63" s="1"/>
  <c r="AB432" i="63" l="1"/>
  <c r="AL432" i="63" s="1"/>
  <c r="AA433" i="63" s="1"/>
  <c r="AF432" i="63" l="1"/>
  <c r="AG432" i="63"/>
  <c r="Y433" i="63"/>
  <c r="AC433" i="63" s="1"/>
  <c r="AH433" i="63" s="1"/>
  <c r="AJ432" i="63"/>
  <c r="AK432" i="63" s="1"/>
  <c r="AI433" i="63"/>
  <c r="AB433" i="63" l="1"/>
  <c r="AG433" i="63" s="1"/>
  <c r="AL433" i="63" l="1"/>
  <c r="AJ433" i="63" s="1"/>
  <c r="AK433" i="63" s="1"/>
  <c r="AF433" i="63"/>
  <c r="Y434" i="63" l="1"/>
  <c r="AC434" i="63" s="1"/>
  <c r="AH434" i="63" s="1"/>
  <c r="AA434" i="63"/>
  <c r="AI434" i="63" s="1"/>
  <c r="AB434" i="63" l="1"/>
  <c r="AG434" i="63" s="1"/>
  <c r="AL434" i="63" l="1"/>
  <c r="AJ434" i="63" s="1"/>
  <c r="AK434" i="63" s="1"/>
  <c r="AF434" i="63"/>
  <c r="AA435" i="63" l="1"/>
  <c r="AI435" i="63" s="1"/>
  <c r="Y435" i="63"/>
  <c r="AC435" i="63" s="1"/>
  <c r="AH435" i="63" s="1"/>
  <c r="AB435" i="63" l="1"/>
  <c r="AF435" i="63" s="1"/>
  <c r="AL435" i="63" l="1"/>
  <c r="AJ435" i="63" s="1"/>
  <c r="AK435" i="63" s="1"/>
  <c r="AG435" i="63"/>
  <c r="Y436" i="63" l="1"/>
  <c r="AC436" i="63" s="1"/>
  <c r="AH436" i="63" s="1"/>
  <c r="AA436" i="63"/>
  <c r="AI436" i="63" s="1"/>
  <c r="AB436" i="63" l="1"/>
  <c r="AG436" i="63" s="1"/>
  <c r="AF436" i="63" l="1"/>
  <c r="AL436" i="63"/>
  <c r="AJ436" i="63" s="1"/>
  <c r="AK436" i="63" s="1"/>
  <c r="Y437" i="63" l="1"/>
  <c r="AC437" i="63" s="1"/>
  <c r="AH437" i="63" s="1"/>
  <c r="AA437" i="63"/>
  <c r="AI437" i="63" s="1"/>
  <c r="AB437" i="63" l="1"/>
  <c r="AF437" i="63" s="1"/>
  <c r="AL437" i="63" l="1"/>
  <c r="AA438" i="63" s="1"/>
  <c r="AG437" i="63"/>
  <c r="Y438" i="63" l="1"/>
  <c r="AC438" i="63" s="1"/>
  <c r="AH438" i="63" s="1"/>
  <c r="AJ437" i="63"/>
  <c r="AK437" i="63" s="1"/>
  <c r="AI438" i="63"/>
  <c r="AB438" i="63" l="1"/>
  <c r="AL438" i="63" s="1"/>
  <c r="AA439" i="63" s="1"/>
  <c r="AG438" i="63" l="1"/>
  <c r="AF438" i="63"/>
  <c r="Y439" i="63"/>
  <c r="AC439" i="63" s="1"/>
  <c r="AH439" i="63" s="1"/>
  <c r="AJ438" i="63"/>
  <c r="AK438" i="63" s="1"/>
  <c r="AI439" i="63"/>
  <c r="AB439" i="63" l="1"/>
  <c r="AL439" i="63" s="1"/>
  <c r="AA440" i="63" s="1"/>
  <c r="AF439" i="63" l="1"/>
  <c r="AG439" i="63"/>
  <c r="Y440" i="63"/>
  <c r="AC440" i="63" s="1"/>
  <c r="AH440" i="63" s="1"/>
  <c r="AJ439" i="63"/>
  <c r="AK439" i="63" s="1"/>
  <c r="AI440" i="63"/>
  <c r="AB440" i="63" l="1"/>
  <c r="AG440" i="63" s="1"/>
  <c r="AL440" i="63" l="1"/>
  <c r="AJ440" i="63" s="1"/>
  <c r="AK440" i="63" s="1"/>
  <c r="AF440" i="63"/>
  <c r="Y441" i="63" l="1"/>
  <c r="AC441" i="63" s="1"/>
  <c r="AH441" i="63" s="1"/>
  <c r="AA441" i="63"/>
  <c r="AI441" i="63" s="1"/>
  <c r="AB441" i="63" l="1"/>
  <c r="AF441" i="63" s="1"/>
  <c r="AL441" i="63" l="1"/>
  <c r="AJ441" i="63" s="1"/>
  <c r="AK441" i="63" s="1"/>
  <c r="AG441" i="63"/>
  <c r="Y442" i="63" l="1"/>
  <c r="AC442" i="63" s="1"/>
  <c r="AH442" i="63" s="1"/>
  <c r="AA442" i="63"/>
  <c r="AI442" i="63" s="1"/>
  <c r="AB442" i="63" l="1"/>
  <c r="AF442" i="63" s="1"/>
  <c r="AL442" i="63" l="1"/>
  <c r="AA443" i="63" s="1"/>
  <c r="AG442" i="63"/>
  <c r="Y443" i="63" l="1"/>
  <c r="AC443" i="63" s="1"/>
  <c r="AH443" i="63" s="1"/>
  <c r="AJ442" i="63"/>
  <c r="AK442" i="63" s="1"/>
  <c r="AI443" i="63"/>
  <c r="AB443" i="63" l="1"/>
  <c r="AF443" i="63" s="1"/>
  <c r="AL443" i="63" l="1"/>
  <c r="AA444" i="63" s="1"/>
  <c r="AG443" i="63"/>
  <c r="AJ443" i="63" l="1"/>
  <c r="AK443" i="63" s="1"/>
  <c r="Y444" i="63"/>
  <c r="AC444" i="63" s="1"/>
  <c r="AH444" i="63" s="1"/>
  <c r="AI444" i="63"/>
  <c r="AB444" i="63" l="1"/>
  <c r="AF444" i="63" s="1"/>
  <c r="AL444" i="63" l="1"/>
  <c r="AA445" i="63" s="1"/>
  <c r="AG444" i="63"/>
  <c r="Y445" i="63" l="1"/>
  <c r="AC445" i="63" s="1"/>
  <c r="AH445" i="63" s="1"/>
  <c r="AJ444" i="63"/>
  <c r="AK444" i="63" s="1"/>
  <c r="AI445" i="63"/>
  <c r="AB445" i="63" l="1"/>
  <c r="AG445" i="63" s="1"/>
  <c r="AF445" i="63" l="1"/>
  <c r="AL445" i="63"/>
  <c r="AJ445" i="63" s="1"/>
  <c r="AK445" i="63" s="1"/>
  <c r="Y446" i="63" l="1"/>
  <c r="AC446" i="63" s="1"/>
  <c r="AH446" i="63" s="1"/>
  <c r="AA446" i="63"/>
  <c r="AI446" i="63" s="1"/>
  <c r="AB446" i="63" l="1"/>
  <c r="AL446" i="63" s="1"/>
  <c r="AJ446" i="63" s="1"/>
  <c r="AK446" i="63" s="1"/>
  <c r="AG446" i="63" l="1"/>
  <c r="AF446" i="63"/>
  <c r="Y447" i="63"/>
  <c r="AC447" i="63" s="1"/>
  <c r="AH447" i="63" s="1"/>
  <c r="AA447" i="63"/>
  <c r="AI447" i="63" s="1"/>
  <c r="AB447" i="63" l="1"/>
  <c r="AL447" i="63" s="1"/>
  <c r="AA448" i="63" s="1"/>
  <c r="AG447" i="63" l="1"/>
  <c r="AF447" i="63"/>
  <c r="Y448" i="63"/>
  <c r="AC448" i="63" s="1"/>
  <c r="AH448" i="63" s="1"/>
  <c r="AJ447" i="63"/>
  <c r="AK447" i="63" s="1"/>
  <c r="AI448" i="63"/>
  <c r="AB448" i="63" l="1"/>
  <c r="AF448" i="63" s="1"/>
  <c r="AL448" i="63" l="1"/>
  <c r="AJ448" i="63" s="1"/>
  <c r="AK448" i="63" s="1"/>
  <c r="AG448" i="63"/>
  <c r="Y449" i="63" l="1"/>
  <c r="AC449" i="63" s="1"/>
  <c r="AH449" i="63" s="1"/>
  <c r="AA449" i="63"/>
  <c r="AI449" i="63" s="1"/>
  <c r="AB449" i="63" l="1"/>
  <c r="AF449" i="63" s="1"/>
  <c r="AL449" i="63" l="1"/>
  <c r="AJ449" i="63" s="1"/>
  <c r="AK449" i="63" s="1"/>
  <c r="AG449" i="63"/>
  <c r="Y450" i="63" l="1"/>
  <c r="AC450" i="63" s="1"/>
  <c r="AH450" i="63" s="1"/>
  <c r="AA450" i="63"/>
  <c r="AI450" i="63" s="1"/>
  <c r="AB450" i="63" l="1"/>
  <c r="AL450" i="63" s="1"/>
  <c r="AA451" i="63" s="1"/>
  <c r="AG450" i="63" l="1"/>
  <c r="AF450" i="63"/>
  <c r="Y451" i="63"/>
  <c r="AC451" i="63" s="1"/>
  <c r="AH451" i="63" s="1"/>
  <c r="AJ450" i="63"/>
  <c r="AK450" i="63" s="1"/>
  <c r="AI451" i="63"/>
  <c r="AB451" i="63" l="1"/>
  <c r="AL451" i="63" s="1"/>
  <c r="AA452" i="63" s="1"/>
  <c r="AG451" i="63" l="1"/>
  <c r="AF451" i="63"/>
  <c r="Y452" i="63"/>
  <c r="AC452" i="63" s="1"/>
  <c r="AH452" i="63" s="1"/>
  <c r="AJ451" i="63"/>
  <c r="AK451" i="63" s="1"/>
  <c r="AI452" i="63"/>
  <c r="AB452" i="63" l="1"/>
  <c r="AL452" i="63" s="1"/>
  <c r="AA453" i="63" s="1"/>
  <c r="AF452" i="63" l="1"/>
  <c r="AG452" i="63"/>
  <c r="Y453" i="63"/>
  <c r="AC453" i="63" s="1"/>
  <c r="AH453" i="63" s="1"/>
  <c r="AJ452" i="63"/>
  <c r="AK452" i="63" s="1"/>
  <c r="AI453" i="63"/>
  <c r="AB453" i="63" l="1"/>
  <c r="AL453" i="63" s="1"/>
  <c r="AJ453" i="63" s="1"/>
  <c r="AK453" i="63" s="1"/>
  <c r="AF453" i="63" l="1"/>
  <c r="AG453" i="63"/>
  <c r="Y454" i="63"/>
  <c r="AC454" i="63" s="1"/>
  <c r="AH454" i="63" s="1"/>
  <c r="AA454" i="63"/>
  <c r="AI454" i="63" s="1"/>
  <c r="AB454" i="63" l="1"/>
  <c r="AL454" i="63" s="1"/>
  <c r="AA455" i="63" s="1"/>
  <c r="Y455" i="63" l="1"/>
  <c r="AC455" i="63" s="1"/>
  <c r="AH455" i="63" s="1"/>
  <c r="AF454" i="63"/>
  <c r="AG454" i="63"/>
  <c r="AJ454" i="63"/>
  <c r="AK454" i="63" s="1"/>
  <c r="AI455" i="63"/>
  <c r="AB455" i="63" l="1"/>
  <c r="AL455" i="63" s="1"/>
  <c r="AJ455" i="63" s="1"/>
  <c r="AK455" i="63" s="1"/>
  <c r="AG455" i="63" l="1"/>
  <c r="AF455" i="63"/>
  <c r="Y456" i="63"/>
  <c r="AC456" i="63" s="1"/>
  <c r="AH456" i="63" s="1"/>
  <c r="AA456" i="63"/>
  <c r="AI456" i="63" s="1"/>
  <c r="AB456" i="63" l="1"/>
  <c r="AG456" i="63" s="1"/>
  <c r="AL456" i="63" l="1"/>
  <c r="AA457" i="63" s="1"/>
  <c r="AF456" i="63"/>
  <c r="AJ456" i="63" l="1"/>
  <c r="AK456" i="63" s="1"/>
  <c r="Y457" i="63"/>
  <c r="AC457" i="63" s="1"/>
  <c r="AH457" i="63" s="1"/>
  <c r="AI457" i="63"/>
  <c r="AB457" i="63" l="1"/>
  <c r="AG457" i="63" s="1"/>
  <c r="AL457" i="63" l="1"/>
  <c r="AA458" i="63" s="1"/>
  <c r="AF457" i="63"/>
  <c r="Y458" i="63" l="1"/>
  <c r="AC458" i="63" s="1"/>
  <c r="AH458" i="63" s="1"/>
  <c r="AJ457" i="63"/>
  <c r="AK457" i="63" s="1"/>
  <c r="AI458" i="63"/>
  <c r="AB458" i="63" l="1"/>
  <c r="AG458" i="63" s="1"/>
  <c r="AL458" i="63" l="1"/>
  <c r="AA459" i="63" s="1"/>
  <c r="AF458" i="63"/>
  <c r="Y459" i="63" l="1"/>
  <c r="AC459" i="63" s="1"/>
  <c r="AH459" i="63" s="1"/>
  <c r="AJ458" i="63"/>
  <c r="AK458" i="63" s="1"/>
  <c r="AI459" i="63"/>
  <c r="AB459" i="63" l="1"/>
  <c r="AG459" i="63" s="1"/>
  <c r="AL459" i="63" l="1"/>
  <c r="AJ459" i="63" s="1"/>
  <c r="AK459" i="63" s="1"/>
  <c r="AF459" i="63"/>
  <c r="Y460" i="63" l="1"/>
  <c r="AC460" i="63" s="1"/>
  <c r="AH460" i="63" s="1"/>
  <c r="AA460" i="63"/>
  <c r="AI460" i="63" s="1"/>
  <c r="AB460" i="63" l="1"/>
  <c r="AG460" i="63" s="1"/>
  <c r="AL460" i="63" l="1"/>
  <c r="AA461" i="63" s="1"/>
  <c r="AF460" i="63"/>
  <c r="Y461" i="63" l="1"/>
  <c r="AC461" i="63" s="1"/>
  <c r="AH461" i="63" s="1"/>
  <c r="AJ460" i="63"/>
  <c r="AK460" i="63" s="1"/>
  <c r="AI461" i="63"/>
  <c r="AB461" i="63" l="1"/>
  <c r="AF461" i="63" s="1"/>
  <c r="AL461" i="63" l="1"/>
  <c r="AJ461" i="63" s="1"/>
  <c r="AK461" i="63" s="1"/>
  <c r="AG461" i="63"/>
  <c r="AA462" i="63" l="1"/>
  <c r="AI462" i="63" s="1"/>
  <c r="Y462" i="63"/>
  <c r="AC462" i="63" s="1"/>
  <c r="AH462" i="63" s="1"/>
  <c r="AB462" i="63" l="1"/>
  <c r="AG462" i="63" l="1"/>
  <c r="AF462" i="63"/>
  <c r="AL462" i="63"/>
  <c r="AA463" i="63" l="1"/>
  <c r="Y463" i="63"/>
  <c r="AJ462" i="63"/>
  <c r="AK462" i="63" s="1"/>
  <c r="AC463" i="63" l="1"/>
  <c r="AH463" i="63" s="1"/>
  <c r="AI463" i="63"/>
  <c r="AB463" i="63" l="1"/>
  <c r="AG463" i="63" s="1"/>
  <c r="AL463" i="63" l="1"/>
  <c r="AJ463" i="63" s="1"/>
  <c r="AK463" i="63" s="1"/>
  <c r="AF463" i="63"/>
  <c r="AA464" i="63" l="1"/>
  <c r="AI464" i="63" s="1"/>
  <c r="Y464" i="63"/>
  <c r="AC464" i="63" s="1"/>
  <c r="AH464" i="63" s="1"/>
  <c r="AB464" i="63" l="1"/>
  <c r="AG464" i="63" l="1"/>
  <c r="AF464" i="63"/>
  <c r="AL464" i="63"/>
  <c r="AA465" i="63" l="1"/>
  <c r="AJ464" i="63"/>
  <c r="AK464" i="63" s="1"/>
  <c r="Y465" i="63"/>
  <c r="AC465" i="63" l="1"/>
  <c r="AH465" i="63" s="1"/>
  <c r="AI465" i="63"/>
  <c r="AB465" i="63" l="1"/>
  <c r="AF465" i="63" s="1"/>
  <c r="AL465" i="63" l="1"/>
  <c r="AA466" i="63" s="1"/>
  <c r="AG465" i="63"/>
  <c r="AJ465" i="63" l="1"/>
  <c r="AK465" i="63" s="1"/>
  <c r="Y466" i="63"/>
  <c r="AC466" i="63" s="1"/>
  <c r="AH466" i="63" s="1"/>
  <c r="AI466" i="63"/>
  <c r="AB466" i="63" l="1"/>
  <c r="AG466" i="63" s="1"/>
  <c r="AF466" i="63" l="1"/>
  <c r="AL466" i="63"/>
  <c r="AJ466" i="63" s="1"/>
  <c r="AK466" i="63" s="1"/>
  <c r="AA467" i="63" l="1"/>
  <c r="AI467" i="63" s="1"/>
  <c r="Y467" i="63"/>
  <c r="AC467" i="63" s="1"/>
  <c r="AH467" i="63" s="1"/>
  <c r="AB467" i="63" l="1"/>
  <c r="AF467" i="63" s="1"/>
  <c r="AL467" i="63" l="1"/>
  <c r="AA468" i="63" s="1"/>
  <c r="AG467" i="63"/>
  <c r="Y468" i="63" l="1"/>
  <c r="AC468" i="63" s="1"/>
  <c r="AH468" i="63" s="1"/>
  <c r="AJ467" i="63"/>
  <c r="AK467" i="63" s="1"/>
  <c r="AI468" i="63"/>
  <c r="AB468" i="63" l="1"/>
  <c r="AF468" i="63" s="1"/>
  <c r="AL468" i="63" l="1"/>
  <c r="AJ468" i="63" s="1"/>
  <c r="AK468" i="63" s="1"/>
  <c r="AG468" i="63"/>
  <c r="AA469" i="63" l="1"/>
  <c r="AI469" i="63" s="1"/>
  <c r="Y469" i="63"/>
  <c r="AC469" i="63" s="1"/>
  <c r="AH469" i="63" s="1"/>
  <c r="AB469" i="63" l="1"/>
  <c r="AG469" i="63" s="1"/>
  <c r="AL469" i="63" l="1"/>
  <c r="AA470" i="63" s="1"/>
  <c r="AF469" i="63"/>
  <c r="Y470" i="63" l="1"/>
  <c r="AC470" i="63" s="1"/>
  <c r="AH470" i="63" s="1"/>
  <c r="AJ469" i="63"/>
  <c r="AK469" i="63" s="1"/>
  <c r="AI470" i="63"/>
  <c r="AB470" i="63" l="1"/>
  <c r="AG470" i="63" s="1"/>
  <c r="AL470" i="63" l="1"/>
  <c r="AJ470" i="63" s="1"/>
  <c r="AK470" i="63" s="1"/>
  <c r="AF470" i="63"/>
  <c r="Y471" i="63" l="1"/>
  <c r="AC471" i="63" s="1"/>
  <c r="AH471" i="63" s="1"/>
  <c r="AA471" i="63"/>
  <c r="AI471" i="63" s="1"/>
  <c r="AB471" i="63" l="1"/>
  <c r="AF471" i="63" s="1"/>
  <c r="AG471" i="63" l="1"/>
  <c r="AL471" i="63"/>
  <c r="AJ471" i="63" s="1"/>
  <c r="AK471" i="63" s="1"/>
  <c r="Y472" i="63" l="1"/>
  <c r="AC472" i="63" s="1"/>
  <c r="AH472" i="63" s="1"/>
  <c r="AA472" i="63"/>
  <c r="AI472" i="63" s="1"/>
  <c r="AB472" i="63" l="1"/>
  <c r="AG472" i="63" s="1"/>
  <c r="AL472" i="63" l="1"/>
  <c r="AJ472" i="63" s="1"/>
  <c r="AK472" i="63" s="1"/>
  <c r="AF472" i="63"/>
  <c r="Y473" i="63" l="1"/>
  <c r="AC473" i="63" s="1"/>
  <c r="AH473" i="63" s="1"/>
  <c r="AA473" i="63"/>
  <c r="AI473" i="63" s="1"/>
  <c r="AB473" i="63" l="1"/>
  <c r="AG473" i="63" s="1"/>
  <c r="AF473" i="63" l="1"/>
  <c r="AL473" i="63"/>
  <c r="AJ473" i="63" s="1"/>
  <c r="AK473" i="63" s="1"/>
  <c r="AA474" i="63" l="1"/>
  <c r="AI474" i="63" s="1"/>
  <c r="Y474" i="63"/>
  <c r="AC474" i="63" s="1"/>
  <c r="AH474" i="63" s="1"/>
  <c r="AB474" i="63" l="1"/>
  <c r="AG474" i="63" l="1"/>
  <c r="AF474" i="63"/>
  <c r="AL474" i="63"/>
  <c r="AA475" i="63" l="1"/>
  <c r="AJ474" i="63"/>
  <c r="AK474" i="63" s="1"/>
  <c r="Y475" i="63"/>
  <c r="AC475" i="63" l="1"/>
  <c r="AH475" i="63" s="1"/>
  <c r="AI475" i="63"/>
  <c r="AB475" i="63" l="1"/>
  <c r="AF475" i="63" s="1"/>
  <c r="AL475" i="63" l="1"/>
  <c r="AJ475" i="63" s="1"/>
  <c r="AK475" i="63" s="1"/>
  <c r="AG475" i="63"/>
  <c r="AA476" i="63" l="1"/>
  <c r="AI476" i="63" s="1"/>
  <c r="Y476" i="63"/>
  <c r="AC476" i="63" s="1"/>
  <c r="AH476" i="63" s="1"/>
  <c r="AB476" i="63" l="1"/>
  <c r="AG476" i="63" s="1"/>
  <c r="AF476" i="63" l="1"/>
  <c r="AL476" i="63"/>
  <c r="AA477" i="63" s="1"/>
  <c r="AJ476" i="63" l="1"/>
  <c r="AK476" i="63" s="1"/>
  <c r="Y477" i="63"/>
  <c r="AC477" i="63" s="1"/>
  <c r="AH477" i="63" s="1"/>
  <c r="AI477" i="63"/>
  <c r="AB477" i="63" l="1"/>
  <c r="AG477" i="63" s="1"/>
  <c r="AL477" i="63" l="1"/>
  <c r="AJ477" i="63" s="1"/>
  <c r="AK477" i="63" s="1"/>
  <c r="AF477" i="63"/>
  <c r="Y478" i="63" l="1"/>
  <c r="AC478" i="63" s="1"/>
  <c r="AH478" i="63" s="1"/>
  <c r="AA478" i="63"/>
  <c r="AI478" i="63" s="1"/>
  <c r="AB478" i="63" l="1"/>
  <c r="AF478" i="63" s="1"/>
  <c r="AL478" i="63" l="1"/>
  <c r="AA479" i="63" s="1"/>
  <c r="AG478" i="63"/>
  <c r="Y479" i="63" l="1"/>
  <c r="AC479" i="63" s="1"/>
  <c r="AH479" i="63" s="1"/>
  <c r="AJ478" i="63"/>
  <c r="AK478" i="63" s="1"/>
  <c r="AI479" i="63"/>
  <c r="AB479" i="63" l="1"/>
  <c r="AG479" i="63" s="1"/>
  <c r="AL479" i="63" l="1"/>
  <c r="AA480" i="63" s="1"/>
  <c r="AF479" i="63"/>
  <c r="AJ479" i="63" l="1"/>
  <c r="AK479" i="63" s="1"/>
  <c r="Y480" i="63"/>
  <c r="AC480" i="63" s="1"/>
  <c r="AH480" i="63" s="1"/>
  <c r="AI480" i="63"/>
  <c r="AB480" i="63" l="1"/>
  <c r="AG480" i="63" s="1"/>
  <c r="AL480" i="63" l="1"/>
  <c r="AA481" i="63" s="1"/>
  <c r="AF480" i="63"/>
  <c r="Y481" i="63" l="1"/>
  <c r="AC481" i="63" s="1"/>
  <c r="AH481" i="63" s="1"/>
  <c r="AJ480" i="63"/>
  <c r="AK480" i="63" s="1"/>
  <c r="AI481" i="63"/>
  <c r="AB481" i="63" l="1"/>
  <c r="AF481" i="63" s="1"/>
  <c r="AL481" i="63" l="1"/>
  <c r="AJ481" i="63" s="1"/>
  <c r="AK481" i="63" s="1"/>
  <c r="AG481" i="63"/>
  <c r="AA482" i="63" l="1"/>
  <c r="AI482" i="63" s="1"/>
  <c r="Y482" i="63"/>
  <c r="AC482" i="63" s="1"/>
  <c r="AH482" i="63" s="1"/>
  <c r="AB482" i="63" l="1"/>
  <c r="AF482" i="63" l="1"/>
  <c r="AG482" i="63"/>
  <c r="AL482" i="63"/>
  <c r="AA483" i="63" l="1"/>
  <c r="AJ482" i="63"/>
  <c r="AK482" i="63" s="1"/>
  <c r="Y483" i="63"/>
  <c r="AC483" i="63" l="1"/>
  <c r="AH483" i="63" s="1"/>
  <c r="AI483" i="63"/>
  <c r="AB483" i="63" l="1"/>
  <c r="AF483" i="63" s="1"/>
  <c r="AL483" i="63" l="1"/>
  <c r="AJ483" i="63" s="1"/>
  <c r="AK483" i="63" s="1"/>
  <c r="AG483" i="63"/>
  <c r="Y484" i="63" l="1"/>
  <c r="AC484" i="63" s="1"/>
  <c r="AH484" i="63" s="1"/>
  <c r="AA484" i="63"/>
  <c r="AI484" i="63" s="1"/>
  <c r="AB484" i="63" l="1"/>
  <c r="AF484" i="63" s="1"/>
  <c r="AL484" i="63" l="1"/>
  <c r="AA485" i="63" s="1"/>
  <c r="AG484" i="63"/>
  <c r="AJ484" i="63" l="1"/>
  <c r="AK484" i="63" s="1"/>
  <c r="Y485" i="63"/>
  <c r="AC485" i="63" s="1"/>
  <c r="AH485" i="63" s="1"/>
  <c r="AI485" i="63"/>
  <c r="AB485" i="63" l="1"/>
  <c r="AF485" i="63" s="1"/>
  <c r="AL485" i="63" l="1"/>
  <c r="AJ485" i="63" s="1"/>
  <c r="AK485" i="63" s="1"/>
  <c r="AG485" i="63"/>
  <c r="Y486" i="63" l="1"/>
  <c r="AC486" i="63" s="1"/>
  <c r="AH486" i="63" s="1"/>
  <c r="AA486" i="63"/>
  <c r="AI486" i="63" s="1"/>
  <c r="AB486" i="63" l="1"/>
  <c r="AG486" i="63" s="1"/>
  <c r="AF486" i="63" l="1"/>
  <c r="AL486" i="63"/>
  <c r="Y487" i="63" s="1"/>
  <c r="AA487" i="63" l="1"/>
  <c r="AI487" i="63" s="1"/>
  <c r="AJ486" i="63"/>
  <c r="AK486" i="63" s="1"/>
  <c r="AC487" i="63"/>
  <c r="AH487" i="63" s="1"/>
  <c r="AB487" i="63" l="1"/>
  <c r="AG487" i="63" s="1"/>
  <c r="AF487" i="63" l="1"/>
  <c r="AL487" i="63"/>
  <c r="AJ487" i="63" s="1"/>
  <c r="AK487" i="63" s="1"/>
  <c r="AA488" i="63" l="1"/>
  <c r="AI488" i="63" s="1"/>
  <c r="Y488" i="63"/>
  <c r="AC488" i="63" s="1"/>
  <c r="AH488" i="63" s="1"/>
  <c r="AB488" i="63" l="1"/>
  <c r="AG488" i="63" s="1"/>
  <c r="AL488" i="63" l="1"/>
  <c r="AJ488" i="63" s="1"/>
  <c r="AK488" i="63" s="1"/>
  <c r="AF488" i="63"/>
  <c r="Y489" i="63" l="1"/>
  <c r="AC489" i="63" s="1"/>
  <c r="AH489" i="63" s="1"/>
  <c r="AA489" i="63"/>
  <c r="AI489" i="63" s="1"/>
  <c r="AB489" i="63" l="1"/>
  <c r="AG489" i="63" s="1"/>
  <c r="AL489" i="63" l="1"/>
  <c r="Y490" i="63" s="1"/>
  <c r="AF489" i="63"/>
  <c r="AJ489" i="63" l="1"/>
  <c r="AK489" i="63" s="1"/>
  <c r="AA490" i="63"/>
  <c r="AI490" i="63" s="1"/>
  <c r="AC490" i="63"/>
  <c r="AH490" i="63" s="1"/>
  <c r="AH491" i="63" s="1"/>
  <c r="AH492" i="63" s="1"/>
  <c r="AH493" i="63" s="1"/>
  <c r="AH494" i="63" s="1"/>
  <c r="AH495" i="63" s="1"/>
  <c r="AH496" i="63" s="1"/>
  <c r="AH497" i="63" s="1"/>
  <c r="AH498" i="63" s="1"/>
  <c r="AH499" i="63" s="1"/>
  <c r="AH500" i="63" s="1"/>
  <c r="AH501" i="63" s="1"/>
  <c r="AH502" i="63" s="1"/>
  <c r="AH503" i="63" s="1"/>
  <c r="AH504" i="63" s="1"/>
  <c r="AH505" i="63" s="1"/>
  <c r="AH506" i="63" s="1"/>
  <c r="AH507" i="63" s="1"/>
  <c r="AH508" i="63" s="1"/>
  <c r="AH509" i="63" s="1"/>
  <c r="AH510" i="63" s="1"/>
  <c r="AH511" i="63" s="1"/>
  <c r="AH512" i="63" s="1"/>
  <c r="AH513" i="63" s="1"/>
  <c r="AH514" i="63" s="1"/>
  <c r="AH515" i="63" s="1"/>
  <c r="AH516" i="63" s="1"/>
  <c r="AH517" i="63" s="1"/>
  <c r="AH518" i="63" s="1"/>
  <c r="AH519" i="63" s="1"/>
  <c r="AH520" i="63" s="1"/>
  <c r="AH521" i="63" s="1"/>
  <c r="AH522" i="63" s="1"/>
  <c r="AH523" i="63" s="1"/>
  <c r="AH524" i="63" s="1"/>
  <c r="AH525" i="63" s="1"/>
  <c r="AH526" i="63" s="1"/>
  <c r="AH527" i="63" s="1"/>
  <c r="AH528" i="63" s="1"/>
  <c r="AH529" i="63" s="1"/>
  <c r="AH530" i="63" s="1"/>
  <c r="AH531" i="63" s="1"/>
  <c r="AH532" i="63" s="1"/>
  <c r="AH533" i="63" s="1"/>
  <c r="AH534" i="63" s="1"/>
  <c r="AH535" i="63" s="1"/>
  <c r="AH536" i="63" s="1"/>
  <c r="AH537" i="63" s="1"/>
  <c r="AH538" i="63" s="1"/>
  <c r="AH539" i="63" s="1"/>
  <c r="AH540" i="63" s="1"/>
  <c r="AH541" i="63" s="1"/>
  <c r="AH542" i="63" s="1"/>
  <c r="AH543" i="63" s="1"/>
  <c r="AI491" i="63" l="1"/>
  <c r="AB490" i="63"/>
  <c r="AG490" i="63" l="1"/>
  <c r="AG491" i="63" s="1"/>
  <c r="AG492" i="63" s="1"/>
  <c r="AG493" i="63" s="1"/>
  <c r="AG494" i="63" s="1"/>
  <c r="AG495" i="63" s="1"/>
  <c r="AG496" i="63" s="1"/>
  <c r="AG497" i="63" s="1"/>
  <c r="AG498" i="63" s="1"/>
  <c r="AG499" i="63" s="1"/>
  <c r="AG500" i="63" s="1"/>
  <c r="AG501" i="63" s="1"/>
  <c r="AG502" i="63" s="1"/>
  <c r="AG503" i="63" s="1"/>
  <c r="AG504" i="63" s="1"/>
  <c r="AG505" i="63" s="1"/>
  <c r="AG506" i="63" s="1"/>
  <c r="AG507" i="63" s="1"/>
  <c r="AG508" i="63" s="1"/>
  <c r="AG509" i="63" s="1"/>
  <c r="AG510" i="63" s="1"/>
  <c r="AG511" i="63" s="1"/>
  <c r="AG512" i="63" s="1"/>
  <c r="AG513" i="63" s="1"/>
  <c r="AG514" i="63" s="1"/>
  <c r="AG515" i="63" s="1"/>
  <c r="AG516" i="63" s="1"/>
  <c r="AG517" i="63" s="1"/>
  <c r="AG518" i="63" s="1"/>
  <c r="AG519" i="63" s="1"/>
  <c r="AG520" i="63" s="1"/>
  <c r="AG521" i="63" s="1"/>
  <c r="AG522" i="63" s="1"/>
  <c r="AG523" i="63" s="1"/>
  <c r="AG524" i="63" s="1"/>
  <c r="AG525" i="63" s="1"/>
  <c r="AG526" i="63" s="1"/>
  <c r="AG527" i="63" s="1"/>
  <c r="AG528" i="63" s="1"/>
  <c r="AG529" i="63" s="1"/>
  <c r="AG530" i="63" s="1"/>
  <c r="AG531" i="63" s="1"/>
  <c r="AG532" i="63" s="1"/>
  <c r="AG533" i="63" s="1"/>
  <c r="AG534" i="63" s="1"/>
  <c r="AG535" i="63" s="1"/>
  <c r="AG536" i="63" s="1"/>
  <c r="AG537" i="63" s="1"/>
  <c r="AG538" i="63" s="1"/>
  <c r="AG539" i="63" s="1"/>
  <c r="AG540" i="63" s="1"/>
  <c r="AG541" i="63" s="1"/>
  <c r="AG542" i="63" s="1"/>
  <c r="AG543" i="63" s="1"/>
  <c r="AF490" i="63"/>
  <c r="AL490" i="63"/>
  <c r="AI492" i="63"/>
  <c r="AI493" i="63" l="1"/>
  <c r="Y491" i="63"/>
  <c r="AL491" i="63" s="1"/>
  <c r="AJ490" i="63"/>
  <c r="AK490" i="63" s="1"/>
  <c r="AJ491" i="63" l="1"/>
  <c r="AK491" i="63" s="1"/>
  <c r="Y492" i="63"/>
  <c r="AL492" i="63" s="1"/>
  <c r="AI494" i="63"/>
  <c r="AI495" i="63" l="1"/>
  <c r="AJ492" i="63"/>
  <c r="AK492" i="63" s="1"/>
  <c r="Y493" i="63"/>
  <c r="AL493" i="63" s="1"/>
  <c r="AJ493" i="63" l="1"/>
  <c r="AK493" i="63" s="1"/>
  <c r="Y494" i="63"/>
  <c r="AL494" i="63" s="1"/>
  <c r="AI496" i="63"/>
  <c r="AI497" i="63" l="1"/>
  <c r="Y495" i="63"/>
  <c r="AL495" i="63" s="1"/>
  <c r="AJ494" i="63"/>
  <c r="AK494" i="63" s="1"/>
  <c r="Y496" i="63" l="1"/>
  <c r="AL496" i="63" s="1"/>
  <c r="AJ495" i="63"/>
  <c r="AK495" i="63" s="1"/>
  <c r="AI498" i="63"/>
  <c r="AI499" i="63" l="1"/>
  <c r="AJ496" i="63"/>
  <c r="AK496" i="63" s="1"/>
  <c r="Y497" i="63"/>
  <c r="AL497" i="63" s="1"/>
  <c r="Y498" i="63" l="1"/>
  <c r="AL498" i="63" s="1"/>
  <c r="AJ497" i="63"/>
  <c r="AK497" i="63" s="1"/>
  <c r="AI500" i="63"/>
  <c r="AI501" i="63" l="1"/>
  <c r="Y499" i="63"/>
  <c r="AL499" i="63" s="1"/>
  <c r="AJ498" i="63"/>
  <c r="AK498" i="63" s="1"/>
  <c r="AJ499" i="63" l="1"/>
  <c r="AK499" i="63" s="1"/>
  <c r="Y500" i="63"/>
  <c r="AL500" i="63" s="1"/>
  <c r="AI502" i="63"/>
  <c r="AI503" i="63" l="1"/>
  <c r="AJ500" i="63"/>
  <c r="AK500" i="63" s="1"/>
  <c r="Y501" i="63"/>
  <c r="AL501" i="63" s="1"/>
  <c r="Y502" i="63" l="1"/>
  <c r="AL502" i="63" s="1"/>
  <c r="AJ501" i="63"/>
  <c r="AK501" i="63" s="1"/>
  <c r="AI504" i="63"/>
  <c r="AI505" i="63" l="1"/>
  <c r="Y503" i="63"/>
  <c r="AL503" i="63" s="1"/>
  <c r="AJ502" i="63"/>
  <c r="AK502" i="63" s="1"/>
  <c r="Y504" i="63" l="1"/>
  <c r="AL504" i="63" s="1"/>
  <c r="AJ503" i="63"/>
  <c r="AK503" i="63" s="1"/>
  <c r="AI506" i="63"/>
  <c r="AI507" i="63" l="1"/>
  <c r="Y505" i="63"/>
  <c r="AL505" i="63" s="1"/>
  <c r="AJ504" i="63"/>
  <c r="AK504" i="63" s="1"/>
  <c r="Y506" i="63" l="1"/>
  <c r="AL506" i="63" s="1"/>
  <c r="AJ505" i="63"/>
  <c r="AK505" i="63" s="1"/>
  <c r="AI508" i="63"/>
  <c r="AI509" i="63" l="1"/>
  <c r="Y507" i="63"/>
  <c r="AL507" i="63" s="1"/>
  <c r="AJ506" i="63"/>
  <c r="AK506" i="63" s="1"/>
  <c r="Y508" i="63" l="1"/>
  <c r="AL508" i="63" s="1"/>
  <c r="AJ507" i="63"/>
  <c r="AK507" i="63" s="1"/>
  <c r="AI510" i="63"/>
  <c r="AI511" i="63" l="1"/>
  <c r="AJ508" i="63"/>
  <c r="AK508" i="63" s="1"/>
  <c r="Y509" i="63"/>
  <c r="AL509" i="63" s="1"/>
  <c r="AJ509" i="63" l="1"/>
  <c r="AK509" i="63" s="1"/>
  <c r="Y510" i="63"/>
  <c r="AL510" i="63" s="1"/>
  <c r="AI512" i="63"/>
  <c r="AI513" i="63" l="1"/>
  <c r="AJ510" i="63"/>
  <c r="AK510" i="63" s="1"/>
  <c r="Y511" i="63"/>
  <c r="AL511" i="63" s="1"/>
  <c r="Y512" i="63" l="1"/>
  <c r="AL512" i="63" s="1"/>
  <c r="AJ511" i="63"/>
  <c r="AK511" i="63" s="1"/>
  <c r="AI514" i="63"/>
  <c r="AI515" i="63" l="1"/>
  <c r="AJ512" i="63"/>
  <c r="AK512" i="63" s="1"/>
  <c r="Y513" i="63"/>
  <c r="AL513" i="63" s="1"/>
  <c r="Y514" i="63" l="1"/>
  <c r="AL514" i="63" s="1"/>
  <c r="AJ513" i="63"/>
  <c r="AK513" i="63" s="1"/>
  <c r="AI516" i="63"/>
  <c r="AI517" i="63" l="1"/>
  <c r="Y515" i="63"/>
  <c r="AL515" i="63" s="1"/>
  <c r="AJ514" i="63"/>
  <c r="AK514" i="63" s="1"/>
  <c r="AJ515" i="63" l="1"/>
  <c r="AK515" i="63" s="1"/>
  <c r="Y516" i="63"/>
  <c r="AL516" i="63" s="1"/>
  <c r="AI518" i="63"/>
  <c r="AI519" i="63" l="1"/>
  <c r="AJ516" i="63"/>
  <c r="AK516" i="63" s="1"/>
  <c r="Y517" i="63"/>
  <c r="AL517" i="63" s="1"/>
  <c r="Y518" i="63" l="1"/>
  <c r="AL518" i="63" s="1"/>
  <c r="AJ517" i="63"/>
  <c r="AK517" i="63" s="1"/>
  <c r="AI520" i="63"/>
  <c r="AI521" i="63" l="1"/>
  <c r="AJ518" i="63"/>
  <c r="AK518" i="63" s="1"/>
  <c r="Y519" i="63"/>
  <c r="AL519" i="63" s="1"/>
  <c r="AJ519" i="63" l="1"/>
  <c r="AK519" i="63" s="1"/>
  <c r="Y520" i="63"/>
  <c r="AL520" i="63" s="1"/>
  <c r="AI522" i="63"/>
  <c r="AI523" i="63" l="1"/>
  <c r="AJ520" i="63"/>
  <c r="AK520" i="63" s="1"/>
  <c r="Y521" i="63"/>
  <c r="AL521" i="63" s="1"/>
  <c r="Y522" i="63" l="1"/>
  <c r="AL522" i="63" s="1"/>
  <c r="AJ521" i="63"/>
  <c r="AK521" i="63" s="1"/>
  <c r="AI524" i="63"/>
  <c r="AI525" i="63" l="1"/>
  <c r="Y523" i="63"/>
  <c r="AL523" i="63" s="1"/>
  <c r="AJ522" i="63"/>
  <c r="AK522" i="63" s="1"/>
  <c r="AJ523" i="63" l="1"/>
  <c r="AK523" i="63" s="1"/>
  <c r="Y524" i="63"/>
  <c r="AL524" i="63" s="1"/>
  <c r="AI526" i="63"/>
  <c r="AI527" i="63" l="1"/>
  <c r="AJ524" i="63"/>
  <c r="AK524" i="63" s="1"/>
  <c r="Y525" i="63"/>
  <c r="AL525" i="63" s="1"/>
  <c r="AJ525" i="63" l="1"/>
  <c r="AK525" i="63" s="1"/>
  <c r="Y526" i="63"/>
  <c r="AL526" i="63" s="1"/>
  <c r="AI528" i="63"/>
  <c r="AI529" i="63" l="1"/>
  <c r="Y527" i="63"/>
  <c r="AL527" i="63" s="1"/>
  <c r="AJ526" i="63"/>
  <c r="AK526" i="63" s="1"/>
  <c r="AJ527" i="63" l="1"/>
  <c r="AK527" i="63" s="1"/>
  <c r="Y528" i="63"/>
  <c r="AL528" i="63" s="1"/>
  <c r="AI530" i="63"/>
  <c r="AI531" i="63" l="1"/>
  <c r="AJ528" i="63"/>
  <c r="AK528" i="63" s="1"/>
  <c r="Y529" i="63"/>
  <c r="AL529" i="63" s="1"/>
  <c r="Y530" i="63" l="1"/>
  <c r="AL530" i="63" s="1"/>
  <c r="AJ529" i="63"/>
  <c r="AK529" i="63" s="1"/>
  <c r="AI532" i="63"/>
  <c r="AI533" i="63" l="1"/>
  <c r="Y531" i="63"/>
  <c r="AL531" i="63" s="1"/>
  <c r="AJ530" i="63"/>
  <c r="AK530" i="63" s="1"/>
  <c r="AJ531" i="63" l="1"/>
  <c r="AK531" i="63" s="1"/>
  <c r="Y532" i="63"/>
  <c r="AL532" i="63" s="1"/>
  <c r="AI534" i="63"/>
  <c r="AI535" i="63" l="1"/>
  <c r="AJ532" i="63"/>
  <c r="AK532" i="63" s="1"/>
  <c r="Y533" i="63"/>
  <c r="AL533" i="63" s="1"/>
  <c r="Y534" i="63" l="1"/>
  <c r="AL534" i="63" s="1"/>
  <c r="AJ533" i="63"/>
  <c r="AK533" i="63" s="1"/>
  <c r="AI536" i="63"/>
  <c r="AI537" i="63" l="1"/>
  <c r="Y535" i="63"/>
  <c r="AL535" i="63" s="1"/>
  <c r="AJ534" i="63"/>
  <c r="AK534" i="63" s="1"/>
  <c r="AJ535" i="63" l="1"/>
  <c r="AK535" i="63" s="1"/>
  <c r="Y536" i="63"/>
  <c r="AL536" i="63" s="1"/>
  <c r="AI538" i="63"/>
  <c r="AI539" i="63" l="1"/>
  <c r="AJ536" i="63"/>
  <c r="AK536" i="63" s="1"/>
  <c r="Y537" i="63"/>
  <c r="AL537" i="63" s="1"/>
  <c r="Y538" i="63" l="1"/>
  <c r="AL538" i="63" s="1"/>
  <c r="AJ537" i="63"/>
  <c r="AK537" i="63" s="1"/>
  <c r="AI540" i="63"/>
  <c r="AI541" i="63" l="1"/>
  <c r="Y539" i="63"/>
  <c r="AL539" i="63" s="1"/>
  <c r="AJ538" i="63"/>
  <c r="AK538" i="63" s="1"/>
  <c r="Y540" i="63" l="1"/>
  <c r="AL540" i="63" s="1"/>
  <c r="AJ539" i="63"/>
  <c r="AK539" i="63" s="1"/>
  <c r="AI542" i="63"/>
  <c r="AI543" i="63" l="1"/>
  <c r="AJ540" i="63"/>
  <c r="AK540" i="63" s="1"/>
  <c r="Y541" i="63"/>
  <c r="AL541" i="63" s="1"/>
  <c r="Y542" i="63" l="1"/>
  <c r="AL542" i="63" s="1"/>
  <c r="AJ541" i="63"/>
  <c r="AK541" i="63" s="1"/>
  <c r="AJ542" i="63" l="1"/>
  <c r="AK542" i="63" s="1"/>
  <c r="Y543" i="63"/>
  <c r="AL543" i="63" s="1"/>
  <c r="AJ543" i="63" s="1"/>
  <c r="AK543" i="63" s="1"/>
  <c r="BH23" i="37" l="1"/>
  <c r="BH7" i="37" s="1"/>
  <c r="AE6" i="37"/>
  <c r="AE7" i="37"/>
  <c r="AE1" i="37"/>
  <c r="BA8" i="37"/>
  <c r="AE5" i="37"/>
  <c r="AE2" i="37"/>
  <c r="BI23" i="37"/>
  <c r="BI7" i="37" s="1"/>
  <c r="BT23" i="37"/>
  <c r="BT7" i="37" s="1"/>
  <c r="AS20" i="37"/>
  <c r="AS15" i="37"/>
  <c r="AS17" i="37"/>
  <c r="AS3" i="37"/>
  <c r="AS19" i="37"/>
  <c r="AS4" i="37"/>
  <c r="AS23" i="37"/>
  <c r="AS16" i="37"/>
  <c r="AS22" i="37"/>
  <c r="BB8" i="37"/>
  <c r="AS7" i="37"/>
  <c r="AS10" i="37"/>
  <c r="AS2" i="37"/>
  <c r="AS1" i="37"/>
  <c r="AS12" i="37"/>
  <c r="AS11" i="37"/>
  <c r="AS13" i="37"/>
  <c r="AS18" i="37"/>
  <c r="AS9" i="37"/>
  <c r="AS14" i="37"/>
  <c r="AS6" i="37"/>
  <c r="AS5" i="37"/>
  <c r="BU23" i="37"/>
  <c r="BU7" i="37" s="1"/>
  <c r="BJ23" i="37"/>
  <c r="BJ7" i="37" s="1"/>
  <c r="BW23" i="37"/>
  <c r="BW7" i="37" s="1"/>
  <c r="BV23" i="37"/>
  <c r="BV7" i="37" s="1"/>
  <c r="BK23" i="37"/>
  <c r="BK7" i="37" s="1"/>
  <c r="AT20" i="37"/>
  <c r="AT7" i="37"/>
  <c r="AT17" i="37"/>
  <c r="AT11" i="37"/>
  <c r="AT4" i="37"/>
  <c r="AT6" i="37"/>
  <c r="AT16" i="37"/>
  <c r="AT8" i="37"/>
  <c r="AT18" i="37"/>
  <c r="AT10" i="37"/>
  <c r="AT9" i="37"/>
  <c r="BC8" i="37"/>
  <c r="AT12" i="37"/>
  <c r="AT14" i="37"/>
  <c r="AT2" i="37"/>
  <c r="AT19" i="37"/>
  <c r="AT22" i="37"/>
  <c r="AT3" i="37"/>
  <c r="AT5" i="37"/>
  <c r="AT15" i="37"/>
  <c r="AT23" i="37"/>
  <c r="AT13" i="37"/>
  <c r="AU3" i="37"/>
  <c r="AU18" i="37"/>
  <c r="AU9" i="37"/>
  <c r="AU5" i="37"/>
  <c r="AU11" i="37"/>
  <c r="AU14" i="37"/>
  <c r="BD8" i="37"/>
  <c r="AU19" i="37"/>
  <c r="AU4" i="37"/>
  <c r="AU17" i="37"/>
  <c r="AU10" i="37"/>
  <c r="AU23" i="37"/>
  <c r="AU6" i="37"/>
  <c r="AU2" i="37"/>
  <c r="AU16" i="37"/>
  <c r="AU12" i="37"/>
  <c r="AU13" i="37"/>
  <c r="AU7" i="37"/>
  <c r="AU1" i="37"/>
  <c r="AU8" i="37"/>
  <c r="AU15" i="37"/>
  <c r="AU22" i="37"/>
  <c r="AU20" i="37"/>
  <c r="BL23" i="37"/>
  <c r="BL7" i="37" s="1"/>
  <c r="N3" i="127" l="1"/>
  <c r="N4" i="127" s="1"/>
  <c r="N5" i="127" s="1"/>
  <c r="N6" i="127" s="1"/>
  <c r="N7" i="127" s="1"/>
  <c r="N8" i="127" s="1"/>
  <c r="N9" i="127" s="1"/>
  <c r="N10" i="127" s="1"/>
  <c r="N11" i="127" s="1"/>
  <c r="N12" i="127" s="1"/>
  <c r="N13" i="127" s="1"/>
  <c r="N14" i="127" s="1"/>
  <c r="N15" i="127" s="1"/>
  <c r="N16" i="127" s="1"/>
  <c r="N17" i="127" s="1"/>
  <c r="N18" i="127" s="1"/>
  <c r="N19" i="127" s="1"/>
  <c r="N20" i="127" s="1"/>
  <c r="N21" i="127" s="1"/>
  <c r="N22" i="127" s="1"/>
  <c r="N23" i="127" s="1"/>
  <c r="N24" i="127" s="1"/>
  <c r="N25" i="127" s="1"/>
  <c r="N26" i="127" s="1"/>
  <c r="N27" i="127" s="1"/>
  <c r="N28" i="127" s="1"/>
  <c r="N29" i="127" s="1"/>
  <c r="N30" i="127" s="1"/>
  <c r="N31" i="127" s="1"/>
  <c r="N32" i="127" s="1"/>
  <c r="N33" i="127" s="1"/>
  <c r="N34" i="127" s="1"/>
  <c r="N35" i="127" s="1"/>
  <c r="N36" i="127" s="1"/>
  <c r="N37" i="127" s="1"/>
  <c r="N38" i="127" s="1"/>
  <c r="N39" i="127" s="1"/>
  <c r="N40" i="127" s="1"/>
  <c r="N41" i="127" s="1"/>
  <c r="N42" i="127" s="1"/>
  <c r="N43" i="127" s="1"/>
  <c r="N44" i="127" s="1"/>
  <c r="N45" i="127" s="1"/>
  <c r="N46" i="127" s="1"/>
  <c r="N47" i="127" s="1"/>
  <c r="N48" i="127" s="1"/>
  <c r="N49" i="127" s="1"/>
  <c r="N50" i="127" s="1"/>
  <c r="N51" i="127" s="1"/>
  <c r="N52" i="127" s="1"/>
  <c r="N53" i="127" s="1"/>
  <c r="N54" i="127" s="1"/>
  <c r="N55" i="127" s="1"/>
  <c r="N56" i="127" s="1"/>
  <c r="N57" i="127" s="1"/>
  <c r="N58" i="127" s="1"/>
  <c r="N59" i="127" s="1"/>
  <c r="N60" i="127" s="1"/>
  <c r="N61" i="127" s="1"/>
  <c r="N62" i="127" s="1"/>
  <c r="N63" i="127" s="1"/>
  <c r="N64" i="127" s="1"/>
  <c r="N65" i="127" s="1"/>
  <c r="N66" i="127" s="1"/>
  <c r="N67" i="127" l="1"/>
  <c r="N68" i="127" s="1"/>
  <c r="N69" i="127" s="1"/>
  <c r="N70" i="127" s="1"/>
  <c r="N71" i="127" s="1"/>
  <c r="N72" i="127" s="1"/>
  <c r="N73" i="127" s="1"/>
  <c r="N74" i="127" l="1"/>
  <c r="N75" i="127" s="1"/>
  <c r="N76" i="127" s="1"/>
  <c r="N77" i="127" s="1"/>
  <c r="N78" i="127" s="1"/>
  <c r="N79" i="127" s="1"/>
  <c r="N80" i="127" s="1"/>
  <c r="N81" i="127" s="1"/>
  <c r="N82" i="127" s="1"/>
  <c r="N83" i="127" s="1"/>
  <c r="N84" i="127" s="1"/>
  <c r="N85" i="127" s="1"/>
  <c r="N86" i="127" s="1"/>
  <c r="N87" i="127" l="1"/>
  <c r="N88" i="127" s="1"/>
  <c r="N89" i="127" s="1"/>
  <c r="N90" i="127" s="1"/>
  <c r="N91" i="127" s="1"/>
  <c r="N92" i="127" s="1"/>
  <c r="N93" i="127" s="1"/>
  <c r="N94" i="127" s="1"/>
  <c r="N95" i="127" s="1"/>
  <c r="N96" i="127" s="1"/>
  <c r="N97" i="127" s="1"/>
  <c r="N98" i="127" s="1"/>
  <c r="N99" i="127" s="1"/>
  <c r="N100" i="127" s="1"/>
  <c r="N101" i="127" s="1"/>
  <c r="N102" i="127" s="1"/>
  <c r="N103" i="127" s="1"/>
  <c r="N104" i="127" s="1"/>
  <c r="N105" i="127" s="1"/>
  <c r="N106" i="127" l="1"/>
  <c r="N107" i="127" s="1"/>
  <c r="N108" i="127" s="1"/>
  <c r="N109" i="127" s="1"/>
  <c r="N110" i="127" s="1"/>
  <c r="N111" i="127" s="1"/>
  <c r="N112" i="127" s="1"/>
  <c r="N113" i="127" s="1"/>
  <c r="N114" i="127" s="1"/>
  <c r="N115" i="127" s="1"/>
  <c r="N116" i="127" s="1"/>
  <c r="N117" i="127" s="1"/>
  <c r="N118" i="127" s="1"/>
  <c r="N119" i="127" s="1"/>
  <c r="N120" i="127" s="1"/>
  <c r="N121" i="127" s="1"/>
  <c r="N122" i="127" s="1"/>
  <c r="N123" i="127" s="1"/>
  <c r="N124" i="127" s="1"/>
  <c r="N125" i="127" s="1"/>
  <c r="N126" i="127" s="1"/>
  <c r="N127" i="127" s="1"/>
  <c r="N128" i="127" s="1"/>
  <c r="N129" i="127" s="1"/>
  <c r="N130" i="127" s="1"/>
  <c r="N131" i="127" s="1"/>
  <c r="N132" i="127" s="1"/>
  <c r="N133" i="127" s="1"/>
  <c r="N134" i="127" s="1"/>
  <c r="N135" i="127" s="1"/>
  <c r="N136" i="127" s="1"/>
  <c r="N137" i="127" s="1"/>
  <c r="N138" i="127" s="1"/>
  <c r="N139" i="127" s="1"/>
  <c r="N140" i="127" s="1"/>
  <c r="N141" i="127" s="1"/>
  <c r="N142" i="127" s="1"/>
  <c r="N143" i="127" s="1"/>
  <c r="N144" i="127" s="1"/>
  <c r="N145" i="127" s="1"/>
  <c r="N146" i="127" s="1"/>
  <c r="N147" i="127" s="1"/>
  <c r="P148" i="127" s="1"/>
  <c r="R148" i="127" s="1"/>
  <c r="D40" i="1" l="1"/>
  <c r="D54" i="1" s="1"/>
  <c r="G80" i="1" s="1"/>
  <c r="E55" i="1" l="1"/>
  <c r="K49" i="1" s="1"/>
  <c r="E25" i="33" s="1"/>
  <c r="G14" i="33"/>
  <c r="E17" i="33" s="1"/>
  <c r="G82" i="1"/>
  <c r="H80" i="1" s="1"/>
  <c r="E15" i="33" l="1"/>
  <c r="E16" i="33" s="1"/>
  <c r="E52" i="33"/>
  <c r="E39" i="33"/>
  <c r="G56" i="1"/>
  <c r="I58" i="1" s="1"/>
  <c r="J58" i="1" s="1"/>
  <c r="K58" i="1" s="1"/>
  <c r="H77" i="1"/>
  <c r="H76" i="1"/>
  <c r="H79" i="1"/>
  <c r="H78" i="1"/>
  <c r="I76" i="1" l="1"/>
  <c r="J76" i="1" s="1"/>
  <c r="I77" i="1"/>
  <c r="J77" i="1" s="1"/>
  <c r="I80" i="1"/>
  <c r="K80" i="1" s="1"/>
  <c r="K82" i="1" s="1"/>
  <c r="I79" i="1"/>
  <c r="J79" i="1" s="1"/>
  <c r="I78" i="1"/>
  <c r="J78" i="1" s="1"/>
  <c r="H82" i="1"/>
  <c r="H81" i="1"/>
  <c r="J80" i="1" l="1"/>
  <c r="I81" i="1"/>
  <c r="I82" i="1" s="1"/>
  <c r="J81" i="1"/>
  <c r="J82" i="1"/>
  <c r="J59" i="1" l="1"/>
  <c r="J61" i="1" s="1"/>
  <c r="K59" i="1"/>
  <c r="K60" i="1" s="1"/>
  <c r="K61" i="1" s="1"/>
  <c r="O13" i="1" l="1"/>
  <c r="O14" i="1"/>
  <c r="P14" i="1"/>
  <c r="K62" i="1"/>
  <c r="K4" i="131" s="1"/>
  <c r="G24" i="33" l="1"/>
  <c r="D60" i="1"/>
  <c r="C50" i="33"/>
  <c r="G37" i="33"/>
  <c r="E50" i="33" l="1"/>
  <c r="G50" i="33"/>
  <c r="E53" i="33" s="1"/>
  <c r="E40" i="33"/>
  <c r="E41" i="33"/>
  <c r="E27" i="33"/>
  <c r="E26" i="33"/>
  <c r="F50" i="33" l="1"/>
  <c r="E54" i="33" s="1"/>
  <c r="I42" i="33" l="1"/>
  <c r="AG231" i="37" l="1"/>
  <c r="AH231" i="37" l="1" a="1"/>
  <c r="AH231" i="37" s="1"/>
  <c r="AL231" i="37" a="1"/>
  <c r="AL231" i="37" s="1"/>
  <c r="AD231" i="37"/>
  <c r="AJ231" i="37"/>
  <c r="AG38" i="37"/>
  <c r="AJ38" i="37" l="1"/>
  <c r="AD38" i="37"/>
  <c r="AG232" i="37"/>
  <c r="AH38" i="37" a="1"/>
  <c r="AH38" i="37" s="1"/>
  <c r="AL38" i="37" a="1"/>
  <c r="AL38" i="37" s="1"/>
  <c r="AI231" i="37" a="1"/>
  <c r="AI231" i="37" s="1"/>
  <c r="AM231" i="37" a="1"/>
  <c r="AM231" i="37" s="1"/>
  <c r="AJ232" i="37" l="1"/>
  <c r="AD232" i="37"/>
  <c r="AI232" i="37" s="1" a="1"/>
  <c r="AI232" i="37" s="1"/>
  <c r="AI38" i="37" a="1"/>
  <c r="AI38" i="37" s="1"/>
  <c r="AM38" i="37" a="1"/>
  <c r="AM38" i="37" s="1"/>
  <c r="AL232" i="37" a="1"/>
  <c r="AL232" i="37" s="1"/>
  <c r="AH232" i="37" a="1"/>
  <c r="AH232" i="37" s="1"/>
  <c r="AG84" i="37"/>
  <c r="AM232" i="37" l="1" a="1"/>
  <c r="AM232" i="37" s="1"/>
  <c r="AD84" i="37"/>
  <c r="AI84" i="37" s="1" a="1"/>
  <c r="AI84" i="37" s="1"/>
  <c r="AJ84" i="37"/>
  <c r="AG224" i="37"/>
  <c r="AH84" i="37" a="1"/>
  <c r="AH84" i="37" s="1"/>
  <c r="AL84" i="37" a="1"/>
  <c r="AL84" i="37" s="1"/>
  <c r="AM84" i="37" l="1" a="1"/>
  <c r="AM84" i="37" s="1"/>
  <c r="AH224" i="37" a="1"/>
  <c r="AH224" i="37" s="1"/>
  <c r="AL224" i="37" a="1"/>
  <c r="AL224" i="37" s="1"/>
  <c r="AG303" i="37"/>
  <c r="AD224" i="37"/>
  <c r="AI224" i="37" s="1" a="1"/>
  <c r="AI224" i="37" s="1"/>
  <c r="AJ224" i="37"/>
  <c r="AG225" i="37" l="1"/>
  <c r="AJ303" i="37"/>
  <c r="AD303" i="37"/>
  <c r="AI303" i="37" s="1" a="1"/>
  <c r="AI303" i="37" s="1"/>
  <c r="AL303" i="37" a="1"/>
  <c r="AL303" i="37" s="1"/>
  <c r="AH303" i="37" a="1"/>
  <c r="AH303" i="37" s="1"/>
  <c r="AM224" i="37" a="1"/>
  <c r="AM224" i="37" s="1"/>
  <c r="AE225" i="37" l="1" a="1"/>
  <c r="AE225" i="37" s="1"/>
  <c r="AF225" i="37"/>
  <c r="AH225" i="37" a="1"/>
  <c r="AH225" i="37" s="1"/>
  <c r="AL225" i="37" a="1"/>
  <c r="AL225" i="37" s="1"/>
  <c r="AM303" i="37" a="1"/>
  <c r="AM303" i="37" s="1"/>
  <c r="AG226" i="37"/>
  <c r="AD225" i="37"/>
  <c r="AI225" i="37" s="1" a="1"/>
  <c r="AI225" i="37" s="1"/>
  <c r="AJ225" i="37"/>
  <c r="AE226" i="37" l="1" a="1"/>
  <c r="AE226" i="37" s="1"/>
  <c r="AF226" i="37"/>
  <c r="AL226" i="37" a="1"/>
  <c r="AL226" i="37" s="1"/>
  <c r="AH226" i="37" a="1"/>
  <c r="AH226" i="37" s="1"/>
  <c r="AG227" i="37"/>
  <c r="AM225" i="37" a="1"/>
  <c r="AM225" i="37" s="1"/>
  <c r="AJ226" i="37"/>
  <c r="AD226" i="37"/>
  <c r="AI226" i="37" s="1" a="1"/>
  <c r="AI226" i="37" s="1"/>
  <c r="AE227" i="37" l="1" a="1"/>
  <c r="AE227" i="37" s="1"/>
  <c r="AF227" i="37"/>
  <c r="AD227" i="37"/>
  <c r="AI227" i="37" s="1" a="1"/>
  <c r="AI227" i="37" s="1"/>
  <c r="AJ227" i="37"/>
  <c r="AG65" i="37"/>
  <c r="AH227" i="37" a="1"/>
  <c r="AH227" i="37" s="1"/>
  <c r="AL227" i="37" a="1"/>
  <c r="AL227" i="37" s="1"/>
  <c r="AM226" i="37" a="1"/>
  <c r="AM226" i="37" s="1"/>
  <c r="AE65" i="37" l="1" a="1"/>
  <c r="AE65" i="37" s="1"/>
  <c r="AF65" i="37"/>
  <c r="AM227" i="37" a="1"/>
  <c r="AM227" i="37" s="1"/>
  <c r="AD65" i="37"/>
  <c r="AM65" i="37" s="1" a="1"/>
  <c r="AM65" i="37" s="1"/>
  <c r="AJ65" i="37"/>
  <c r="AG64" i="37"/>
  <c r="AL65" i="37" a="1"/>
  <c r="AL65" i="37" s="1"/>
  <c r="AH65" i="37" a="1"/>
  <c r="AH65" i="37" s="1"/>
  <c r="AE64" i="37" l="1" a="1"/>
  <c r="AE64" i="37" s="1"/>
  <c r="AF64" i="37"/>
  <c r="AI65" i="37" a="1"/>
  <c r="AI65" i="37" s="1"/>
  <c r="AD64" i="37"/>
  <c r="AI64" i="37" s="1" a="1"/>
  <c r="AI64" i="37" s="1"/>
  <c r="AJ64" i="37"/>
  <c r="AG62" i="37"/>
  <c r="AH64" i="37" a="1"/>
  <c r="AH64" i="37" s="1"/>
  <c r="AL64" i="37" a="1"/>
  <c r="AL64" i="37" s="1"/>
  <c r="AE62" i="37" l="1" a="1"/>
  <c r="AE62" i="37" s="1"/>
  <c r="AF62" i="37"/>
  <c r="AM64" i="37" a="1"/>
  <c r="AM64" i="37" s="1"/>
  <c r="AG162" i="37"/>
  <c r="AJ62" i="37"/>
  <c r="AD62" i="37"/>
  <c r="AI62" i="37" s="1" a="1"/>
  <c r="AI62" i="37" s="1"/>
  <c r="AH62" i="37" a="1"/>
  <c r="AH62" i="37" s="1"/>
  <c r="AL62" i="37" a="1"/>
  <c r="AL62" i="37" s="1"/>
  <c r="AE162" i="37" l="1" a="1"/>
  <c r="AE162" i="37" s="1"/>
  <c r="AF162" i="37"/>
  <c r="AM62" i="37" a="1"/>
  <c r="AM62" i="37" s="1"/>
  <c r="AJ162" i="37"/>
  <c r="AD162" i="37"/>
  <c r="AI162" i="37" s="1" a="1"/>
  <c r="AI162" i="37" s="1"/>
  <c r="AL162" i="37" a="1"/>
  <c r="AL162" i="37" s="1"/>
  <c r="AH162" i="37" a="1"/>
  <c r="AH162" i="37" s="1"/>
  <c r="AG163" i="37"/>
  <c r="AE163" i="37" l="1" a="1"/>
  <c r="AE163" i="37" s="1"/>
  <c r="AF163" i="37"/>
  <c r="AM162" i="37" a="1"/>
  <c r="AM162" i="37" s="1"/>
  <c r="AJ163" i="37"/>
  <c r="AD163" i="37"/>
  <c r="AI163" i="37" s="1" a="1"/>
  <c r="AI163" i="37" s="1"/>
  <c r="AG217" i="37"/>
  <c r="AL163" i="37" a="1"/>
  <c r="AL163" i="37" s="1"/>
  <c r="AH163" i="37" a="1"/>
  <c r="AH163" i="37" s="1"/>
  <c r="AE217" i="37" l="1" a="1"/>
  <c r="AE217" i="37" s="1"/>
  <c r="AF217" i="37"/>
  <c r="AM163" i="37" a="1"/>
  <c r="AM163" i="37" s="1"/>
  <c r="AL217" i="37" a="1"/>
  <c r="AL217" i="37" s="1"/>
  <c r="AH217" i="37" a="1"/>
  <c r="AH217" i="37" s="1"/>
  <c r="AJ217" i="37"/>
  <c r="AD217" i="37"/>
  <c r="AI217" i="37" s="1" a="1"/>
  <c r="AI217" i="37" s="1"/>
  <c r="AG237" i="37"/>
  <c r="AE237" i="37" l="1" a="1"/>
  <c r="AE237" i="37" s="1"/>
  <c r="AF237" i="37"/>
  <c r="AM217" i="37" a="1"/>
  <c r="AM217" i="37" s="1"/>
  <c r="AG238" i="37"/>
  <c r="AL237" i="37" a="1"/>
  <c r="AL237" i="37" s="1"/>
  <c r="AH237" i="37" a="1"/>
  <c r="AH237" i="37" s="1"/>
  <c r="AD237" i="37"/>
  <c r="AM237" i="37" s="1" a="1"/>
  <c r="AM237" i="37" s="1"/>
  <c r="AJ237" i="37"/>
  <c r="AE238" i="37" l="1" a="1"/>
  <c r="AE238" i="37" s="1"/>
  <c r="AF238" i="37"/>
  <c r="AI237" i="37" a="1"/>
  <c r="AI237" i="37" s="1"/>
  <c r="AL238" i="37" a="1"/>
  <c r="AL238" i="37" s="1"/>
  <c r="AH238" i="37" a="1"/>
  <c r="AH238" i="37" s="1"/>
  <c r="AG239" i="37"/>
  <c r="AD238" i="37"/>
  <c r="AM238" i="37" s="1" a="1"/>
  <c r="AM238" i="37" s="1"/>
  <c r="AJ238" i="37"/>
  <c r="AE239" i="37" l="1" a="1"/>
  <c r="AE239" i="37" s="1"/>
  <c r="AF239" i="37"/>
  <c r="AI238" i="37" a="1"/>
  <c r="AI238" i="37" s="1"/>
  <c r="AJ239" i="37"/>
  <c r="AD239" i="37"/>
  <c r="AM239" i="37" s="1" a="1"/>
  <c r="AM239" i="37" s="1"/>
  <c r="AG240" i="37"/>
  <c r="AL239" i="37" a="1"/>
  <c r="AL239" i="37" s="1"/>
  <c r="AH239" i="37" a="1"/>
  <c r="AH239" i="37" s="1"/>
  <c r="AE240" i="37" l="1" a="1"/>
  <c r="AE240" i="37" s="1"/>
  <c r="AF240" i="37"/>
  <c r="AI239" i="37" a="1"/>
  <c r="AI239" i="37" s="1"/>
  <c r="AJ240" i="37"/>
  <c r="AD240" i="37"/>
  <c r="AI240" i="37" s="1" a="1"/>
  <c r="AI240" i="37" s="1"/>
  <c r="AG241" i="37"/>
  <c r="AH240" i="37" a="1"/>
  <c r="AH240" i="37" s="1"/>
  <c r="AL240" i="37" a="1"/>
  <c r="AL240" i="37" s="1"/>
  <c r="AE241" i="37" l="1" a="1"/>
  <c r="AE241" i="37" s="1"/>
  <c r="AF241" i="37"/>
  <c r="AM240" i="37" a="1"/>
  <c r="AM240" i="37" s="1"/>
  <c r="AJ241" i="37"/>
  <c r="AD241" i="37"/>
  <c r="AI241" i="37" s="1" a="1"/>
  <c r="AI241" i="37" s="1"/>
  <c r="AG242" i="37"/>
  <c r="AH241" i="37" a="1"/>
  <c r="AH241" i="37" s="1"/>
  <c r="AL241" i="37" a="1"/>
  <c r="AL241" i="37" s="1"/>
  <c r="AE242" i="37" l="1" a="1"/>
  <c r="AE242" i="37" s="1"/>
  <c r="AF242" i="37"/>
  <c r="AM241" i="37" a="1"/>
  <c r="AM241" i="37" s="1"/>
  <c r="AG243" i="37"/>
  <c r="AD242" i="37"/>
  <c r="AM242" i="37" s="1" a="1"/>
  <c r="AM242" i="37" s="1"/>
  <c r="AJ242" i="37"/>
  <c r="AL242" i="37" a="1"/>
  <c r="AL242" i="37" s="1"/>
  <c r="AH242" i="37" a="1"/>
  <c r="AH242" i="37" s="1"/>
  <c r="AE243" i="37" l="1" a="1"/>
  <c r="AE243" i="37" s="1"/>
  <c r="AF243" i="37"/>
  <c r="AI242" i="37" a="1"/>
  <c r="AI242" i="37" s="1"/>
  <c r="AL243" i="37" a="1"/>
  <c r="AL243" i="37" s="1"/>
  <c r="AH243" i="37" a="1"/>
  <c r="AH243" i="37" s="1"/>
  <c r="AD243" i="37"/>
  <c r="AM243" i="37" s="1" a="1"/>
  <c r="AM243" i="37" s="1"/>
  <c r="AJ243" i="37"/>
  <c r="AG244" i="37"/>
  <c r="AE244" i="37" l="1" a="1"/>
  <c r="AE244" i="37" s="1"/>
  <c r="AF244" i="37"/>
  <c r="AI243" i="37" a="1"/>
  <c r="AI243" i="37" s="1"/>
  <c r="AL244" i="37" a="1"/>
  <c r="AL244" i="37" s="1"/>
  <c r="AH244" i="37" a="1"/>
  <c r="AH244" i="37" s="1"/>
  <c r="AG245" i="37"/>
  <c r="AJ244" i="37"/>
  <c r="AD244" i="37"/>
  <c r="AM244" i="37" s="1" a="1"/>
  <c r="AM244" i="37" s="1"/>
  <c r="AE245" i="37" l="1" a="1"/>
  <c r="AE245" i="37" s="1"/>
  <c r="AF245" i="37"/>
  <c r="AD245" i="37"/>
  <c r="AI245" i="37" s="1" a="1"/>
  <c r="AI245" i="37" s="1"/>
  <c r="AJ245" i="37"/>
  <c r="AG246" i="37"/>
  <c r="AI244" i="37" a="1"/>
  <c r="AI244" i="37" s="1"/>
  <c r="AL245" i="37" a="1"/>
  <c r="AL245" i="37" s="1"/>
  <c r="AH245" i="37" a="1"/>
  <c r="AH245" i="37" s="1"/>
  <c r="AE246" i="37" l="1" a="1"/>
  <c r="AE246" i="37" s="1"/>
  <c r="AF246" i="37"/>
  <c r="AM245" i="37" a="1"/>
  <c r="AM245" i="37" s="1"/>
  <c r="AL246" i="37" a="1"/>
  <c r="AL246" i="37" s="1"/>
  <c r="AH246" i="37" a="1"/>
  <c r="AH246" i="37" s="1"/>
  <c r="AJ246" i="37"/>
  <c r="AD246" i="37"/>
  <c r="AM246" i="37" s="1" a="1"/>
  <c r="AM246" i="37" s="1"/>
  <c r="AG247" i="37"/>
  <c r="AE247" i="37" l="1" a="1"/>
  <c r="AE247" i="37" s="1"/>
  <c r="AF247" i="37"/>
  <c r="AG248" i="37"/>
  <c r="AI246" i="37" a="1"/>
  <c r="AI246" i="37" s="1"/>
  <c r="AD247" i="37"/>
  <c r="AI247" i="37" s="1" a="1"/>
  <c r="AI247" i="37" s="1"/>
  <c r="AJ247" i="37"/>
  <c r="AL247" i="37" a="1"/>
  <c r="AL247" i="37" s="1"/>
  <c r="AH247" i="37" a="1"/>
  <c r="AH247" i="37" s="1"/>
  <c r="AE248" i="37" l="1" a="1"/>
  <c r="AE248" i="37" s="1"/>
  <c r="AF248" i="37"/>
  <c r="AM247" i="37" a="1"/>
  <c r="AM247" i="37" s="1"/>
  <c r="AJ248" i="37"/>
  <c r="AD248" i="37"/>
  <c r="AI248" i="37" s="1" a="1"/>
  <c r="AI248" i="37" s="1"/>
  <c r="AL248" i="37" a="1"/>
  <c r="AL248" i="37" s="1"/>
  <c r="AH248" i="37" a="1"/>
  <c r="AH248" i="37" s="1"/>
  <c r="AG249" i="37"/>
  <c r="AE249" i="37" l="1" a="1"/>
  <c r="AE249" i="37" s="1"/>
  <c r="AF249" i="37"/>
  <c r="AM248" i="37" a="1"/>
  <c r="AM248" i="37" s="1"/>
  <c r="AG250" i="37"/>
  <c r="AD249" i="37"/>
  <c r="AI249" i="37" s="1" a="1"/>
  <c r="AI249" i="37" s="1"/>
  <c r="AJ249" i="37"/>
  <c r="AH249" i="37" a="1"/>
  <c r="AH249" i="37" s="1"/>
  <c r="AL249" i="37" a="1"/>
  <c r="AL249" i="37" s="1"/>
  <c r="AE250" i="37" l="1" a="1"/>
  <c r="AE250" i="37" s="1"/>
  <c r="AF250" i="37"/>
  <c r="AM249" i="37" a="1"/>
  <c r="AM249" i="37" s="1"/>
  <c r="AG251" i="37"/>
  <c r="AD250" i="37"/>
  <c r="AM250" i="37" s="1" a="1"/>
  <c r="AM250" i="37" s="1"/>
  <c r="AJ250" i="37"/>
  <c r="AH250" i="37" a="1"/>
  <c r="AH250" i="37" s="1"/>
  <c r="AL250" i="37" a="1"/>
  <c r="AL250" i="37" s="1"/>
  <c r="AE251" i="37" l="1" a="1"/>
  <c r="AE251" i="37" s="1"/>
  <c r="AF251" i="37"/>
  <c r="AI250" i="37" a="1"/>
  <c r="AI250" i="37" s="1"/>
  <c r="AL251" i="37" a="1"/>
  <c r="AL251" i="37" s="1"/>
  <c r="AH251" i="37" a="1"/>
  <c r="AH251" i="37" s="1"/>
  <c r="AJ251" i="37"/>
  <c r="AD251" i="37"/>
  <c r="AI251" i="37" s="1" a="1"/>
  <c r="AI251" i="37" s="1"/>
  <c r="AG252" i="37"/>
  <c r="AE252" i="37" l="1" a="1"/>
  <c r="AE252" i="37" s="1"/>
  <c r="AF252" i="37"/>
  <c r="AH252" i="37" a="1"/>
  <c r="AH252" i="37" s="1"/>
  <c r="AL252" i="37" a="1"/>
  <c r="AL252" i="37" s="1"/>
  <c r="AG253" i="37"/>
  <c r="AM251" i="37" a="1"/>
  <c r="AM251" i="37" s="1"/>
  <c r="AJ252" i="37"/>
  <c r="AD252" i="37"/>
  <c r="AM252" i="37" s="1" a="1"/>
  <c r="AM252" i="37" s="1"/>
  <c r="AE253" i="37" l="1" a="1"/>
  <c r="AE253" i="37" s="1"/>
  <c r="AF253" i="37"/>
  <c r="AG254" i="37"/>
  <c r="AH253" i="37" a="1"/>
  <c r="AH253" i="37" s="1"/>
  <c r="AL253" i="37" a="1"/>
  <c r="AL253" i="37" s="1"/>
  <c r="AJ253" i="37"/>
  <c r="AD253" i="37"/>
  <c r="AM253" i="37" s="1" a="1"/>
  <c r="AM253" i="37" s="1"/>
  <c r="AI252" i="37" a="1"/>
  <c r="AI252" i="37" s="1"/>
  <c r="AE254" i="37" l="1" a="1"/>
  <c r="AE254" i="37" s="1"/>
  <c r="AF254" i="37"/>
  <c r="AI253" i="37" a="1"/>
  <c r="AI253" i="37" s="1"/>
  <c r="AG255" i="37"/>
  <c r="AJ254" i="37"/>
  <c r="AD254" i="37"/>
  <c r="AM254" i="37" s="1" a="1"/>
  <c r="AM254" i="37" s="1"/>
  <c r="AL254" i="37" a="1"/>
  <c r="AL254" i="37" s="1"/>
  <c r="AH254" i="37" a="1"/>
  <c r="AH254" i="37" s="1"/>
  <c r="AE255" i="37" l="1" a="1"/>
  <c r="AE255" i="37" s="1"/>
  <c r="AF255" i="37"/>
  <c r="AI254" i="37" a="1"/>
  <c r="AI254" i="37" s="1"/>
  <c r="AJ255" i="37"/>
  <c r="AD255" i="37"/>
  <c r="AM255" i="37" s="1" a="1"/>
  <c r="AM255" i="37" s="1"/>
  <c r="AG256" i="37"/>
  <c r="AL255" i="37" a="1"/>
  <c r="AL255" i="37" s="1"/>
  <c r="AH255" i="37" a="1"/>
  <c r="AH255" i="37" s="1"/>
  <c r="AE256" i="37" l="1" a="1"/>
  <c r="AE256" i="37" s="1"/>
  <c r="AF256" i="37"/>
  <c r="AI255" i="37" a="1"/>
  <c r="AI255" i="37" s="1"/>
  <c r="AJ256" i="37"/>
  <c r="AD256" i="37"/>
  <c r="AI256" i="37" s="1" a="1"/>
  <c r="AI256" i="37" s="1"/>
  <c r="AH256" i="37" a="1"/>
  <c r="AH256" i="37" s="1"/>
  <c r="AL256" i="37" a="1"/>
  <c r="AL256" i="37" s="1"/>
  <c r="AG257" i="37"/>
  <c r="AE257" i="37" l="1" a="1"/>
  <c r="AE257" i="37" s="1"/>
  <c r="AF257" i="37"/>
  <c r="AM256" i="37" a="1"/>
  <c r="AM256" i="37" s="1"/>
  <c r="AD257" i="37"/>
  <c r="AI257" i="37" s="1" a="1"/>
  <c r="AI257" i="37" s="1"/>
  <c r="AJ257" i="37"/>
  <c r="AH257" i="37" a="1"/>
  <c r="AH257" i="37" s="1"/>
  <c r="AL257" i="37" a="1"/>
  <c r="AL257" i="37" s="1"/>
  <c r="AG258" i="37"/>
  <c r="AE258" i="37" l="1" a="1"/>
  <c r="AE258" i="37" s="1"/>
  <c r="AF258" i="37"/>
  <c r="AJ258" i="37"/>
  <c r="AD258" i="37"/>
  <c r="AI258" i="37" s="1" a="1"/>
  <c r="AI258" i="37" s="1"/>
  <c r="AM257" i="37" a="1"/>
  <c r="AM257" i="37" s="1"/>
  <c r="AG259" i="37"/>
  <c r="AL258" i="37" a="1"/>
  <c r="AL258" i="37" s="1"/>
  <c r="AH258" i="37" a="1"/>
  <c r="AH258" i="37" s="1"/>
  <c r="AE259" i="37" l="1" a="1"/>
  <c r="AE259" i="37" s="1"/>
  <c r="AF259" i="37"/>
  <c r="AM258" i="37" a="1"/>
  <c r="AM258" i="37" s="1"/>
  <c r="AH259" i="37" a="1"/>
  <c r="AH259" i="37" s="1"/>
  <c r="AL259" i="37" a="1"/>
  <c r="AL259" i="37" s="1"/>
  <c r="AD259" i="37"/>
  <c r="AM259" i="37" s="1" a="1"/>
  <c r="AM259" i="37" s="1"/>
  <c r="AJ259" i="37"/>
  <c r="AG260" i="37"/>
  <c r="AE260" i="37" l="1" a="1"/>
  <c r="AE260" i="37" s="1"/>
  <c r="AF260" i="37"/>
  <c r="AI259" i="37" a="1"/>
  <c r="AI259" i="37" s="1"/>
  <c r="AG261" i="37"/>
  <c r="AD260" i="37"/>
  <c r="AI260" i="37" s="1" a="1"/>
  <c r="AI260" i="37" s="1"/>
  <c r="AJ260" i="37"/>
  <c r="AL260" i="37" a="1"/>
  <c r="AL260" i="37" s="1"/>
  <c r="AH260" i="37" a="1"/>
  <c r="AH260" i="37" s="1"/>
  <c r="AE261" i="37" l="1" a="1"/>
  <c r="AE261" i="37" s="1"/>
  <c r="AF261" i="37"/>
  <c r="AJ261" i="37"/>
  <c r="AD261" i="37"/>
  <c r="AM261" i="37" s="1" a="1"/>
  <c r="AM261" i="37" s="1"/>
  <c r="AM260" i="37" a="1"/>
  <c r="AM260" i="37" s="1"/>
  <c r="AH261" i="37" a="1"/>
  <c r="AH261" i="37" s="1"/>
  <c r="AL261" i="37" a="1"/>
  <c r="AL261" i="37" s="1"/>
  <c r="AG262" i="37"/>
  <c r="AE262" i="37" l="1" a="1"/>
  <c r="AE262" i="37" s="1"/>
  <c r="AF262" i="37"/>
  <c r="AJ262" i="37"/>
  <c r="AD262" i="37"/>
  <c r="AM262" i="37" s="1" a="1"/>
  <c r="AM262" i="37" s="1"/>
  <c r="AI261" i="37" a="1"/>
  <c r="AI261" i="37" s="1"/>
  <c r="AG263" i="37"/>
  <c r="AH262" i="37" a="1"/>
  <c r="AH262" i="37" s="1"/>
  <c r="AL262" i="37" a="1"/>
  <c r="AL262" i="37" s="1"/>
  <c r="AE263" i="37" l="1" a="1"/>
  <c r="AE263" i="37" s="1"/>
  <c r="AF263" i="37"/>
  <c r="AI262" i="37" a="1"/>
  <c r="AI262" i="37" s="1"/>
  <c r="AG264" i="37"/>
  <c r="AL263" i="37" a="1"/>
  <c r="AL263" i="37" s="1"/>
  <c r="AH263" i="37" a="1"/>
  <c r="AH263" i="37" s="1"/>
  <c r="AJ263" i="37"/>
  <c r="AD263" i="37"/>
  <c r="AM263" i="37" s="1" a="1"/>
  <c r="AM263" i="37" s="1"/>
  <c r="AE264" i="37" l="1" a="1"/>
  <c r="AE264" i="37" s="1"/>
  <c r="AF264" i="37"/>
  <c r="AI263" i="37" a="1"/>
  <c r="AI263" i="37" s="1"/>
  <c r="AL264" i="37" a="1"/>
  <c r="AL264" i="37" s="1"/>
  <c r="AH264" i="37" a="1"/>
  <c r="AH264" i="37" s="1"/>
  <c r="AJ264" i="37"/>
  <c r="AD264" i="37"/>
  <c r="AM264" i="37" s="1" a="1"/>
  <c r="AM264" i="37" s="1"/>
  <c r="AG265" i="37"/>
  <c r="AE265" i="37" l="1" a="1"/>
  <c r="AE265" i="37" s="1"/>
  <c r="AF265" i="37"/>
  <c r="AG266" i="37"/>
  <c r="AI264" i="37" a="1"/>
  <c r="AI264" i="37" s="1"/>
  <c r="AD265" i="37"/>
  <c r="AM265" i="37" s="1" a="1"/>
  <c r="AM265" i="37" s="1"/>
  <c r="AJ265" i="37"/>
  <c r="AL265" i="37" a="1"/>
  <c r="AL265" i="37" s="1"/>
  <c r="AH265" i="37" a="1"/>
  <c r="AH265" i="37" s="1"/>
  <c r="AE266" i="37" l="1" a="1"/>
  <c r="AE266" i="37" s="1"/>
  <c r="AF266" i="37"/>
  <c r="AI265" i="37" a="1"/>
  <c r="AI265" i="37" s="1"/>
  <c r="AD266" i="37"/>
  <c r="AI266" i="37" s="1" a="1"/>
  <c r="AI266" i="37" s="1"/>
  <c r="AJ266" i="37"/>
  <c r="AG267" i="37"/>
  <c r="AL266" i="37" a="1"/>
  <c r="AL266" i="37" s="1"/>
  <c r="AH266" i="37" a="1"/>
  <c r="AH266" i="37" s="1"/>
  <c r="AE267" i="37" l="1" a="1"/>
  <c r="AE267" i="37" s="1"/>
  <c r="AF267" i="37"/>
  <c r="AM266" i="37" a="1"/>
  <c r="AM266" i="37" s="1"/>
  <c r="AJ267" i="37"/>
  <c r="AD267" i="37"/>
  <c r="AI267" i="37" s="1" a="1"/>
  <c r="AI267" i="37" s="1"/>
  <c r="AL267" i="37" a="1"/>
  <c r="AL267" i="37" s="1"/>
  <c r="AH267" i="37" a="1"/>
  <c r="AH267" i="37" s="1"/>
  <c r="AG268" i="37"/>
  <c r="AE268" i="37" l="1" a="1"/>
  <c r="AE268" i="37" s="1"/>
  <c r="AF268" i="37"/>
  <c r="AM267" i="37" a="1"/>
  <c r="AM267" i="37" s="1"/>
  <c r="AG269" i="37"/>
  <c r="AH268" i="37" a="1"/>
  <c r="AH268" i="37" s="1"/>
  <c r="AL268" i="37" a="1"/>
  <c r="AL268" i="37" s="1"/>
  <c r="AJ268" i="37"/>
  <c r="AD268" i="37"/>
  <c r="AM268" i="37" s="1" a="1"/>
  <c r="AM268" i="37" s="1"/>
  <c r="AI268" i="37" l="1" a="1"/>
  <c r="AI268" i="37" s="1"/>
  <c r="AE269" i="37" a="1"/>
  <c r="AE269" i="37" s="1"/>
  <c r="AF269" i="37"/>
  <c r="AH269" i="37" a="1"/>
  <c r="AH269" i="37" s="1"/>
  <c r="AL269" i="37" a="1"/>
  <c r="AL269" i="37" s="1"/>
  <c r="AG270" i="37"/>
  <c r="AD269" i="37"/>
  <c r="AM269" i="37" s="1" a="1"/>
  <c r="AM269" i="37" s="1"/>
  <c r="AJ269" i="37"/>
  <c r="AE270" i="37" l="1" a="1"/>
  <c r="AE270" i="37" s="1"/>
  <c r="AF270" i="37"/>
  <c r="AI269" i="37" a="1"/>
  <c r="AI269" i="37" s="1"/>
  <c r="AL270" i="37" a="1"/>
  <c r="AL270" i="37" s="1"/>
  <c r="AH270" i="37" a="1"/>
  <c r="AH270" i="37" s="1"/>
  <c r="AG271" i="37"/>
  <c r="AD270" i="37"/>
  <c r="AM270" i="37" s="1" a="1"/>
  <c r="AM270" i="37" s="1"/>
  <c r="AJ270" i="37"/>
  <c r="AE271" i="37" l="1" a="1"/>
  <c r="AE271" i="37" s="1"/>
  <c r="AF271" i="37"/>
  <c r="AI270" i="37" a="1"/>
  <c r="AI270" i="37" s="1"/>
  <c r="AJ271" i="37"/>
  <c r="AD271" i="37"/>
  <c r="AI271" i="37" s="1" a="1"/>
  <c r="AI271" i="37" s="1"/>
  <c r="AG272" i="37"/>
  <c r="AL271" i="37" a="1"/>
  <c r="AL271" i="37" s="1"/>
  <c r="AH271" i="37" a="1"/>
  <c r="AH271" i="37" s="1"/>
  <c r="AE272" i="37" l="1" a="1"/>
  <c r="AE272" i="37" s="1"/>
  <c r="AF272" i="37"/>
  <c r="AM271" i="37" a="1"/>
  <c r="AM271" i="37" s="1"/>
  <c r="AG273" i="37"/>
  <c r="AJ272" i="37"/>
  <c r="AD272" i="37"/>
  <c r="AM272" i="37" s="1" a="1"/>
  <c r="AM272" i="37" s="1"/>
  <c r="AL272" i="37" a="1"/>
  <c r="AL272" i="37" s="1"/>
  <c r="AH272" i="37" a="1"/>
  <c r="AH272" i="37" s="1"/>
  <c r="AE273" i="37" l="1" a="1"/>
  <c r="AE273" i="37" s="1"/>
  <c r="AF273" i="37"/>
  <c r="AI272" i="37" a="1"/>
  <c r="AI272" i="37" s="1"/>
  <c r="AL273" i="37" a="1"/>
  <c r="AL273" i="37" s="1"/>
  <c r="AH273" i="37" a="1"/>
  <c r="AH273" i="37" s="1"/>
  <c r="AJ273" i="37"/>
  <c r="AD273" i="37"/>
  <c r="AM273" i="37" s="1" a="1"/>
  <c r="AM273" i="37" s="1"/>
  <c r="AG274" i="37"/>
  <c r="AE274" i="37" l="1" a="1"/>
  <c r="AE274" i="37" s="1"/>
  <c r="AF274" i="37"/>
  <c r="AJ274" i="37"/>
  <c r="AD274" i="37"/>
  <c r="AI274" i="37" s="1" a="1"/>
  <c r="AI274" i="37" s="1"/>
  <c r="AI273" i="37" a="1"/>
  <c r="AI273" i="37" s="1"/>
  <c r="AG275" i="37"/>
  <c r="AL274" i="37" a="1"/>
  <c r="AL274" i="37" s="1"/>
  <c r="AH274" i="37" a="1"/>
  <c r="AH274" i="37" s="1"/>
  <c r="AE275" i="37" l="1" a="1"/>
  <c r="AE275" i="37" s="1"/>
  <c r="AF275" i="37"/>
  <c r="AM274" i="37" a="1"/>
  <c r="AM274" i="37" s="1"/>
  <c r="AG276" i="37"/>
  <c r="AJ275" i="37"/>
  <c r="AD275" i="37"/>
  <c r="AI275" i="37" s="1" a="1"/>
  <c r="AI275" i="37" s="1"/>
  <c r="AL275" i="37" a="1"/>
  <c r="AL275" i="37" s="1"/>
  <c r="AH275" i="37" a="1"/>
  <c r="AH275" i="37" s="1"/>
  <c r="AE276" i="37" l="1" a="1"/>
  <c r="AE276" i="37" s="1"/>
  <c r="AF276" i="37"/>
  <c r="AM275" i="37" a="1"/>
  <c r="AM275" i="37" s="1"/>
  <c r="AD276" i="37"/>
  <c r="AI276" i="37" s="1" a="1"/>
  <c r="AI276" i="37" s="1"/>
  <c r="AJ276" i="37"/>
  <c r="AG277" i="37"/>
  <c r="AH276" i="37" a="1"/>
  <c r="AH276" i="37" s="1"/>
  <c r="AL276" i="37" a="1"/>
  <c r="AL276" i="37" s="1"/>
  <c r="AE277" i="37" l="1" a="1"/>
  <c r="AE277" i="37" s="1"/>
  <c r="AF277" i="37"/>
  <c r="AM276" i="37" a="1"/>
  <c r="AM276" i="37" s="1"/>
  <c r="AJ277" i="37"/>
  <c r="AD277" i="37"/>
  <c r="AI277" i="37" s="1" a="1"/>
  <c r="AI277" i="37" s="1"/>
  <c r="AG278" i="37"/>
  <c r="AL277" i="37" a="1"/>
  <c r="AL277" i="37" s="1"/>
  <c r="AH277" i="37" a="1"/>
  <c r="AH277" i="37" s="1"/>
  <c r="AE278" i="37" l="1" a="1"/>
  <c r="AE278" i="37" s="1"/>
  <c r="AF278" i="37"/>
  <c r="AM277" i="37" a="1"/>
  <c r="AM277" i="37" s="1"/>
  <c r="AL278" i="37" a="1"/>
  <c r="AL278" i="37" s="1"/>
  <c r="AH278" i="37" a="1"/>
  <c r="AH278" i="37" s="1"/>
  <c r="AJ278" i="37"/>
  <c r="AD278" i="37"/>
  <c r="AM278" i="37" s="1" a="1"/>
  <c r="AM278" i="37" s="1"/>
  <c r="AG279" i="37"/>
  <c r="AE279" i="37" l="1" a="1"/>
  <c r="AE279" i="37" s="1"/>
  <c r="AF279" i="37"/>
  <c r="AG280" i="37"/>
  <c r="AI278" i="37" a="1"/>
  <c r="AI278" i="37" s="1"/>
  <c r="AL279" i="37" a="1"/>
  <c r="AL279" i="37" s="1"/>
  <c r="AH279" i="37" a="1"/>
  <c r="AH279" i="37" s="1"/>
  <c r="AJ279" i="37"/>
  <c r="AD279" i="37"/>
  <c r="AI279" i="37" s="1" a="1"/>
  <c r="AI279" i="37" s="1"/>
  <c r="AE280" i="37" l="1" a="1"/>
  <c r="AE280" i="37" s="1"/>
  <c r="AF280" i="37"/>
  <c r="AM279" i="37" a="1"/>
  <c r="AM279" i="37" s="1"/>
  <c r="AL280" i="37" a="1"/>
  <c r="AL280" i="37" s="1"/>
  <c r="AH280" i="37" a="1"/>
  <c r="AH280" i="37" s="1"/>
  <c r="AJ280" i="37"/>
  <c r="AD280" i="37"/>
  <c r="AI280" i="37" s="1" a="1"/>
  <c r="AI280" i="37" s="1"/>
  <c r="AG281" i="37"/>
  <c r="AE281" i="37" l="1" a="1"/>
  <c r="AE281" i="37" s="1"/>
  <c r="AF281" i="37"/>
  <c r="AJ281" i="37"/>
  <c r="AD281" i="37"/>
  <c r="AI281" i="37" s="1" a="1"/>
  <c r="AI281" i="37" s="1"/>
  <c r="AM280" i="37" a="1"/>
  <c r="AM280" i="37" s="1"/>
  <c r="AG282" i="37"/>
  <c r="AH281" i="37" a="1"/>
  <c r="AH281" i="37" s="1"/>
  <c r="AL281" i="37" a="1"/>
  <c r="AL281" i="37" s="1"/>
  <c r="AE282" i="37" l="1" a="1"/>
  <c r="AE282" i="37" s="1"/>
  <c r="AF282" i="37"/>
  <c r="AM281" i="37" a="1"/>
  <c r="AM281" i="37" s="1"/>
  <c r="AJ282" i="37"/>
  <c r="AD282" i="37"/>
  <c r="AI282" i="37" s="1" a="1"/>
  <c r="AI282" i="37" s="1"/>
  <c r="AH282" i="37" a="1"/>
  <c r="AH282" i="37" s="1"/>
  <c r="AL282" i="37" a="1"/>
  <c r="AL282" i="37" s="1"/>
  <c r="AG283" i="37"/>
  <c r="AM282" i="37" l="1" a="1"/>
  <c r="AM282" i="37" s="1"/>
  <c r="AE283" i="37" a="1"/>
  <c r="AE283" i="37" s="1"/>
  <c r="AF283" i="37"/>
  <c r="AD283" i="37"/>
  <c r="AI283" i="37" s="1" a="1"/>
  <c r="AI283" i="37" s="1"/>
  <c r="AJ283" i="37"/>
  <c r="AH283" i="37" a="1"/>
  <c r="AH283" i="37" s="1"/>
  <c r="AL283" i="37" a="1"/>
  <c r="AL283" i="37" s="1"/>
  <c r="AG284" i="37"/>
  <c r="AE284" i="37" l="1" a="1"/>
  <c r="AE284" i="37" s="1"/>
  <c r="AF284" i="37"/>
  <c r="AM283" i="37" a="1"/>
  <c r="AM283" i="37" s="1"/>
  <c r="AD284" i="37"/>
  <c r="AI284" i="37" s="1" a="1"/>
  <c r="AI284" i="37" s="1"/>
  <c r="AJ284" i="37"/>
  <c r="AL284" i="37" a="1"/>
  <c r="AL284" i="37" s="1"/>
  <c r="AH284" i="37" a="1"/>
  <c r="AH284" i="37" s="1"/>
  <c r="AG285" i="37"/>
  <c r="AE285" i="37" l="1" a="1"/>
  <c r="AE285" i="37" s="1"/>
  <c r="AF285" i="37"/>
  <c r="AM284" i="37" a="1"/>
  <c r="AM284" i="37" s="1"/>
  <c r="AL285" i="37" a="1"/>
  <c r="AL285" i="37" s="1"/>
  <c r="AH285" i="37" a="1"/>
  <c r="AH285" i="37" s="1"/>
  <c r="AD285" i="37"/>
  <c r="AI285" i="37" s="1" a="1"/>
  <c r="AI285" i="37" s="1"/>
  <c r="AJ285" i="37"/>
  <c r="AG286" i="37"/>
  <c r="AE286" i="37" l="1" a="1"/>
  <c r="AE286" i="37" s="1"/>
  <c r="AF286" i="37"/>
  <c r="AM285" i="37" a="1"/>
  <c r="AM285" i="37" s="1"/>
  <c r="AG287" i="37"/>
  <c r="AK280" i="37"/>
  <c r="AK286" i="37"/>
  <c r="AJ286" i="37"/>
  <c r="AD286" i="37"/>
  <c r="AI286" i="37" s="1" a="1"/>
  <c r="AI286" i="37" s="1"/>
  <c r="AK285" i="37"/>
  <c r="AH286" i="37" a="1"/>
  <c r="AH286" i="37" s="1"/>
  <c r="AL286" i="37" a="1"/>
  <c r="AL286" i="37" s="1"/>
  <c r="AE287" i="37" l="1" a="1"/>
  <c r="AE287" i="37" s="1"/>
  <c r="AF287" i="37"/>
  <c r="AM286" i="37" a="1"/>
  <c r="AM286" i="37" s="1"/>
  <c r="AJ287" i="37"/>
  <c r="AK287" i="37"/>
  <c r="AD287" i="37"/>
  <c r="AI287" i="37" s="1" a="1"/>
  <c r="AI287" i="37" s="1"/>
  <c r="AG301" i="37"/>
  <c r="AL230" i="37" s="1" a="1"/>
  <c r="AL230" i="37" s="1"/>
  <c r="AK231" i="37"/>
  <c r="AK114" i="37"/>
  <c r="AK93" i="37"/>
  <c r="AK230" i="37"/>
  <c r="AK299" i="37"/>
  <c r="AK293" i="37"/>
  <c r="AK71" i="37"/>
  <c r="AK235" i="37"/>
  <c r="AK180" i="37"/>
  <c r="AK298" i="37"/>
  <c r="AK291" i="37"/>
  <c r="AK289" i="37"/>
  <c r="AK295" i="37"/>
  <c r="AK155" i="37"/>
  <c r="AK92" i="37"/>
  <c r="AK288" i="37"/>
  <c r="AK290" i="37"/>
  <c r="AK37" i="37"/>
  <c r="AK236" i="37"/>
  <c r="AK213" i="37"/>
  <c r="AK292" i="37"/>
  <c r="AK300" i="37"/>
  <c r="AK38" i="37"/>
  <c r="AK232" i="37"/>
  <c r="AK84" i="37"/>
  <c r="AK225" i="37"/>
  <c r="AK224" i="37"/>
  <c r="AK227" i="37"/>
  <c r="AK303" i="37"/>
  <c r="AK226" i="37"/>
  <c r="AK65" i="37"/>
  <c r="AK162" i="37"/>
  <c r="AK64" i="37"/>
  <c r="AK62" i="37"/>
  <c r="AK217" i="37"/>
  <c r="AK163" i="37"/>
  <c r="AK237" i="37"/>
  <c r="AK238" i="37"/>
  <c r="AK239" i="37"/>
  <c r="AK240" i="37"/>
  <c r="AK242" i="37"/>
  <c r="AK241" i="37"/>
  <c r="AK246" i="37"/>
  <c r="AK243" i="37"/>
  <c r="AK244" i="37"/>
  <c r="AK245" i="37"/>
  <c r="AK247" i="37"/>
  <c r="AK248" i="37"/>
  <c r="AK251" i="37"/>
  <c r="AK255" i="37"/>
  <c r="AK250" i="37"/>
  <c r="AK249" i="37"/>
  <c r="AK254" i="37"/>
  <c r="AK252" i="37"/>
  <c r="AK253" i="37"/>
  <c r="AK256" i="37"/>
  <c r="AK258" i="37"/>
  <c r="AK257" i="37"/>
  <c r="AK261" i="37"/>
  <c r="AK259" i="37"/>
  <c r="AK260" i="37"/>
  <c r="AK263" i="37"/>
  <c r="AK262" i="37"/>
  <c r="AK265" i="37"/>
  <c r="AK264" i="37"/>
  <c r="AK267" i="37"/>
  <c r="AK266" i="37"/>
  <c r="AK268" i="37"/>
  <c r="AK271" i="37"/>
  <c r="AK270" i="37"/>
  <c r="AK269" i="37"/>
  <c r="AK273" i="37"/>
  <c r="AK272" i="37"/>
  <c r="AK274" i="37"/>
  <c r="AK275" i="37"/>
  <c r="AK277" i="37"/>
  <c r="AK276" i="37"/>
  <c r="AK278" i="37"/>
  <c r="AK283" i="37"/>
  <c r="AK284" i="37"/>
  <c r="AK279" i="37"/>
  <c r="AK281" i="37"/>
  <c r="AH287" i="37" a="1"/>
  <c r="AH287" i="37" s="1"/>
  <c r="AL287" i="37" a="1"/>
  <c r="AL287" i="37" s="1"/>
  <c r="AK282" i="37"/>
  <c r="AL25" i="37" l="1" a="1"/>
  <c r="AL25" i="37" s="1"/>
  <c r="AL235" i="37" a="1"/>
  <c r="AL235" i="37" s="1"/>
  <c r="AE289" i="37" a="1"/>
  <c r="AE289" i="37" s="1"/>
  <c r="AF289" i="37"/>
  <c r="AE300" i="37" a="1"/>
  <c r="AE300" i="37" s="1"/>
  <c r="AF300" i="37"/>
  <c r="AE93" i="37" a="1"/>
  <c r="AE93" i="37" s="1"/>
  <c r="AE92" i="37" a="1"/>
  <c r="AE92" i="37" s="1"/>
  <c r="AE155" i="37" a="1"/>
  <c r="AE155" i="37" s="1"/>
  <c r="AE230" i="37" a="1"/>
  <c r="AE230" i="37" s="1"/>
  <c r="AF93" i="37"/>
  <c r="AE235" i="37" a="1"/>
  <c r="AE235" i="37" s="1"/>
  <c r="AE231" i="37" a="1"/>
  <c r="AE231" i="37" s="1"/>
  <c r="AF92" i="37"/>
  <c r="AF155" i="37"/>
  <c r="AE38" i="37" a="1"/>
  <c r="AE38" i="37" s="1"/>
  <c r="AE232" i="37" a="1"/>
  <c r="AE232" i="37" s="1"/>
  <c r="AF231" i="37"/>
  <c r="AF230" i="37"/>
  <c r="AE84" i="37" a="1"/>
  <c r="AE84" i="37" s="1"/>
  <c r="AF235" i="37"/>
  <c r="AE224" i="37" a="1"/>
  <c r="AE224" i="37" s="1"/>
  <c r="AE303" i="37" a="1"/>
  <c r="AE303" i="37" s="1"/>
  <c r="AF232" i="37"/>
  <c r="AF38" i="37"/>
  <c r="AF84" i="37"/>
  <c r="AF224" i="37"/>
  <c r="AF303" i="37"/>
  <c r="AE71" i="37" a="1"/>
  <c r="AE71" i="37" s="1"/>
  <c r="AF71" i="37"/>
  <c r="AE180" i="37" a="1"/>
  <c r="AE180" i="37" s="1"/>
  <c r="AF180" i="37"/>
  <c r="AE299" i="37" a="1"/>
  <c r="AE299" i="37" s="1"/>
  <c r="AF299" i="37"/>
  <c r="AE236" i="37" a="1"/>
  <c r="AE236" i="37" s="1"/>
  <c r="AF236" i="37"/>
  <c r="AM287" i="37" a="1"/>
  <c r="AM287" i="37" s="1"/>
  <c r="AF301" i="37"/>
  <c r="AF223" i="37"/>
  <c r="AF221" i="37"/>
  <c r="AF222" i="37"/>
  <c r="AL233" i="37" a="1"/>
  <c r="AL233" i="37" s="1"/>
  <c r="AE222" i="37" a="1"/>
  <c r="AE222" i="37" s="1"/>
  <c r="AE223" i="37" a="1"/>
  <c r="AE223" i="37" s="1"/>
  <c r="AE301" i="37" a="1"/>
  <c r="AE301" i="37" s="1"/>
  <c r="AE221" i="37" a="1"/>
  <c r="AE221" i="37" s="1"/>
  <c r="AL147" i="37" a="1"/>
  <c r="AL147" i="37" s="1"/>
  <c r="AL53" i="37" a="1"/>
  <c r="AL53" i="37" s="1"/>
  <c r="AL134" i="37" a="1"/>
  <c r="AL134" i="37" s="1"/>
  <c r="AL44" i="37" a="1"/>
  <c r="AL44" i="37" s="1"/>
  <c r="AL199" i="37" a="1"/>
  <c r="AL199" i="37" s="1"/>
  <c r="AL176" i="37" a="1"/>
  <c r="AL176" i="37" s="1"/>
  <c r="AL167" i="37" a="1"/>
  <c r="AL167" i="37" s="1"/>
  <c r="AH301" i="37" a="1"/>
  <c r="AH301" i="37" s="1"/>
  <c r="AL301" i="37" a="1"/>
  <c r="AL301" i="37" s="1"/>
  <c r="AL209" i="37" a="1"/>
  <c r="AL209" i="37" s="1"/>
  <c r="AL28" i="37" a="1"/>
  <c r="AL28" i="37" s="1"/>
  <c r="AL169" i="37" a="1"/>
  <c r="AL169" i="37" s="1"/>
  <c r="AL125" i="37" a="1"/>
  <c r="AL125" i="37" s="1"/>
  <c r="AL181" i="37" a="1"/>
  <c r="AL181" i="37" s="1"/>
  <c r="AL48" i="37" a="1"/>
  <c r="AL48" i="37" s="1"/>
  <c r="AL190" i="37" a="1"/>
  <c r="AL190" i="37" s="1"/>
  <c r="AL116" i="37" a="1"/>
  <c r="AL116" i="37" s="1"/>
  <c r="AL101" i="37" a="1"/>
  <c r="AL101" i="37" s="1"/>
  <c r="AL94" i="37" a="1"/>
  <c r="AL94" i="37" s="1"/>
  <c r="AL77" i="37" a="1"/>
  <c r="AL77" i="37" s="1"/>
  <c r="AL164" i="37" a="1"/>
  <c r="AL164" i="37" s="1"/>
  <c r="AL156" i="37" a="1"/>
  <c r="AL156" i="37" s="1"/>
  <c r="AE78" i="37" a="1"/>
  <c r="AE78" i="37" s="1"/>
  <c r="AE113" i="37" a="1"/>
  <c r="AE113" i="37" s="1"/>
  <c r="AE41" i="37" a="1"/>
  <c r="AE41" i="37" s="1"/>
  <c r="AE31" i="37" a="1"/>
  <c r="AE31" i="37" s="1"/>
  <c r="AE66" i="37" a="1"/>
  <c r="AE66" i="37" s="1"/>
  <c r="AE201" i="37" a="1"/>
  <c r="AE201" i="37" s="1"/>
  <c r="AE138" i="37" a="1"/>
  <c r="AE138" i="37" s="1"/>
  <c r="AE208" i="37" a="1"/>
  <c r="AE208" i="37" s="1"/>
  <c r="AE35" i="37" a="1"/>
  <c r="AE35" i="37" s="1"/>
  <c r="AE203" i="37" a="1"/>
  <c r="AE203" i="37" s="1"/>
  <c r="AJ301" i="37"/>
  <c r="AE79" i="37" a="1"/>
  <c r="AE79" i="37" s="1"/>
  <c r="AE165" i="37" a="1"/>
  <c r="AE165" i="37" s="1"/>
  <c r="AE129" i="37" a="1"/>
  <c r="AE129" i="37" s="1"/>
  <c r="AE87" i="37" a="1"/>
  <c r="AE87" i="37" s="1"/>
  <c r="AE61" i="37" a="1"/>
  <c r="AE61" i="37" s="1"/>
  <c r="AE160" i="37" a="1"/>
  <c r="AE160" i="37" s="1"/>
  <c r="AE158" i="37" a="1"/>
  <c r="AE158" i="37" s="1"/>
  <c r="AE68" i="37" a="1"/>
  <c r="AE68" i="37" s="1"/>
  <c r="AE73" i="37" a="1"/>
  <c r="AE73" i="37" s="1"/>
  <c r="AE149" i="37" a="1"/>
  <c r="AE149" i="37" s="1"/>
  <c r="AE90" i="37" a="1"/>
  <c r="AE90" i="37" s="1"/>
  <c r="AE101" i="37" a="1"/>
  <c r="AE101" i="37" s="1"/>
  <c r="AE105" i="37" a="1"/>
  <c r="AE105" i="37" s="1"/>
  <c r="AE72" i="37" a="1"/>
  <c r="AE72" i="37" s="1"/>
  <c r="AE166" i="37" a="1"/>
  <c r="AE166" i="37" s="1"/>
  <c r="AE154" i="37" a="1"/>
  <c r="AE154" i="37" s="1"/>
  <c r="AE188" i="37" a="1"/>
  <c r="AE188" i="37" s="1"/>
  <c r="AE55" i="37" a="1"/>
  <c r="AE55" i="37" s="1"/>
  <c r="AE86" i="37" a="1"/>
  <c r="AE86" i="37" s="1"/>
  <c r="AE294" i="37" a="1"/>
  <c r="AE294" i="37" s="1"/>
  <c r="AE135" i="37" a="1"/>
  <c r="AE135" i="37" s="1"/>
  <c r="AE39" i="37" a="1"/>
  <c r="AE39" i="37" s="1"/>
  <c r="AE200" i="37" a="1"/>
  <c r="AE200" i="37" s="1"/>
  <c r="AE132" i="37" a="1"/>
  <c r="AE132" i="37" s="1"/>
  <c r="AE25" i="37" a="1"/>
  <c r="AE25" i="37" s="1"/>
  <c r="AE171" i="37" a="1"/>
  <c r="AE171" i="37" s="1"/>
  <c r="AE56" i="37" a="1"/>
  <c r="AE56" i="37" s="1"/>
  <c r="AE229" i="37" a="1"/>
  <c r="AE229" i="37" s="1"/>
  <c r="AE215" i="37" a="1"/>
  <c r="AE215" i="37" s="1"/>
  <c r="AE32" i="37" a="1"/>
  <c r="AE32" i="37" s="1"/>
  <c r="AE176" i="37" a="1"/>
  <c r="AE176" i="37" s="1"/>
  <c r="AE196" i="37" a="1"/>
  <c r="AE196" i="37" s="1"/>
  <c r="AE53" i="37" a="1"/>
  <c r="AE53" i="37" s="1"/>
  <c r="AE125" i="37" a="1"/>
  <c r="AE125" i="37" s="1"/>
  <c r="AE118" i="37" a="1"/>
  <c r="AE118" i="37" s="1"/>
  <c r="AE233" i="37" a="1"/>
  <c r="AE233" i="37" s="1"/>
  <c r="AE80" i="37" a="1"/>
  <c r="AE80" i="37" s="1"/>
  <c r="AE126" i="37" a="1"/>
  <c r="AE126" i="37" s="1"/>
  <c r="AE131" i="37" a="1"/>
  <c r="AE131" i="37" s="1"/>
  <c r="AE169" i="37" a="1"/>
  <c r="AE169" i="37" s="1"/>
  <c r="AE207" i="37" a="1"/>
  <c r="AE207" i="37" s="1"/>
  <c r="AE296" i="37" a="1"/>
  <c r="AE296" i="37" s="1"/>
  <c r="AE174" i="37" a="1"/>
  <c r="AE174" i="37" s="1"/>
  <c r="AE122" i="37" a="1"/>
  <c r="AE122" i="37" s="1"/>
  <c r="AE144" i="37" a="1"/>
  <c r="AE144" i="37" s="1"/>
  <c r="AE29" i="37" a="1"/>
  <c r="AE29" i="37" s="1"/>
  <c r="AE34" i="37" a="1"/>
  <c r="AE34" i="37" s="1"/>
  <c r="AE148" i="37" a="1"/>
  <c r="AE148" i="37" s="1"/>
  <c r="AE220" i="37" a="1"/>
  <c r="AE220" i="37" s="1"/>
  <c r="AE103" i="37" a="1"/>
  <c r="AE103" i="37" s="1"/>
  <c r="AE234" i="37" a="1"/>
  <c r="AE234" i="37" s="1"/>
  <c r="AE198" i="37" a="1"/>
  <c r="AE198" i="37" s="1"/>
  <c r="AE33" i="37" a="1"/>
  <c r="AE33" i="37" s="1"/>
  <c r="AE212" i="37" a="1"/>
  <c r="AE212" i="37" s="1"/>
  <c r="AE178" i="37" a="1"/>
  <c r="AE178" i="37" s="1"/>
  <c r="AE147" i="37" a="1"/>
  <c r="AE147" i="37" s="1"/>
  <c r="AE219" i="37" a="1"/>
  <c r="AE219" i="37" s="1"/>
  <c r="AE145" i="37" a="1"/>
  <c r="AE145" i="37" s="1"/>
  <c r="AE57" i="37" a="1"/>
  <c r="AE57" i="37" s="1"/>
  <c r="AE141" i="37" a="1"/>
  <c r="AE141" i="37" s="1"/>
  <c r="AE60" i="37" a="1"/>
  <c r="AE60" i="37" s="1"/>
  <c r="AE117" i="37" a="1"/>
  <c r="AE117" i="37" s="1"/>
  <c r="AE139" i="37" a="1"/>
  <c r="AE139" i="37" s="1"/>
  <c r="AE211" i="37" a="1"/>
  <c r="AE211" i="37" s="1"/>
  <c r="AE50" i="37" a="1"/>
  <c r="AE50" i="37" s="1"/>
  <c r="AE45" i="37" a="1"/>
  <c r="AE45" i="37" s="1"/>
  <c r="AE109" i="37" a="1"/>
  <c r="AE109" i="37" s="1"/>
  <c r="AE192" i="37" a="1"/>
  <c r="AE192" i="37" s="1"/>
  <c r="AE183" i="37" a="1"/>
  <c r="AE183" i="37" s="1"/>
  <c r="AE167" i="37" a="1"/>
  <c r="AE167" i="37" s="1"/>
  <c r="AE123" i="37" a="1"/>
  <c r="AE123" i="37" s="1"/>
  <c r="AE187" i="37" a="1"/>
  <c r="AE187" i="37" s="1"/>
  <c r="AE58" i="37" a="1"/>
  <c r="AE58" i="37" s="1"/>
  <c r="AE214" i="37" a="1"/>
  <c r="AE214" i="37" s="1"/>
  <c r="AD301" i="37"/>
  <c r="AM301" i="37" s="1" a="1"/>
  <c r="AM301" i="37" s="1"/>
  <c r="AE127" i="37" a="1"/>
  <c r="AE127" i="37" s="1"/>
  <c r="AE195" i="37" a="1"/>
  <c r="AE195" i="37" s="1"/>
  <c r="AE97" i="37" a="1"/>
  <c r="AE97" i="37" s="1"/>
  <c r="AE26" i="37" a="1"/>
  <c r="AE26" i="37" s="1"/>
  <c r="AE190" i="37" a="1"/>
  <c r="AE190" i="37" s="1"/>
  <c r="AE43" i="37" a="1"/>
  <c r="AE43" i="37" s="1"/>
  <c r="AE140" i="37" a="1"/>
  <c r="AE140" i="37" s="1"/>
  <c r="AE75" i="37" a="1"/>
  <c r="AE75" i="37" s="1"/>
  <c r="AE124" i="37" a="1"/>
  <c r="AE124" i="37" s="1"/>
  <c r="AE69" i="37" a="1"/>
  <c r="AE69" i="37" s="1"/>
  <c r="AE202" i="37" a="1"/>
  <c r="AE202" i="37" s="1"/>
  <c r="AE52" i="37" a="1"/>
  <c r="AE52" i="37" s="1"/>
  <c r="AE218" i="37" a="1"/>
  <c r="AE218" i="37" s="1"/>
  <c r="AE194" i="37" a="1"/>
  <c r="AE194" i="37" s="1"/>
  <c r="AE94" i="37" a="1"/>
  <c r="AE94" i="37" s="1"/>
  <c r="AE119" i="37" a="1"/>
  <c r="AE119" i="37" s="1"/>
  <c r="AE186" i="37" a="1"/>
  <c r="AE186" i="37" s="1"/>
  <c r="AE206" i="37" a="1"/>
  <c r="AE206" i="37" s="1"/>
  <c r="AE36" i="37" a="1"/>
  <c r="AE36" i="37" s="1"/>
  <c r="AE185" i="37" a="1"/>
  <c r="AE185" i="37" s="1"/>
  <c r="AE133" i="37" a="1"/>
  <c r="AE133" i="37" s="1"/>
  <c r="AE177" i="37" a="1"/>
  <c r="AE177" i="37" s="1"/>
  <c r="AE121" i="37" a="1"/>
  <c r="AE121" i="37" s="1"/>
  <c r="AE152" i="37" a="1"/>
  <c r="AE152" i="37" s="1"/>
  <c r="AE67" i="37" a="1"/>
  <c r="AE67" i="37" s="1"/>
  <c r="AE95" i="37" a="1"/>
  <c r="AE95" i="37" s="1"/>
  <c r="AE27" i="37" a="1"/>
  <c r="AE27" i="37" s="1"/>
  <c r="AE137" i="37" a="1"/>
  <c r="AE137" i="37" s="1"/>
  <c r="AE96" i="37" a="1"/>
  <c r="AE96" i="37" s="1"/>
  <c r="AE136" i="37" a="1"/>
  <c r="AE136" i="37" s="1"/>
  <c r="AE98" i="37" a="1"/>
  <c r="AE98" i="37" s="1"/>
  <c r="AE151" i="37" a="1"/>
  <c r="AE151" i="37" s="1"/>
  <c r="AE112" i="37" a="1"/>
  <c r="AE112" i="37" s="1"/>
  <c r="AE46" i="37" a="1"/>
  <c r="AE46" i="37" s="1"/>
  <c r="AE209" i="37" a="1"/>
  <c r="AE209" i="37" s="1"/>
  <c r="AE161" i="37" a="1"/>
  <c r="AE161" i="37" s="1"/>
  <c r="AE108" i="37" a="1"/>
  <c r="AE108" i="37" s="1"/>
  <c r="AE110" i="37" a="1"/>
  <c r="AE110" i="37" s="1"/>
  <c r="AE116" i="37" a="1"/>
  <c r="AE116" i="37" s="1"/>
  <c r="AE205" i="37" a="1"/>
  <c r="AE205" i="37" s="1"/>
  <c r="AE199" i="37" a="1"/>
  <c r="AE199" i="37" s="1"/>
  <c r="AE40" i="37" a="1"/>
  <c r="AE40" i="37" s="1"/>
  <c r="AE49" i="37" a="1"/>
  <c r="AE49" i="37" s="1"/>
  <c r="AE77" i="37" a="1"/>
  <c r="AE77" i="37" s="1"/>
  <c r="AE59" i="37" a="1"/>
  <c r="AE59" i="37" s="1"/>
  <c r="AE88" i="37" a="1"/>
  <c r="AE88" i="37" s="1"/>
  <c r="AE197" i="37" a="1"/>
  <c r="AE197" i="37" s="1"/>
  <c r="AE168" i="37" a="1"/>
  <c r="AE168" i="37" s="1"/>
  <c r="AE204" i="37" a="1"/>
  <c r="AE204" i="37" s="1"/>
  <c r="AE104" i="37" a="1"/>
  <c r="AE104" i="37" s="1"/>
  <c r="AE179" i="37" a="1"/>
  <c r="AE179" i="37" s="1"/>
  <c r="AE302" i="37" a="1"/>
  <c r="AE302" i="37" s="1"/>
  <c r="AE181" i="37" a="1"/>
  <c r="AE181" i="37" s="1"/>
  <c r="AE30" i="37" a="1"/>
  <c r="AE30" i="37" s="1"/>
  <c r="AE99" i="37" a="1"/>
  <c r="AE99" i="37" s="1"/>
  <c r="AE54" i="37" a="1"/>
  <c r="AE54" i="37" s="1"/>
  <c r="AE42" i="37" a="1"/>
  <c r="AE42" i="37" s="1"/>
  <c r="AE47" i="37" a="1"/>
  <c r="AE47" i="37" s="1"/>
  <c r="AE89" i="37" a="1"/>
  <c r="AE89" i="37" s="1"/>
  <c r="AE172" i="37" a="1"/>
  <c r="AE172" i="37" s="1"/>
  <c r="AE153" i="37" a="1"/>
  <c r="AE153" i="37" s="1"/>
  <c r="AE184" i="37" a="1"/>
  <c r="AE184" i="37" s="1"/>
  <c r="AE111" i="37" a="1"/>
  <c r="AE111" i="37" s="1"/>
  <c r="AE51" i="37" a="1"/>
  <c r="AE51" i="37" s="1"/>
  <c r="AE120" i="37" a="1"/>
  <c r="AE120" i="37" s="1"/>
  <c r="AE63" i="37" a="1"/>
  <c r="AE63" i="37" s="1"/>
  <c r="AE143" i="37" a="1"/>
  <c r="AE143" i="37" s="1"/>
  <c r="AE142" i="37" a="1"/>
  <c r="AE142" i="37" s="1"/>
  <c r="AE128" i="37" a="1"/>
  <c r="AE128" i="37" s="1"/>
  <c r="AE102" i="37" a="1"/>
  <c r="AE102" i="37" s="1"/>
  <c r="AE159" i="37" a="1"/>
  <c r="AE159" i="37" s="1"/>
  <c r="AE81" i="37" a="1"/>
  <c r="AE81" i="37" s="1"/>
  <c r="AE28" i="37" a="1"/>
  <c r="AE28" i="37" s="1"/>
  <c r="AE193" i="37" a="1"/>
  <c r="AE193" i="37" s="1"/>
  <c r="AE100" i="37" a="1"/>
  <c r="AE100" i="37" s="1"/>
  <c r="AE134" i="37" a="1"/>
  <c r="AE134" i="37" s="1"/>
  <c r="AE210" i="37" a="1"/>
  <c r="AE210" i="37" s="1"/>
  <c r="AE91" i="37" a="1"/>
  <c r="AE91" i="37" s="1"/>
  <c r="AE191" i="37" a="1"/>
  <c r="AE191" i="37" s="1"/>
  <c r="AE146" i="37" a="1"/>
  <c r="AE146" i="37" s="1"/>
  <c r="AE228" i="37" a="1"/>
  <c r="AE228" i="37" s="1"/>
  <c r="AE48" i="37" a="1"/>
  <c r="AE48" i="37" s="1"/>
  <c r="AE173" i="37" a="1"/>
  <c r="AE173" i="37" s="1"/>
  <c r="AE106" i="37" a="1"/>
  <c r="AE106" i="37" s="1"/>
  <c r="AE83" i="37" a="1"/>
  <c r="AE83" i="37" s="1"/>
  <c r="AE85" i="37" a="1"/>
  <c r="AE85" i="37" s="1"/>
  <c r="AK301" i="37"/>
  <c r="AE150" i="37" a="1"/>
  <c r="AE150" i="37" s="1"/>
  <c r="AE164" i="37" a="1"/>
  <c r="AE164" i="37" s="1"/>
  <c r="AE170" i="37" a="1"/>
  <c r="AE170" i="37" s="1"/>
  <c r="AE157" i="37" a="1"/>
  <c r="AE157" i="37" s="1"/>
  <c r="AE189" i="37" a="1"/>
  <c r="AE189" i="37" s="1"/>
  <c r="AE107" i="37" a="1"/>
  <c r="AE107" i="37" s="1"/>
  <c r="AE74" i="37" a="1"/>
  <c r="AE74" i="37" s="1"/>
  <c r="AE130" i="37" a="1"/>
  <c r="AE130" i="37" s="1"/>
  <c r="AE70" i="37" a="1"/>
  <c r="AE70" i="37" s="1"/>
  <c r="AE44" i="37" a="1"/>
  <c r="AE44" i="37" s="1"/>
  <c r="AE175" i="37" a="1"/>
  <c r="AE175" i="37" s="1"/>
  <c r="AE76" i="37" a="1"/>
  <c r="AE76" i="37" s="1"/>
  <c r="AE156" i="37" a="1"/>
  <c r="AE156" i="37" s="1"/>
  <c r="AE297" i="37" a="1"/>
  <c r="AE297" i="37" s="1"/>
  <c r="AE182" i="37" a="1"/>
  <c r="AE182" i="37" s="1"/>
  <c r="AE216" i="37" a="1"/>
  <c r="AE216" i="37" s="1"/>
  <c r="AF55" i="37"/>
  <c r="AF302" i="37"/>
  <c r="AF104" i="37"/>
  <c r="AF174" i="37"/>
  <c r="AF205" i="37"/>
  <c r="AF67" i="37"/>
  <c r="AF133" i="37"/>
  <c r="AF168" i="37"/>
  <c r="AF78" i="37"/>
  <c r="AF220" i="37"/>
  <c r="AF39" i="37"/>
  <c r="AF139" i="37"/>
  <c r="AF68" i="37"/>
  <c r="AF43" i="37"/>
  <c r="AF42" i="37"/>
  <c r="AF87" i="37"/>
  <c r="AF135" i="37"/>
  <c r="AF130" i="37"/>
  <c r="AF216" i="37"/>
  <c r="AF89" i="37"/>
  <c r="AF127" i="37"/>
  <c r="AF100" i="37"/>
  <c r="AF63" i="37"/>
  <c r="AF79" i="37"/>
  <c r="AF193" i="37"/>
  <c r="AF229" i="37"/>
  <c r="AF54" i="37"/>
  <c r="AF195" i="37"/>
  <c r="AF142" i="37"/>
  <c r="AF29" i="37"/>
  <c r="AF94" i="37"/>
  <c r="AF50" i="37"/>
  <c r="AF121" i="37"/>
  <c r="AF80" i="37"/>
  <c r="AF91" i="37"/>
  <c r="AF203" i="37"/>
  <c r="AF28" i="37"/>
  <c r="AF183" i="37"/>
  <c r="AF103" i="37"/>
  <c r="AF212" i="37"/>
  <c r="AF131" i="37"/>
  <c r="AF144" i="37"/>
  <c r="AF51" i="37"/>
  <c r="AF153" i="37"/>
  <c r="AF134" i="37"/>
  <c r="AF177" i="37"/>
  <c r="AF170" i="37"/>
  <c r="AF184" i="37"/>
  <c r="AF96" i="37"/>
  <c r="AF118" i="37"/>
  <c r="AF101" i="37"/>
  <c r="AF211" i="37"/>
  <c r="AF69" i="37"/>
  <c r="AF196" i="37"/>
  <c r="AF141" i="37"/>
  <c r="AF82" i="37"/>
  <c r="AE82" i="37" s="1"/>
  <c r="AF77" i="37"/>
  <c r="AF150" i="37"/>
  <c r="AF136" i="37"/>
  <c r="AF108" i="37"/>
  <c r="AF189" i="37"/>
  <c r="AF98" i="37"/>
  <c r="AF31" i="37"/>
  <c r="AF182" i="37"/>
  <c r="AF109" i="37"/>
  <c r="AF159" i="37"/>
  <c r="AF122" i="37"/>
  <c r="AF27" i="37"/>
  <c r="AF115" i="37"/>
  <c r="AF81" i="37"/>
  <c r="AF125" i="37"/>
  <c r="AF138" i="37"/>
  <c r="AF85" i="37"/>
  <c r="AF157" i="37"/>
  <c r="AF47" i="37"/>
  <c r="AF190" i="37"/>
  <c r="AF34" i="37"/>
  <c r="AF132" i="37"/>
  <c r="AF56" i="37"/>
  <c r="AF294" i="37"/>
  <c r="AF137" i="37"/>
  <c r="AF26" i="37"/>
  <c r="AF25" i="37"/>
  <c r="AF33" i="37"/>
  <c r="AF152" i="37"/>
  <c r="AF126" i="37"/>
  <c r="AF161" i="37"/>
  <c r="AF95" i="37"/>
  <c r="AF60" i="37"/>
  <c r="AF45" i="37"/>
  <c r="AF41" i="37"/>
  <c r="AF111" i="37"/>
  <c r="AF200" i="37"/>
  <c r="AF158" i="37"/>
  <c r="AF112" i="37"/>
  <c r="AF76" i="37"/>
  <c r="AF107" i="37"/>
  <c r="AF185" i="37"/>
  <c r="AF191" i="37"/>
  <c r="AF30" i="37"/>
  <c r="AF75" i="37"/>
  <c r="AF140" i="37"/>
  <c r="AF57" i="37"/>
  <c r="AF164" i="37"/>
  <c r="AF48" i="37"/>
  <c r="AF219" i="37"/>
  <c r="AF197" i="37"/>
  <c r="AF156" i="37"/>
  <c r="AF72" i="37"/>
  <c r="AF171" i="37"/>
  <c r="AF32" i="37"/>
  <c r="AF123" i="37"/>
  <c r="AF61" i="37"/>
  <c r="AF228" i="37"/>
  <c r="AF58" i="37"/>
  <c r="AF173" i="37"/>
  <c r="AF234" i="37"/>
  <c r="AF105" i="37"/>
  <c r="AF210" i="37"/>
  <c r="AF160" i="37"/>
  <c r="AF66" i="37"/>
  <c r="AF120" i="37"/>
  <c r="AF214" i="37"/>
  <c r="AF36" i="37"/>
  <c r="AF166" i="37"/>
  <c r="AF202" i="37"/>
  <c r="AF208" i="37"/>
  <c r="AF192" i="37"/>
  <c r="AF187" i="37"/>
  <c r="AF116" i="37"/>
  <c r="AF215" i="37"/>
  <c r="AF207" i="37"/>
  <c r="AF143" i="37"/>
  <c r="AF176" i="37"/>
  <c r="AF167" i="37"/>
  <c r="AF148" i="37"/>
  <c r="AF46" i="37"/>
  <c r="AF218" i="37"/>
  <c r="AF59" i="37"/>
  <c r="AF70" i="37"/>
  <c r="AF151" i="37"/>
  <c r="AF172" i="37"/>
  <c r="AF194" i="37"/>
  <c r="AF88" i="37"/>
  <c r="AF119" i="37"/>
  <c r="AF129" i="37"/>
  <c r="AF35" i="37"/>
  <c r="AF124" i="37"/>
  <c r="AF169" i="37"/>
  <c r="AF102" i="37"/>
  <c r="AF175" i="37"/>
  <c r="AF147" i="37"/>
  <c r="AF44" i="37"/>
  <c r="AF97" i="37"/>
  <c r="AF179" i="37"/>
  <c r="AF86" i="37"/>
  <c r="AF146" i="37"/>
  <c r="AF178" i="37"/>
  <c r="AF201" i="37"/>
  <c r="AF110" i="37"/>
  <c r="AF90" i="37"/>
  <c r="AF209" i="37"/>
  <c r="AF113" i="37"/>
  <c r="AF40" i="37"/>
  <c r="AF233" i="37"/>
  <c r="AF154" i="37"/>
  <c r="AF149" i="37"/>
  <c r="AF106" i="37"/>
  <c r="AF199" i="37"/>
  <c r="AF206" i="37"/>
  <c r="AF117" i="37"/>
  <c r="AF128" i="37"/>
  <c r="AF49" i="37"/>
  <c r="AF198" i="37"/>
  <c r="AF73" i="37"/>
  <c r="AF181" i="37"/>
  <c r="AF165" i="37"/>
  <c r="AF297" i="37"/>
  <c r="AF83" i="37"/>
  <c r="AF296" i="37"/>
  <c r="AF188" i="37"/>
  <c r="AF186" i="37"/>
  <c r="AF99" i="37"/>
  <c r="AF74" i="37"/>
  <c r="AF204" i="37"/>
  <c r="AF53" i="37"/>
  <c r="AF52" i="37"/>
  <c r="AF145" i="37"/>
  <c r="AL55" i="37" a="1"/>
  <c r="AL55" i="37" s="1"/>
  <c r="AL214" i="37" a="1"/>
  <c r="AL214" i="37" s="1"/>
  <c r="AL39" i="37" a="1"/>
  <c r="AL39" i="37" s="1"/>
  <c r="AL85" i="37" a="1"/>
  <c r="AL85" i="37" s="1"/>
  <c r="AL104" i="37" a="1"/>
  <c r="AL104" i="37" s="1"/>
  <c r="AL210" i="37" a="1"/>
  <c r="AL210" i="37" s="1"/>
  <c r="AL41" i="37" a="1"/>
  <c r="AL41" i="37" s="1"/>
  <c r="AL72" i="37" a="1"/>
  <c r="AL72" i="37" s="1"/>
  <c r="AI301" i="37" l="1" a="1"/>
  <c r="AI301" i="37" s="1"/>
  <c r="AN301" i="37" l="1" a="1"/>
  <c r="AN301" i="37" s="1"/>
  <c r="AN35" i="37" a="1"/>
  <c r="AN35" i="37" s="1"/>
  <c r="AN40" i="37" a="1"/>
  <c r="AN40" i="37" s="1"/>
  <c r="AN88" i="37" a="1"/>
  <c r="AN88" i="37" s="1"/>
  <c r="AN244" i="37" a="1"/>
  <c r="AN244" i="37" s="1"/>
  <c r="AN114" i="37" a="1"/>
  <c r="AN114" i="37" s="1"/>
  <c r="AN66" i="37" a="1"/>
  <c r="AN66" i="37" s="1"/>
  <c r="AN57" i="37" a="1"/>
  <c r="AN57" i="37" s="1"/>
  <c r="AN280" i="37" a="1"/>
  <c r="AN280" i="37" s="1"/>
  <c r="AN124" i="37" a="1"/>
  <c r="AN124" i="37" s="1"/>
  <c r="AN93" i="37" a="1"/>
  <c r="AN93" i="37" s="1"/>
  <c r="AN219" i="37" a="1"/>
  <c r="AN219" i="37" s="1"/>
  <c r="AN42" i="37" a="1"/>
  <c r="AN42" i="37" s="1"/>
  <c r="AN285" i="37" a="1"/>
  <c r="AN285" i="37" s="1"/>
  <c r="AN236" i="37" a="1"/>
  <c r="AN236" i="37" s="1"/>
  <c r="AN143" i="37" a="1"/>
  <c r="AN143" i="37" s="1"/>
  <c r="AN185" i="37" a="1"/>
  <c r="AN185" i="37" s="1"/>
  <c r="AN94" i="37" a="1"/>
  <c r="AN94" i="37" s="1"/>
  <c r="AN197" i="37" a="1"/>
  <c r="AN197" i="37" s="1"/>
  <c r="AN47" i="37" a="1"/>
  <c r="AN47" i="37" s="1"/>
  <c r="AN48" i="37" a="1"/>
  <c r="AN48" i="37" s="1"/>
  <c r="AN129" i="37" a="1"/>
  <c r="AN129" i="37" s="1"/>
  <c r="AN69" i="37" a="1"/>
  <c r="AN69" i="37" s="1"/>
  <c r="AN237" i="37" a="1"/>
  <c r="AN237" i="37" s="1"/>
  <c r="AN139" i="37" a="1"/>
  <c r="AN139" i="37" s="1"/>
  <c r="AN61" i="37" a="1"/>
  <c r="AN61" i="37" s="1"/>
  <c r="AN33" i="37" a="1"/>
  <c r="AN33" i="37" s="1"/>
  <c r="AN151" i="37" a="1"/>
  <c r="AN151" i="37" s="1"/>
  <c r="AN113" i="37" a="1"/>
  <c r="AN113" i="37" s="1"/>
  <c r="AN54" i="37" a="1"/>
  <c r="AN54" i="37" s="1"/>
  <c r="AN126" i="37" a="1"/>
  <c r="AN126" i="37" s="1"/>
  <c r="AN102" i="37" a="1"/>
  <c r="AN102" i="37" s="1"/>
  <c r="AN276" i="37" a="1"/>
  <c r="AN276" i="37" s="1"/>
  <c r="AN227" i="37" a="1"/>
  <c r="AN227" i="37" s="1"/>
  <c r="AN68" i="37" a="1"/>
  <c r="AN68" i="37" s="1"/>
  <c r="AN65" i="37" a="1"/>
  <c r="AN65" i="37" s="1"/>
  <c r="AN163" i="37" a="1"/>
  <c r="AN163" i="37" s="1"/>
  <c r="AN175" i="37" a="1"/>
  <c r="AN175" i="37" s="1"/>
  <c r="AN174" i="37" a="1"/>
  <c r="AN174" i="37" s="1"/>
  <c r="AN130" i="37" a="1"/>
  <c r="AN130" i="37" s="1"/>
  <c r="AN76" i="37" a="1"/>
  <c r="AN76" i="37" s="1"/>
  <c r="AN187" i="37" a="1"/>
  <c r="AN187" i="37" s="1"/>
  <c r="AN146" i="37" a="1"/>
  <c r="AN146" i="37" s="1"/>
  <c r="AN74" i="37" a="1"/>
  <c r="AN74" i="37" s="1"/>
  <c r="AN292" i="37" a="1"/>
  <c r="AN292" i="37" s="1"/>
  <c r="AN148" i="37" a="1"/>
  <c r="AN148" i="37" s="1"/>
  <c r="AN205" i="37" a="1"/>
  <c r="AN205" i="37" s="1"/>
  <c r="AN116" i="37" a="1"/>
  <c r="AN116" i="37" s="1"/>
  <c r="AN209" i="37" a="1"/>
  <c r="AN209" i="37" s="1"/>
  <c r="V209" i="37" s="1"/>
  <c r="J28" i="129" s="1"/>
  <c r="AN97" i="37" a="1"/>
  <c r="AN97" i="37" s="1"/>
  <c r="AN30" i="37" a="1"/>
  <c r="AN30" i="37" s="1"/>
  <c r="AN272" i="37" a="1"/>
  <c r="AN272" i="37" s="1"/>
  <c r="AN64" i="37" a="1"/>
  <c r="AN64" i="37" s="1"/>
  <c r="AN291" i="37" a="1"/>
  <c r="AN291" i="37" s="1"/>
  <c r="AN190" i="37" a="1"/>
  <c r="AN190" i="37" s="1"/>
  <c r="AN226" i="37" a="1"/>
  <c r="AN226" i="37" s="1"/>
  <c r="AN232" i="37" a="1"/>
  <c r="AN232" i="37" s="1"/>
  <c r="AN110" i="37" a="1"/>
  <c r="AN110" i="37" s="1"/>
  <c r="AN257" i="37" a="1"/>
  <c r="AN257" i="37" s="1"/>
  <c r="AN108" i="37" a="1"/>
  <c r="AN108" i="37" s="1"/>
  <c r="AN252" i="37" a="1"/>
  <c r="AN252" i="37" s="1"/>
  <c r="AN234" i="37" a="1"/>
  <c r="AN234" i="37" s="1"/>
  <c r="AN115" i="37" a="1"/>
  <c r="AN115" i="37" s="1"/>
  <c r="AN193" i="37" a="1"/>
  <c r="AN193" i="37" s="1"/>
  <c r="AN80" i="37" a="1"/>
  <c r="AN80" i="37" s="1"/>
  <c r="AN211" i="37" a="1"/>
  <c r="AN211" i="37" s="1"/>
  <c r="AN240" i="37" a="1"/>
  <c r="AN240" i="37" s="1"/>
  <c r="AN220" i="37" a="1"/>
  <c r="AN220" i="37" s="1"/>
  <c r="AN137" i="37" a="1"/>
  <c r="AN137" i="37" s="1"/>
  <c r="AN46" i="37" a="1"/>
  <c r="AN46" i="37" s="1"/>
  <c r="AN215" i="37" a="1"/>
  <c r="AN215" i="37" s="1"/>
  <c r="AN58" i="37" a="1"/>
  <c r="AN58" i="37" s="1"/>
  <c r="AN224" i="37" a="1"/>
  <c r="AN224" i="37" s="1"/>
  <c r="AN168" i="37" a="1"/>
  <c r="AN168" i="37" s="1"/>
  <c r="AN159" i="37" a="1"/>
  <c r="AN159" i="37" s="1"/>
  <c r="AN51" i="37" a="1"/>
  <c r="AN51" i="37" s="1"/>
  <c r="AN189" i="37" a="1"/>
  <c r="AN189" i="37" s="1"/>
  <c r="AN294" i="37" a="1"/>
  <c r="AN294" i="37" s="1"/>
  <c r="AN221" i="37" a="1"/>
  <c r="AN221" i="37" s="1"/>
  <c r="AN183" i="37" a="1"/>
  <c r="AN183" i="37" s="1"/>
  <c r="AN26" i="37" a="1"/>
  <c r="AN26" i="37" s="1"/>
  <c r="AN119" i="37" a="1"/>
  <c r="AN119" i="37" s="1"/>
  <c r="AN131" i="37" a="1"/>
  <c r="AN131" i="37" s="1"/>
  <c r="AN181" i="37" a="1"/>
  <c r="AN181" i="37" s="1"/>
  <c r="AN38" i="37" a="1"/>
  <c r="AN38" i="37" s="1"/>
  <c r="AN249" i="37" a="1"/>
  <c r="AN249" i="37" s="1"/>
  <c r="AN89" i="37" a="1"/>
  <c r="AN89" i="37" s="1"/>
  <c r="AN265" i="37" a="1"/>
  <c r="AN265" i="37" s="1"/>
  <c r="AN243" i="37" a="1"/>
  <c r="AN243" i="37" s="1"/>
  <c r="AN90" i="37" a="1"/>
  <c r="AN90" i="37" s="1"/>
  <c r="AN206" i="37" a="1"/>
  <c r="AN206" i="37" s="1"/>
  <c r="AN92" i="37" a="1"/>
  <c r="AN92" i="37" s="1"/>
  <c r="AN31" i="37" a="1"/>
  <c r="AN31" i="37" s="1"/>
  <c r="AN75" i="37" a="1"/>
  <c r="AN75" i="37" s="1"/>
  <c r="AN283" i="37" a="1"/>
  <c r="AN283" i="37" s="1"/>
  <c r="AN288" i="37" a="1"/>
  <c r="AN288" i="37" s="1"/>
  <c r="AN246" i="37" a="1"/>
  <c r="AN246" i="37" s="1"/>
  <c r="AN207" i="37" a="1"/>
  <c r="AN207" i="37" s="1"/>
  <c r="AN196" i="37" a="1"/>
  <c r="AN196" i="37" s="1"/>
  <c r="AN238" i="37" a="1"/>
  <c r="AN238" i="37" s="1"/>
  <c r="AN212" i="37" a="1"/>
  <c r="AN212" i="37" s="1"/>
  <c r="AN81" i="37" a="1"/>
  <c r="AN81" i="37" s="1"/>
  <c r="AN260" i="37" a="1"/>
  <c r="AN260" i="37" s="1"/>
  <c r="AN147" i="37" a="1"/>
  <c r="AN147" i="37" s="1"/>
  <c r="AN214" i="37" a="1"/>
  <c r="AN214" i="37" s="1"/>
  <c r="AN177" i="37" a="1"/>
  <c r="AN177" i="37" s="1"/>
  <c r="AN194" i="37" a="1"/>
  <c r="AN194" i="37" s="1"/>
  <c r="AN100" i="37" a="1"/>
  <c r="AN100" i="37" s="1"/>
  <c r="AN161" i="37" a="1"/>
  <c r="AN161" i="37" s="1"/>
  <c r="AN162" i="37" a="1"/>
  <c r="AN162" i="37" s="1"/>
  <c r="AN275" i="37" a="1"/>
  <c r="AN275" i="37" s="1"/>
  <c r="AN157" i="37" a="1"/>
  <c r="AN157" i="37" s="1"/>
  <c r="AN140" i="37" a="1"/>
  <c r="AN140" i="37" s="1"/>
  <c r="AN99" i="37" a="1"/>
  <c r="AN99" i="37" s="1"/>
  <c r="AN259" i="37" a="1"/>
  <c r="AN259" i="37" s="1"/>
  <c r="AN290" i="37" a="1"/>
  <c r="AN290" i="37" s="1"/>
  <c r="AN67" i="37" a="1"/>
  <c r="AN67" i="37" s="1"/>
  <c r="AN41" i="37" a="1"/>
  <c r="AN41" i="37" s="1"/>
  <c r="AN188" i="37" a="1"/>
  <c r="AN188" i="37" s="1"/>
  <c r="AN239" i="37" a="1"/>
  <c r="AN239" i="37" s="1"/>
  <c r="AN144" i="37" a="1"/>
  <c r="AN144" i="37" s="1"/>
  <c r="AN73" i="37" a="1"/>
  <c r="AN73" i="37" s="1"/>
  <c r="AN132" i="37" a="1"/>
  <c r="AN132" i="37" s="1"/>
  <c r="AN28" i="37" a="1"/>
  <c r="AN28" i="37" s="1"/>
  <c r="AN98" i="37" a="1"/>
  <c r="AN98" i="37" s="1"/>
  <c r="AN83" i="37" a="1"/>
  <c r="AN83" i="37" s="1"/>
  <c r="AN105" i="37" a="1"/>
  <c r="AN105" i="37" s="1"/>
  <c r="AN56" i="37" a="1"/>
  <c r="AN56" i="37" s="1"/>
  <c r="AN255" i="37" a="1"/>
  <c r="AN255" i="37" s="1"/>
  <c r="AN289" i="37" a="1"/>
  <c r="AN289" i="37" s="1"/>
  <c r="AN104" i="37" a="1"/>
  <c r="AN104" i="37" s="1"/>
  <c r="AN267" i="37" a="1"/>
  <c r="AN267" i="37" s="1"/>
  <c r="AN245" i="37" a="1"/>
  <c r="AN245" i="37" s="1"/>
  <c r="AN153" i="37" a="1"/>
  <c r="AN153" i="37" s="1"/>
  <c r="AN225" i="37" a="1"/>
  <c r="AN225" i="37" s="1"/>
  <c r="AN70" i="37" a="1"/>
  <c r="AN70" i="37" s="1"/>
  <c r="AN278" i="37" a="1"/>
  <c r="AN278" i="37" s="1"/>
  <c r="AN123" i="37" a="1"/>
  <c r="AN123" i="37" s="1"/>
  <c r="AN78" i="37" a="1"/>
  <c r="AN78" i="37" s="1"/>
  <c r="AN50" i="37" a="1"/>
  <c r="AN50" i="37" s="1"/>
  <c r="AN27" i="37" a="1"/>
  <c r="AN27" i="37" s="1"/>
  <c r="AN204" i="37" a="1"/>
  <c r="AN204" i="37" s="1"/>
  <c r="AN298" i="37" a="1"/>
  <c r="AN298" i="37" s="1"/>
  <c r="AN222" i="37" a="1"/>
  <c r="AN222" i="37" s="1"/>
  <c r="AN198" i="37" a="1"/>
  <c r="AN198" i="37" s="1"/>
  <c r="AN284" i="37" a="1"/>
  <c r="AN284" i="37" s="1"/>
  <c r="AN37" i="37" a="1"/>
  <c r="AN37" i="37" s="1"/>
  <c r="AN251" i="37" a="1"/>
  <c r="AN251" i="37" s="1"/>
  <c r="AN43" i="37" a="1"/>
  <c r="AN43" i="37" s="1"/>
  <c r="AN91" i="37" a="1"/>
  <c r="AN91" i="37" s="1"/>
  <c r="AN111" i="37" a="1"/>
  <c r="AN111" i="37" s="1"/>
  <c r="AN300" i="37" a="1"/>
  <c r="AN300" i="37" s="1"/>
  <c r="AN277" i="37" a="1"/>
  <c r="AN277" i="37" s="1"/>
  <c r="AN217" i="37" a="1"/>
  <c r="AN217" i="37" s="1"/>
  <c r="AN263" i="37" a="1"/>
  <c r="AN263" i="37" s="1"/>
  <c r="AN192" i="37" a="1"/>
  <c r="AN192" i="37" s="1"/>
  <c r="AN256" i="37" a="1"/>
  <c r="AN256" i="37" s="1"/>
  <c r="AN122" i="37" a="1"/>
  <c r="AN122" i="37" s="1"/>
  <c r="AN218" i="37" a="1"/>
  <c r="AN218" i="37" s="1"/>
  <c r="AN109" i="37" a="1"/>
  <c r="AN109" i="37" s="1"/>
  <c r="AN182" i="37" a="1"/>
  <c r="AN182" i="37" s="1"/>
  <c r="AN296" i="37" a="1"/>
  <c r="AN296" i="37" s="1"/>
  <c r="AN248" i="37" a="1"/>
  <c r="AN248" i="37" s="1"/>
  <c r="AN295" i="37" a="1"/>
  <c r="AN295" i="37" s="1"/>
  <c r="AN53" i="37" a="1"/>
  <c r="AN53" i="37" s="1"/>
  <c r="AN29" i="37" a="1"/>
  <c r="AN29" i="37" s="1"/>
  <c r="AN302" i="37" a="1"/>
  <c r="AN302" i="37" s="1"/>
  <c r="AN135" i="37" a="1"/>
  <c r="AN135" i="37" s="1"/>
  <c r="AN274" i="37" a="1"/>
  <c r="AN274" i="37" s="1"/>
  <c r="AN62" i="37" a="1"/>
  <c r="AN62" i="37" s="1"/>
  <c r="AN178" i="37" a="1"/>
  <c r="AN178" i="37" s="1"/>
  <c r="AN87" i="37" a="1"/>
  <c r="AN87" i="37" s="1"/>
  <c r="AN271" i="37" a="1"/>
  <c r="AN271" i="37" s="1"/>
  <c r="AN286" i="37" a="1"/>
  <c r="AN286" i="37" s="1"/>
  <c r="AN107" i="37" a="1"/>
  <c r="AN107" i="37" s="1"/>
  <c r="AN145" i="37" a="1"/>
  <c r="AN145" i="37" s="1"/>
  <c r="AN264" i="37" a="1"/>
  <c r="AN264" i="37" s="1"/>
  <c r="AN191" i="37" a="1"/>
  <c r="AN191" i="37" s="1"/>
  <c r="AN273" i="37" a="1"/>
  <c r="AN273" i="37" s="1"/>
  <c r="AN258" i="37" a="1"/>
  <c r="AN258" i="37" s="1"/>
  <c r="AN281" i="37" a="1"/>
  <c r="AN281" i="37" s="1"/>
  <c r="AN142" i="37" a="1"/>
  <c r="AN142" i="37" s="1"/>
  <c r="AN127" i="37" a="1"/>
  <c r="AN127" i="37" s="1"/>
  <c r="AN55" i="37" a="1"/>
  <c r="AN55" i="37" s="1"/>
  <c r="AN160" i="37" a="1"/>
  <c r="AN160" i="37" s="1"/>
  <c r="AN242" i="37" a="1"/>
  <c r="AN242" i="37" s="1"/>
  <c r="AN63" i="37" a="1"/>
  <c r="AN63" i="37" s="1"/>
  <c r="AN141" i="37" a="1"/>
  <c r="AN141" i="37" s="1"/>
  <c r="AN171" i="37" a="1"/>
  <c r="AN171" i="37" s="1"/>
  <c r="AN186" i="37" a="1"/>
  <c r="AN186" i="37" s="1"/>
  <c r="AN270" i="37" a="1"/>
  <c r="AN270" i="37" s="1"/>
  <c r="AN233" i="37" a="1"/>
  <c r="AN233" i="37" s="1"/>
  <c r="AN268" i="37" a="1"/>
  <c r="AN268" i="37" s="1"/>
  <c r="AN229" i="37" a="1"/>
  <c r="AN229" i="37" s="1"/>
  <c r="AN121" i="37" a="1"/>
  <c r="AN121" i="37" s="1"/>
  <c r="AN71" i="37" a="1"/>
  <c r="AN71" i="37" s="1"/>
  <c r="AN210" i="37" a="1"/>
  <c r="AN210" i="37" s="1"/>
  <c r="V212" i="37" s="1"/>
  <c r="I30" i="121" s="1"/>
  <c r="AN167" i="37" a="1"/>
  <c r="AN167" i="37" s="1"/>
  <c r="AN101" i="37" a="1"/>
  <c r="AN101" i="37" s="1"/>
  <c r="AN203" i="37" a="1"/>
  <c r="AN203" i="37" s="1"/>
  <c r="AN128" i="37" a="1"/>
  <c r="AN128" i="37" s="1"/>
  <c r="AN297" i="37" a="1"/>
  <c r="AN297" i="37" s="1"/>
  <c r="AN254" i="37" a="1"/>
  <c r="AN254" i="37" s="1"/>
  <c r="AN103" i="37" a="1"/>
  <c r="AN103" i="37" s="1"/>
  <c r="AN112" i="37" a="1"/>
  <c r="AN112" i="37" s="1"/>
  <c r="AN52" i="37" a="1"/>
  <c r="AN52" i="37" s="1"/>
  <c r="AN279" i="37" a="1"/>
  <c r="AN279" i="37" s="1"/>
  <c r="AN49" i="37" a="1"/>
  <c r="AN49" i="37" s="1"/>
  <c r="AN195" i="37" a="1"/>
  <c r="AN195" i="37" s="1"/>
  <c r="AN60" i="37" a="1"/>
  <c r="AN60" i="37" s="1"/>
  <c r="AN25" i="37" a="1"/>
  <c r="AN25" i="37" s="1"/>
  <c r="V27" i="37" s="1"/>
  <c r="I74" i="116" s="1"/>
  <c r="AN184" i="37" a="1"/>
  <c r="AN184" i="37" s="1"/>
  <c r="AN173" i="37" a="1"/>
  <c r="AN173" i="37" s="1"/>
  <c r="AN208" i="37" a="1"/>
  <c r="AN208" i="37" s="1"/>
  <c r="AN228" i="37" a="1"/>
  <c r="AN228" i="37" s="1"/>
  <c r="AN85" i="37" a="1"/>
  <c r="AN85" i="37" s="1"/>
  <c r="AN200" i="37" a="1"/>
  <c r="AN200" i="37" s="1"/>
  <c r="AN96" i="37" a="1"/>
  <c r="AN96" i="37" s="1"/>
  <c r="AN253" i="37" a="1"/>
  <c r="AN253" i="37" s="1"/>
  <c r="AN235" i="37" a="1"/>
  <c r="AN235" i="37" s="1"/>
  <c r="AN149" i="37" a="1"/>
  <c r="AN149" i="37" s="1"/>
  <c r="AN117" i="37" a="1"/>
  <c r="AN117" i="37" s="1"/>
  <c r="AN262" i="37" a="1"/>
  <c r="AN262" i="37" s="1"/>
  <c r="AN86" i="37" a="1"/>
  <c r="AN86" i="37" s="1"/>
  <c r="AN172" i="37" a="1"/>
  <c r="AN172" i="37" s="1"/>
  <c r="AN170" i="37" a="1"/>
  <c r="AN170" i="37" s="1"/>
  <c r="AN164" i="37" a="1"/>
  <c r="AN164" i="37" s="1"/>
  <c r="AN125" i="37" a="1"/>
  <c r="AN125" i="37" s="1"/>
  <c r="AN44" i="37" a="1"/>
  <c r="AN44" i="37" s="1"/>
  <c r="V296" i="37" s="1"/>
  <c r="I19" i="119" s="1"/>
  <c r="AN179" i="37" a="1"/>
  <c r="AN179" i="37" s="1"/>
  <c r="AN176" i="37" a="1"/>
  <c r="AN176" i="37" s="1"/>
  <c r="AN154" i="37" a="1"/>
  <c r="AN154" i="37" s="1"/>
  <c r="AN266" i="37" a="1"/>
  <c r="AN266" i="37" s="1"/>
  <c r="AN250" i="37" a="1"/>
  <c r="AN250" i="37" s="1"/>
  <c r="AN180" i="37" a="1"/>
  <c r="AN180" i="37" s="1"/>
  <c r="AN166" i="37" a="1"/>
  <c r="AN166" i="37" s="1"/>
  <c r="AN39" i="37" a="1"/>
  <c r="AN39" i="37" s="1"/>
  <c r="AN261" i="37" a="1"/>
  <c r="AN261" i="37" s="1"/>
  <c r="AN287" i="37" a="1"/>
  <c r="AN287" i="37" s="1"/>
  <c r="AN155" i="37" a="1"/>
  <c r="AN155" i="37" s="1"/>
  <c r="AN133" i="37" a="1"/>
  <c r="AN133" i="37" s="1"/>
  <c r="AN106" i="37" a="1"/>
  <c r="AN106" i="37" s="1"/>
  <c r="AN82" i="37" a="1"/>
  <c r="AN82" i="37" s="1"/>
  <c r="AN150" i="37" a="1"/>
  <c r="AN150" i="37" s="1"/>
  <c r="AN201" i="37" a="1"/>
  <c r="AN201" i="37" s="1"/>
  <c r="AN34" i="37" a="1"/>
  <c r="AN34" i="37" s="1"/>
  <c r="AN282" i="37" a="1"/>
  <c r="AN282" i="37" s="1"/>
  <c r="AN269" i="37" a="1"/>
  <c r="AN269" i="37" s="1"/>
  <c r="AN59" i="37" a="1"/>
  <c r="AN59" i="37" s="1"/>
  <c r="AN32" i="37" a="1"/>
  <c r="AN32" i="37" s="1"/>
  <c r="AN77" i="37" a="1"/>
  <c r="AN77" i="37" s="1"/>
  <c r="AN138" i="37" a="1"/>
  <c r="AN138" i="37" s="1"/>
  <c r="AN45" i="37" a="1"/>
  <c r="AN45" i="37" s="1"/>
  <c r="AN84" i="37" a="1"/>
  <c r="AN84" i="37" s="1"/>
  <c r="AN120" i="37" a="1"/>
  <c r="AN120" i="37" s="1"/>
  <c r="AN118" i="37" a="1"/>
  <c r="AN118" i="37" s="1"/>
  <c r="AN169" i="37" a="1"/>
  <c r="AN169" i="37" s="1"/>
  <c r="AN293" i="37" a="1"/>
  <c r="AN293" i="37" s="1"/>
  <c r="AN156" i="37" a="1"/>
  <c r="AN156" i="37" s="1"/>
  <c r="AN72" i="37" a="1"/>
  <c r="AN72" i="37" s="1"/>
  <c r="AN230" i="37" a="1"/>
  <c r="AN230" i="37" s="1"/>
  <c r="AN303" i="37" a="1"/>
  <c r="AN303" i="37" s="1"/>
  <c r="AN134" i="37" a="1"/>
  <c r="AN134" i="37" s="1"/>
  <c r="AN241" i="37" a="1"/>
  <c r="AN241" i="37" s="1"/>
  <c r="AN299" i="37" a="1"/>
  <c r="AN299" i="37" s="1"/>
  <c r="AN216" i="37" a="1"/>
  <c r="AN216" i="37" s="1"/>
  <c r="AN231" i="37" a="1"/>
  <c r="AN231" i="37" s="1"/>
  <c r="AN165" i="37" a="1"/>
  <c r="AN165" i="37" s="1"/>
  <c r="AN136" i="37" a="1"/>
  <c r="AN136" i="37" s="1"/>
  <c r="AN199" i="37" a="1"/>
  <c r="AN199" i="37" s="1"/>
  <c r="AN202" i="37" a="1"/>
  <c r="AN202" i="37" s="1"/>
  <c r="AN247" i="37" a="1"/>
  <c r="AN247" i="37" s="1"/>
  <c r="AN158" i="37" a="1"/>
  <c r="AN158" i="37" s="1"/>
  <c r="AN95" i="37" a="1"/>
  <c r="AN95" i="37" s="1"/>
  <c r="AN79" i="37" a="1"/>
  <c r="AN79" i="37" s="1"/>
  <c r="AN152" i="37" a="1"/>
  <c r="AN152" i="37" s="1"/>
  <c r="AN223" i="37" a="1"/>
  <c r="AN223" i="37" s="1"/>
  <c r="AN213" i="37" a="1"/>
  <c r="AN213" i="37" s="1"/>
  <c r="AN36" i="37" a="1"/>
  <c r="AN36" i="37" s="1"/>
  <c r="V213" i="37" l="1"/>
  <c r="I36" i="121" s="1"/>
  <c r="V84" i="37"/>
  <c r="I82" i="116" s="1"/>
  <c r="V295" i="37"/>
  <c r="I18" i="119" s="1"/>
  <c r="V114" i="37"/>
  <c r="I20" i="119" s="1"/>
  <c r="V37" i="37"/>
  <c r="I34" i="119" s="1"/>
  <c r="V145" i="37"/>
  <c r="I64" i="116" s="1"/>
  <c r="V146" i="37"/>
  <c r="I65" i="116" s="1"/>
  <c r="V299" i="37"/>
  <c r="I80" i="116" s="1"/>
  <c r="V92" i="37"/>
  <c r="I52" i="121" s="1"/>
  <c r="V247" i="37"/>
  <c r="V241" i="37"/>
  <c r="V269" i="37"/>
  <c r="V261" i="37"/>
  <c r="V282" i="37"/>
  <c r="V287" i="37"/>
  <c r="V250" i="37"/>
  <c r="V266" i="37"/>
  <c r="V262" i="37"/>
  <c r="V279" i="37"/>
  <c r="V286" i="37"/>
  <c r="V258" i="37"/>
  <c r="V251" i="37"/>
  <c r="V267" i="37"/>
  <c r="V238" i="37"/>
  <c r="V272" i="37"/>
  <c r="V65" i="37"/>
  <c r="I43" i="119" s="1"/>
  <c r="V253" i="37"/>
  <c r="V254" i="37"/>
  <c r="V273" i="37"/>
  <c r="V248" i="37"/>
  <c r="V263" i="37"/>
  <c r="V259" i="37"/>
  <c r="V240" i="37"/>
  <c r="V257" i="37"/>
  <c r="V242" i="37"/>
  <c r="V62" i="37"/>
  <c r="I54" i="121" s="1"/>
  <c r="V217" i="37"/>
  <c r="I52" i="119" s="1"/>
  <c r="V284" i="37"/>
  <c r="V227" i="37"/>
  <c r="I51" i="119" s="1"/>
  <c r="V268" i="37"/>
  <c r="V264" i="37"/>
  <c r="V274" i="37"/>
  <c r="V277" i="37"/>
  <c r="V278" i="37"/>
  <c r="V255" i="37"/>
  <c r="V246" i="37"/>
  <c r="V243" i="37"/>
  <c r="V276" i="37"/>
  <c r="V280" i="37"/>
  <c r="V239" i="37"/>
  <c r="V265" i="37"/>
  <c r="V226" i="37"/>
  <c r="I50" i="119" s="1"/>
  <c r="V237" i="37"/>
  <c r="V270" i="37"/>
  <c r="V301" i="37"/>
  <c r="V23" i="37" s="1"/>
  <c r="V225" i="37"/>
  <c r="I49" i="119" s="1"/>
  <c r="V275" i="37"/>
  <c r="V260" i="37"/>
  <c r="V283" i="37"/>
  <c r="V162" i="37"/>
  <c r="I83" i="116" s="1"/>
  <c r="V249" i="37"/>
  <c r="V285" i="37"/>
  <c r="V281" i="37"/>
  <c r="V271" i="37"/>
  <c r="V256" i="37"/>
  <c r="V245" i="37"/>
  <c r="V252" i="37"/>
  <c r="V64" i="37"/>
  <c r="I44" i="119" s="1"/>
  <c r="V163" i="37"/>
  <c r="I55" i="121" s="1"/>
  <c r="V244" i="37"/>
  <c r="V303" i="37"/>
  <c r="V155" i="37"/>
  <c r="I53" i="121" s="1"/>
  <c r="V230" i="37"/>
  <c r="J31" i="129" s="1"/>
  <c r="V231" i="37"/>
  <c r="I40" i="119" s="1"/>
  <c r="V235" i="37"/>
  <c r="J33" i="129" s="1"/>
  <c r="V93" i="37"/>
  <c r="I81" i="116" s="1"/>
  <c r="V224" i="37"/>
  <c r="I48" i="119" s="1"/>
  <c r="V232" i="37"/>
  <c r="I42" i="119" s="1"/>
  <c r="V38" i="37"/>
  <c r="I41" i="119" s="1"/>
  <c r="V71" i="37"/>
  <c r="I51" i="121" s="1"/>
  <c r="V180" i="37"/>
  <c r="I39" i="119" s="1"/>
  <c r="V236" i="37"/>
  <c r="I38" i="119" s="1"/>
  <c r="V300" i="37"/>
  <c r="V40" i="37"/>
  <c r="I42" i="116" s="1"/>
  <c r="V39" i="37"/>
  <c r="J6" i="129" s="1"/>
  <c r="V222" i="37"/>
  <c r="I46" i="119" s="1"/>
  <c r="V221" i="37"/>
  <c r="I45" i="119" s="1"/>
  <c r="V223" i="37"/>
  <c r="I47" i="119" s="1"/>
  <c r="V210" i="37"/>
  <c r="J29" i="129" s="1"/>
  <c r="V211" i="37"/>
  <c r="I37" i="121" s="1"/>
  <c r="V160" i="37"/>
  <c r="I46" i="116" s="1"/>
  <c r="V161" i="37"/>
  <c r="I36" i="116" s="1"/>
  <c r="V159" i="37"/>
  <c r="V11" i="37" s="1"/>
  <c r="V157" i="37"/>
  <c r="I77" i="116" s="1"/>
  <c r="V156" i="37"/>
  <c r="J20" i="129" s="1"/>
  <c r="V158" i="37"/>
  <c r="I20" i="116" s="1"/>
  <c r="V80" i="37"/>
  <c r="I31" i="116" s="1"/>
  <c r="V81" i="37"/>
  <c r="I16" i="116" s="1"/>
  <c r="V77" i="37"/>
  <c r="J13" i="129" s="1"/>
  <c r="V79" i="37"/>
  <c r="I59" i="116" s="1"/>
  <c r="V82" i="37"/>
  <c r="I24" i="116" s="1"/>
  <c r="V83" i="37"/>
  <c r="I67" i="116" s="1"/>
  <c r="V78" i="37"/>
  <c r="I45" i="116" s="1"/>
  <c r="V164" i="37"/>
  <c r="J21" i="129" s="1"/>
  <c r="V165" i="37"/>
  <c r="I47" i="116" s="1"/>
  <c r="V166" i="37"/>
  <c r="I37" i="116" s="1"/>
  <c r="V26" i="37"/>
  <c r="V17" i="37" s="1"/>
  <c r="V25" i="37"/>
  <c r="J2" i="129" s="1"/>
  <c r="V216" i="37"/>
  <c r="I78" i="116" s="1"/>
  <c r="V108" i="37"/>
  <c r="I41" i="116" s="1"/>
  <c r="V113" i="37"/>
  <c r="I79" i="116" s="1"/>
  <c r="V107" i="37"/>
  <c r="I12" i="116" s="1"/>
  <c r="V110" i="37"/>
  <c r="I5" i="119" s="1"/>
  <c r="V115" i="37"/>
  <c r="I50" i="121" s="1"/>
  <c r="V106" i="37"/>
  <c r="I40" i="116" s="1"/>
  <c r="V109" i="37"/>
  <c r="I19" i="121" s="1"/>
  <c r="V104" i="37"/>
  <c r="J5" i="129" s="1"/>
  <c r="V111" i="37"/>
  <c r="I51" i="116" s="1"/>
  <c r="V105" i="37"/>
  <c r="I39" i="121" s="1"/>
  <c r="V112" i="37"/>
  <c r="I72" i="116" s="1"/>
  <c r="V137" i="37"/>
  <c r="I13" i="119" s="1"/>
  <c r="V139" i="37"/>
  <c r="I66" i="116" s="1"/>
  <c r="V140" i="37"/>
  <c r="I23" i="121" s="1"/>
  <c r="V136" i="37"/>
  <c r="I10" i="119" s="1"/>
  <c r="V138" i="37"/>
  <c r="I53" i="116" s="1"/>
  <c r="V142" i="37"/>
  <c r="I54" i="116" s="1"/>
  <c r="V141" i="37"/>
  <c r="I23" i="119" s="1"/>
  <c r="V144" i="37"/>
  <c r="I75" i="116" s="1"/>
  <c r="V135" i="37"/>
  <c r="V12" i="37" s="1"/>
  <c r="V143" i="37"/>
  <c r="I27" i="121" s="1"/>
  <c r="V134" i="37"/>
  <c r="J18" i="129" s="1"/>
  <c r="V47" i="37"/>
  <c r="I58" i="116" s="1"/>
  <c r="V46" i="37"/>
  <c r="I70" i="116" s="1"/>
  <c r="V45" i="37"/>
  <c r="I56" i="116" s="1"/>
  <c r="V44" i="37"/>
  <c r="J8" i="129" s="1"/>
  <c r="V172" i="37"/>
  <c r="I12" i="121" s="1"/>
  <c r="V171" i="37"/>
  <c r="I28" i="121" s="1"/>
  <c r="V169" i="37"/>
  <c r="J23" i="129" s="1"/>
  <c r="V175" i="37"/>
  <c r="I27" i="116" s="1"/>
  <c r="V174" i="37"/>
  <c r="V15" i="37" s="1"/>
  <c r="V173" i="37"/>
  <c r="V10" i="37" s="1"/>
  <c r="V170" i="37"/>
  <c r="I35" i="121" s="1"/>
  <c r="V215" i="37"/>
  <c r="I5" i="116" s="1"/>
  <c r="V218" i="37"/>
  <c r="I6" i="116" s="1"/>
  <c r="V228" i="37"/>
  <c r="I36" i="119" s="1"/>
  <c r="V229" i="37"/>
  <c r="I35" i="119" s="1"/>
  <c r="V214" i="37"/>
  <c r="J30" i="129" s="1"/>
  <c r="V219" i="37"/>
  <c r="I7" i="116" s="1"/>
  <c r="V220" i="37"/>
  <c r="I76" i="116" s="1"/>
  <c r="V96" i="37"/>
  <c r="I60" i="116" s="1"/>
  <c r="V95" i="37"/>
  <c r="I43" i="116" s="1"/>
  <c r="V97" i="37"/>
  <c r="I25" i="116" s="1"/>
  <c r="V100" i="37"/>
  <c r="I18" i="116" s="1"/>
  <c r="V94" i="37"/>
  <c r="J12" i="129" s="1"/>
  <c r="V98" i="37"/>
  <c r="I32" i="116" s="1"/>
  <c r="V99" i="37"/>
  <c r="I73" i="116" s="1"/>
  <c r="V91" i="37"/>
  <c r="V21" i="37" s="1"/>
  <c r="V90" i="37"/>
  <c r="I17" i="116" s="1"/>
  <c r="V86" i="37"/>
  <c r="I44" i="116" s="1"/>
  <c r="V87" i="37"/>
  <c r="I61" i="116" s="1"/>
  <c r="V89" i="37"/>
  <c r="I26" i="116" s="1"/>
  <c r="V88" i="37"/>
  <c r="I33" i="116" s="1"/>
  <c r="V85" i="37"/>
  <c r="J11" i="129" s="1"/>
  <c r="V233" i="37"/>
  <c r="J32" i="129" s="1"/>
  <c r="V234" i="37"/>
  <c r="V18" i="37" s="1"/>
  <c r="V57" i="37"/>
  <c r="V22" i="37" s="1"/>
  <c r="V67" i="37"/>
  <c r="I28" i="119" s="1"/>
  <c r="V56" i="37"/>
  <c r="I21" i="119" s="1"/>
  <c r="V59" i="37"/>
  <c r="I32" i="121" s="1"/>
  <c r="V60" i="37"/>
  <c r="I20" i="121" s="1"/>
  <c r="V61" i="37"/>
  <c r="I40" i="121" s="1"/>
  <c r="V66" i="37"/>
  <c r="I24" i="121" s="1"/>
  <c r="V63" i="37"/>
  <c r="I22" i="119" s="1"/>
  <c r="V68" i="37"/>
  <c r="I37" i="119" s="1"/>
  <c r="V55" i="37"/>
  <c r="J14" i="129" s="1"/>
  <c r="V69" i="37"/>
  <c r="I17" i="121" s="1"/>
  <c r="V70" i="37"/>
  <c r="I7" i="119" s="1"/>
  <c r="V58" i="37"/>
  <c r="I15" i="121" s="1"/>
  <c r="V149" i="37"/>
  <c r="I71" i="116" s="1"/>
  <c r="V152" i="37"/>
  <c r="I30" i="116" s="1"/>
  <c r="V148" i="37"/>
  <c r="V16" i="37" s="1"/>
  <c r="V153" i="37"/>
  <c r="I22" i="116" s="1"/>
  <c r="V154" i="37"/>
  <c r="I21" i="116" s="1"/>
  <c r="V147" i="37"/>
  <c r="J19" i="129" s="1"/>
  <c r="V151" i="37"/>
  <c r="I38" i="116" s="1"/>
  <c r="V150" i="37"/>
  <c r="I68" i="116" s="1"/>
  <c r="V179" i="37"/>
  <c r="I55" i="116" s="1"/>
  <c r="V178" i="37"/>
  <c r="I57" i="116" s="1"/>
  <c r="V176" i="37"/>
  <c r="J24" i="129" s="1"/>
  <c r="V177" i="37"/>
  <c r="I8" i="119" s="1"/>
  <c r="V102" i="37"/>
  <c r="I9" i="119" s="1"/>
  <c r="V103" i="37"/>
  <c r="I62" i="116" s="1"/>
  <c r="V101" i="37"/>
  <c r="J15" i="129" s="1"/>
  <c r="V116" i="37"/>
  <c r="J16" i="129" s="1"/>
  <c r="V119" i="37"/>
  <c r="I22" i="121" s="1"/>
  <c r="V118" i="37"/>
  <c r="I33" i="121" s="1"/>
  <c r="V122" i="37"/>
  <c r="I21" i="121" s="1"/>
  <c r="V123" i="37"/>
  <c r="I18" i="121" s="1"/>
  <c r="V124" i="37"/>
  <c r="I19" i="116" s="1"/>
  <c r="V117" i="37"/>
  <c r="I26" i="121" s="1"/>
  <c r="V121" i="37"/>
  <c r="I25" i="121" s="1"/>
  <c r="V120" i="37"/>
  <c r="I63" i="116" s="1"/>
  <c r="V202" i="37"/>
  <c r="I38" i="121" s="1"/>
  <c r="V207" i="37"/>
  <c r="I5" i="121" s="1"/>
  <c r="V200" i="37"/>
  <c r="I44" i="121" s="1"/>
  <c r="V204" i="37"/>
  <c r="I45" i="121" s="1"/>
  <c r="V199" i="37"/>
  <c r="J27" i="129" s="1"/>
  <c r="V208" i="37"/>
  <c r="V19" i="37" s="1"/>
  <c r="V205" i="37"/>
  <c r="I41" i="121" s="1"/>
  <c r="V201" i="37"/>
  <c r="I47" i="121" s="1"/>
  <c r="V203" i="37"/>
  <c r="I46" i="121" s="1"/>
  <c r="V206" i="37"/>
  <c r="I43" i="121" s="1"/>
  <c r="V167" i="37"/>
  <c r="J22" i="129" s="1"/>
  <c r="V168" i="37"/>
  <c r="V20" i="37" s="1"/>
  <c r="V42" i="37"/>
  <c r="I13" i="116" s="1"/>
  <c r="V41" i="37"/>
  <c r="J7" i="129" s="1"/>
  <c r="V43" i="37"/>
  <c r="I69" i="116" s="1"/>
  <c r="V197" i="37"/>
  <c r="I29" i="121" s="1"/>
  <c r="V191" i="37"/>
  <c r="I12" i="119" s="1"/>
  <c r="V195" i="37"/>
  <c r="I34" i="121" s="1"/>
  <c r="V196" i="37"/>
  <c r="V14" i="37" s="1"/>
  <c r="V198" i="37"/>
  <c r="I11" i="121" s="1"/>
  <c r="V190" i="37"/>
  <c r="J26" i="129" s="1"/>
  <c r="V194" i="37"/>
  <c r="I32" i="119" s="1"/>
  <c r="V192" i="37"/>
  <c r="I25" i="119" s="1"/>
  <c r="V193" i="37"/>
  <c r="I30" i="119" s="1"/>
  <c r="V54" i="37"/>
  <c r="I15" i="119" s="1"/>
  <c r="V53" i="37"/>
  <c r="J10" i="129" s="1"/>
  <c r="V72" i="37"/>
  <c r="J3" i="129" s="1"/>
  <c r="V74" i="37"/>
  <c r="I8" i="116" s="1"/>
  <c r="V75" i="37"/>
  <c r="I10" i="116" s="1"/>
  <c r="V76" i="37"/>
  <c r="I9" i="116" s="1"/>
  <c r="V73" i="37"/>
  <c r="I50" i="116" s="1"/>
  <c r="V126" i="37"/>
  <c r="I24" i="119" s="1"/>
  <c r="V133" i="37"/>
  <c r="I33" i="119" s="1"/>
  <c r="V132" i="37"/>
  <c r="I29" i="119" s="1"/>
  <c r="V128" i="37"/>
  <c r="I42" i="121" s="1"/>
  <c r="V129" i="37"/>
  <c r="I11" i="119" s="1"/>
  <c r="V125" i="37"/>
  <c r="J17" i="129" s="1"/>
  <c r="V131" i="37"/>
  <c r="I16" i="119" s="1"/>
  <c r="V130" i="37"/>
  <c r="I14" i="119" s="1"/>
  <c r="V127" i="37"/>
  <c r="V13" i="37" s="1"/>
  <c r="V32" i="37"/>
  <c r="I6" i="119" s="1"/>
  <c r="V31" i="37"/>
  <c r="I31" i="121" s="1"/>
  <c r="V28" i="37"/>
  <c r="J4" i="129" s="1"/>
  <c r="V29" i="37"/>
  <c r="I14" i="121" s="1"/>
  <c r="V33" i="37"/>
  <c r="I26" i="119" s="1"/>
  <c r="V36" i="37"/>
  <c r="I31" i="119" s="1"/>
  <c r="V30" i="37"/>
  <c r="V9" i="37" s="1"/>
  <c r="V34" i="37"/>
  <c r="I17" i="119" s="1"/>
  <c r="V35" i="37"/>
  <c r="I27" i="119" s="1"/>
  <c r="V182" i="37"/>
  <c r="I28" i="116" s="1"/>
  <c r="V188" i="37"/>
  <c r="I23" i="116" s="1"/>
  <c r="V184" i="37"/>
  <c r="I34" i="116" s="1"/>
  <c r="V189" i="37"/>
  <c r="I48" i="121" s="1"/>
  <c r="V181" i="37"/>
  <c r="J25" i="129" s="1"/>
  <c r="V187" i="37"/>
  <c r="I29" i="116" s="1"/>
  <c r="V183" i="37"/>
  <c r="I49" i="116" s="1"/>
  <c r="V185" i="37"/>
  <c r="I39" i="116" s="1"/>
  <c r="V186" i="37"/>
  <c r="I35" i="116" s="1"/>
  <c r="V50" i="37"/>
  <c r="I11" i="116" s="1"/>
  <c r="V48" i="37"/>
  <c r="J9" i="129" s="1"/>
  <c r="V52" i="37"/>
  <c r="I14" i="116" s="1"/>
  <c r="V51" i="37"/>
  <c r="I52" i="116" s="1"/>
  <c r="V49" i="37"/>
  <c r="I15" i="116" s="1"/>
  <c r="O26" i="37" a="1"/>
  <c r="O26" i="37" s="1"/>
  <c r="O27" i="37" s="1" a="1"/>
  <c r="O27" i="37" s="1"/>
  <c r="O28" i="37" l="1" a="1"/>
  <c r="O28" i="37" s="1"/>
  <c r="O29" i="37" s="1" a="1"/>
  <c r="O29" i="37" s="1"/>
  <c r="O30" i="37" s="1" a="1"/>
  <c r="O30" i="37" s="1"/>
  <c r="O31" i="37" s="1" a="1"/>
  <c r="O31" i="37" s="1"/>
  <c r="O32" i="37" s="1" a="1"/>
  <c r="O32" i="37" s="1"/>
  <c r="O33" i="37" s="1" a="1"/>
  <c r="O33" i="37" s="1"/>
  <c r="O34" i="37" s="1" a="1"/>
  <c r="O34" i="37" s="1"/>
  <c r="O35" i="37" s="1" a="1"/>
  <c r="O35" i="37" s="1"/>
  <c r="O36" i="37" s="1" a="1"/>
  <c r="O36" i="37" s="1"/>
  <c r="O37" i="37" s="1" a="1"/>
  <c r="O37" i="37" s="1"/>
  <c r="O38" i="37" l="1" a="1"/>
  <c r="O38" i="37" s="1"/>
  <c r="O39" i="37" s="1" a="1"/>
  <c r="O39" i="37" s="1"/>
  <c r="O40" i="37" s="1" a="1"/>
  <c r="O40" i="37" s="1"/>
  <c r="O41" i="37" s="1" a="1"/>
  <c r="O41" i="37" s="1"/>
  <c r="O42" i="37" s="1" a="1"/>
  <c r="O42" i="37" s="1"/>
  <c r="O43" i="37" s="1" a="1"/>
  <c r="O43" i="37" s="1"/>
  <c r="O295" i="37" s="1" a="1"/>
  <c r="O295" i="37" s="1"/>
  <c r="O44" i="37" s="1" a="1"/>
  <c r="O44" i="37" s="1"/>
  <c r="O45" i="37" s="1" a="1"/>
  <c r="O45" i="37" s="1"/>
  <c r="O46" i="37" s="1" a="1"/>
  <c r="O46" i="37" s="1"/>
  <c r="O47" i="37" s="1" a="1"/>
  <c r="O47" i="37" s="1"/>
  <c r="O53" i="37" s="1" a="1"/>
  <c r="O53" i="37" s="1"/>
  <c r="O54" i="37" s="1" a="1"/>
  <c r="O54" i="37" s="1"/>
  <c r="O55" i="37" s="1" a="1"/>
  <c r="O55" i="37" s="1"/>
  <c r="O56" i="37" s="1" a="1"/>
  <c r="O56" i="37" s="1"/>
  <c r="O57" i="37" s="1" a="1"/>
  <c r="O57" i="37" s="1"/>
  <c r="O58" i="37" s="1" a="1"/>
  <c r="O58" i="37" s="1"/>
  <c r="O59" i="37" s="1" a="1"/>
  <c r="O59" i="37" s="1"/>
  <c r="O60" i="37" s="1" a="1"/>
  <c r="O60" i="37" s="1"/>
  <c r="O61" i="37" s="1" a="1"/>
  <c r="O61" i="37" s="1"/>
  <c r="O296" i="37" l="1" a="1"/>
  <c r="O296" i="37" s="1"/>
  <c r="O48" i="37" a="1"/>
  <c r="O48" i="37" s="1"/>
  <c r="O49" i="37" s="1" a="1"/>
  <c r="O49" i="37" s="1"/>
  <c r="O50" i="37" s="1" a="1"/>
  <c r="O50" i="37" s="1"/>
  <c r="O51" i="37" s="1" a="1"/>
  <c r="O51" i="37" s="1"/>
  <c r="O52" i="37" s="1" a="1"/>
  <c r="O52" i="37" s="1"/>
  <c r="F17" i="21" l="1"/>
  <c r="G29" i="21" s="1"/>
  <c r="G33" i="21" s="1"/>
  <c r="F9" i="37" s="1"/>
  <c r="G9" i="37" s="1"/>
  <c r="O62" i="37" l="1" a="1"/>
  <c r="O62" i="37" s="1"/>
  <c r="O63" i="37" l="1" a="1"/>
  <c r="O63" i="37" s="1"/>
  <c r="O64" i="37" s="1" a="1"/>
  <c r="O64" i="37" s="1"/>
  <c r="O65" i="37" l="1" a="1"/>
  <c r="O65" i="37" s="1"/>
  <c r="O66" i="37" a="1"/>
  <c r="O66" i="37" s="1"/>
  <c r="O67" i="37" s="1" a="1"/>
  <c r="O67" i="37" s="1"/>
  <c r="O68" i="37" s="1" a="1"/>
  <c r="O68" i="37" s="1"/>
  <c r="O69" i="37" s="1" a="1"/>
  <c r="O69" i="37" s="1"/>
  <c r="O70" i="37" s="1" a="1"/>
  <c r="O70" i="37" s="1"/>
  <c r="O71" i="37" s="1" a="1"/>
  <c r="O71" i="37" s="1"/>
  <c r="O77" i="37" s="1" a="1"/>
  <c r="O77" i="37" s="1"/>
  <c r="O78" i="37" s="1" a="1"/>
  <c r="O78" i="37" s="1"/>
  <c r="O79" i="37" s="1" a="1"/>
  <c r="O79" i="37" s="1"/>
  <c r="O80" i="37" s="1" a="1"/>
  <c r="O80" i="37" s="1"/>
  <c r="O81" i="37" s="1" a="1"/>
  <c r="O81" i="37" s="1"/>
  <c r="O82" i="37" s="1" a="1"/>
  <c r="O82" i="37" s="1"/>
  <c r="O83" i="37" s="1" a="1"/>
  <c r="O83" i="37" s="1"/>
  <c r="O72" i="37" l="1" a="1"/>
  <c r="O72" i="37" s="1"/>
  <c r="O73" i="37" s="1" a="1"/>
  <c r="O73" i="37" s="1"/>
  <c r="O74" i="37" s="1" a="1"/>
  <c r="O74" i="37" s="1"/>
  <c r="O75" i="37" s="1" a="1"/>
  <c r="O75" i="37" s="1"/>
  <c r="O76" i="37" s="1" a="1"/>
  <c r="O76" i="37" s="1"/>
  <c r="O104" i="37" s="1" a="1"/>
  <c r="O104" i="37" s="1"/>
  <c r="O105" i="37" s="1" a="1"/>
  <c r="O105" i="37" s="1"/>
  <c r="O106" i="37" s="1" a="1"/>
  <c r="O106" i="37" s="1"/>
  <c r="O107" i="37" s="1" a="1"/>
  <c r="O107" i="37" s="1"/>
  <c r="O108" i="37" s="1" a="1"/>
  <c r="O108" i="37" s="1"/>
  <c r="O109" i="37" s="1" a="1"/>
  <c r="O109" i="37" s="1"/>
  <c r="O110" i="37" s="1" a="1"/>
  <c r="O110" i="37" s="1"/>
  <c r="O111" i="37" s="1" a="1"/>
  <c r="O111" i="37" s="1"/>
  <c r="O112" i="37" s="1" a="1"/>
  <c r="O112" i="37" s="1"/>
  <c r="O113" i="37" s="1" a="1"/>
  <c r="O113" i="37" s="1"/>
  <c r="O114" i="37" s="1" a="1"/>
  <c r="O114" i="37" s="1"/>
  <c r="O115" i="37" s="1" a="1"/>
  <c r="O115" i="37" s="1"/>
  <c r="O94" i="37" a="1"/>
  <c r="O94" i="37" s="1"/>
  <c r="O95" i="37" s="1" a="1"/>
  <c r="O95" i="37" s="1"/>
  <c r="O96" i="37" s="1" a="1"/>
  <c r="O96" i="37" s="1"/>
  <c r="O97" i="37" s="1" a="1"/>
  <c r="O97" i="37" s="1"/>
  <c r="O98" i="37" s="1" a="1"/>
  <c r="O98" i="37" s="1"/>
  <c r="O99" i="37" s="1" a="1"/>
  <c r="O99" i="37" s="1"/>
  <c r="O100" i="37" s="1" a="1"/>
  <c r="O100" i="37" s="1"/>
  <c r="O101" i="37" s="1" a="1"/>
  <c r="O101" i="37" s="1"/>
  <c r="O102" i="37" s="1" a="1"/>
  <c r="O102" i="37" s="1"/>
  <c r="O103" i="37" s="1" a="1"/>
  <c r="O103" i="37" s="1"/>
  <c r="O116" i="37" s="1" a="1"/>
  <c r="O116" i="37" s="1"/>
  <c r="O117" i="37" s="1" a="1"/>
  <c r="O117" i="37" s="1"/>
  <c r="O118" i="37" s="1" a="1"/>
  <c r="O118" i="37" s="1"/>
  <c r="O119" i="37" s="1" a="1"/>
  <c r="O119" i="37" s="1"/>
  <c r="O120" i="37" s="1" a="1"/>
  <c r="O120" i="37" s="1"/>
  <c r="O121" i="37" s="1" a="1"/>
  <c r="O121" i="37" s="1"/>
  <c r="O122" i="37" s="1" a="1"/>
  <c r="O122" i="37" s="1"/>
  <c r="O123" i="37" s="1" a="1"/>
  <c r="O123" i="37" s="1"/>
  <c r="O124" i="37" s="1" a="1"/>
  <c r="O124" i="37" s="1"/>
  <c r="O125" i="37" s="1" a="1"/>
  <c r="O125" i="37" s="1"/>
  <c r="O126" i="37" s="1" a="1"/>
  <c r="O126" i="37" s="1"/>
  <c r="O127" i="37" s="1" a="1"/>
  <c r="O127" i="37" s="1"/>
  <c r="O128" i="37" s="1" a="1"/>
  <c r="O128" i="37" s="1"/>
  <c r="O129" i="37" s="1" a="1"/>
  <c r="O129" i="37" s="1"/>
  <c r="O130" i="37" s="1" a="1"/>
  <c r="O130" i="37" s="1"/>
  <c r="O131" i="37" s="1" a="1"/>
  <c r="O131" i="37" s="1"/>
  <c r="O132" i="37" s="1" a="1"/>
  <c r="O132" i="37" s="1"/>
  <c r="O133" i="37" s="1" a="1"/>
  <c r="O133" i="37" s="1"/>
  <c r="O134" i="37" s="1" a="1"/>
  <c r="O134" i="37" s="1"/>
  <c r="O135" i="37" s="1" a="1"/>
  <c r="O135" i="37" s="1"/>
  <c r="O136" i="37" s="1" a="1"/>
  <c r="O136" i="37" s="1"/>
  <c r="O137" i="37" s="1" a="1"/>
  <c r="O137" i="37" s="1"/>
  <c r="O138" i="37" s="1" a="1"/>
  <c r="O138" i="37" s="1"/>
  <c r="O139" i="37" s="1" a="1"/>
  <c r="O139" i="37" s="1"/>
  <c r="O140" i="37" s="1" a="1"/>
  <c r="O140" i="37" s="1"/>
  <c r="O141" i="37" s="1" a="1"/>
  <c r="O141" i="37" s="1"/>
  <c r="O142" i="37" s="1" a="1"/>
  <c r="O142" i="37" s="1"/>
  <c r="O143" i="37" s="1" a="1"/>
  <c r="O143" i="37" s="1"/>
  <c r="O144" i="37" s="1" a="1"/>
  <c r="O144" i="37" s="1"/>
  <c r="O145" i="37" s="1" a="1"/>
  <c r="O145" i="37" s="1"/>
  <c r="O146" i="37" s="1" a="1"/>
  <c r="O146" i="37" s="1"/>
  <c r="O147" i="37" s="1" a="1"/>
  <c r="O147" i="37" s="1"/>
  <c r="O148" i="37" s="1" a="1"/>
  <c r="O148" i="37" s="1"/>
  <c r="O149" i="37" s="1" a="1"/>
  <c r="O149" i="37" s="1"/>
  <c r="O150" i="37" s="1" a="1"/>
  <c r="O150" i="37" s="1"/>
  <c r="O151" i="37" s="1" a="1"/>
  <c r="O151" i="37" s="1"/>
  <c r="O152" i="37" s="1" a="1"/>
  <c r="O152" i="37" s="1"/>
  <c r="O153" i="37" s="1" a="1"/>
  <c r="O153" i="37" s="1"/>
  <c r="O154" i="37" s="1" a="1"/>
  <c r="O154" i="37" s="1"/>
  <c r="O155" i="37" s="1" a="1"/>
  <c r="O155" i="37" s="1"/>
  <c r="O85" i="37" a="1"/>
  <c r="O85" i="37" s="1"/>
  <c r="O86" i="37" s="1" a="1"/>
  <c r="O86" i="37" s="1"/>
  <c r="O87" i="37" s="1" a="1"/>
  <c r="O87" i="37" s="1"/>
  <c r="O88" i="37" s="1" a="1"/>
  <c r="O88" i="37" s="1"/>
  <c r="O89" i="37" s="1" a="1"/>
  <c r="O89" i="37" s="1"/>
  <c r="O90" i="37" s="1" a="1"/>
  <c r="O90" i="37" s="1"/>
  <c r="O91" i="37" s="1" a="1"/>
  <c r="O91" i="37" s="1"/>
  <c r="O92" i="37" s="1" a="1"/>
  <c r="O92" i="37" s="1"/>
  <c r="O93" i="37" s="1" a="1"/>
  <c r="O93" i="37" s="1"/>
  <c r="O156" i="37" l="1" a="1"/>
  <c r="O156" i="37" s="1"/>
  <c r="O157" i="37" s="1" a="1"/>
  <c r="O157" i="37" s="1"/>
  <c r="O158" i="37" s="1" a="1"/>
  <c r="O158" i="37" s="1"/>
  <c r="O159" i="37" s="1" a="1"/>
  <c r="O159" i="37" s="1"/>
  <c r="O160" i="37" s="1" a="1"/>
  <c r="O160" i="37" s="1"/>
  <c r="O161" i="37" s="1" a="1"/>
  <c r="O161" i="37" s="1"/>
  <c r="O297" i="37" a="1"/>
  <c r="O297" i="37" s="1"/>
  <c r="O298" i="37" s="1" a="1"/>
  <c r="O298" i="37" s="1"/>
  <c r="O162" i="37" l="1" a="1"/>
  <c r="O162" i="37" s="1"/>
  <c r="O84" i="37" a="1"/>
  <c r="O84" i="37" s="1"/>
  <c r="O299" i="37" s="1" a="1"/>
  <c r="O299" i="37" s="1"/>
  <c r="O163" i="37" l="1" a="1"/>
  <c r="O163" i="37" s="1"/>
  <c r="O164" i="37" s="1" a="1"/>
  <c r="O164" i="37" s="1"/>
  <c r="O165" i="37" s="1" a="1"/>
  <c r="O165" i="37" s="1"/>
  <c r="O166" i="37" s="1" a="1"/>
  <c r="O166" i="37" s="1"/>
  <c r="O167" i="37" s="1" a="1"/>
  <c r="O167" i="37" s="1"/>
  <c r="O168" i="37" s="1" a="1"/>
  <c r="O168" i="37" s="1"/>
  <c r="O169" i="37" s="1" a="1"/>
  <c r="O169" i="37" s="1"/>
  <c r="O170" i="37" s="1" a="1"/>
  <c r="O170" i="37" s="1"/>
  <c r="O171" i="37" s="1" a="1"/>
  <c r="O171" i="37" s="1"/>
  <c r="O172" i="37" s="1" a="1"/>
  <c r="O172" i="37" s="1"/>
  <c r="O173" i="37" s="1" a="1"/>
  <c r="O173" i="37" s="1"/>
  <c r="O174" i="37" s="1" a="1"/>
  <c r="O174" i="37" s="1"/>
  <c r="O175" i="37" s="1" a="1"/>
  <c r="O175" i="37" s="1"/>
  <c r="O176" i="37" s="1" a="1"/>
  <c r="O176" i="37" s="1"/>
  <c r="O177" i="37" s="1" a="1"/>
  <c r="O177" i="37" s="1"/>
  <c r="O178" i="37" s="1" a="1"/>
  <c r="O178" i="37" s="1"/>
  <c r="O179" i="37" s="1" a="1"/>
  <c r="O179" i="37" s="1"/>
  <c r="O180" i="37" s="1" a="1"/>
  <c r="O180" i="37" s="1"/>
  <c r="O181" i="37" s="1" a="1"/>
  <c r="O181" i="37" s="1"/>
  <c r="O182" i="37" s="1" a="1"/>
  <c r="O182" i="37" s="1"/>
  <c r="O183" i="37" s="1" a="1"/>
  <c r="O183" i="37" s="1"/>
  <c r="O184" i="37" s="1" a="1"/>
  <c r="O184" i="37" s="1"/>
  <c r="O185" i="37" s="1" a="1"/>
  <c r="O185" i="37" s="1"/>
  <c r="O186" i="37" s="1" a="1"/>
  <c r="O186" i="37" s="1"/>
  <c r="O187" i="37" s="1" a="1"/>
  <c r="O187" i="37" s="1"/>
  <c r="O188" i="37" s="1" a="1"/>
  <c r="O188" i="37" s="1"/>
  <c r="O189" i="37" s="1" a="1"/>
  <c r="O189" i="37" s="1"/>
  <c r="O294" i="37" l="1" a="1"/>
  <c r="O294" i="37" s="1"/>
  <c r="O190" i="37" a="1"/>
  <c r="O190" i="37" s="1"/>
  <c r="O191" i="37" s="1" a="1"/>
  <c r="O191" i="37" s="1"/>
  <c r="O192" i="37" s="1" a="1"/>
  <c r="O192" i="37" s="1"/>
  <c r="O193" i="37" s="1" a="1"/>
  <c r="O193" i="37" s="1"/>
  <c r="O194" i="37" s="1" a="1"/>
  <c r="O194" i="37" s="1"/>
  <c r="O195" i="37" s="1" a="1"/>
  <c r="O195" i="37" s="1"/>
  <c r="O196" i="37" s="1" a="1"/>
  <c r="O196" i="37" s="1"/>
  <c r="O197" i="37" s="1" a="1"/>
  <c r="O197" i="37" s="1"/>
  <c r="O198" i="37" s="1" a="1"/>
  <c r="O198" i="37" s="1"/>
  <c r="O199" i="37" s="1" a="1"/>
  <c r="O199" i="37" s="1"/>
  <c r="O200" i="37" s="1" a="1"/>
  <c r="O200" i="37" s="1"/>
  <c r="O201" i="37" s="1" a="1"/>
  <c r="O201" i="37" s="1"/>
  <c r="O202" i="37" s="1" a="1"/>
  <c r="O202" i="37" s="1"/>
  <c r="O203" i="37" s="1" a="1"/>
  <c r="O203" i="37" s="1"/>
  <c r="O204" i="37" s="1" a="1"/>
  <c r="O204" i="37" s="1"/>
  <c r="O205" i="37" s="1" a="1"/>
  <c r="O205" i="37" s="1"/>
  <c r="O206" i="37" s="1" a="1"/>
  <c r="O206" i="37" s="1"/>
  <c r="O207" i="37" s="1" a="1"/>
  <c r="O207" i="37" s="1"/>
  <c r="O208" i="37" s="1" a="1"/>
  <c r="O208" i="37" s="1"/>
  <c r="O209" i="37" s="1" a="1"/>
  <c r="O209" i="37" s="1"/>
  <c r="O210" i="37" s="1" a="1"/>
  <c r="O210" i="37" s="1"/>
  <c r="O211" i="37" s="1" a="1"/>
  <c r="O211" i="37" s="1"/>
  <c r="O212" i="37" s="1" a="1"/>
  <c r="O212" i="37" s="1"/>
  <c r="O213" i="37" s="1" a="1"/>
  <c r="O213" i="37" s="1"/>
  <c r="O214" i="37" s="1" a="1"/>
  <c r="O214" i="37" s="1"/>
  <c r="O215" i="37" s="1" a="1"/>
  <c r="O215" i="37" s="1"/>
  <c r="O216" i="37" s="1" a="1"/>
  <c r="O216" i="37" s="1"/>
  <c r="O230" i="37" l="1" a="1"/>
  <c r="O230" i="37" s="1"/>
  <c r="O231" i="37" s="1" a="1"/>
  <c r="O231" i="37" s="1"/>
  <c r="O232" i="37" s="1" a="1"/>
  <c r="O232" i="37" s="1"/>
  <c r="O235" i="37" s="1" a="1"/>
  <c r="O235" i="37" s="1"/>
  <c r="O236" i="37" s="1" a="1"/>
  <c r="O236" i="37" s="1"/>
  <c r="O300" i="37" l="1" a="1"/>
  <c r="O300" i="37" s="1"/>
  <c r="O301" i="37" a="1"/>
  <c r="O301" i="37" s="1"/>
  <c r="O239" i="37" a="1"/>
  <c r="O239" i="37" s="1"/>
  <c r="O280" i="37" a="1"/>
  <c r="O280" i="37" s="1"/>
  <c r="O275" i="37" a="1"/>
  <c r="O275" i="37" s="1"/>
  <c r="O253" i="37" a="1"/>
  <c r="O253" i="37" s="1"/>
  <c r="O267" i="37" a="1"/>
  <c r="O267" i="37" s="1"/>
  <c r="O237" i="37" a="1"/>
  <c r="O237" i="37" s="1"/>
  <c r="O287" i="37" a="1"/>
  <c r="O287" i="37" s="1"/>
  <c r="O288" i="37" s="1" a="1"/>
  <c r="O288" i="37" s="1"/>
  <c r="O289" i="37" s="1" a="1"/>
  <c r="O289" i="37" s="1"/>
  <c r="O290" i="37" s="1" a="1"/>
  <c r="O290" i="37" s="1"/>
  <c r="O291" i="37" s="1" a="1"/>
  <c r="O291" i="37" s="1"/>
  <c r="O292" i="37" s="1" a="1"/>
  <c r="O292" i="37" s="1"/>
  <c r="O293" i="37" s="1" a="1"/>
  <c r="O293" i="37" s="1"/>
  <c r="O251" i="37" a="1"/>
  <c r="O251" i="37" s="1"/>
  <c r="O273" i="37" a="1"/>
  <c r="O273" i="37" s="1"/>
  <c r="O248" i="37" a="1"/>
  <c r="O248" i="37" s="1"/>
  <c r="O240" i="37" a="1"/>
  <c r="O240" i="37" s="1"/>
  <c r="O283" i="37" a="1"/>
  <c r="O283" i="37" s="1"/>
  <c r="O252" i="37" a="1"/>
  <c r="O252" i="37" s="1"/>
  <c r="O266" i="37" a="1"/>
  <c r="O266" i="37" s="1"/>
  <c r="O258" i="37" a="1"/>
  <c r="O258" i="37" s="1"/>
  <c r="O281" i="37" a="1"/>
  <c r="O281" i="37" s="1"/>
  <c r="O261" i="37" a="1"/>
  <c r="O261" i="37" s="1"/>
  <c r="O244" i="37" a="1"/>
  <c r="O244" i="37" s="1"/>
  <c r="O268" i="37" a="1"/>
  <c r="O268" i="37" s="1"/>
  <c r="O257" i="37" a="1"/>
  <c r="O257" i="37" s="1"/>
  <c r="O242" i="37" a="1"/>
  <c r="O242" i="37" s="1"/>
  <c r="O255" i="37" a="1"/>
  <c r="O255" i="37" s="1"/>
  <c r="O241" i="37" a="1"/>
  <c r="O241" i="37" s="1"/>
  <c r="O265" i="37" a="1"/>
  <c r="O265" i="37" s="1"/>
  <c r="O246" i="37" a="1"/>
  <c r="O246" i="37" s="1"/>
  <c r="O262" i="37" a="1"/>
  <c r="O262" i="37" s="1"/>
  <c r="O277" i="37" a="1"/>
  <c r="O277" i="37" s="1"/>
  <c r="O263" i="37" a="1"/>
  <c r="O263" i="37" s="1"/>
  <c r="O238" i="37" a="1"/>
  <c r="O238" i="37" s="1"/>
  <c r="O259" i="37" a="1"/>
  <c r="O259" i="37" s="1"/>
  <c r="O278" i="37" a="1"/>
  <c r="O278" i="37" s="1"/>
  <c r="O284" i="37" a="1"/>
  <c r="O284" i="37" s="1"/>
  <c r="O271" i="37" a="1"/>
  <c r="O271" i="37" s="1"/>
  <c r="O264" i="37" a="1"/>
  <c r="O264" i="37" s="1"/>
  <c r="O279" i="37" a="1"/>
  <c r="O279" i="37" s="1"/>
  <c r="O249" i="37" a="1"/>
  <c r="O249" i="37" s="1"/>
  <c r="O274" i="37" a="1"/>
  <c r="O274" i="37" s="1"/>
  <c r="O276" i="37" a="1"/>
  <c r="O276" i="37" s="1"/>
  <c r="O282" i="37" a="1"/>
  <c r="O282" i="37" s="1"/>
  <c r="O250" i="37" a="1"/>
  <c r="O250" i="37" s="1"/>
  <c r="O247" i="37" a="1"/>
  <c r="O247" i="37" s="1"/>
  <c r="O256" i="37" a="1"/>
  <c r="O256" i="37" s="1"/>
  <c r="O270" i="37" a="1"/>
  <c r="O270" i="37" s="1"/>
  <c r="O269" i="37" a="1"/>
  <c r="O269" i="37" s="1"/>
  <c r="O285" i="37" a="1"/>
  <c r="O285" i="37" s="1"/>
  <c r="O286" i="37" a="1"/>
  <c r="O286" i="37" s="1"/>
  <c r="O243" i="37" a="1"/>
  <c r="O243" i="37" s="1"/>
  <c r="O217" i="37" a="1"/>
  <c r="O217" i="37" s="1"/>
  <c r="O218" i="37" s="1" a="1"/>
  <c r="O218" i="37" s="1"/>
  <c r="O219" i="37" s="1" a="1"/>
  <c r="O219" i="37" s="1"/>
  <c r="O260" i="37" a="1"/>
  <c r="O260" i="37" s="1"/>
  <c r="O272" i="37" a="1"/>
  <c r="O272" i="37" s="1"/>
  <c r="O254" i="37" a="1"/>
  <c r="O254" i="37" s="1"/>
  <c r="O245" i="37" a="1"/>
  <c r="O245" i="37" s="1"/>
  <c r="O220" i="37" l="1" a="1"/>
  <c r="O220" i="37" s="1"/>
  <c r="O221" i="37" s="1" a="1"/>
  <c r="O221" i="37" s="1"/>
  <c r="O222" i="37" s="1" a="1"/>
  <c r="O222" i="37" s="1"/>
  <c r="O223" i="37" s="1" a="1"/>
  <c r="O223" i="37" s="1"/>
  <c r="O224" i="37" s="1" a="1"/>
  <c r="O224" i="37" s="1"/>
  <c r="O225" i="37" s="1" a="1"/>
  <c r="O225" i="37" s="1"/>
  <c r="O226" i="37" s="1" a="1"/>
  <c r="O226" i="37" s="1"/>
  <c r="O227" i="37" s="1" a="1"/>
  <c r="O227" i="37" s="1"/>
  <c r="O228" i="37" s="1" a="1"/>
  <c r="O228" i="37" s="1"/>
  <c r="O229" i="37" s="1" a="1"/>
  <c r="O229" i="37" s="1"/>
  <c r="O233" i="37" s="1" a="1"/>
  <c r="O233" i="37" s="1"/>
  <c r="O234" i="37" s="1" a="1"/>
  <c r="O234" i="37" s="1"/>
  <c r="O302" i="37" s="1" a="1"/>
  <c r="O302" i="37" s="1"/>
  <c r="O303" i="37" s="1" a="1"/>
  <c r="O303" i="37"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000FE8E-76EA-4595-854E-C55B86677B84}" keepAlive="1" name="Query - qryContractsToGnatt" description="Connection to the 'qryContractsToGnatt' query in the workbook." type="5" refreshedVersion="8" background="1" saveData="1">
    <dbPr connection="Provider=Microsoft.Mashup.OleDb.1;Data Source=$Workbook$;Location=qryContractsToGnatt;Extended Properties=&quot;&quot;" command="SELECT * FROM [qryContractsToGnatt]"/>
  </connection>
  <connection id="2" xr16:uid="{D644A7D7-C851-4BEF-BC51-BEACC3FC4CC6}" keepAlive="1" name="Query - qryGnattToDraws" description="Connection to the 'qryGnattToDraws' query in the workbook." type="5" refreshedVersion="8" background="1" saveData="1">
    <dbPr connection="Provider=Microsoft.Mashup.OleDb.1;Data Source=$Workbook$;Location=qryGnattToDraws;Extended Properties=&quot;&quot;" command="SELECT * FROM [qryGnattToDraws]"/>
  </connection>
  <connection id="3" xr16:uid="{445D89F8-9AFB-4E3C-B507-EEA84350A964}" keepAlive="1" name="Query - qryTabsToGnatt" description="Connection to the 'qryTabsToGnatt' query in the workbook." type="5" refreshedVersion="0" background="1">
    <dbPr connection="Provider=Microsoft.Mashup.OleDb.1;Data Source=$Workbook$;Location=qryTabsToGnatt;Extended Properties=&quot;&quot;" command="SELECT * FROM [qryTabsToGnatt]"/>
  </connection>
  <connection id="4" xr16:uid="{D133267E-0A75-4A96-930D-1555513E20C8}" keepAlive="1" name="Query - qryUpdateContractDependency" description="Connection to the 'qryUpdateContractDependency' query in the workbook." type="5" refreshedVersion="0" background="1">
    <dbPr connection="Provider=Microsoft.Mashup.OleDb.1;Data Source=$Workbook$;Location=qryUpdateContractDependency;Extended Properties=&quot;&quot;" command="SELECT * FROM [qryUpdateContractDependency]"/>
  </connection>
  <connection id="5" xr16:uid="{D9559AB0-8CD0-4600-870C-36BCCBF5FF29}" keepAlive="1" name="Query - QryUpdateContractGlasgow" description="Connection to the 'QryUpdateContractGlasgow' query in the workbook." type="5" refreshedVersion="8" background="1" saveData="1">
    <dbPr connection="Provider=Microsoft.Mashup.OleDb.1;Data Source=$Workbook$;Location=QryUpdateContractGlasgow;Extended Properties=&quot;&quot;" command="SELECT * FROM [QryUpdateContractGlasgow]"/>
  </connection>
  <connection id="6" xr16:uid="{9FB0F8FD-2F8C-4F1D-AC23-0DD7830FC924}" keepAlive="1" name="Query - qryUpdateContractOthers" description="Connection to the 'qryUpdateContractOthers' query in the workbook." type="5" refreshedVersion="0" background="1">
    <dbPr connection="Provider=Microsoft.Mashup.OleDb.1;Data Source=$Workbook$;Location=qryUpdateContractOthers;Extended Properties=&quot;&quot;" command="SELECT * FROM [qryUpdateContractOthers]"/>
  </connection>
  <connection id="7" xr16:uid="{A61C4AAB-EEEC-4C1F-9EF4-8CA329A28A30}" keepAlive="1" name="Query - qryUpdateContractTim" description="Connection to the 'qryUpdateContractTim' query in the workbook." type="5" refreshedVersion="8" background="1" saveData="1">
    <dbPr connection="Provider=Microsoft.Mashup.OleDb.1;Data Source=$Workbook$;Location=qryUpdateContractTim;Extended Properties=&quot;&quot;" command="SELECT * FROM [qryUpdateContractTim]"/>
  </connection>
  <connection id="8" xr16:uid="{9232D09E-11C9-4E0B-90B6-FDC3AFD56F86}" keepAlive="1" name="Query - tblContractBase" description="Connection to the 'tblContractBase' query in the workbook." type="5" refreshedVersion="0" background="1" saveData="1">
    <dbPr connection="Provider=Microsoft.Mashup.OleDb.1;Data Source=$Workbook$;Location=tblContractBase;Extended Properties=&quot;&quot;" command="SELECT * FROM [tblContractBase]"/>
  </connection>
  <connection id="9" xr16:uid="{33612DF6-02FD-40CE-A75A-4313027213EE}" keepAlive="1" name="Query - tblContractDependency" description="Connection to the 'tblContractDependency' query in the workbook." type="5" refreshedVersion="8" background="1" saveData="1">
    <dbPr connection="Provider=Microsoft.Mashup.OleDb.1;Data Source=$Workbook$;Location=tblContractDependency;Extended Properties=&quot;&quot;" command="SELECT * FROM [tblContractDependency]"/>
  </connection>
  <connection id="10" xr16:uid="{442636F3-3387-4DF8-BA34-93D29738C10F}" keepAlive="1" name="Query - tblContractGlasgow" description="Connection to the 'tblContractGlasgow' query in the workbook." type="5" refreshedVersion="8" background="1" saveData="1">
    <dbPr connection="Provider=Microsoft.Mashup.OleDb.1;Data Source=$Workbook$;Location=tblContractGlasgow;Extended Properties=&quot;&quot;" command="SELECT * FROM [tblContractGlasgow]"/>
  </connection>
  <connection id="11" xr16:uid="{6BDE5366-2B83-4E83-A40D-B04DC1BFCFAD}" keepAlive="1" name="Query - tblContractOthers" description="Connection to the 'tblContractOthers' query in the workbook." type="5" refreshedVersion="8" background="1" saveData="1">
    <dbPr connection="Provider=Microsoft.Mashup.OleDb.1;Data Source=$Workbook$;Location=tblContractOthers;Extended Properties=&quot;&quot;" command="SELECT * FROM [tblContractOthers]"/>
  </connection>
  <connection id="12" xr16:uid="{E8A72596-8810-472A-8A45-7B7C3969BEBF}" keepAlive="1" name="Query - tblContractTim" description="Connection to the 'tblContractTim' query in the workbook." type="5" refreshedVersion="8" background="1" saveData="1">
    <dbPr connection="Provider=Microsoft.Mashup.OleDb.1;Data Source=$Workbook$;Location=tblContractTim;Extended Properties=&quot;&quot;" command="SELECT * FROM [tblContractTim]"/>
  </connection>
  <connection id="13" xr16:uid="{4F00897E-ED08-4EEB-BFB8-86C881DD4375}" keepAlive="1" name="Query - tblUpdateContractGlasgow" description="Connection to the 'tblUpdateContractGlasgow' query in the workbook." type="5" refreshedVersion="0" background="1">
    <dbPr connection="Provider=Microsoft.Mashup.OleDb.1;Data Source=$Workbook$;Location=tblUpdateContractGlasgow;Extended Properties=&quot;&quot;" command="SELECT * FROM [tblUpdateContractGlasgow]"/>
  </connection>
  <connection id="14" xr16:uid="{D6080C3A-3E58-477B-9FE3-CED2698864E3}" keepAlive="1" name="Query - tblUpdateContractOthers" description="Connection to the 'tblUpdateContractOthers' query in the workbook." type="5" refreshedVersion="0" background="1" saveData="1">
    <dbPr connection="Provider=Microsoft.Mashup.OleDb.1;Data Source=$Workbook$;Location=tblUpdateContractOthers;Extended Properties=&quot;&quot;" command="SELECT * FROM [tblUpdateContractOthers]"/>
  </connection>
  <connection id="15" xr16:uid="{E14AF9A5-9A79-4C57-8EB4-209E89ED0CED}" keepAlive="1" name="Query - tbUpdateContractTim" description="Connection to the 'tbUpdateContractTim' query in the workbook." type="5" refreshedVersion="0" background="1">
    <dbPr connection="Provider=Microsoft.Mashup.OleDb.1;Data Source=$Workbook$;Location=tbUpdateContractTim;Extended Properties=&quot;&quot;" command="SELECT * FROM [tbUpdateContractTim]"/>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<sst xmlns="http://schemas.openxmlformats.org/spreadsheetml/2006/main" count="7290" uniqueCount="1753">
  <si>
    <t>Flip, Hold or Slow Flip</t>
  </si>
  <si>
    <t>Buy</t>
  </si>
  <si>
    <t>Your Home, LLC</t>
  </si>
  <si>
    <t>Refinance:</t>
  </si>
  <si>
    <t>908 Pond St</t>
  </si>
  <si>
    <t>Cary NC, 27511</t>
  </si>
  <si>
    <t>Wake</t>
  </si>
  <si>
    <t>Monthly Cash Flow</t>
  </si>
  <si>
    <t>Hearing Date:</t>
  </si>
  <si>
    <t>Use Template Estimate</t>
  </si>
  <si>
    <t>Interest only:</t>
  </si>
  <si>
    <t>Income</t>
  </si>
  <si>
    <t>Immediate</t>
  </si>
  <si>
    <t>Upon Sale</t>
  </si>
  <si>
    <t xml:space="preserve">Seller Realtor's Flat Fee </t>
  </si>
  <si>
    <t>CMA:</t>
  </si>
  <si>
    <t>Seller Realtor's Fee Percent:</t>
  </si>
  <si>
    <t>% Above/Below Market Sale:</t>
  </si>
  <si>
    <t>Zillow:</t>
  </si>
  <si>
    <t>Buyers Realtors Fee Percent:</t>
  </si>
  <si>
    <t>Sale Price:</t>
  </si>
  <si>
    <t>NonRefundable Deposit:</t>
  </si>
  <si>
    <t>Anuual Growth:</t>
  </si>
  <si>
    <t>Appriciation:</t>
  </si>
  <si>
    <t>Was 1650 SF</t>
  </si>
  <si>
    <t>Sq Footage</t>
  </si>
  <si>
    <t>Net Income:</t>
  </si>
  <si>
    <t>Buy Box</t>
  </si>
  <si>
    <t>Min CMA</t>
  </si>
  <si>
    <t>Expenses</t>
  </si>
  <si>
    <t>Max CMA</t>
  </si>
  <si>
    <t>Sell with Owner Financing:</t>
  </si>
  <si>
    <t>Finalized:</t>
  </si>
  <si>
    <t>Min Profit:</t>
  </si>
  <si>
    <t>Reinstatment Cost 1st:</t>
  </si>
  <si>
    <t>&lt;-- Approx Pay-Down</t>
  </si>
  <si>
    <t>If the Subject To Value is finalized, zero-out the Pay-Down savings</t>
  </si>
  <si>
    <t>Min Profit/ARV Ratio:</t>
  </si>
  <si>
    <t>Subject To 1st:(paid)</t>
  </si>
  <si>
    <t>Max Cash to Aquire:</t>
  </si>
  <si>
    <t>Reinstatment Cost 2nd:</t>
  </si>
  <si>
    <t>Total Cash before Rehab:</t>
  </si>
  <si>
    <t>Subject To 2st:Notes</t>
  </si>
  <si>
    <t>Liens - IRS &amp; HOA</t>
  </si>
  <si>
    <t>Seller PN - Due on Sale:</t>
  </si>
  <si>
    <t>or Seller Payout:</t>
  </si>
  <si>
    <t>Purchase Cost:</t>
  </si>
  <si>
    <t>Refinance Loan to Value:</t>
  </si>
  <si>
    <t>:Refinance</t>
  </si>
  <si>
    <t>Refinance Rate/Years:</t>
  </si>
  <si>
    <t>:Interest only</t>
  </si>
  <si>
    <t>Refinance Date:</t>
  </si>
  <si>
    <t>Partners Share %</t>
  </si>
  <si>
    <t>HOA Fees(Catch Up)</t>
  </si>
  <si>
    <t>Operating Expense:</t>
  </si>
  <si>
    <t>Months Carried:</t>
  </si>
  <si>
    <t>STR Expense</t>
  </si>
  <si>
    <t>Yellow cells can be edited</t>
  </si>
  <si>
    <t>Rehab Amortization:</t>
  </si>
  <si>
    <t>Do not edit Green cells. They are highlighted only to show profit</t>
  </si>
  <si>
    <t>Private Money</t>
  </si>
  <si>
    <t>Purchase  Cost</t>
  </si>
  <si>
    <t>Carrying Cost</t>
  </si>
  <si>
    <t>Out of Pocket</t>
  </si>
  <si>
    <t>Rehab:</t>
  </si>
  <si>
    <t>PL Balance +Interest</t>
  </si>
  <si>
    <t>Marketing:</t>
  </si>
  <si>
    <t>Selling Agent:</t>
  </si>
  <si>
    <t>Listing Agent: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</si>
  <si>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</si>
  <si>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</si>
  <si>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</si>
  <si>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</si>
  <si>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</si>
  <si>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</si>
  <si>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</si>
  <si>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</si>
  <si>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</si>
  <si>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</si>
  <si>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Total Profit:</t>
  </si>
  <si>
    <t>Capital Gains Tax</t>
  </si>
  <si>
    <t>Redirected Profit:</t>
  </si>
  <si>
    <t>Chartiable Contribution:</t>
  </si>
  <si>
    <t>Capital Gains</t>
  </si>
  <si>
    <t>n/a</t>
  </si>
  <si>
    <t>Profit Upon Sale</t>
  </si>
  <si>
    <t>Gross Profit:(partners)</t>
  </si>
  <si>
    <t>Rehab Cost Detail</t>
  </si>
  <si>
    <t>Gnatt Chart</t>
  </si>
  <si>
    <t>Murphy %:</t>
  </si>
  <si>
    <t>Murphy will be Zeroed-Out whe project is finalized</t>
  </si>
  <si>
    <t>Murphy's Cut:</t>
  </si>
  <si>
    <t>Rehab Summary:</t>
  </si>
  <si>
    <t>This value is carried up to cell C31,                         Labeled Rehab</t>
  </si>
  <si>
    <t>Buying Closing Cost</t>
  </si>
  <si>
    <t>Settlement  Fee to Attorney:</t>
  </si>
  <si>
    <t>Probate  Attorney</t>
  </si>
  <si>
    <t>Seller Doc Prep</t>
  </si>
  <si>
    <t>Days Invested</t>
  </si>
  <si>
    <t>Start Date</t>
  </si>
  <si>
    <t>End Date</t>
  </si>
  <si>
    <t>Wire Fee</t>
  </si>
  <si>
    <t>Annualized  Return on Investment</t>
  </si>
  <si>
    <t>Investment Amount</t>
  </si>
  <si>
    <t>%  of Profit</t>
  </si>
  <si>
    <t>Amount of Profit</t>
  </si>
  <si>
    <t>Disbursment</t>
  </si>
  <si>
    <t>Deed Package:</t>
  </si>
  <si>
    <t>Date</t>
  </si>
  <si>
    <t>Investors</t>
  </si>
  <si>
    <t>Indemnety:</t>
  </si>
  <si>
    <t>unknown</t>
  </si>
  <si>
    <t>Ttitle Search:</t>
  </si>
  <si>
    <t>Cancelation Fee:</t>
  </si>
  <si>
    <t>Overnight Express Fees:</t>
  </si>
  <si>
    <t>Title Insurance:</t>
  </si>
  <si>
    <t>Affadavits:</t>
  </si>
  <si>
    <t>Investor Totals</t>
  </si>
  <si>
    <t>Notice to Creditors Ad</t>
  </si>
  <si>
    <t>Total Investment:</t>
  </si>
  <si>
    <t>Recording Fee Deed:</t>
  </si>
  <si>
    <t>recording Fee</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</si>
  <si>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</si>
  <si>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</si>
  <si>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</si>
  <si>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</si>
  <si>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</si>
  <si>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</si>
  <si>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</si>
  <si>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</si>
  <si>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</si>
  <si>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Buying Subject To:</t>
  </si>
  <si>
    <t>Points added to Financing:</t>
  </si>
  <si>
    <t>Year 5</t>
  </si>
  <si>
    <t>Year 10</t>
  </si>
  <si>
    <t>Year 20</t>
  </si>
  <si>
    <t>Year 29</t>
  </si>
  <si>
    <t>Loan Amount:</t>
  </si>
  <si>
    <t>Down Payment:</t>
  </si>
  <si>
    <t>Annual Property Appriciation:</t>
  </si>
  <si>
    <t>Interest Rate:</t>
  </si>
  <si>
    <t>Sale Amount:</t>
  </si>
  <si>
    <t>Total  Cumulative Cash Flow:</t>
  </si>
  <si>
    <t>Years(months)</t>
  </si>
  <si>
    <t>Above ARV:</t>
  </si>
  <si>
    <t>Make up for reduced int%</t>
  </si>
  <si>
    <t>Total  Cumulative Principal</t>
  </si>
  <si>
    <t>Payments:</t>
  </si>
  <si>
    <t>Extra Sales Amount</t>
  </si>
  <si>
    <t>Total  Cumulative Appriciation:</t>
  </si>
  <si>
    <t>1st Mort</t>
  </si>
  <si>
    <t>2nd Mort</t>
  </si>
  <si>
    <t>Total  Maximum Value:</t>
  </si>
  <si>
    <t xml:space="preserve"> Monthly Cash Flow:</t>
  </si>
  <si>
    <t>1st Year Insurance</t>
  </si>
  <si>
    <t xml:space="preserve"> Total Cash Flow:</t>
  </si>
  <si>
    <t>1st  Loan Int(5 years)</t>
  </si>
  <si>
    <t>1st Year Property Tax</t>
  </si>
  <si>
    <t>1st  Loan Balance(5 years)</t>
  </si>
  <si>
    <t>2nd  Loan Int(5 years)</t>
  </si>
  <si>
    <t>2nd  Loan Balance(5 years)</t>
  </si>
  <si>
    <t>Profit  on Int(5 Year):</t>
  </si>
  <si>
    <t>Profit  for Required  5 year Note:</t>
  </si>
  <si>
    <t>Monthly</t>
  </si>
  <si>
    <t>Cumulative</t>
  </si>
  <si>
    <t>Mortgage Delta</t>
  </si>
  <si>
    <t xml:space="preserve">1st Mort Delta </t>
  </si>
  <si>
    <t xml:space="preserve">2nd Mort Delta </t>
  </si>
  <si>
    <t>Appriciation</t>
  </si>
  <si>
    <t>Beg</t>
  </si>
  <si>
    <t>Payment</t>
  </si>
  <si>
    <t>Princ</t>
  </si>
  <si>
    <t>Int</t>
  </si>
  <si>
    <t>Ins</t>
  </si>
  <si>
    <t>Taxes</t>
  </si>
  <si>
    <t xml:space="preserve">Total </t>
  </si>
  <si>
    <t>End</t>
  </si>
  <si>
    <t>Year</t>
  </si>
  <si>
    <t>Period</t>
  </si>
  <si>
    <t>Total Pay</t>
  </si>
  <si>
    <t>Prin</t>
  </si>
  <si>
    <t>Int Rate</t>
  </si>
  <si>
    <t>Paid&lt;</t>
  </si>
  <si>
    <t>Bal</t>
  </si>
  <si>
    <t>Value</t>
  </si>
  <si>
    <t>Ending</t>
  </si>
  <si>
    <t xml:space="preserve">Payment </t>
  </si>
  <si>
    <t>Principal</t>
  </si>
  <si>
    <t>PMI</t>
  </si>
  <si>
    <t>Cash Flow</t>
  </si>
  <si>
    <t>Cumul</t>
  </si>
  <si>
    <t>AdverseConditions</t>
  </si>
  <si>
    <t>AdditionalConditions1</t>
  </si>
  <si>
    <t>BriefLegalDescription</t>
  </si>
  <si>
    <t>BuyingBuyer</t>
  </si>
  <si>
    <t>BuyingSellerAll</t>
  </si>
  <si>
    <t>BuyingSeller1</t>
  </si>
  <si>
    <t>BuyingSeller2</t>
  </si>
  <si>
    <t>BuyingSecondarySeller</t>
  </si>
  <si>
    <t>BuyingSellerSS1</t>
  </si>
  <si>
    <t>BuyingSellerss2</t>
  </si>
  <si>
    <t>BinderDeposit</t>
  </si>
  <si>
    <t>BuyingDownPayment</t>
  </si>
  <si>
    <t>BuyingPurchase Price</t>
  </si>
  <si>
    <t>BuyingLender</t>
  </si>
  <si>
    <t>BuyingSubjectTo</t>
  </si>
  <si>
    <t>BuyingSeller2Address1</t>
  </si>
  <si>
    <t>BuyingSeller2Address2</t>
  </si>
  <si>
    <t>BuyingRent</t>
  </si>
  <si>
    <t>BaseIntRate</t>
  </si>
  <si>
    <t>County</t>
  </si>
  <si>
    <t>DocMonth</t>
  </si>
  <si>
    <t>DocYear</t>
  </si>
  <si>
    <t>GrantorAquired</t>
  </si>
  <si>
    <t>GrantorBook</t>
  </si>
  <si>
    <t>GrantorPage</t>
  </si>
  <si>
    <t>GrantorTownship</t>
  </si>
  <si>
    <t>InstallmentMonths</t>
  </si>
  <si>
    <t>InterestRate</t>
  </si>
  <si>
    <t>Interestrate1</t>
  </si>
  <si>
    <t>InterestRate2</t>
  </si>
  <si>
    <t>HeirSS</t>
  </si>
  <si>
    <t>Heir</t>
  </si>
  <si>
    <t>HOA</t>
  </si>
  <si>
    <t>Lessor</t>
  </si>
  <si>
    <t>LeaseYearEnd</t>
  </si>
  <si>
    <t>LegalDescription</t>
  </si>
  <si>
    <t>LoanNo</t>
  </si>
  <si>
    <t>LoanAmount:</t>
  </si>
  <si>
    <t>LoanEnd1</t>
  </si>
  <si>
    <t>LoanStart1</t>
  </si>
  <si>
    <t>LoanStart2</t>
  </si>
  <si>
    <t>LoanEnd2</t>
  </si>
  <si>
    <t>Monthly Payment</t>
  </si>
  <si>
    <t>Monthly Payment1</t>
  </si>
  <si>
    <t>Monthly Payment2</t>
  </si>
  <si>
    <t>Manger</t>
  </si>
  <si>
    <t>Note Indicator</t>
  </si>
  <si>
    <t>NoteRentCompensationFormat:</t>
  </si>
  <si>
    <t>NotePurchaseFormat:</t>
  </si>
  <si>
    <t>NoteSecurityInterest</t>
  </si>
  <si>
    <t>NoteNormalPayment</t>
  </si>
  <si>
    <t>NoteBallonPayment</t>
  </si>
  <si>
    <t>NoteBalloonTerm</t>
  </si>
  <si>
    <t>PropertyAddress</t>
  </si>
  <si>
    <t>PropertyCityState</t>
  </si>
  <si>
    <t>PropertyCounty</t>
  </si>
  <si>
    <t>PropertyParcelID</t>
  </si>
  <si>
    <t>PropertyTaxBill</t>
  </si>
  <si>
    <t>PrincipalInterst</t>
  </si>
  <si>
    <t>PropertyInsurance</t>
  </si>
  <si>
    <t>PrimarySeller</t>
  </si>
  <si>
    <t>PrincipalSum</t>
  </si>
  <si>
    <t>PL_Holder</t>
  </si>
  <si>
    <t>PL_Add1</t>
  </si>
  <si>
    <t>PL_Add2</t>
  </si>
  <si>
    <t>PL_Amount</t>
  </si>
  <si>
    <t>PL_Position</t>
  </si>
  <si>
    <t>PL_IntRate</t>
  </si>
  <si>
    <t>QuitClaimGrantor</t>
  </si>
  <si>
    <t>RentAdjustments</t>
  </si>
  <si>
    <t>RentDescriptor1</t>
  </si>
  <si>
    <t>SellingDownPayment:</t>
  </si>
  <si>
    <t>SellingBuyer</t>
  </si>
  <si>
    <t>SellingSeller</t>
  </si>
  <si>
    <t>SellingPurchasePrice</t>
  </si>
  <si>
    <t>SubjectToReinstatement</t>
  </si>
  <si>
    <t>SellersResidence1</t>
  </si>
  <si>
    <t>SellersResidence2</t>
  </si>
  <si>
    <t>SellerRelationship</t>
  </si>
  <si>
    <t>SellerSecondaryRelationship</t>
  </si>
  <si>
    <t>TaxEscrow</t>
  </si>
  <si>
    <t>Term1</t>
  </si>
  <si>
    <t>Term2</t>
  </si>
  <si>
    <t>TermMonths</t>
  </si>
  <si>
    <t>Trust</t>
  </si>
  <si>
    <t>TrustDate</t>
  </si>
  <si>
    <t>Trustee</t>
  </si>
  <si>
    <t>TrusteeAddress1</t>
  </si>
  <si>
    <t>TrusteeAddress2</t>
  </si>
  <si>
    <t>Selling Fields:</t>
  </si>
  <si>
    <t>Selling-Buyer</t>
  </si>
  <si>
    <t>Selling -Seller</t>
  </si>
  <si>
    <t>Selling Purchase Price:</t>
  </si>
  <si>
    <t>Selling Down Payment:</t>
  </si>
  <si>
    <t>Principal&amp;Interst:</t>
  </si>
  <si>
    <t>Principal&amp;Interst2:</t>
  </si>
  <si>
    <t>TermYears</t>
  </si>
  <si>
    <t>TermMonths1</t>
  </si>
  <si>
    <t>TermMonths2</t>
  </si>
  <si>
    <t>Loan Start1</t>
  </si>
  <si>
    <t>Loan End1</t>
  </si>
  <si>
    <t>Loan Start2</t>
  </si>
  <si>
    <t>Loan End2</t>
  </si>
  <si>
    <t>Adverse Conditions</t>
  </si>
  <si>
    <t>Buying Fields</t>
  </si>
  <si>
    <t>Buying-Buyer</t>
  </si>
  <si>
    <t>Buy Your Home Retiremnet Plan Trust</t>
  </si>
  <si>
    <t>Buying-Seller1</t>
  </si>
  <si>
    <t>Buying-Seller2</t>
  </si>
  <si>
    <t>Primary Seller:</t>
  </si>
  <si>
    <t>Hubolist Elliott</t>
  </si>
  <si>
    <t>Buying Secondary Seller:</t>
  </si>
  <si>
    <t>Buying-Seller-All</t>
  </si>
  <si>
    <t>Seller Relationship:</t>
  </si>
  <si>
    <t>Seller Secondary Relationship:</t>
  </si>
  <si>
    <t>A Widowd Man</t>
  </si>
  <si>
    <t>Sellers Residence1</t>
  </si>
  <si>
    <t>Sellers Residence2</t>
  </si>
  <si>
    <t>Buying-Seller2Address1</t>
  </si>
  <si>
    <t>4000 Willow Oak  Rd</t>
  </si>
  <si>
    <t>Buying-Seller2Address2</t>
  </si>
  <si>
    <t>Raleigh, NC 27604</t>
  </si>
  <si>
    <t>:</t>
  </si>
  <si>
    <t>Buying-Seller-SS1</t>
  </si>
  <si>
    <t>X:      -    -       :</t>
  </si>
  <si>
    <t>Buying-Seller-ss2</t>
  </si>
  <si>
    <t>Heir SS</t>
  </si>
  <si>
    <t>Subject To Reinstatement</t>
  </si>
  <si>
    <t>Buying Purchase Price:</t>
  </si>
  <si>
    <t>Binder Deposit:</t>
  </si>
  <si>
    <t>Buying Down Payment:</t>
  </si>
  <si>
    <t>Base Int Rate</t>
  </si>
  <si>
    <t>Interest rate1</t>
  </si>
  <si>
    <t>Interest rate2</t>
  </si>
  <si>
    <t>Buying Lender:</t>
  </si>
  <si>
    <t>Shellpoint</t>
  </si>
  <si>
    <t>Additional Conditions1</t>
  </si>
  <si>
    <t xml:space="preserve"> </t>
  </si>
  <si>
    <t>Lease Fields:</t>
  </si>
  <si>
    <t>Leaseor</t>
  </si>
  <si>
    <t>if  blank, use Buyer</t>
  </si>
  <si>
    <t>Lease  Year End</t>
  </si>
  <si>
    <t>Rent Adjustments</t>
  </si>
  <si>
    <t>The lease shall be without cost, with the acknowledgement that Lessee will cooperate with work crews in remodeling effort.</t>
  </si>
  <si>
    <t>Rent Indicator1</t>
  </si>
  <si>
    <t>Rent Description1</t>
  </si>
  <si>
    <t>Rent if not = to mortgage:</t>
  </si>
  <si>
    <t>Buying Rent</t>
  </si>
  <si>
    <t>Property Fields</t>
  </si>
  <si>
    <t>Address</t>
  </si>
  <si>
    <t>City-State</t>
  </si>
  <si>
    <t>WAKE</t>
  </si>
  <si>
    <t>Property Tax Bill:</t>
  </si>
  <si>
    <t>Tax Escrow:</t>
  </si>
  <si>
    <t>Property Insurance:</t>
  </si>
  <si>
    <t>HOA:</t>
  </si>
  <si>
    <t>Deed Fields</t>
  </si>
  <si>
    <t>Brief Legal Description</t>
  </si>
  <si>
    <t>Lot 18 Burtrose Subdivision</t>
  </si>
  <si>
    <t>Legal Description</t>
  </si>
  <si>
    <t>Lot 18 Burtrose Subdivision, as shown on map recorded in Book 1960, Page 45, Wake County Registry.</t>
  </si>
  <si>
    <t>Property Parcel ID</t>
  </si>
  <si>
    <t>007478</t>
  </si>
  <si>
    <t>Quit Claim Grantor:</t>
  </si>
  <si>
    <t>Grantor's Deceased Spouse, Mattie Elliott's Estate</t>
  </si>
  <si>
    <t>Grantor Aquired</t>
  </si>
  <si>
    <t>Jack H. Gunn and Wife Bonnie B. Gunn</t>
  </si>
  <si>
    <t>Grantor Book</t>
  </si>
  <si>
    <t>11681</t>
  </si>
  <si>
    <t>Grantor Page</t>
  </si>
  <si>
    <t>1986</t>
  </si>
  <si>
    <t>Grantor  Township:</t>
  </si>
  <si>
    <t>Cary</t>
  </si>
  <si>
    <t>Trust Info</t>
  </si>
  <si>
    <t>Investment Services LLC</t>
  </si>
  <si>
    <t>Trustee Address1:</t>
  </si>
  <si>
    <t>1309 Coffeen Avenue, STE 1200</t>
  </si>
  <si>
    <t>Trustee Address2:</t>
  </si>
  <si>
    <t>Sheridan, Wyoming 82801</t>
  </si>
  <si>
    <t>Trust Date</t>
  </si>
  <si>
    <t>March, 5</t>
  </si>
  <si>
    <t>Sam Browning</t>
  </si>
  <si>
    <t>Doc Year</t>
  </si>
  <si>
    <t>Doc Month:</t>
  </si>
  <si>
    <t>Trust Address:</t>
  </si>
  <si>
    <t>Note Fields</t>
  </si>
  <si>
    <t>Principal Sum:</t>
  </si>
  <si>
    <t>NoteNormal Payment</t>
  </si>
  <si>
    <t>NoteBallon Payment</t>
  </si>
  <si>
    <t>NoteBallonTerm</t>
  </si>
  <si>
    <t>no</t>
  </si>
  <si>
    <t>yes</t>
  </si>
  <si>
    <t>Rent Adjustment</t>
  </si>
  <si>
    <t>Installment Months</t>
  </si>
  <si>
    <t>Interest Rate</t>
  </si>
  <si>
    <t>Note Indicator , paragraph 2b</t>
  </si>
  <si>
    <t>NoteSecurity Interest:</t>
  </si>
  <si>
    <t>Purchase and Sale Agreement</t>
  </si>
  <si>
    <t>Private Lender</t>
  </si>
  <si>
    <t>PL Holder:</t>
  </si>
  <si>
    <t>Neal Jay Isaacs</t>
  </si>
  <si>
    <t>PL Add1:</t>
  </si>
  <si>
    <t>106 Omaha Falls Ct.</t>
  </si>
  <si>
    <t>PL Add2</t>
  </si>
  <si>
    <t>Garner NC 27529</t>
  </si>
  <si>
    <t>PL Amount:</t>
  </si>
  <si>
    <t>PL Position</t>
  </si>
  <si>
    <t>3rd</t>
  </si>
  <si>
    <t>Pl Interest Rate:</t>
  </si>
  <si>
    <t>Multiple Offer Generator</t>
  </si>
  <si>
    <t>Buyers Copy</t>
  </si>
  <si>
    <t>Seller 1:</t>
  </si>
  <si>
    <t>Hubolist</t>
  </si>
  <si>
    <t>Elliott</t>
  </si>
  <si>
    <t>Seller 2:</t>
  </si>
  <si>
    <t>Hurbert Lee</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</si>
  <si>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</si>
  <si>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</si>
  <si>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</si>
  <si>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</si>
  <si>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</si>
  <si>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</si>
  <si>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</si>
  <si>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</si>
  <si>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</si>
  <si>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</si>
  <si>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</si>
  <si>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</si>
  <si>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</si>
  <si>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</si>
  <si>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</si>
  <si>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</si>
  <si>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</si>
  <si>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</si>
  <si>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</si>
  <si>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</si>
  <si>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</si>
  <si>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</si>
  <si>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</si>
  <si>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</si>
  <si>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</si>
  <si>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</si>
  <si>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</si>
  <si>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</si>
  <si>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</si>
  <si>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</si>
  <si>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</si>
  <si>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</si>
  <si>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</si>
  <si>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</si>
  <si>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</si>
  <si>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</si>
  <si>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</si>
  <si>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</si>
  <si>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</si>
  <si>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</si>
  <si>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</si>
  <si>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</si>
  <si>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</si>
  <si>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</si>
  <si>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</si>
  <si>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</si>
  <si>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</si>
  <si>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</si>
  <si>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</si>
  <si>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</si>
  <si>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</si>
  <si>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Yes</t>
  </si>
  <si>
    <t>Total CMA:</t>
  </si>
  <si>
    <t>Total Purchase Cost:</t>
  </si>
  <si>
    <t>Total Rehab Expense:</t>
  </si>
  <si>
    <t>Total Expected Profit:</t>
  </si>
  <si>
    <t>Total Chartable Contribution:</t>
  </si>
  <si>
    <t>Average CMA:</t>
  </si>
  <si>
    <t>Average Purchase Cost:</t>
  </si>
  <si>
    <t>Average Rehab Expense:</t>
  </si>
  <si>
    <t>Buy Your Home</t>
  </si>
  <si>
    <t>Average Profit:</t>
  </si>
  <si>
    <t>Vendor</t>
  </si>
  <si>
    <t>Phone Number</t>
  </si>
  <si>
    <t>Contact</t>
  </si>
  <si>
    <t>Acct/Policy</t>
  </si>
  <si>
    <t>Email</t>
  </si>
  <si>
    <t>Purpose</t>
  </si>
  <si>
    <t>Sellers</t>
  </si>
  <si>
    <t>Mattie J Elliott</t>
  </si>
  <si>
    <t>561 370 4532</t>
  </si>
  <si>
    <t>Hugh Elliott</t>
  </si>
  <si>
    <t>SS#: 237 47 5623</t>
  </si>
  <si>
    <t>Mortgage</t>
  </si>
  <si>
    <t>800-365-7107</t>
  </si>
  <si>
    <t>Loan#: 0555834859</t>
  </si>
  <si>
    <t>https://signin.shellpointmtg.com/signin/myaccount</t>
  </si>
  <si>
    <t>UserName:</t>
  </si>
  <si>
    <t>3million</t>
  </si>
  <si>
    <t>PW</t>
  </si>
  <si>
    <t>w3638B0&amp;</t>
  </si>
  <si>
    <t>Construction Loan Services</t>
  </si>
  <si>
    <t>WesWill@BuyYourHomeLLC.com w3638B0@</t>
  </si>
  <si>
    <t>https://portal.builders-capital.com/</t>
  </si>
  <si>
    <t>confirmation #</t>
  </si>
  <si>
    <t>213 293 7539</t>
  </si>
  <si>
    <t>2156 Haig Point Way</t>
  </si>
  <si>
    <t>Raleigh NC 27604</t>
  </si>
  <si>
    <t>Wes@BYHLLC.com</t>
  </si>
  <si>
    <t>Buy Your Home LLC</t>
  </si>
  <si>
    <t>Subject</t>
  </si>
  <si>
    <t>Sent</t>
  </si>
  <si>
    <t>Size</t>
  </si>
  <si>
    <t>Categories</t>
  </si>
  <si>
    <t>5008 Larchmont Dr - Loan 9015 2144 11-5998</t>
  </si>
  <si>
    <t>478 KB</t>
  </si>
  <si>
    <t>Mortgage Payment paid after Reinstatement</t>
  </si>
  <si>
    <t>Insurance Payments</t>
  </si>
  <si>
    <t>Property Taxes</t>
  </si>
  <si>
    <t>Paid in Escrow</t>
  </si>
  <si>
    <t>Tax</t>
  </si>
  <si>
    <t>payment</t>
  </si>
  <si>
    <t>Index</t>
  </si>
  <si>
    <t>Cost Code</t>
  </si>
  <si>
    <t>Title</t>
  </si>
  <si>
    <t>Description</t>
  </si>
  <si>
    <t>Qty</t>
  </si>
  <si>
    <t>Unit Price</t>
  </si>
  <si>
    <t>Assigned</t>
  </si>
  <si>
    <t>Dependency</t>
  </si>
  <si>
    <t>01 Whole House Prelim</t>
  </si>
  <si>
    <t>Initial Deposit to Start Job</t>
  </si>
  <si>
    <t>Glasgow DB</t>
  </si>
  <si>
    <t>Draw 1</t>
  </si>
  <si>
    <t>04 Garage &amp; Laundry</t>
  </si>
  <si>
    <t>Draw 2</t>
  </si>
  <si>
    <t>10 Whole House Final</t>
  </si>
  <si>
    <t>Sell</t>
  </si>
  <si>
    <t>List with MLS</t>
  </si>
  <si>
    <t>11 Supervision</t>
  </si>
  <si>
    <t>HVAC</t>
  </si>
  <si>
    <t>Coordinate with HVAC contractor</t>
  </si>
  <si>
    <t>Floor Coverings</t>
  </si>
  <si>
    <t>Coordinate with Floor Contractor</t>
  </si>
  <si>
    <t>Paint</t>
  </si>
  <si>
    <t>Coordinate with Paint Contractor</t>
  </si>
  <si>
    <t>Countertops</t>
  </si>
  <si>
    <t>Coordinate with Counter Top Contractor</t>
  </si>
  <si>
    <t>Roof &amp; Siding</t>
  </si>
  <si>
    <t>Coordinate with Roofer and Siding Contractor</t>
  </si>
  <si>
    <t>Permits</t>
  </si>
  <si>
    <t>Apply for and obtain permits for plumbing, mechanical, electric, and building for house.</t>
  </si>
  <si>
    <t>Painting</t>
  </si>
  <si>
    <t>Paint inside of home. 1 color for ceiling, 1 color for wall, and 1 color for trim. Includes pantry</t>
  </si>
  <si>
    <t>LVP Flooring</t>
  </si>
  <si>
    <t>Install lvp on entire first floor. Install clear pine shoemolding. Price may vary with selection.</t>
  </si>
  <si>
    <t>Porta John Rental</t>
  </si>
  <si>
    <t>Provide porta john for renovation</t>
  </si>
  <si>
    <t>Debris Removal</t>
  </si>
  <si>
    <t>Provide dumpster, remove trash, and pay landfill fees.</t>
  </si>
  <si>
    <t>Engineering</t>
  </si>
  <si>
    <t>Provide engineering for framing changes.</t>
  </si>
  <si>
    <t>11 Deck</t>
  </si>
  <si>
    <t>Framing</t>
  </si>
  <si>
    <t>Construct 10'x14' deck. 16"x16"x12" footing pourted 8" deep. 6x6 posts, 2x8 joists, 2x10 band and girder, 5/4 decking boards, 2x4 rails with 4x4 posts, and 2x2 pickets. 1 sets of stairs</t>
  </si>
  <si>
    <t>Tim Flemming</t>
  </si>
  <si>
    <t>Framing Materials</t>
  </si>
  <si>
    <t>Provide treated deck material - 2x4s, 2x8s, 6x6s, etc</t>
  </si>
  <si>
    <t>07 Kitchen, foyer, family room</t>
  </si>
  <si>
    <t>Provide engineering needed for footings and beam sizing</t>
  </si>
  <si>
    <t>Flooring Proctection</t>
  </si>
  <si>
    <t>Cover floors with ramboard where needed to protect from damage.</t>
  </si>
  <si>
    <t>Install temporary walls to allow for wall removal and beam installaiton at ktchen
wall common with dining/family room.</t>
  </si>
  <si>
    <t>Demolition</t>
  </si>
  <si>
    <t xml:space="preserve">Remove Livingroom walls walls - Disconnect sink, remove countertops, kitchen cabinets, and appliances. Save cabinets for reuse. </t>
  </si>
  <si>
    <t>Footing</t>
  </si>
  <si>
    <t>Excavate for footing in crawlspace and pour with concrete. Size tbd</t>
  </si>
  <si>
    <t>Piers</t>
  </si>
  <si>
    <t>Install 2 new piers to support the new beams</t>
  </si>
  <si>
    <t>Repair framing as needed at foyer. Install beam at old wall location. Frame stud columns down to new piers. Frame in old doorway to garage and create new door way to garage. Frame new pantry. If steel is required for beam. add $2500</t>
  </si>
  <si>
    <t>Provide beam for wall removal, studs, plywood for bedroom floor, etc.</t>
  </si>
  <si>
    <t>Plumbing</t>
  </si>
  <si>
    <t>Relocate icemaker line</t>
  </si>
  <si>
    <t>Electrical Rough-In</t>
  </si>
  <si>
    <t>Move switches and outlets as needed. Relocate fridge, stove, and microwave circuits. Add 8 can lights in kitchen and family room.</t>
  </si>
  <si>
    <t>Install venting for rangehood to outside</t>
  </si>
  <si>
    <t>Drywall repair</t>
  </si>
  <si>
    <t>Repair drywall on ceilng at kitchen/dining area, kitchen walls as needed, foyer, and scrape ceilngs</t>
  </si>
  <si>
    <t>Interior Trim</t>
  </si>
  <si>
    <t>Repair trim in foyer, kitchen, and dining rooms. Install casing around door. Add shelving for pantry</t>
  </si>
  <si>
    <t>Cabinets</t>
  </si>
  <si>
    <t>Reinstall kitchen cabinets and new filler cabinets. Cabinets to be provided by homeowner.</t>
  </si>
  <si>
    <t>Plumbing trimout</t>
  </si>
  <si>
    <t>Install dishwasher, disposal, faucet and, connect kitchen sink,. Dishwasher, sink, and faucet provided by homeowner.</t>
  </si>
  <si>
    <t>HVAC trimout</t>
  </si>
  <si>
    <t>Install rangehood and connect to exterior vent. Ranghood provided by homeowner</t>
  </si>
  <si>
    <t>Electrical trimout</t>
  </si>
  <si>
    <t>Trim out switches and outlets. Wire dishwasher, rangehood. Install stove and microwave. Appliances provided by homeowner.</t>
  </si>
  <si>
    <t>Backsplash</t>
  </si>
  <si>
    <t>Install tile back splash in kitchen. $500 tile allowance.</t>
  </si>
  <si>
    <t>06 Hall Bathroom</t>
  </si>
  <si>
    <t>Disconnect plumbing fixtures, remove sink, toilet. Remove mirror, lighting. Remove oppisite wall toilet.</t>
  </si>
  <si>
    <t>Provide lumber for new hall bath layout.</t>
  </si>
  <si>
    <t>Frame new bathroom layout with linen closet, water closet, and hallway closet.</t>
  </si>
  <si>
    <t>Plumbing rough-in</t>
  </si>
  <si>
    <t>Install new 6' soaking tub, tub/shower valve, and shower head. Relocate sink and toilet rough plumbing. $500 tub allowance.</t>
  </si>
  <si>
    <t>Rough in bathfan for water closet and vent outside.</t>
  </si>
  <si>
    <t>Electrical</t>
  </si>
  <si>
    <t>Rough in can light over tub, light and 2 switches for water closet, move vanity light and outlet, and relocate triple switch at door. Wire bathfan.</t>
  </si>
  <si>
    <t>Drywall</t>
  </si>
  <si>
    <t>Repair Sheetrock</t>
  </si>
  <si>
    <t>bathroom vanity</t>
  </si>
  <si>
    <t>Install bathroom vanity provided by homeowner. (Countertops and sink provided by homeowner. Moved to item 134)</t>
  </si>
  <si>
    <t>Tile Floor</t>
  </si>
  <si>
    <t>Install backer board and tile floor. Tile provided by homeowner.</t>
  </si>
  <si>
    <t>Tile Shower</t>
  </si>
  <si>
    <t>Install backerboard and waterproof. Install tile surround for tub. Tile supplied by customer.</t>
  </si>
  <si>
    <t>Trim out shower, valve, shower head, and shower drain. Install toilet, faucet, and connect sink. Fixtures provided by homeowner.</t>
  </si>
  <si>
    <t>Trim out can light, install vanity light, and GFCI. Vanity light provided by homeowner.</t>
  </si>
  <si>
    <t>Bath Accessories</t>
  </si>
  <si>
    <t>Install mirror, towel ring, toilet paper holder, and towel bar. Accessories provided by homeowner.</t>
  </si>
  <si>
    <t>05 Primary Suite</t>
  </si>
  <si>
    <t xml:space="preserve">Demo Master bathroom - disconnect plumbing fixtures. Remove lights, mirror, countertop, tub, and tile flooring. Remove wallls as needed for new layout. Demo stairs to basement, and closet walls. Remove trim, sheetrock, studs etc from Master. </t>
  </si>
  <si>
    <t>Monoslab</t>
  </si>
  <si>
    <t>Pour monolithic slab with footings for basement walls and spiral stairs</t>
  </si>
  <si>
    <t>Foundation</t>
  </si>
  <si>
    <t>excavation</t>
  </si>
  <si>
    <t>Remove dirt by hand in crawlspace to allow for spiral stair case.</t>
  </si>
  <si>
    <t>Water Remidaition</t>
  </si>
  <si>
    <t>In crawl space, install French drain for basement. Grade dirt next to basement wall. Seal bricks against foundation at stairs. Put 5' leaders on ends of downspouts back yard. Waterproof new foundation wall. This number my fluctuate (This is all exterior now)</t>
  </si>
  <si>
    <t xml:space="preserve">Frame in new owner's suite layout - closet, bathroom, stair opeing, move door openings for beds 2 &amp; 3, and sitting area. Frame stair case area in basement. </t>
  </si>
  <si>
    <t>Provide framing materials - 2x4's, 2x12's, etc.</t>
  </si>
  <si>
    <t>Rough in new owner's bath - vinyl shower pan for tile, new shower head, valve, drain, toilet, and 2 sinks</t>
  </si>
  <si>
    <t>HVAC rough-in</t>
  </si>
  <si>
    <t>Install new bathfan and vent to outside. Relocate 3 vents.</t>
  </si>
  <si>
    <t>Relocate outlets and switches, rough in new lights and outlets for bathroom and closet. Add light for stairs. Relocate lighting in owner's bedroom.</t>
  </si>
  <si>
    <t>Repair drywall in basement and owner's bedroom. Hang, tape, and skim, drywall on new stairwell, owner's closet, sitting room, and hallway. Sand all new drywall and repairs.</t>
  </si>
  <si>
    <t>Provide sheetrock, tape, cornerbead, and mud.</t>
  </si>
  <si>
    <t>Spiral Stairs</t>
  </si>
  <si>
    <t>Install spiral stairs provided by homewoner. Need to solidify this price.</t>
  </si>
  <si>
    <t>Install 4 doors. Fill in baseboard where needed.</t>
  </si>
  <si>
    <t>Interior Trim material</t>
  </si>
  <si>
    <t>Provide 6 new door and baseboard. Match exisitng as closely as possible. Provide stair treads, risers, and handrail material.</t>
  </si>
  <si>
    <t>Install backerboard and floor tile owner's suite</t>
  </si>
  <si>
    <t xml:space="preserve">Install vanities supplied by homeowner. </t>
  </si>
  <si>
    <t>Install tile backer, mud bed, and water proofing. Install tile shower walls and floor. Tile provided by homeowner.</t>
  </si>
  <si>
    <t>out Install shower trim, head, toilet, 2 faucets, and connect sinks. Shower trim, toilets, and fauets, etc. provided by homeowner.</t>
  </si>
  <si>
    <t>Trim out registers and bathfan</t>
  </si>
  <si>
    <t>Install lights, switches, outlets, and covers.</t>
  </si>
  <si>
    <t>Install 2 towel rings, 2 towel bars, 1 paper towel holder, and 2 mirrors. Accessories provided by homeowner.</t>
  </si>
  <si>
    <t>Shower Enclosure</t>
  </si>
  <si>
    <t>Install shower glass and door. Allowance</t>
  </si>
  <si>
    <t>02 ADU</t>
  </si>
  <si>
    <t>Disconnect Power</t>
  </si>
  <si>
    <t>Disconnect power to ADU</t>
  </si>
  <si>
    <t>Backfill- Waterproof</t>
  </si>
  <si>
    <t>Backfill and waterproof foundation. Level crawl.</t>
  </si>
  <si>
    <t>Raise ADU 32" and move to new location. (dig footing, and install foundation- moved to 148)</t>
  </si>
  <si>
    <t>Remove wall coverings, electrical outlet covers, wall ac unit, flooring, and drywall.</t>
  </si>
  <si>
    <t>framing</t>
  </si>
  <si>
    <t>Frame new layout for ADU with closet, pantry, and bathroom.</t>
  </si>
  <si>
    <t>Provide framing material, sub floor</t>
  </si>
  <si>
    <t>Plumbing Ground Work</t>
  </si>
  <si>
    <t>Install water and sewer and tie into main house if possible. Approximaely 60'. (Includes trenching and backfilling is on item 128. modify this price)</t>
  </si>
  <si>
    <t>Rough in bath fan, and microwave vent. (Minisplit moved to Item 150)</t>
  </si>
  <si>
    <t>Rough in new circuits for bathroom, gfci, kitchen, and hvac. Assumes existing electrical wire from house will support ADU. If new line is trenched add $2500</t>
  </si>
  <si>
    <t xml:space="preserve">Install rough plumbing for kitchen sink, toilet, bath sink, and fiberglass shower. </t>
  </si>
  <si>
    <t>Siding</t>
  </si>
  <si>
    <t>Repair vinyl siding on exterior at old door location. Match as closely as possible</t>
  </si>
  <si>
    <t>Insulation</t>
  </si>
  <si>
    <t>Insulate walls(R-15), floor(R-19), and ceiling(R-38) of ADU.</t>
  </si>
  <si>
    <t xml:space="preserve">Drywall </t>
  </si>
  <si>
    <t>Install, tape, bed, skim, and sand drywall.</t>
  </si>
  <si>
    <t>Provide drywall, mud, tape, and corner bead.</t>
  </si>
  <si>
    <t>Install 2 regular doors, 1 set of bifold doors, casing, and baseboard.</t>
  </si>
  <si>
    <t>Provide interior trim</t>
  </si>
  <si>
    <t>Provide interior trim - doors, casing, and baseboard.</t>
  </si>
  <si>
    <t>Install cabinets provided by homeower in kitchen and bath. (Countertops provided by homeowner. Moved to item 134)</t>
  </si>
  <si>
    <t>Flooring</t>
  </si>
  <si>
    <t>Install lvp entire ADU</t>
  </si>
  <si>
    <t>Paint inside of ADU. Sherwin Williams Super Paint or better. 1 color walls, 1 color ceiling, 1 color trim.</t>
  </si>
  <si>
    <t>Install kitchen faucet, dishwasher, disposal, and connect sink. Install toilet, faucet, shower trim, and connect bathroom sink. Fixtures and appliances provided by homeowner.</t>
  </si>
  <si>
    <t>Trim out bath fan, supply install mini split with condenser, and vent microwave.</t>
  </si>
  <si>
    <t xml:space="preserve">(Redundant with item 136) Trim out electrical - install lights, switches, outlets, Wire hvac units, disposal, dishwasher, and install microwave. Appliances and lights provided by others.(Do just the ligths, switches and outlets,appliances intalled by BYH . Price adjustment?) </t>
  </si>
  <si>
    <t>Install mirror, toilet paper holder, towel ring, and towel bar provided by homeowner.</t>
  </si>
  <si>
    <t>Install shower glass - Allowance</t>
  </si>
  <si>
    <t>Door Hardware</t>
  </si>
  <si>
    <t>Install 1 privacy and 1 passage lock. Install 2 door bumps. Locks and bumps provided by homeowner</t>
  </si>
  <si>
    <t>Cleaning</t>
  </si>
  <si>
    <t>Professionally clean ADU - wipe down baseboards, counter tops, and windows. Vacuum out cabinets, floor, and tub. Mop floor.</t>
  </si>
  <si>
    <t>Wire Shelving</t>
  </si>
  <si>
    <t>Install wire shelving in pantry (5 shelves) and bedroom closet (1 slider).</t>
  </si>
  <si>
    <t>Survey</t>
  </si>
  <si>
    <t>Provide for survey for garage, staking, and as built survey.</t>
  </si>
  <si>
    <t>Dig footings, level area, and form up slab for garge and laundry. Garage is roughly 21' x 12'. Laundry is is 1 10x8 triangle with water heated closet.</t>
  </si>
  <si>
    <t>Frame garage with laundry area approximately 300 sq ft. with a garage door on each end, a personell door to the laundry, and 2 windows.</t>
  </si>
  <si>
    <t>Provide 2x4s, 2x10s, osb, etc.</t>
  </si>
  <si>
    <t>Windows &amp; Doors</t>
  </si>
  <si>
    <t>Install 2 windows and 1 door</t>
  </si>
  <si>
    <t>Provide 2 2/8x5/0 vinyl new construction windows and 1 9 light exterior door.</t>
  </si>
  <si>
    <t>Install siding, soffit, and facia on garage and laundry</t>
  </si>
  <si>
    <t>Roofing</t>
  </si>
  <si>
    <t>Install shingles on garage and laundry. Weave into old roof. Match as closely as possible.</t>
  </si>
  <si>
    <t>Not used</t>
  </si>
  <si>
    <t>Provide fiber cement siding, soffit, and facia. Provide miratec trim for garage door openings.</t>
  </si>
  <si>
    <t>Provide shingles match existing as closely as possible.</t>
  </si>
  <si>
    <t>Install laundry rough in and water heater lines and connect to existing plumbing. Rough in laundry sink.</t>
  </si>
  <si>
    <t>Install dryer vent. Install duct work for laundry and pantry. Assumes existing hvac will handle additional a load.</t>
  </si>
  <si>
    <t>Rough wiring for garage - light, 2 outlets, 1 flood light, and garage door opener prewire. Wire for laundry room - light, switches, and outlets includes washer and dryer outlets</t>
  </si>
  <si>
    <t>Insulate laundry room walls and ceiling</t>
  </si>
  <si>
    <t>Install drywall on walls and ceilng of laundry - tape, bed, skim, and sand. Install drywall on ceiling of garage and tape.</t>
  </si>
  <si>
    <t>Provide sheetrock, tape, mud, and cornerbead.</t>
  </si>
  <si>
    <t>Install laundry cabinets provided by homeowner</t>
  </si>
  <si>
    <t>Interior trim</t>
  </si>
  <si>
    <t>(Included in Item 102) Install 2 doors and baseboard in laundry</t>
  </si>
  <si>
    <t>is this included in item 102</t>
  </si>
  <si>
    <t>(Included in Item 102) Provide 2 doors and baseboard.</t>
  </si>
  <si>
    <t>Paint and caulk laundry and exterior of garage. Use sherwin williams super paint or better</t>
  </si>
  <si>
    <t>Garage Doors</t>
  </si>
  <si>
    <t>Install 1 metal garage doors with openers.</t>
  </si>
  <si>
    <t>We are only doing one door</t>
  </si>
  <si>
    <t>Install LVP in laundry and shoe molding</t>
  </si>
  <si>
    <t>Install lights, swithches, outlets, etc. Lighting provided by homeowner. Wire water heater.</t>
  </si>
  <si>
    <t>Provide dumpster and pay lanfill fees.</t>
  </si>
  <si>
    <t>Clean Laundry</t>
  </si>
  <si>
    <t>Misc</t>
  </si>
  <si>
    <t>Coutertops provided by homeowner.</t>
  </si>
  <si>
    <t xml:space="preserve">Trenching and backfilling for installation of sewer </t>
  </si>
  <si>
    <t>Extend Driveway</t>
  </si>
  <si>
    <t>Extend driveway to new garage</t>
  </si>
  <si>
    <t>1</t>
  </si>
  <si>
    <t>Reroof entire house ( should reduce item 107 &amp; 109)</t>
  </si>
  <si>
    <t>Provide Spiral Starcase</t>
  </si>
  <si>
    <t>Order Staircase</t>
  </si>
  <si>
    <t>Replace Sub-Floor</t>
  </si>
  <si>
    <t>Replace any SubFloor previously removed (includes lumber)</t>
  </si>
  <si>
    <t>Tim's Hourly Wage</t>
  </si>
  <si>
    <t>Install bathroom (Countertops and sink by Boris )</t>
  </si>
  <si>
    <t>Provide cabinet</t>
  </si>
  <si>
    <t>Provide cabinets kitchen and bath</t>
  </si>
  <si>
    <t>Trim out electrical - install , disposal, dishwasher, and install microwave. Appliances and lights provided by others.</t>
  </si>
  <si>
    <t>Reconnect Power</t>
  </si>
  <si>
    <t>Re-Connect power to ADU (Price in item 136)</t>
  </si>
  <si>
    <t>Cabinet Countertops</t>
  </si>
  <si>
    <t>New countertops by Boris</t>
  </si>
  <si>
    <t>2500</t>
  </si>
  <si>
    <t xml:space="preserve">kitchen and bathroom Countertops and sink by Boris </t>
  </si>
  <si>
    <t xml:space="preserve">Install bathroom Countertops and sink by Boris </t>
  </si>
  <si>
    <t xml:space="preserve">template all Countertops and by Boris </t>
  </si>
  <si>
    <t>Brick wall demolitioni</t>
  </si>
  <si>
    <t>Take down wall entirely on the first floor, partially in basement</t>
  </si>
  <si>
    <t>Tile provided by homeowner.</t>
  </si>
  <si>
    <t>Minisplit install at final (cost is in item 79)</t>
  </si>
  <si>
    <t xml:space="preserve">Apply for and obtain permits for plumbing, mechanical, electric, and building for ADU. </t>
  </si>
  <si>
    <t>Equipment</t>
  </si>
  <si>
    <t>Buy or lease an executor  &amp; Trailer, distributed cost to 53, 74,  &amp; 128</t>
  </si>
  <si>
    <t>Dig footing, and install foundation.</t>
  </si>
  <si>
    <t>19 Base Parent</t>
  </si>
  <si>
    <t>Startup</t>
  </si>
  <si>
    <t>Legal, Permits, Engineering, Survey, etc</t>
  </si>
  <si>
    <t>Base</t>
  </si>
  <si>
    <t>Excavation</t>
  </si>
  <si>
    <t>Equipment, Trenching, Backfill, Footings</t>
  </si>
  <si>
    <t>Groundwork</t>
  </si>
  <si>
    <t>Concrete</t>
  </si>
  <si>
    <t>Slabs, driveways, Foundation, Piers</t>
  </si>
  <si>
    <t>Repair, Dry-in, Shingles</t>
  </si>
  <si>
    <t>Walls, Floors, etc</t>
  </si>
  <si>
    <t>Sub Floor</t>
  </si>
  <si>
    <t>Rough In</t>
  </si>
  <si>
    <t>Walls, Roofs, etc</t>
  </si>
  <si>
    <t>sheetrock, tape, mud, sand, clean</t>
  </si>
  <si>
    <t>Cabinetry</t>
  </si>
  <si>
    <t>Cabinets,  Shelving</t>
  </si>
  <si>
    <t>Installation</t>
  </si>
  <si>
    <t>Doors &amp; Windows</t>
  </si>
  <si>
    <t>Trim</t>
  </si>
  <si>
    <t>Floor covering</t>
  </si>
  <si>
    <t>Exterior walls</t>
  </si>
  <si>
    <t>Tile</t>
  </si>
  <si>
    <t>Backsplash, Shower Enclosures, Floors</t>
  </si>
  <si>
    <t>Prime, Finish, Trim, bath-kitchen-wall accessories</t>
  </si>
  <si>
    <t>Template, Install Countertops</t>
  </si>
  <si>
    <t>Final</t>
  </si>
  <si>
    <t>Final Details to prepare for Sale</t>
  </si>
  <si>
    <t>Draws</t>
  </si>
  <si>
    <t xml:space="preserve">Deposits, Draws, Contracts, Sales Commission </t>
  </si>
  <si>
    <t>Exterior</t>
  </si>
  <si>
    <t>Landscaping, Fence, Sod, walkways, etc</t>
  </si>
  <si>
    <t>Bonus</t>
  </si>
  <si>
    <t>Bonus for on-time compleation</t>
  </si>
  <si>
    <t>Plumbing underneath slab (scheduling item)</t>
  </si>
  <si>
    <t>Permits, Engineering, Survey, etc</t>
  </si>
  <si>
    <t>Walls, Floors, etc (Glasgow)</t>
  </si>
  <si>
    <t>Interest</t>
  </si>
  <si>
    <t>Credit Card Fee for deposit</t>
  </si>
  <si>
    <t>Unit Price 2</t>
  </si>
  <si>
    <t>Order</t>
  </si>
  <si>
    <t>Approve</t>
  </si>
  <si>
    <t>Group</t>
  </si>
  <si>
    <t>Days</t>
  </si>
  <si>
    <t>Done</t>
  </si>
  <si>
    <t>Paid</t>
  </si>
  <si>
    <t>Dep</t>
  </si>
  <si>
    <t>Contracted Task</t>
  </si>
  <si>
    <t>These cells are updated here and carried over to the Gnatt Chart</t>
  </si>
  <si>
    <t>Change Order</t>
  </si>
  <si>
    <t>Post Contract</t>
  </si>
  <si>
    <t>Cordinate with Vendor</t>
  </si>
  <si>
    <t>Not Used</t>
  </si>
  <si>
    <t>No</t>
  </si>
  <si>
    <t>Price</t>
  </si>
  <si>
    <t>Due</t>
  </si>
  <si>
    <t>start Date2</t>
  </si>
  <si>
    <t>End date</t>
  </si>
  <si>
    <t>Cost</t>
  </si>
  <si>
    <t>Project Start Date:</t>
  </si>
  <si>
    <t>Expense</t>
  </si>
  <si>
    <t>ToDo</t>
  </si>
  <si>
    <t>Vendor Tabs</t>
  </si>
  <si>
    <t xml:space="preserve"> Materials &amp; Vendor Total:</t>
  </si>
  <si>
    <t>Base Parents</t>
  </si>
  <si>
    <t>All Parents</t>
  </si>
  <si>
    <t>All Rows</t>
  </si>
  <si>
    <t>Grand Total</t>
  </si>
  <si>
    <t>In Sync</t>
  </si>
  <si>
    <t>Index2</t>
  </si>
  <si>
    <t>Dep2</t>
  </si>
  <si>
    <t>Rank</t>
  </si>
  <si>
    <t>Start</t>
  </si>
  <si>
    <t>Dep Titles</t>
  </si>
  <si>
    <t>RowPos</t>
  </si>
  <si>
    <t>PrevPos</t>
  </si>
  <si>
    <t>ParentKey</t>
  </si>
  <si>
    <t>PrevSiblingPos</t>
  </si>
  <si>
    <t>SiblingRank</t>
  </si>
  <si>
    <t>BaseFlag</t>
  </si>
  <si>
    <t>BaseTop</t>
  </si>
  <si>
    <t>ParentAnchor</t>
  </si>
  <si>
    <t>ParentExist</t>
  </si>
  <si>
    <t>CycleFlag</t>
  </si>
  <si>
    <t>CoDependent</t>
  </si>
  <si>
    <t>BandKey</t>
  </si>
  <si>
    <t>BaseBand</t>
  </si>
  <si>
    <t>Demo &amp; Cleanup</t>
  </si>
  <si>
    <t>Cleanup (from Demo &amp; Trash Haul Tab)</t>
  </si>
  <si>
    <t>Appliances</t>
  </si>
  <si>
    <t>Appliances (from Appliances Tab)</t>
  </si>
  <si>
    <t>Plubing Fixtures</t>
  </si>
  <si>
    <t>Windows, Doors &amp; Trim</t>
  </si>
  <si>
    <t>Cabinets  (from Cabinets Tab)</t>
  </si>
  <si>
    <t>Paint  (from Paint Tab)</t>
  </si>
  <si>
    <t>Flooring Materials</t>
  </si>
  <si>
    <t>Flooring (from Flooring Tab)</t>
  </si>
  <si>
    <t>Electrical fixtures  (from Electrical Tab)</t>
  </si>
  <si>
    <t>Scrolling Increment:</t>
  </si>
  <si>
    <t>Legal</t>
  </si>
  <si>
    <t>Exterior Tab</t>
  </si>
  <si>
    <t>Landscaping</t>
  </si>
  <si>
    <t>Landscaping Tab</t>
  </si>
  <si>
    <t>HVAC Contractor</t>
  </si>
  <si>
    <t>Lumber (from Lumber Tab)</t>
  </si>
  <si>
    <t>Furnishing</t>
  </si>
  <si>
    <t>(furnishing Tab)</t>
  </si>
  <si>
    <t>DepTitles</t>
  </si>
  <si>
    <t/>
  </si>
  <si>
    <t>149 - Startup - Legal, Permits, Engineeri - 19 Base Parent</t>
  </si>
  <si>
    <t>150 - Startup - Permits, Engineering, Sur - 19 Base Parent</t>
  </si>
  <si>
    <t>151 - Demolition - Demolition - 19 Base Parent</t>
  </si>
  <si>
    <t>See  Demo Tab</t>
  </si>
  <si>
    <t>see Demo Tab</t>
  </si>
  <si>
    <t>180 - Excavation - Equipment, Trenching, Bac - 19 Base Parent</t>
  </si>
  <si>
    <t>move to BYH</t>
  </si>
  <si>
    <t>add 5000 for excavation</t>
  </si>
  <si>
    <t>152 - Plumbing - Groundwork - 19 Base Parent</t>
  </si>
  <si>
    <t>153 - Concrete - Slabs, driveways, Foundat - 19 Base Parent</t>
  </si>
  <si>
    <t>shift to end</t>
  </si>
  <si>
    <t>154 - Roofing - Repair, Dry-in, Shingles - 19 Base Parent</t>
  </si>
  <si>
    <t>155 - Framing - Walls, Floors, etc - 19 Base Parent</t>
  </si>
  <si>
    <t>See Lumber Tab</t>
  </si>
  <si>
    <t>181 - Framing - Walls, Floors, etc (Glasg - 19 Base Parent</t>
  </si>
  <si>
    <t>156 - Flooring - Sub Floor - 19 Base Parent</t>
  </si>
  <si>
    <t>add to Lumber tab</t>
  </si>
  <si>
    <t>157 - Rough In - Plumbing - 19 Base Parent</t>
  </si>
  <si>
    <t>make dependant</t>
  </si>
  <si>
    <t>This needs to be gas</t>
  </si>
  <si>
    <t>158 - Rough In - Electrical - 19 Base Parent</t>
  </si>
  <si>
    <t>159 - Rough In - HVAC - 19 Base Parent</t>
  </si>
  <si>
    <t>See Cabinet Tab</t>
  </si>
  <si>
    <t>160 - Insulation - Walls, Roofs, etc - 19 Base Parent</t>
  </si>
  <si>
    <t>Confirm this is needed?</t>
  </si>
  <si>
    <t>Does this come after wiring?</t>
  </si>
  <si>
    <t>161 - Drywall - sheetrock, tape, mud, san - 19 Base Parent</t>
  </si>
  <si>
    <t>162 - Cabinetry - Cabinets, Countertops, Sh - 19 Base Parent</t>
  </si>
  <si>
    <t>162 - Cabinetry - Cabinets,  Shelving - 19 Base Parent</t>
  </si>
  <si>
    <t>163 - Installation - Doors &amp; Windows - 19 Base Parent</t>
  </si>
  <si>
    <t>See doors Tab</t>
  </si>
  <si>
    <t>164 - Trim - Elctrical - 19 Base Parent</t>
  </si>
  <si>
    <t>164 - Trim - Electrical - 19 Base Parent</t>
  </si>
  <si>
    <t>165 - Trim - Plumbing - 19 Base Parent</t>
  </si>
  <si>
    <t>166 - Trim - HVAC - 19 Base Parent</t>
  </si>
  <si>
    <t>167 - HVAC - Installation - 19 Base Parent</t>
  </si>
  <si>
    <t>168 - Flooring - Floor covering - 19 Base Parent</t>
  </si>
  <si>
    <t>See Flooring Tab</t>
  </si>
  <si>
    <t>169 - Siding - Exterior walls - 19 Base Parent</t>
  </si>
  <si>
    <t>170 - Tile - Backsplash, Shower Enclos - 19 Base Parent</t>
  </si>
  <si>
    <t>171 - Paint - Prime, Finish, Trim, bath - 19 Base Parent</t>
  </si>
  <si>
    <t>171 - Paint - Prime, Finish, Trim - 19 Base Parent</t>
  </si>
  <si>
    <t>See Paint Tab</t>
  </si>
  <si>
    <t>172 - Cabinetry - Template, Install Counter - 19 Base Parent</t>
  </si>
  <si>
    <t>See Profit Tab</t>
  </si>
  <si>
    <t>174 - Cleaning - Final - 19 Base Parent</t>
  </si>
  <si>
    <t>175 - Draws - Deposits, Draws, Contract - 19 Base Parent</t>
  </si>
  <si>
    <t>35 days * 5 hours per day</t>
  </si>
  <si>
    <t>176 - Exterior - Landscaping, Fence, Sod,  - 19 Base Parent</t>
  </si>
  <si>
    <t>See Windows &amp; Doors Tab</t>
  </si>
  <si>
    <t>remove</t>
  </si>
  <si>
    <t>A. Entity definitions</t>
  </si>
  <si>
    <t>1. Base Parent</t>
  </si>
  <si>
    <r>
      <t xml:space="preserve">A row marked in </t>
    </r>
    <r>
      <rPr>
        <sz val="10"/>
        <color theme="1"/>
        <rFont val="Arial Unicode MS"/>
      </rPr>
      <t>tblContractBase</t>
    </r>
    <r>
      <rPr>
        <sz val="11"/>
        <color theme="1"/>
        <rFont val="Calibri"/>
        <family val="2"/>
        <scheme val="minor"/>
      </rPr>
      <t xml:space="preserve"> with a Cost Code containing </t>
    </r>
    <r>
      <rPr>
        <i/>
        <sz val="11"/>
        <color theme="1"/>
        <rFont val="Calibri"/>
        <family val="2"/>
        <scheme val="minor"/>
      </rPr>
      <t>“Base Parent”</t>
    </r>
    <r>
      <rPr>
        <sz val="11"/>
        <color theme="1"/>
        <rFont val="Calibri"/>
        <family val="2"/>
        <scheme val="minor"/>
      </rPr>
      <t>. It acts as the header/anchor for all tasks in its section.</t>
    </r>
  </si>
  <si>
    <t>2. Root</t>
  </si>
  <si>
    <r>
      <t xml:space="preserve">A row whose </t>
    </r>
    <r>
      <rPr>
        <b/>
        <sz val="11"/>
        <color theme="1"/>
        <rFont val="Calibri"/>
        <family val="2"/>
        <scheme val="minor"/>
      </rPr>
      <t>ParentKey = Index</t>
    </r>
    <r>
      <rPr>
        <sz val="11"/>
        <color theme="1"/>
        <rFont val="Calibri"/>
        <family val="2"/>
        <scheme val="minor"/>
      </rPr>
      <t xml:space="preserve">. We no longer use </t>
    </r>
    <r>
      <rPr>
        <sz val="10"/>
        <color theme="1"/>
        <rFont val="Arial Unicode MS"/>
      </rPr>
      <t>Dep=0</t>
    </r>
    <r>
      <rPr>
        <sz val="11"/>
        <color theme="1"/>
        <rFont val="Calibri"/>
        <family val="2"/>
        <scheme val="minor"/>
      </rPr>
      <t xml:space="preserve"> to define roots. Every dependency chain must terminate at a root.</t>
    </r>
  </si>
  <si>
    <t>B. Parent assignment</t>
  </si>
  <si>
    <r>
      <t>3. ParentKey</t>
    </r>
    <r>
      <rPr>
        <sz val="11"/>
        <color theme="1"/>
        <rFont val="Calibri"/>
        <family val="2"/>
        <scheme val="minor"/>
      </rPr>
      <t xml:space="preserve"> is assigned as:</t>
    </r>
  </si>
  <si>
    <r>
      <t>Index</t>
    </r>
    <r>
      <rPr>
        <sz val="11"/>
        <color theme="1"/>
        <rFont val="Calibri"/>
        <family val="2"/>
        <scheme val="minor"/>
      </rPr>
      <t xml:space="preserve"> (self-parenting) if the row is a Base Parent, or if </t>
    </r>
    <r>
      <rPr>
        <sz val="10"/>
        <color theme="1"/>
        <rFont val="Arial Unicode MS"/>
      </rPr>
      <t>Dep = Index</t>
    </r>
    <r>
      <rPr>
        <sz val="11"/>
        <color theme="1"/>
        <rFont val="Calibri"/>
        <family val="2"/>
        <scheme val="minor"/>
      </rPr>
      <t xml:space="preserve">, or if </t>
    </r>
    <r>
      <rPr>
        <sz val="10"/>
        <color theme="1"/>
        <rFont val="Arial Unicode MS"/>
      </rPr>
      <t>Dep</t>
    </r>
    <r>
      <rPr>
        <sz val="11"/>
        <color theme="1"/>
        <rFont val="Calibri"/>
        <family val="2"/>
        <scheme val="minor"/>
      </rPr>
      <t xml:space="preserve"> does not match any existing </t>
    </r>
    <r>
      <rPr>
        <sz val="10"/>
        <color theme="1"/>
        <rFont val="Arial Unicode MS"/>
      </rPr>
      <t>Index</t>
    </r>
    <r>
      <rPr>
        <sz val="11"/>
        <color theme="1"/>
        <rFont val="Calibri"/>
        <family val="2"/>
        <scheme val="minor"/>
      </rPr>
      <t>.</t>
    </r>
  </si>
  <si>
    <r>
      <t xml:space="preserve">Otherwise, </t>
    </r>
    <r>
      <rPr>
        <sz val="10"/>
        <color theme="1"/>
        <rFont val="Arial Unicode MS"/>
      </rPr>
      <t>ParentKey = Dep</t>
    </r>
    <r>
      <rPr>
        <sz val="11"/>
        <color theme="1"/>
        <rFont val="Calibri"/>
        <family val="2"/>
        <scheme val="minor"/>
      </rPr>
      <t>.</t>
    </r>
  </si>
  <si>
    <r>
      <t xml:space="preserve">This ensures every chain has a valid root, and invalid/missing </t>
    </r>
    <r>
      <rPr>
        <sz val="10"/>
        <color theme="1"/>
        <rFont val="Arial Unicode MS"/>
      </rPr>
      <t>Dep</t>
    </r>
    <r>
      <rPr>
        <sz val="11"/>
        <color theme="1"/>
        <rFont val="Calibri"/>
        <family val="2"/>
        <scheme val="minor"/>
      </rPr>
      <t xml:space="preserve"> values do not break the structure.</t>
    </r>
  </si>
  <si>
    <t>C. Anchoring</t>
  </si>
  <si>
    <t>4. BaseTop</t>
  </si>
  <si>
    <r>
      <t xml:space="preserve">For Base Parents only, equals </t>
    </r>
    <r>
      <rPr>
        <sz val="10"/>
        <color theme="1"/>
        <rFont val="Arial Unicode MS"/>
      </rPr>
      <t>10*Depth – 5</t>
    </r>
    <r>
      <rPr>
        <sz val="11"/>
        <color theme="1"/>
        <rFont val="Calibri"/>
        <family val="2"/>
        <scheme val="minor"/>
      </rPr>
      <t xml:space="preserve"> (5, 15, 25, …).</t>
    </r>
  </si>
  <si>
    <t>Non-Base rows leave BaseTop blank.</t>
  </si>
  <si>
    <t>5. ParentAnchor</t>
  </si>
  <si>
    <t>For Base Parents (roots) → their own BaseTop.</t>
  </si>
  <si>
    <t>For other rows → the BaseTop of their nearest Base Parent, found by walking up through ParentKey.</t>
  </si>
  <si>
    <t>If no Base Parent can be found, ParentAnchor = sentinel (e.g., 9999).</t>
  </si>
  <si>
    <t>D. Sibling ranking</t>
  </si>
  <si>
    <t>6. SiblingRank</t>
  </si>
  <si>
    <t>Calculated only for non-Base rows.</t>
  </si>
  <si>
    <r>
      <t xml:space="preserve">Groups siblings by </t>
    </r>
    <r>
      <rPr>
        <b/>
        <sz val="11"/>
        <color theme="1"/>
        <rFont val="Calibri"/>
        <family val="2"/>
        <scheme val="minor"/>
      </rPr>
      <t>ParentKey</t>
    </r>
    <r>
      <rPr>
        <sz val="11"/>
        <color theme="1"/>
        <rFont val="Calibri"/>
        <family val="2"/>
        <scheme val="minor"/>
      </rPr>
      <t>.</t>
    </r>
  </si>
  <si>
    <r>
      <t xml:space="preserve">Ranks only rows with </t>
    </r>
    <r>
      <rPr>
        <b/>
        <sz val="11"/>
        <color theme="1"/>
        <rFont val="Calibri"/>
        <family val="2"/>
        <scheme val="minor"/>
      </rPr>
      <t>Approve = "Yes"</t>
    </r>
    <r>
      <rPr>
        <sz val="11"/>
        <color theme="1"/>
        <rFont val="Calibri"/>
        <family val="2"/>
        <scheme val="minor"/>
      </rPr>
      <t>.</t>
    </r>
  </si>
  <si>
    <t>Order of rank:</t>
  </si>
  <si>
    <t>1. Lower RowPos first.</t>
  </si>
  <si>
    <t>2. If RowPos ties, lower Index first.</t>
  </si>
  <si>
    <t>Produces 1, 2, 3… within each sibling set.</t>
  </si>
  <si>
    <t>E. Manual rank override</t>
  </si>
  <si>
    <r>
      <t>7. Rank</t>
    </r>
    <r>
      <rPr>
        <sz val="11"/>
        <color theme="1"/>
        <rFont val="Calibri"/>
        <family val="2"/>
        <scheme val="minor"/>
      </rPr>
      <t xml:space="preserve"> column (renamed from BegOrder)</t>
    </r>
  </si>
  <si>
    <t>If &gt;0, overrides SiblingRank.</t>
  </si>
  <si>
    <t>Applies only within a sibling set (does not affect other groups).</t>
  </si>
  <si>
    <t>F. Order (sort key)</t>
  </si>
  <si>
    <t>8. Order</t>
  </si>
  <si>
    <t>If Base Parent → Order = BaseTop.</t>
  </si>
  <si>
    <t>Otherwise → Order = ParentAnchor + (EffectiveRank / 100).</t>
  </si>
  <si>
    <t>EffectiveRank = Rank if supplied, otherwise SiblingRank.</t>
  </si>
  <si>
    <t>This ensures:</t>
  </si>
  <si>
    <t>Children always sort directly under their Base Parent.</t>
  </si>
  <si>
    <t>Children always come before the next Base Parent.</t>
  </si>
  <si>
    <t>Manual Rank allows reordering siblings without breaking the parent/child structure.</t>
  </si>
  <si>
    <t>G. Approval</t>
  </si>
  <si>
    <r>
      <t xml:space="preserve">9. Only rows with </t>
    </r>
    <r>
      <rPr>
        <b/>
        <sz val="11"/>
        <color theme="1"/>
        <rFont val="Calibri"/>
        <family val="2"/>
        <scheme val="minor"/>
      </rPr>
      <t>Approve = "Yes"</t>
    </r>
    <r>
      <rPr>
        <sz val="11"/>
        <color theme="1"/>
        <rFont val="Calibri"/>
        <family val="2"/>
        <scheme val="minor"/>
      </rPr>
      <t xml:space="preserve"> are considered in sibling ranking.</t>
    </r>
  </si>
  <si>
    <r>
      <t xml:space="preserve">10. Rows with </t>
    </r>
    <r>
      <rPr>
        <b/>
        <sz val="11"/>
        <color theme="1"/>
        <rFont val="Calibri"/>
        <family val="2"/>
        <scheme val="minor"/>
      </rPr>
      <t>Approve = "No"</t>
    </r>
    <r>
      <rPr>
        <sz val="11"/>
        <color theme="1"/>
        <rFont val="Calibri"/>
        <family val="2"/>
        <scheme val="minor"/>
      </rPr>
      <t xml:space="preserve"> sink to the bottom of sorts or are ignored in rank calculations.</t>
    </r>
  </si>
  <si>
    <t>H. Scheduling (Start/Date logic)</t>
  </si>
  <si>
    <r>
      <t>11. Date</t>
    </r>
    <r>
      <rPr>
        <sz val="11"/>
        <color theme="1"/>
        <rFont val="Calibri"/>
        <family val="2"/>
        <scheme val="minor"/>
      </rPr>
      <t xml:space="preserve"> = the </t>
    </r>
    <r>
      <rPr>
        <b/>
        <sz val="11"/>
        <color theme="1"/>
        <rFont val="Calibri"/>
        <family val="2"/>
        <scheme val="minor"/>
      </rPr>
      <t>start day</t>
    </r>
    <r>
      <rPr>
        <sz val="11"/>
        <color theme="1"/>
        <rFont val="Calibri"/>
        <family val="2"/>
        <scheme val="minor"/>
      </rPr>
      <t xml:space="preserve"> of the row.</t>
    </r>
  </si>
  <si>
    <t>For the very first row, start at Project_Start.</t>
  </si>
  <si>
    <t>Otherwise, start the day after the predecessor finishes.</t>
  </si>
  <si>
    <r>
      <t xml:space="preserve">A predecessor’s finish = its </t>
    </r>
    <r>
      <rPr>
        <b/>
        <sz val="11"/>
        <color theme="1"/>
        <rFont val="Calibri"/>
        <family val="2"/>
        <scheme val="minor"/>
      </rPr>
      <t>Date + Days + Delay</t>
    </r>
    <r>
      <rPr>
        <sz val="11"/>
        <color theme="1"/>
        <rFont val="Calibri"/>
        <family val="2"/>
        <scheme val="minor"/>
      </rPr>
      <t>.</t>
    </r>
  </si>
  <si>
    <t>Therefore, a row’s Date depends only on predecessors’ Days + Delay, never its own.</t>
  </si>
  <si>
    <r>
      <t>12. Days</t>
    </r>
    <r>
      <rPr>
        <sz val="11"/>
        <color theme="1"/>
        <rFont val="Calibri"/>
        <family val="2"/>
        <scheme val="minor"/>
      </rPr>
      <t xml:space="preserve"> = the planned duration of the row itself.</t>
    </r>
  </si>
  <si>
    <r>
      <t>13. Delay</t>
    </r>
    <r>
      <rPr>
        <sz val="11"/>
        <color theme="1"/>
        <rFont val="Calibri"/>
        <family val="2"/>
        <scheme val="minor"/>
      </rPr>
      <t xml:space="preserve"> = </t>
    </r>
    <r>
      <rPr>
        <i/>
        <sz val="11"/>
        <color theme="1"/>
        <rFont val="Calibri"/>
        <family val="2"/>
        <scheme val="minor"/>
      </rPr>
      <t>lag added to the predecessor’s duration</t>
    </r>
    <r>
      <rPr>
        <sz val="11"/>
        <color theme="1"/>
        <rFont val="Calibri"/>
        <family val="2"/>
        <scheme val="minor"/>
      </rPr>
      <t>.</t>
    </r>
  </si>
  <si>
    <r>
      <t xml:space="preserve">Does </t>
    </r>
    <r>
      <rPr>
        <b/>
        <sz val="11"/>
        <color theme="1"/>
        <rFont val="Calibri"/>
        <family val="2"/>
        <scheme val="minor"/>
      </rPr>
      <t>not</t>
    </r>
    <r>
      <rPr>
        <sz val="11"/>
        <color theme="1"/>
        <rFont val="Calibri"/>
        <family val="2"/>
        <scheme val="minor"/>
      </rPr>
      <t xml:space="preserve"> shift this row’s own Date.</t>
    </r>
  </si>
  <si>
    <t>Increases the finish time of this row, so its followers start later.</t>
  </si>
  <si>
    <r>
      <t>14. Start</t>
    </r>
    <r>
      <rPr>
        <sz val="11"/>
        <color theme="1"/>
        <rFont val="Calibri"/>
        <family val="2"/>
        <scheme val="minor"/>
      </rPr>
      <t xml:space="preserve"> (manual override)</t>
    </r>
  </si>
  <si>
    <r>
      <t xml:space="preserve">If </t>
    </r>
    <r>
      <rPr>
        <sz val="10"/>
        <color theme="1"/>
        <rFont val="Arial Unicode MS"/>
      </rPr>
      <t>Start</t>
    </r>
    <r>
      <rPr>
        <sz val="11"/>
        <color theme="1"/>
        <rFont val="Calibri"/>
        <family val="2"/>
        <scheme val="minor"/>
      </rPr>
      <t xml:space="preserve"> has a value, it is used as this row’s Date.</t>
    </r>
  </si>
  <si>
    <t>Otherwise, the calculated Date is used.</t>
  </si>
  <si>
    <t>I. Validation</t>
  </si>
  <si>
    <r>
      <t>15. ParentExist</t>
    </r>
    <r>
      <rPr>
        <sz val="11"/>
        <color theme="1"/>
        <rFont val="Calibri"/>
        <family val="2"/>
        <scheme val="minor"/>
      </rPr>
      <t xml:space="preserve"> flags rows where Dep points to an Index not present in Contract_Edits.</t>
    </r>
  </si>
  <si>
    <t>16. No cycles allowed (e.g., A→B and B→A). Cycles trigger sentinel values like 4995.</t>
  </si>
  <si>
    <t>That’s the complete picture as it stands now:</t>
  </si>
  <si>
    <r>
      <t>Hierarchy</t>
    </r>
    <r>
      <rPr>
        <sz val="11"/>
        <color theme="1"/>
        <rFont val="Calibri"/>
        <family val="2"/>
        <scheme val="minor"/>
      </rPr>
      <t xml:space="preserve"> is defined by Base Parents, Roots, ParentKey, and Dep.</t>
    </r>
  </si>
  <si>
    <r>
      <t>Order</t>
    </r>
    <r>
      <rPr>
        <sz val="11"/>
        <color theme="1"/>
        <rFont val="Calibri"/>
        <family val="2"/>
        <scheme val="minor"/>
      </rPr>
      <t xml:space="preserve"> arranges rows stably within those groups.</t>
    </r>
  </si>
  <si>
    <r>
      <t>Scheduling</t>
    </r>
    <r>
      <rPr>
        <sz val="11"/>
        <color theme="1"/>
        <rFont val="Calibri"/>
        <family val="2"/>
        <scheme val="minor"/>
      </rPr>
      <t xml:space="preserve"> (Date) is driven by predecessors’ finish (Days + Delay), not by the row’s own Delay.</t>
    </r>
  </si>
  <si>
    <t>Completed</t>
  </si>
  <si>
    <t>Total Interest</t>
  </si>
  <si>
    <t xml:space="preserve">Average Monthly </t>
  </si>
  <si>
    <t>Total shows up on Gnatt Chart</t>
  </si>
  <si>
    <t>Vender</t>
  </si>
  <si>
    <t>Per Event</t>
  </si>
  <si>
    <t>Iterations</t>
  </si>
  <si>
    <t>Charge</t>
  </si>
  <si>
    <t>Sub Total</t>
  </si>
  <si>
    <t>Notary</t>
  </si>
  <si>
    <t>Appraisal Fee</t>
  </si>
  <si>
    <t>Legal cost of  Trust  to  LLC</t>
  </si>
  <si>
    <t>Points for Loan</t>
  </si>
  <si>
    <t>Legal Fee for Loan</t>
  </si>
  <si>
    <t>Death Certificates</t>
  </si>
  <si>
    <t xml:space="preserve">Trust </t>
  </si>
  <si>
    <t>Deed Recording</t>
  </si>
  <si>
    <t>eRcording</t>
  </si>
  <si>
    <t>Misc Cost</t>
  </si>
  <si>
    <t>AdvancesReduce Seller Pauout</t>
  </si>
  <si>
    <t>Sellers Payout</t>
  </si>
  <si>
    <t>Sellers Payoff</t>
  </si>
  <si>
    <t>Seller Incentive/Day:</t>
  </si>
  <si>
    <t>Seller Vacate Days Early:</t>
  </si>
  <si>
    <t>Total Cost</t>
  </si>
  <si>
    <t>Total Owed:</t>
  </si>
  <si>
    <t>Quanity</t>
  </si>
  <si>
    <t>Cost/Unit</t>
  </si>
  <si>
    <t>Sub-Total</t>
  </si>
  <si>
    <t>Total</t>
  </si>
  <si>
    <t>Shower Head</t>
  </si>
  <si>
    <t>Lumber</t>
  </si>
  <si>
    <t>Color</t>
  </si>
  <si>
    <t>Sq Ft</t>
  </si>
  <si>
    <t>Item #</t>
  </si>
  <si>
    <t>Template</t>
  </si>
  <si>
    <t>Interior Walls</t>
  </si>
  <si>
    <t>Studs</t>
  </si>
  <si>
    <t>2" *4"*8'</t>
  </si>
  <si>
    <t>Include for waste</t>
  </si>
  <si>
    <t>Bottom Plate</t>
  </si>
  <si>
    <t>2" *4"*12'</t>
  </si>
  <si>
    <t>Top Plate</t>
  </si>
  <si>
    <t>Sheet rock-ADU</t>
  </si>
  <si>
    <t>1/2"*4'*8' Gold Bond 1/2-in x 4-ft x 8-ft High Strength LITE Regular Drywall Panel</t>
  </si>
  <si>
    <t>https://www.lowes.com/pd/Gold-Bond-1-2-in-x-4-ft-x-8-ft-High-Strength-LITE-Drywall-Panel/5001486207</t>
  </si>
  <si>
    <t>Sheet rock-Primary</t>
  </si>
  <si>
    <t>Sheet rock-Garage</t>
  </si>
  <si>
    <t>Interior  Doors</t>
  </si>
  <si>
    <t>Number of doors</t>
  </si>
  <si>
    <t>Jack Studs</t>
  </si>
  <si>
    <t>King Studs</t>
  </si>
  <si>
    <t>Header</t>
  </si>
  <si>
    <t>2" *6"*8'</t>
  </si>
  <si>
    <t>Cripple Studs</t>
  </si>
  <si>
    <t>Windows</t>
  </si>
  <si>
    <t>Deck</t>
  </si>
  <si>
    <t>Demensions width</t>
  </si>
  <si>
    <t>Demensions length</t>
  </si>
  <si>
    <t>Demensions heigth</t>
  </si>
  <si>
    <t>Joists</t>
  </si>
  <si>
    <t>2"x 8" x 10' PT</t>
  </si>
  <si>
    <t>Beams</t>
  </si>
  <si>
    <t>2"x 10" x 14' PT</t>
  </si>
  <si>
    <t>Deck Boards</t>
  </si>
  <si>
    <t>5/4" x 6" x 10'</t>
  </si>
  <si>
    <t>Post</t>
  </si>
  <si>
    <t>4" x 4"x 8' PT</t>
  </si>
  <si>
    <t>Ledger</t>
  </si>
  <si>
    <t>80 lb bags</t>
  </si>
  <si>
    <t>Fasteners</t>
  </si>
  <si>
    <t>lump sum</t>
  </si>
  <si>
    <t>length</t>
  </si>
  <si>
    <t>Deck Rails</t>
  </si>
  <si>
    <t>Top/Bottom Railing</t>
  </si>
  <si>
    <t>2 per rail section 2" x 4" x 12' PT</t>
  </si>
  <si>
    <t>Balasters</t>
  </si>
  <si>
    <t>one every 4-5", approx 2.5 per ft</t>
  </si>
  <si>
    <t>Wood Post</t>
  </si>
  <si>
    <t>1 every 6', 4" x 4" x 42" - use 8' cut in half</t>
  </si>
  <si>
    <t>number</t>
  </si>
  <si>
    <t>Width</t>
  </si>
  <si>
    <t>Steps</t>
  </si>
  <si>
    <t>Stairs</t>
  </si>
  <si>
    <t>Stringers</t>
  </si>
  <si>
    <t xml:space="preserve">2" x 12" x 8'  - one every 2' </t>
  </si>
  <si>
    <t>Treds</t>
  </si>
  <si>
    <t>5/4 x 6" 10' - 2 per tread</t>
  </si>
  <si>
    <t>Risers</t>
  </si>
  <si>
    <t>1" x 8 " x 8"</t>
  </si>
  <si>
    <t xml:space="preserve">corner round </t>
  </si>
  <si>
    <t> 1/2-in x 1/2-in x 8-ft Finished PVC WM108 Quarter round Moulding</t>
  </si>
  <si>
    <t>https://www.lowes.com/pd/2024-PVC-Quarter-Round-1-2-in-x-1-2-in-x-8-ft/5001959863</t>
  </si>
  <si>
    <t>Base moulding</t>
  </si>
  <si>
    <t>RELIABILT 9/16-in x 3-1/4-in x 12-ft Colonial Primed 623 Baseboard 10 -Pack</t>
  </si>
  <si>
    <t>Sheetrock</t>
  </si>
  <si>
    <t>Garage</t>
  </si>
  <si>
    <t>Quote from  Glasgow</t>
  </si>
  <si>
    <t xml:space="preserve">Cost for Template </t>
  </si>
  <si>
    <t>6509-48698</t>
  </si>
  <si>
    <t>HGSW7036 Accesable Beige</t>
  </si>
  <si>
    <t>6512-83228</t>
  </si>
  <si>
    <t>SW7507 Stone Lion</t>
  </si>
  <si>
    <t>SW</t>
  </si>
  <si>
    <t>6510-78628</t>
  </si>
  <si>
    <t>SW ProMar 400 Zero VOC Interior Latex(5 gal) -ceiling?</t>
  </si>
  <si>
    <t>6503-62817</t>
  </si>
  <si>
    <t>SW 5 gal B31W2151 Procl LTX SG Extra</t>
  </si>
  <si>
    <t>6510-16875</t>
  </si>
  <si>
    <t>SW 1 gal A27W600 Premium ceiling white</t>
  </si>
  <si>
    <t>6501-93169</t>
  </si>
  <si>
    <t>SW 5 gal A27W600 Premium ceiling white</t>
  </si>
  <si>
    <t>5 gal Lowes Kilz</t>
  </si>
  <si>
    <t>ProBlock Interior Oil-Based Primer(5 Gal)</t>
  </si>
  <si>
    <t>6501-33390</t>
  </si>
  <si>
    <t>SW Proclassic Interior Acrylic Enamal Extra White( 5 gal)</t>
  </si>
  <si>
    <t>6510-16867</t>
  </si>
  <si>
    <t>HD Behr Int/ext black paint</t>
  </si>
  <si>
    <t>HD White Int/ext white paint</t>
  </si>
  <si>
    <t>HD 5 gal Wh Flat Int ceiling</t>
  </si>
  <si>
    <t>Valspar</t>
  </si>
  <si>
    <t>L1028086</t>
  </si>
  <si>
    <t>SW 5 gal D17W151 Cashmere LL Extra</t>
  </si>
  <si>
    <t>6504-06788</t>
  </si>
  <si>
    <t>Lowes Sub Total for Paint</t>
  </si>
  <si>
    <t>Painter</t>
  </si>
  <si>
    <t>Painter is in contract</t>
  </si>
  <si>
    <t>Inside</t>
  </si>
  <si>
    <t>Back Porch</t>
  </si>
  <si>
    <t>Total for paint</t>
  </si>
  <si>
    <t>Template values</t>
  </si>
  <si>
    <t>Meridian</t>
  </si>
  <si>
    <t>20yd Delivery</t>
  </si>
  <si>
    <t>15 yard Haul swap</t>
  </si>
  <si>
    <t>C&amp;D Disp</t>
  </si>
  <si>
    <t>Gigi'sBuld Removal</t>
  </si>
  <si>
    <t>Refrigerator  Removal</t>
  </si>
  <si>
    <t>Back Yard cleanup</t>
  </si>
  <si>
    <t>dumpster tip</t>
  </si>
  <si>
    <t>ITEM</t>
  </si>
  <si>
    <t xml:space="preserve"> Microwave </t>
  </si>
  <si>
    <t>Range</t>
  </si>
  <si>
    <t>Dishwasher</t>
  </si>
  <si>
    <t>Sub-total for Template</t>
  </si>
  <si>
    <t>HD Microwave White</t>
  </si>
  <si>
    <t>FB Marketplace Ref</t>
  </si>
  <si>
    <t>HD Dishwasher</t>
  </si>
  <si>
    <t>HD DW Parts Kit</t>
  </si>
  <si>
    <t>Sub-total for Lowes</t>
  </si>
  <si>
    <t>Dishwasher Hose</t>
  </si>
  <si>
    <t>HD Range</t>
  </si>
  <si>
    <t>Range(HD estimate)</t>
  </si>
  <si>
    <t>Lowes Dishwasher</t>
  </si>
  <si>
    <t>Lowes Range cord</t>
  </si>
  <si>
    <t>Kitchen Sink</t>
  </si>
  <si>
    <t>HD Range Cord</t>
  </si>
  <si>
    <t>Kitchen faucet</t>
  </si>
  <si>
    <t>Lowes Microwave</t>
  </si>
  <si>
    <t>washer</t>
  </si>
  <si>
    <t>dryer</t>
  </si>
  <si>
    <t>HD Delivery</t>
  </si>
  <si>
    <t>Total for Appliances:</t>
  </si>
  <si>
    <t>Kitchen Faucet</t>
  </si>
  <si>
    <t>Bath Accessory Kit</t>
  </si>
  <si>
    <t>Laundry Sink</t>
  </si>
  <si>
    <t>Bath Faucets</t>
  </si>
  <si>
    <t>toilets</t>
  </si>
  <si>
    <t>HD 885612723802</t>
  </si>
  <si>
    <t>Lowes Bath Accessory Kit</t>
  </si>
  <si>
    <t>Lowes Shower Head</t>
  </si>
  <si>
    <t>Lowes Bath Faucets</t>
  </si>
  <si>
    <t>Amazon TP holders</t>
  </si>
  <si>
    <t>Amazon accessory kit</t>
  </si>
  <si>
    <t>HD732291242868</t>
  </si>
  <si>
    <t xml:space="preserve">Garbage Disposal </t>
  </si>
  <si>
    <t>Resurface tubs</t>
  </si>
  <si>
    <t>Instant Savings on Toilets</t>
  </si>
  <si>
    <t>Screen Medics Solor Screen</t>
  </si>
  <si>
    <t>ALU</t>
  </si>
  <si>
    <t>Master</t>
  </si>
  <si>
    <t>Other Beds</t>
  </si>
  <si>
    <t>Hall Bath</t>
  </si>
  <si>
    <t>Kitchen</t>
  </si>
  <si>
    <t>Laundry/pantry</t>
  </si>
  <si>
    <t>36" Exterior (R) Out Swing</t>
  </si>
  <si>
    <t>36" Exterior (L) Out Swing</t>
  </si>
  <si>
    <t>36" Exterior (L) In Swing</t>
  </si>
  <si>
    <t>32" Exterior (R) Out Swing</t>
  </si>
  <si>
    <t>32" Exterior (L)  Out Swing</t>
  </si>
  <si>
    <t>32" Exterior (L)  In Swing</t>
  </si>
  <si>
    <t>30" Interior (R)</t>
  </si>
  <si>
    <t>30" Interior (L)</t>
  </si>
  <si>
    <t>28" Interior (R)</t>
  </si>
  <si>
    <t>28" Interior (L)</t>
  </si>
  <si>
    <t>24" Interior (R)</t>
  </si>
  <si>
    <t>Pocket door</t>
  </si>
  <si>
    <t>Plank Hollow Door 32x80</t>
  </si>
  <si>
    <t>Plank Hollow Door 28x80</t>
  </si>
  <si>
    <t>Door Trim</t>
  </si>
  <si>
    <t>Door trim-RELIABILT 11/16-in x 2-1/4-in x 7-ft Primed Pine 366 Casing</t>
  </si>
  <si>
    <t>Windows 32"x62" Project 640493559</t>
  </si>
  <si>
    <t xml:space="preserve">Windows 59"x4446.562" Project </t>
  </si>
  <si>
    <t>Int Dummy knobs</t>
  </si>
  <si>
    <t>488AO-15</t>
  </si>
  <si>
    <t>Kwikset Deadbolt</t>
  </si>
  <si>
    <t>660--15S.DS</t>
  </si>
  <si>
    <t>Kwikset keyed</t>
  </si>
  <si>
    <t>740L-15S</t>
  </si>
  <si>
    <t>400AO-15S</t>
  </si>
  <si>
    <t>Lowes Front door kw powerbolt</t>
  </si>
  <si>
    <t>Lowes Front door kw door handle</t>
  </si>
  <si>
    <t>Batteries</t>
  </si>
  <si>
    <t>HD Ext Deadbolt combo</t>
  </si>
  <si>
    <t>HD883351891448</t>
  </si>
  <si>
    <t>Laundry room Fr Doors</t>
  </si>
  <si>
    <t>HD154372</t>
  </si>
  <si>
    <t>HD883767</t>
  </si>
  <si>
    <t>Door Stop 5 pack</t>
  </si>
  <si>
    <t>Untry Door Handle</t>
  </si>
  <si>
    <t>Keypad Deadbolt</t>
  </si>
  <si>
    <t>Exterior Door Handle and lock kit</t>
  </si>
  <si>
    <t>Kitchen Counter Tops</t>
  </si>
  <si>
    <t>Paint Kitchen</t>
  </si>
  <si>
    <t>bathroom cabinets</t>
  </si>
  <si>
    <t>Bathroom coutner tops</t>
  </si>
  <si>
    <t>B21R</t>
  </si>
  <si>
    <t>SCR36</t>
  </si>
  <si>
    <t>B24R</t>
  </si>
  <si>
    <t>PePR335</t>
  </si>
  <si>
    <t>SB36B</t>
  </si>
  <si>
    <t>Base Cab</t>
  </si>
  <si>
    <t>B12R</t>
  </si>
  <si>
    <t>Wall Cab</t>
  </si>
  <si>
    <t>W1230R</t>
  </si>
  <si>
    <t>W2730B</t>
  </si>
  <si>
    <t>W2430B</t>
  </si>
  <si>
    <t>Diag Corner</t>
  </si>
  <si>
    <t>DC2430R</t>
  </si>
  <si>
    <t>Lowes Vanity Master</t>
  </si>
  <si>
    <t>W2130R</t>
  </si>
  <si>
    <t>W3014B</t>
  </si>
  <si>
    <t>Toe Kicks</t>
  </si>
  <si>
    <t>Filler F331</t>
  </si>
  <si>
    <t>HD34137</t>
  </si>
  <si>
    <t>Buy from Lowes</t>
  </si>
  <si>
    <t>Cabinet Tops</t>
  </si>
  <si>
    <t>surface 1</t>
  </si>
  <si>
    <t>surface 2</t>
  </si>
  <si>
    <t>surface 3</t>
  </si>
  <si>
    <t>Estimate from Boris</t>
  </si>
  <si>
    <t>Cabinet Hardware</t>
  </si>
  <si>
    <t>Vanities - Sun HS Warehouse</t>
  </si>
  <si>
    <t>Satin Nick cabinet knob</t>
  </si>
  <si>
    <t>Arched 3" Drawer pull</t>
  </si>
  <si>
    <t>Lowes 10 pk Matte Black Knob</t>
  </si>
  <si>
    <t>HD Satin Nickel Knobs</t>
  </si>
  <si>
    <t>Interior Wall Paint</t>
  </si>
  <si>
    <t>Cashmere ES Extra</t>
  </si>
  <si>
    <t>Ceiling</t>
  </si>
  <si>
    <t>Primer</t>
  </si>
  <si>
    <t>Eladio Quote - Inside</t>
  </si>
  <si>
    <t>Eladio Quote - outside</t>
  </si>
  <si>
    <t>Timplate</t>
  </si>
  <si>
    <t>House Square Feet</t>
  </si>
  <si>
    <t>ADU</t>
  </si>
  <si>
    <t>Basement</t>
  </si>
  <si>
    <t>SW SuperPaint Interior Acrylic Latex(5 Gal)</t>
  </si>
  <si>
    <t>bedrooms &amp; bath</t>
  </si>
  <si>
    <t>bath tub</t>
  </si>
  <si>
    <t>living room, kitchen</t>
  </si>
  <si>
    <t>pantry</t>
  </si>
  <si>
    <t>Laundry</t>
  </si>
  <si>
    <t>Emerald Urethane Trim Enamel( 1 gal)</t>
  </si>
  <si>
    <t>SW7566  Westhihland White</t>
  </si>
  <si>
    <t>6512-07482</t>
  </si>
  <si>
    <t>SW 5galover White</t>
  </si>
  <si>
    <t>Exterior Paint</t>
  </si>
  <si>
    <t>SW Latitude Exterior Acrylic Latex ( 1 gal)</t>
  </si>
  <si>
    <t>sw7554 Steamed Milk</t>
  </si>
  <si>
    <t>6512-01634</t>
  </si>
  <si>
    <t>Deck Stain</t>
  </si>
  <si>
    <t xml:space="preserve">L Valspar Semi trans deck stain </t>
  </si>
  <si>
    <t>Lowes 1028086</t>
  </si>
  <si>
    <t xml:space="preserve">L Valspar solid porch stain </t>
  </si>
  <si>
    <t>Lowes 1028091</t>
  </si>
  <si>
    <t>Floor</t>
  </si>
  <si>
    <t>LVP</t>
  </si>
  <si>
    <t>Carpet</t>
  </si>
  <si>
    <t>LVP Floor Installation</t>
  </si>
  <si>
    <t>Refinish Floor (Elder)</t>
  </si>
  <si>
    <t>Register</t>
  </si>
  <si>
    <t>LVP Floor RediCarpet #1</t>
  </si>
  <si>
    <t>LVP Floor</t>
  </si>
  <si>
    <t xml:space="preserve">Item </t>
  </si>
  <si>
    <t>New unit</t>
  </si>
  <si>
    <t>True Service HVAC</t>
  </si>
  <si>
    <t>A/C registers</t>
  </si>
  <si>
    <t>Lowes 66848</t>
  </si>
  <si>
    <t>A/C filters</t>
  </si>
  <si>
    <t>HD 14x25 F7 2pk</t>
  </si>
  <si>
    <t>A/C Return Vent</t>
  </si>
  <si>
    <t>Lowes 20x25   753897</t>
  </si>
  <si>
    <t>AC Filter</t>
  </si>
  <si>
    <t xml:space="preserve">HD 20x25 FPR </t>
  </si>
  <si>
    <t>Lowes 20x20 259930</t>
  </si>
  <si>
    <t>Grill</t>
  </si>
  <si>
    <t>L65185</t>
  </si>
  <si>
    <t>Trueheart</t>
  </si>
  <si>
    <t>HVAC Service</t>
  </si>
  <si>
    <t>Smoke Detector</t>
  </si>
  <si>
    <t>HD47871099924</t>
  </si>
  <si>
    <t>44" Ceiling Fan</t>
  </si>
  <si>
    <t>HD 851725005555</t>
  </si>
  <si>
    <t>52" Ceiling Fan</t>
  </si>
  <si>
    <t>HD 082392911225</t>
  </si>
  <si>
    <t>Master Bath Exhaust Fan</t>
  </si>
  <si>
    <t>HD 6970814330027</t>
  </si>
  <si>
    <t>Smoke/CO2 Detector</t>
  </si>
  <si>
    <t>HD47871096619</t>
  </si>
  <si>
    <t>HD047871096633</t>
  </si>
  <si>
    <t>HD047871062638</t>
  </si>
  <si>
    <t>HD047871260652</t>
  </si>
  <si>
    <t>Exterior Motion Light</t>
  </si>
  <si>
    <t>HD 860002741444</t>
  </si>
  <si>
    <t>Exterior Motion Lights Lg</t>
  </si>
  <si>
    <t>HD016963041929</t>
  </si>
  <si>
    <t>Lowes 2' Strip Light Mast Closet</t>
  </si>
  <si>
    <t>Floor registers</t>
  </si>
  <si>
    <t>Bath Vanity Light</t>
  </si>
  <si>
    <t>HD 736916616690</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</si>
  <si>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</si>
  <si>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</si>
  <si>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</si>
  <si>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</si>
  <si>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</si>
  <si>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</si>
  <si>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</si>
  <si>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</si>
  <si>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</si>
  <si>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</si>
  <si>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</si>
  <si>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</si>
  <si>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</si>
  <si>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</si>
  <si>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Landscape</t>
  </si>
  <si>
    <t>Item</t>
  </si>
  <si>
    <t>Cost/sf</t>
  </si>
  <si>
    <t>Square Feet</t>
  </si>
  <si>
    <t>cost/unit</t>
  </si>
  <si>
    <t>SubTotal</t>
  </si>
  <si>
    <t>Liesure Time Zoysia-pallet</t>
  </si>
  <si>
    <t>Liesure Time Zoysia-roll</t>
  </si>
  <si>
    <t>Greenview Works Mowing</t>
  </si>
  <si>
    <t>May 2,16,30</t>
  </si>
  <si>
    <t>June 13,27</t>
  </si>
  <si>
    <t>Straighten landscape stones</t>
  </si>
  <si>
    <t>GrV Works Seed</t>
  </si>
  <si>
    <t>Mow Grass</t>
  </si>
  <si>
    <t>5/2,5/16,530</t>
  </si>
  <si>
    <t>7/12,7/26</t>
  </si>
  <si>
    <t>8/8,8/22</t>
  </si>
  <si>
    <t>Cost/item</t>
  </si>
  <si>
    <t>Hourly Rate:</t>
  </si>
  <si>
    <t>Termite Treatment</t>
  </si>
  <si>
    <t>Lowes Mailbox</t>
  </si>
  <si>
    <t>Mailbox post HD106052</t>
  </si>
  <si>
    <t>Mailbox HD 046462011291</t>
  </si>
  <si>
    <t>Crawl Plumbing</t>
  </si>
  <si>
    <t>Siding Repair</t>
  </si>
  <si>
    <t>6 ton bottle  Jacks</t>
  </si>
  <si>
    <t>check prices with receipt</t>
  </si>
  <si>
    <t>4  Jack stands</t>
  </si>
  <si>
    <t>bifold ramp</t>
  </si>
  <si>
    <t>Drainage repair</t>
  </si>
  <si>
    <t>Deck rebuild</t>
  </si>
  <si>
    <t>Masking tape</t>
  </si>
  <si>
    <t>Drop cloths</t>
  </si>
  <si>
    <t>Power wash</t>
  </si>
  <si>
    <t>Weatherproof flat cover 852944007702</t>
  </si>
  <si>
    <t>Doorbell 058219105177</t>
  </si>
  <si>
    <t>Fence Picket 090489133771</t>
  </si>
  <si>
    <t>Properties Completed in 2024</t>
  </si>
  <si>
    <t>3021 Pearces Rd</t>
  </si>
  <si>
    <t>6004  Sandy Run</t>
  </si>
  <si>
    <t>Completed for Sell Your Home</t>
  </si>
  <si>
    <t>Completed for Buy Your Home</t>
  </si>
  <si>
    <t>Properties Completed in 2023</t>
  </si>
  <si>
    <t>164 Churchill Dr</t>
  </si>
  <si>
    <t>2608 Alton</t>
  </si>
  <si>
    <t>Properties Completed in 2020</t>
  </si>
  <si>
    <t>202 Avery</t>
  </si>
  <si>
    <t>1900 Red Quartz</t>
  </si>
  <si>
    <t>120 Keith</t>
  </si>
  <si>
    <t>3007 Eric</t>
  </si>
  <si>
    <t>2153 Haig Point</t>
  </si>
  <si>
    <t>178 Patricia</t>
  </si>
  <si>
    <t>1201 Hazelnut</t>
  </si>
  <si>
    <t>1223 Roffler</t>
  </si>
  <si>
    <t>2025 Metacomet</t>
  </si>
  <si>
    <t xml:space="preserve">5619 Marthonna </t>
  </si>
  <si>
    <t>Studio 1</t>
  </si>
  <si>
    <t>Studio 2</t>
  </si>
  <si>
    <t>Studio 3</t>
  </si>
  <si>
    <t>Studio 4</t>
  </si>
  <si>
    <t>Average Daily:</t>
  </si>
  <si>
    <t>Occupancy:</t>
  </si>
  <si>
    <t>Income:</t>
  </si>
  <si>
    <t>Annual Fees</t>
  </si>
  <si>
    <t>Management Fees</t>
  </si>
  <si>
    <t>Lodging Tax</t>
  </si>
  <si>
    <t>Couch</t>
  </si>
  <si>
    <t>other</t>
  </si>
  <si>
    <t>Total:</t>
  </si>
  <si>
    <t>Draw</t>
  </si>
  <si>
    <t>Tims rate</t>
  </si>
  <si>
    <t>hrs/day</t>
  </si>
  <si>
    <t>Estimate of time left for Tim</t>
  </si>
  <si>
    <t>Smart Controls</t>
  </si>
  <si>
    <t>Interior switches</t>
  </si>
  <si>
    <t>https://www.lowes.com/pd/Lutron-Caseta-Smart-Lighting-Multi-location-Smart-with-LED-Illuminated-Rocker-Light-Dimmer-Switch-White/5014216603</t>
  </si>
  <si>
    <t>Lutron Caseta Smart Lighting Diva Smart - Smart Dimmer</t>
  </si>
  <si>
    <t>Lutron Diva LED+ Single-pole/3-way LED Rocker Light dimmer switch White 3 -Pack</t>
  </si>
  <si>
    <t>Lutron Caseta Smart Lighting Smart Hub for Light Bulbs and Fans, Compatible w/ Amazon Alexa, Apple Homekit, Google Home, 75 Device Capacity, L-BDG2-WH, White</t>
  </si>
  <si>
    <t>https://www.amazon.com/Lutron-Caseta-Wireless-Bridge-L-BDG2-WH/dp/B00XPW67ZM/ref=sr_1_1?crid=2OIVIO3BM6TI7&amp;dib=eyJ2IjoiMSJ9.GZ4_MHq2AVdzqFzDVmaPq3EvAe5Gne5sQ5Ti4pv57O0Bi85bm_2KG5dJueysS3wejFA4RhowW2qc1hCaYOExvOhZwNshNrURB2DSn19T2WmKmxo00lSYn83Aw_T9apxa6K10NTS2--J3QhcVgAlWzw7RgItCVYc8kjlU3peAT8ah3yA312Iow1x9H04A1myXOeYr2A8NRdkeOi_Z7eO1v_7kid_extOnQnVkPNh3nbNdrlQXfNP15ssrz2ZMnErefp376qFd9e47LoPLbhZ584m21otFerbKMzhtEpcsu8g.7QI7himuc4VpUs_i3ecbien4scZELKXuqN2C6ZY8P3E&amp;dib_tag=se&amp;keywords=lutron%2Bsmart%2Bhub&amp;qid=1761594200&amp;sprefix=lutron%2Bsmart%2Bhub%2Caps%2C120&amp;sr=8-1&amp;th=1</t>
  </si>
  <si>
    <t>Security Camera</t>
  </si>
  <si>
    <t>https://www.eufy.com/products/e8e00121?currency=USD&amp;variant=44950846210234&amp;utm_source=google&amp;utm_medium=pmax&amp;utm_content=alwayson&amp;utm_campaign=us_security_edge_m3_google-pmax_alwayson_allpn_purchase_ost_retargeting_internal_highroas&amp;utm_term=19873407993_6519795901_{creative)&amp;gad_source=1&amp;gad_campaignid=21333069577&amp;fliter_category=e8e00121&amp;ref=security-camera&amp;_gl=1*12jn9jx*_up*MQ..*_gs*MQ..&amp;gclid=Cj0KCQjwsPzHBhDCARIsALlWNG1LqcKeLzBhZJh8kyHGhv9TCNqj-tr0SYutgWJptI4Adh1gyl6XBIgaAnwuEALw_wcB&amp;gbraid=0AAAAApIEgZie8LQsueAaWR7lOkHDzolE1</t>
  </si>
  <si>
    <t>discount</t>
  </si>
  <si>
    <t>Excavator Rental</t>
  </si>
  <si>
    <t>Eufy PoE NVR Security System S4 Max</t>
  </si>
  <si>
    <t>Smart Home</t>
  </si>
  <si>
    <t>All divices and installation services</t>
  </si>
  <si>
    <t>Used</t>
  </si>
  <si>
    <t>AV Sysem</t>
  </si>
  <si>
    <t>Zone distributor</t>
  </si>
  <si>
    <t>Pioneer Elite - VSX-LX305 9.2 Channel Network AV Receiver - Black</t>
  </si>
  <si>
    <t>https://www.bestbuy.com/product/pioneer-elite-vsx-lx305-9-2-channel-network-av-receiver-black/J3ZZ3VR39Y</t>
  </si>
  <si>
    <t>https://www.bestbuy.com/site/searchpage.jsp?id=pcat17071&amp;st=in+ceiling++speakers</t>
  </si>
  <si>
    <t>speakers- bought in pairs but prices seperately</t>
  </si>
  <si>
    <t>Shades</t>
  </si>
  <si>
    <t>https://www.audioadvice.com/products/wiim-amp-multiroom-streaming-amplifier-silver?variant=41289123790932&amp;gad_source=1&amp;gad_campaignid=23014725079&amp;gbraid=0AAAAADRzHk-M7_mkkb3TVEFFBqwQ-b252&amp;gclid=Cj0KCQjwvJHIBhCgARIsAEQnWlBs40WAaoeipGfgHP4Xggjvli9bmjO-sb4AQKOYxzBF6yBAFXOtzFYaAmXwEALw_wcB</t>
  </si>
  <si>
    <t>Wired</t>
  </si>
  <si>
    <t>Ubiquiti Networks Cloud Gateway Ultra</t>
  </si>
  <si>
    <t>Ubiquiti U7 Lite Access Point</t>
  </si>
  <si>
    <t>Ubiquiti 16 Port POE Switch</t>
  </si>
  <si>
    <t>Ubiquiti Networks UniFi U7 In-Wall Dual-Band Wireless Access Point</t>
  </si>
  <si>
    <t>APC Back-UPS 750 Battery Backup &amp; Surge Protector</t>
  </si>
  <si>
    <t>Internet</t>
  </si>
  <si>
    <t>Nerds to Go</t>
  </si>
  <si>
    <t>TH Electrical Services, Inc</t>
  </si>
  <si>
    <t>Run cables for access points  and survelence cameras</t>
  </si>
  <si>
    <t>String lighting</t>
  </si>
  <si>
    <t>under counter -kitchen</t>
  </si>
  <si>
    <t>Crawl Space</t>
  </si>
  <si>
    <t>Power Connection</t>
  </si>
  <si>
    <t>20 yard Haul swap</t>
  </si>
  <si>
    <t>relocate fee</t>
  </si>
  <si>
    <t>20 yd delivery</t>
  </si>
  <si>
    <t>Casa Lending</t>
  </si>
  <si>
    <t>https://casalending.serviceyourloan.com/payments</t>
  </si>
  <si>
    <t>WesWill@BuyYourHomeLLC</t>
  </si>
  <si>
    <t>WesWill@BuyYourHomeLLC.com</t>
  </si>
  <si>
    <t>w3638B0@</t>
  </si>
  <si>
    <t>Loan Portal</t>
  </si>
  <si>
    <t>Draw Portal</t>
  </si>
  <si>
    <t>https://borrowers.constructionloanservices.com/</t>
  </si>
  <si>
    <t>DrawNu</t>
  </si>
  <si>
    <t>Draw Nu</t>
  </si>
  <si>
    <t>2"*12"*12'</t>
  </si>
  <si>
    <t>8-in 18 -Gauge Galvanized Steel Rafter tie Wood to wood</t>
  </si>
  <si>
    <t>Labor and Material for speaker wires &amp; install owner provided cameras on 4 corners</t>
  </si>
  <si>
    <t>Duke -bury  electrical  service - invoice N5988094101</t>
  </si>
  <si>
    <t>UJUBON 30-in x 80-in Wood Pocket Door Frame with Paneled 5-Lite White Primed MDF Pocket Door and Hardware Soft Close Included</t>
  </si>
  <si>
    <t>not ordered yet</t>
  </si>
  <si>
    <t>6"*6"*12'</t>
  </si>
  <si>
    <t>Privacy lock</t>
  </si>
  <si>
    <t>garage door-new motor - havent ordered yet</t>
  </si>
  <si>
    <t>Total to Draw</t>
  </si>
  <si>
    <t>Draw 1 for work done until 10/28/25</t>
  </si>
  <si>
    <t>Draw 2 for work done until 11/19/25</t>
  </si>
  <si>
    <t>Draw 3 for work done until 11/28/25</t>
  </si>
  <si>
    <t>Muzata 10Pack 6.6FT/2M LED Channel Aluminum U Shape Silver LED Strip Diffuser Channel with Milky White Cover Easy Installation U1SW WW 2M</t>
  </si>
  <si>
    <t>BTF-LIGHTING RGBCCT 5 Colors in 1 LED 5050SMD RGBWW RGB+Dimmable Tunable Color Temperature 2700K-6500K 16.4ft 60LEDs/m 300LEDs DC12V Multi-Colored Tape Lights IP30 White PCB(No Adapter or Controller)</t>
  </si>
  <si>
    <t>BTF-LIGHTING FCOB COB LED Strip 528LED/m Flexible High Density Uniform Light 14W/m 32.8FT DC24V Warm White 3000K CRI 90+ 10mm Width for Home Indoor Decor(No Adapter or Controller)</t>
  </si>
  <si>
    <t>ESP32 WLED LED Strip Light Controller 15A Fuse Mic DIY Dynamic Lighting UART USB-C Download Energy Saving Relay App Control for RGB IC Addressable Digital WS2811 WS2812 SK6812 TM1814 WS2813 WS2815</t>
  </si>
  <si>
    <t>ALITOVE 12V Power Supply 10A 120W AC Adapter 100-240V 50-60HZ Transformer AC to DC Converter 12 Volt 10 Amp with 5.5x2.5mm Output Jack for 5050 3528 LED Strip Light CCTV Cameras 3D Printer</t>
  </si>
  <si>
    <t>plumbing</t>
  </si>
  <si>
    <t>Price a Heat pump water heater</t>
  </si>
  <si>
    <t>Ordered</t>
  </si>
  <si>
    <t>Duke -Install  separate meter for ADU - not priced</t>
  </si>
  <si>
    <t>Place new siding on parts of exterior</t>
  </si>
  <si>
    <t>Attic</t>
  </si>
  <si>
    <t>Blow Insulation</t>
  </si>
  <si>
    <t>Run speaker, internet cables</t>
  </si>
  <si>
    <t>Run LED trim lighting</t>
  </si>
  <si>
    <t>Add a new crawlspace door on right side</t>
  </si>
  <si>
    <t>No Dependency</t>
  </si>
  <si>
    <t>Not Active</t>
  </si>
  <si>
    <t>This item is not yet assigned on the Contract tab</t>
  </si>
  <si>
    <t>196 - Not Active - This item is not yet assi - 19 Base Parent</t>
  </si>
  <si>
    <t>Install for spiral staircase.</t>
  </si>
  <si>
    <t>These item has not has not been set to be dependent upon another</t>
  </si>
  <si>
    <t>Run Power under ground from street - 01/09</t>
  </si>
  <si>
    <t>Add a new power meter for the ADU -WO# 60199122 - 01/09</t>
  </si>
  <si>
    <t>Shelly</t>
  </si>
  <si>
    <t>Walll Display XL Black</t>
  </si>
  <si>
    <t>Plus i4</t>
  </si>
  <si>
    <t>BLU Motion</t>
  </si>
  <si>
    <t>BLU RC Button 4</t>
  </si>
  <si>
    <t>Plus Wall Dimmer</t>
  </si>
  <si>
    <t>1PM Gen3</t>
  </si>
  <si>
    <t>WiiM Amp Pro Amp</t>
  </si>
  <si>
    <t>Wiim Mini AirPlay</t>
  </si>
  <si>
    <t>Remove tile floor from bathrooms</t>
  </si>
  <si>
    <t>Expose HVAC riser</t>
  </si>
  <si>
    <t>DO NOT SORT THIS LIST!</t>
  </si>
  <si>
    <t>Tim's Prices are calculated by estimating days needed. Otherwise, Unit Price 2 - Unit Price</t>
  </si>
  <si>
    <t>Remove tile from hall bath walls</t>
  </si>
  <si>
    <t xml:space="preserve">Remove tile from Kitchen floor </t>
  </si>
  <si>
    <t>195 - No Dependency - These item has not has no - 19 Base Parent</t>
  </si>
  <si>
    <t xml:space="preserve">Fix whirlppol </t>
  </si>
  <si>
    <t>Draw 4 for work done until 12/12/25</t>
  </si>
  <si>
    <t>Resize mirrors - Early Bird Glass Inc - 984 789 8607 - 4809 Hargrove Rd, Ste 125</t>
  </si>
  <si>
    <t>Resize Glass - Early Bird Glass - 984 789 8607 - 4809 Hargrove Rd, ste 125</t>
  </si>
  <si>
    <t>Instalation- bougth 10 hours at a discount</t>
  </si>
  <si>
    <t xml:space="preserve">Demo, Framing, installation </t>
  </si>
  <si>
    <t>w3638B0#</t>
  </si>
  <si>
    <t>Duration Home Interior Acrylic Latex</t>
  </si>
  <si>
    <t>6500-96597</t>
  </si>
  <si>
    <t>ProBlock Quick dry Oil-Based Interior Primer(5 Gal)</t>
  </si>
  <si>
    <t>6514-27619</t>
  </si>
  <si>
    <t>New themostat</t>
  </si>
  <si>
    <t>Draw 5 for work done until 12/15- to 12/19/25 - 18 hours over paid by 125</t>
  </si>
  <si>
    <t>Draw 6 for work done 1/5-1/9 - 11.5  hours. Under paid by $125</t>
  </si>
  <si>
    <t>Ben Wegas</t>
  </si>
  <si>
    <t>Account Manager</t>
  </si>
  <si>
    <t>P: 216-206-8945</t>
  </si>
  <si>
    <t>ben.wegas@casalending.com</t>
  </si>
  <si>
    <t>Dispoal C&amp;D</t>
  </si>
  <si>
    <t>LATE FEE</t>
  </si>
  <si>
    <t>Draw 7 for work done 1/19-1/30, 18 hours</t>
  </si>
  <si>
    <t>2*10*20'</t>
  </si>
  <si>
    <t>2*10*10'</t>
  </si>
  <si>
    <t>2*10*12'</t>
  </si>
  <si>
    <t>LUS 2-in x 10-in Double 18 -Gauge ZMAX Face mount joist hanger</t>
  </si>
  <si>
    <t>LUS 2-in x 8-in Triple 18 -Gauge ZMAX Face mount joist hange</t>
  </si>
  <si>
    <t>Install spiral stairs provided by homewoner. ( 2nd Time)</t>
  </si>
  <si>
    <t xml:space="preserve">take down spiral stairs provided by homewoner. </t>
  </si>
  <si>
    <t>Order Staircase - 2nd one</t>
  </si>
  <si>
    <t xml:space="preserve">Install gas, direct vent water heater - owner will provide </t>
  </si>
  <si>
    <t>Install electric water heater and laundry sink. Sink and faucet provided by homowner (see change order 209)</t>
  </si>
  <si>
    <t>buy natural gas, direct vent water hearter</t>
  </si>
  <si>
    <t>Green Step Flooring</t>
  </si>
  <si>
    <t xml:space="preserve">referred by Ashley </t>
  </si>
  <si>
    <t>True Service</t>
  </si>
  <si>
    <t>Draw 8 work done from 2/2-2/20</t>
  </si>
  <si>
    <t>Daily fee</t>
  </si>
  <si>
    <t>Duke Electric</t>
  </si>
  <si>
    <t>Lawn</t>
  </si>
  <si>
    <t>Natural Gas</t>
  </si>
  <si>
    <t>Amount</t>
  </si>
  <si>
    <t>Water</t>
  </si>
  <si>
    <t>Include</t>
  </si>
  <si>
    <t>Category</t>
  </si>
  <si>
    <t>Source</t>
  </si>
  <si>
    <t>Invoice #</t>
  </si>
  <si>
    <t>Source File</t>
  </si>
  <si>
    <t>Status</t>
  </si>
  <si>
    <t>Migrated from original Carrying grid</t>
  </si>
  <si>
    <t>Existing Workbook</t>
  </si>
  <si>
    <t>C:\Codex\Wiki Files\Project Rooms\Project Management Spreadsheet Rewrite\sources\26_Project Management - 908 Pond St 3- Test before fresh copy 20260528_094224.xlsm</t>
  </si>
  <si>
    <t>Migrated</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</si>
  <si>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</si>
  <si>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</si>
  <si>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</si>
  <si>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</si>
  <si>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</si>
  <si>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</si>
  <si>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</si>
  <si>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</si>
  <si>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</si>
  <si>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</si>
  <si>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</si>
  <si>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</si>
  <si>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</si>
  <si>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</si>
  <si>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</si>
  <si>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</si>
  <si>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</si>
  <si>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</si>
  <si>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</si>
  <si>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Mortgage Payment</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</si>
  <si>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</si>
  <si>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</si>
  <si>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</si>
  <si>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</si>
  <si>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</si>
  <si>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</si>
  <si>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</si>
  <si>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</si>
  <si>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</si>
  <si>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</si>
  <si>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</si>
  <si>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</si>
  <si>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</si>
  <si>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</si>
  <si>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</si>
  <si>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</si>
  <si>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</si>
  <si>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</si>
  <si>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</si>
  <si>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</si>
  <si>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</si>
  <si>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</si>
  <si>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</si>
  <si>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</si>
  <si>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</si>
  <si>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</si>
  <si>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</si>
  <si>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</si>
  <si>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</si>
  <si>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</si>
  <si>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</si>
  <si>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</si>
  <si>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</si>
  <si>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</si>
  <si>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</si>
  <si>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</si>
  <si>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</si>
  <si>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</si>
  <si>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Casa Lending</t>
  </si>
  <si>
    <t>Original Carrying row 6; source label Casa Lending</t>
  </si>
  <si>
    <t>Original Carrying row 7; source label Casa Lending</t>
  </si>
  <si>
    <t>Original Carrying row 8; source label Casa Lending</t>
  </si>
  <si>
    <t>Original Carrying row 9; source label Casa Lending</t>
  </si>
  <si>
    <t>Original Carrying row 10; source label Casa Lending</t>
  </si>
  <si>
    <t>Original Carrying row 11; source label Casa Lending</t>
  </si>
  <si>
    <t>Original Carrying row 12; source label Casa Lending</t>
  </si>
  <si>
    <t>Original Carrying row 13; source label Casa Lending</t>
  </si>
  <si>
    <t>Original Carrying row 14; source label Casa Lending</t>
  </si>
  <si>
    <t>Original Carrying row 15; source label Casa Lending</t>
  </si>
  <si>
    <t>Original Carrying row 16; source label Casa Lending</t>
  </si>
  <si>
    <t>Original Carrying row 17; source label Casa Lending</t>
  </si>
  <si>
    <t>Original Carrying row 18; source label Casa Lending</t>
  </si>
  <si>
    <t>Original Carrying row 19; source label Casa Lending</t>
  </si>
  <si>
    <t>Original Carrying row 20; source label Casa Lending</t>
  </si>
  <si>
    <t>Original Carrying row 21; source label Casa Lending</t>
  </si>
  <si>
    <t>Original Carrying row 22; source label Casa Lending</t>
  </si>
  <si>
    <t>Original Carrying row 23; source label Casa Lending</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</si>
  <si>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</si>
  <si>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</si>
  <si>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</si>
  <si>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</si>
  <si>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</si>
  <si>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</si>
  <si>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</si>
  <si>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</si>
  <si>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</si>
  <si>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</si>
  <si>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</si>
  <si>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</si>
  <si>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</si>
  <si>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</si>
  <si>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</si>
  <si>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</si>
  <si>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</si>
  <si>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</si>
  <si>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</si>
  <si>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5; source label Water Utility</t>
  </si>
  <si>
    <t>Original Carrying row 6; source label Water Utility</t>
  </si>
  <si>
    <t>Original Carrying row 7; source label Water Utility</t>
  </si>
  <si>
    <t>Original Carrying row 8; source label Water Utility</t>
  </si>
  <si>
    <t>Original Carrying row 9; source label Water Utility</t>
  </si>
  <si>
    <t>Original Carrying row 10; source label Water Utility</t>
  </si>
  <si>
    <t>Original Carrying row 11; source label Water Utility</t>
  </si>
  <si>
    <t>Original Carrying row 12; source label Water Utility</t>
  </si>
  <si>
    <t>Original Carrying row 13; source label Water Utility</t>
  </si>
  <si>
    <t>Original Carrying row 14; source label Water Utility</t>
  </si>
  <si>
    <t>Original Carrying row 15; source label Water Utility</t>
  </si>
  <si>
    <t>Original Carrying row 16; source label Water Utility</t>
  </si>
  <si>
    <t>Original Carrying row 17; source label Water Utility</t>
  </si>
  <si>
    <t>Original Carrying row 18; source label Water Utility</t>
  </si>
  <si>
    <t>Original Carrying row 19; source label Water Utility</t>
  </si>
  <si>
    <t>Original Carrying row 20; source label Water Utility</t>
  </si>
  <si>
    <t>Original Carrying row 21; source label Water Utility</t>
  </si>
  <si>
    <t>Original Carrying row 22; source label Water Utility</t>
  </si>
  <si>
    <t>Original Carrying row 23; source label Water Utility</t>
  </si>
  <si>
    <t>Original Carrying row 5; source label Enbridge</t>
  </si>
  <si>
    <t>Original Carrying row 6; source label Enbridge</t>
  </si>
  <si>
    <t>Original Carrying row 7; source label Enbridge</t>
  </si>
  <si>
    <t>Original Carrying row 8; source label Enbridge</t>
  </si>
  <si>
    <t>Original Carrying row 9; source label Enbridge</t>
  </si>
  <si>
    <t>Original Carrying row 10; source label Enbridge</t>
  </si>
  <si>
    <t>Original Carrying row 11; source label Enbridge</t>
  </si>
  <si>
    <t>Original Carrying row 12; source label Enbridge</t>
  </si>
  <si>
    <t>Original Carrying row 13; source label Enbridge</t>
  </si>
  <si>
    <t>Original Carrying row 14; source label Enbridge</t>
  </si>
  <si>
    <t>Original Carrying row 15; source label Enbridge</t>
  </si>
  <si>
    <t>Original Carrying row 16; source label Enbridge</t>
  </si>
  <si>
    <t>Original Carrying row 17; source label Enbridge</t>
  </si>
  <si>
    <t>Original Carrying row 18; source label Enbridge</t>
  </si>
  <si>
    <t>Original Carrying row 19; source label Enbridge</t>
  </si>
  <si>
    <t>Original Carrying row 20; source label Enbridge</t>
  </si>
  <si>
    <t>Original Carrying row 21; source label Enbridge</t>
  </si>
  <si>
    <t>Original Carrying row 22; source label Enbridge</t>
  </si>
  <si>
    <t>Original Carrying row 23; source label Enbridge</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</si>
  <si>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</si>
  <si>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</si>
  <si>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</si>
  <si>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</si>
  <si>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</si>
  <si>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</si>
  <si>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</si>
  <si>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</si>
  <si>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</si>
  <si>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</si>
  <si>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</si>
  <si>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</si>
  <si>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</si>
  <si>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</si>
  <si>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</si>
  <si>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</si>
  <si>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</si>
  <si>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</si>
  <si>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</si>
  <si>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</si>
  <si>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</si>
  <si>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</si>
  <si>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</si>
  <si>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</si>
  <si>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</si>
  <si>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</si>
  <si>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</si>
  <si>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</si>
  <si>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</si>
  <si>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</si>
  <si>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</si>
  <si>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</si>
  <si>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</si>
  <si>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</si>
  <si>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</si>
  <si>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</si>
  <si>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</si>
  <si>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</si>
  <si>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Original Carrying row 5; source label Excavator Rental</t>
  </si>
  <si>
    <t>Original Carrying row 6; source label Excavator Rental</t>
  </si>
  <si>
    <t>Original Carrying row 7; source label Excavator Rental</t>
  </si>
  <si>
    <t>Original Carrying row 8; source label Excavator Rental</t>
  </si>
  <si>
    <t>Original Carrying row 9; source label Excavator Rental</t>
  </si>
  <si>
    <t>Original Carrying row 10; source label Excavator Rental</t>
  </si>
  <si>
    <t>Original Carrying row 11; source label Excavator Rental</t>
  </si>
  <si>
    <t>Original Carrying row 12; source label Excavator Rental</t>
  </si>
  <si>
    <t>Original Carrying row 13; source label Excavator Rental</t>
  </si>
  <si>
    <t>Original Carrying row 14; source label Excavator Rental</t>
  </si>
  <si>
    <t>Original Carrying row 15; source label Excavator Rental</t>
  </si>
  <si>
    <t>Original Carrying row 16; source label Excavator Rental</t>
  </si>
  <si>
    <t>Original Carrying row 17; source label Excavator Rental</t>
  </si>
  <si>
    <t>Original Carrying row 18; source label Excavator Rental</t>
  </si>
  <si>
    <t>Original Carrying row 19; source label Excavator Rental</t>
  </si>
  <si>
    <t>Original Carrying row 20; source label Excavator Rental</t>
  </si>
  <si>
    <t>Original Carrying row 21; source label Excavator Rental</t>
  </si>
  <si>
    <t>Original Carrying row 22; source label Excavator Rental</t>
  </si>
  <si>
    <t>Original Carrying row 23; source label Excavator Rental</t>
  </si>
  <si>
    <t>Total Debt:</t>
  </si>
  <si>
    <t>Private Lender  Rate:</t>
  </si>
  <si>
    <t>75%ARV-Debt:</t>
  </si>
  <si>
    <t>Ernest Money, Reduces  Down Payment:</t>
  </si>
  <si>
    <t>above  ARV:</t>
  </si>
  <si>
    <t>Down Payment: %</t>
  </si>
  <si>
    <t>Sales Price:</t>
  </si>
  <si>
    <t>profit</t>
  </si>
  <si>
    <t>Total Deposit:</t>
  </si>
  <si>
    <t>Financed</t>
  </si>
  <si>
    <t>Make up for reduced int% Extra Sales Amount</t>
  </si>
  <si>
    <t>Points added to Interest Rate:</t>
  </si>
  <si>
    <t>Mortgage Start Date:</t>
  </si>
  <si>
    <t>Buyer's Rate:</t>
  </si>
  <si>
    <t>Mortgage End Date:</t>
  </si>
  <si>
    <t>Monthly Finance Payment:</t>
  </si>
  <si>
    <t>Term(years):</t>
  </si>
  <si>
    <t>Months/Years:</t>
  </si>
  <si>
    <t>1st Year Insurance:</t>
  </si>
  <si>
    <t>1st Year Property Tax:</t>
  </si>
  <si>
    <t>Contract Date:</t>
  </si>
  <si>
    <t>End Date:</t>
  </si>
  <si>
    <t>Monthly Payment:</t>
  </si>
  <si>
    <t>Arborex Treee Services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</si>
</sst>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7">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0.000%"/>
    <numFmt numFmtId="171" formatCode="yyyy\-mm\-dd;@"/>
    <numFmt numFmtId="172" formatCode="[$-409]mmm\-yy;@"/>
    <numFmt numFmtId="173" formatCode="0.000"/>
    <numFmt numFmtId="174" formatCode="[$-409]mmmm\ d\,\ yyyy;@"/>
    <numFmt numFmtId="175" formatCode="#,##0.0000"/>
    <numFmt numFmtId="176" formatCode="0.0000000"/>
    <numFmt numFmtId="177" formatCode="0.0000"/>
  </numFmts>
  <fonts count="56">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sz val="10"/>
      <color theme="1"/>
      <name val="Arial"/>
      <family val="2"/>
    </font>
    <font>
      <sz val="11"/>
      <color theme="1"/>
      <name val="Times New Roman"/>
      <family val="1"/>
    </font>
    <font>
      <b/>
      <sz val="11"/>
      <color theme="1"/>
      <name val="Times New Roman"/>
      <family val="1"/>
    </font>
    <font>
      <b/>
      <sz val="10"/>
      <color theme="3"/>
      <name val="Calibri"/>
      <family val="2"/>
      <scheme val="minor"/>
    </font>
    <font>
      <sz val="8"/>
      <name val="Calibri"/>
      <family val="2"/>
      <scheme val="minor"/>
    </font>
    <font>
      <sz val="16"/>
      <color theme="0"/>
      <name val="Calibri"/>
      <family val="2"/>
      <scheme val="minor"/>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b/>
      <sz val="9"/>
      <color rgb="FF333333"/>
      <name val="Segoe UI"/>
      <family val="2"/>
    </font>
    <font>
      <sz val="12"/>
      <color theme="1"/>
      <name val="Times New Roman"/>
      <family val="1"/>
    </font>
    <font>
      <sz val="9"/>
      <color theme="1"/>
      <name val="Times New Roman"/>
      <family val="1"/>
    </font>
    <font>
      <b/>
      <sz val="12"/>
      <color theme="1"/>
      <name val="Calibri"/>
      <family val="2"/>
      <scheme val="minor"/>
    </font>
    <font>
      <sz val="12"/>
      <color theme="1"/>
      <name val="Calibri"/>
      <family val="2"/>
      <scheme val="minor"/>
    </font>
    <font>
      <b/>
      <sz val="10"/>
      <color theme="1"/>
      <name val="Arial"/>
      <family val="2"/>
    </font>
    <font>
      <sz val="10"/>
      <color rgb="FF373A3C"/>
      <name val="Open Sans"/>
      <family val="2"/>
    </font>
    <font>
      <sz val="7"/>
      <color rgb="FF2E1A47"/>
      <name val="Arial"/>
      <family val="2"/>
    </font>
    <font>
      <b/>
      <sz val="10"/>
      <color rgb="FF373A3C"/>
      <name val="Open Sans"/>
      <family val="2"/>
    </font>
    <font>
      <b/>
      <sz val="18"/>
      <color theme="1"/>
      <name val="Calibri"/>
      <family val="2"/>
      <scheme val="minor"/>
    </font>
    <font>
      <sz val="10"/>
      <color theme="1"/>
      <name val="Arial Unicode MS"/>
    </font>
    <font>
      <i/>
      <sz val="11"/>
      <color theme="1"/>
      <name val="Calibri"/>
      <family val="2"/>
      <scheme val="minor"/>
    </font>
    <font>
      <sz val="8"/>
      <color rgb="FF000000"/>
      <name val="Segoe UI"/>
      <family val="2"/>
    </font>
    <font>
      <sz val="11"/>
      <color rgb="FF000000"/>
      <name val="Calibri"/>
      <family val="2"/>
    </font>
    <font>
      <b/>
      <sz val="14"/>
      <color theme="1"/>
      <name val="Arial"/>
      <family val="2"/>
    </font>
    <font>
      <b/>
      <sz val="11"/>
      <color theme="1"/>
      <name val="Arial"/>
      <family val="2"/>
    </font>
    <font>
      <sz val="9"/>
      <color rgb="FF666666"/>
      <name val="Arial"/>
      <family val="2"/>
    </font>
    <font>
      <b/>
      <sz val="10"/>
      <name val="Calibri"/>
      <family val="2"/>
      <scheme val="minor"/>
    </font>
  </fonts>
  <fills count="31">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79998168889431442"/>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7" tint="-0.249977111117893"/>
        <bgColor indexed="64"/>
      </patternFill>
    </fill>
    <fill>
      <patternFill patternType="solid">
        <fgColor rgb="FFFF0000"/>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theme="5" tint="0.59999389629810485"/>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FFFF00"/>
        <bgColor theme="7" tint="0.79998168889431442"/>
      </patternFill>
    </fill>
    <fill>
      <patternFill patternType="solid">
        <fgColor rgb="FF8EA9DB"/>
        <bgColor indexed="64"/>
      </patternFill>
    </fill>
  </fills>
  <borders count="65">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style="hair">
        <color auto="1"/>
      </left>
      <right/>
      <top/>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top style="thin">
        <color auto="1"/>
      </top>
      <bottom style="medium">
        <color auto="1"/>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dashed">
        <color auto="1"/>
      </left>
      <right/>
      <top/>
      <bottom/>
      <diagonal/>
    </border>
    <border>
      <left/>
      <right/>
      <top style="thin">
        <color theme="9" tint="0.39997558519241921"/>
      </top>
      <bottom/>
      <diagonal/>
    </border>
    <border>
      <left style="thin">
        <color theme="7"/>
      </left>
      <right/>
      <top style="thin">
        <color theme="9" tint="0.39997558519241921"/>
      </top>
      <bottom/>
      <diagonal/>
    </border>
    <border>
      <left style="thin">
        <color theme="7"/>
      </left>
      <right/>
      <top/>
      <bottom/>
      <diagonal/>
    </border>
    <border>
      <left/>
      <right/>
      <top style="thin">
        <color theme="9" tint="0.39997558519241921"/>
      </top>
      <bottom style="thin">
        <color theme="9" tint="0.39997558519241921"/>
      </bottom>
      <diagonal/>
    </border>
    <border>
      <left/>
      <right/>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thin">
        <color theme="7"/>
      </left>
      <right style="thin">
        <color theme="7"/>
      </right>
      <top/>
      <bottom/>
      <diagonal/>
    </border>
    <border>
      <left style="thin">
        <color theme="7" tint="0.39997558519241921"/>
      </left>
      <right/>
      <top style="double">
        <color theme="7"/>
      </top>
      <bottom style="thin">
        <color theme="7" tint="0.39997558519241921"/>
      </bottom>
      <diagonal/>
    </border>
    <border>
      <left style="thin">
        <color theme="7" tint="0.39997558519241921"/>
      </left>
      <right/>
      <top style="double">
        <color theme="7"/>
      </top>
      <bottom/>
      <diagonal/>
    </border>
    <border>
      <left/>
      <right style="thin">
        <color theme="9" tint="0.39997558519241921"/>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medium">
        <color auto="1"/>
      </left>
      <right style="thin">
        <color auto="1"/>
      </right>
      <top style="medium">
        <color auto="1"/>
      </top>
      <bottom style="thin">
        <color auto="1"/>
      </bottom>
      <diagonal/>
    </border>
  </borders>
  <cellStyleXfs count="15">
    <xf numFmtId="0" fontId="0" fillId="0" borderId="0"/>
    <xf numFmtId="0" fontId="2" fillId="0" borderId="0" applyNumberFormat="0" applyFill="0" applyBorder="0" applyAlignment="0" applyProtection="0"/>
    <xf numFmtId="0" fontId="5" fillId="0" borderId="16" applyNumberFormat="0" applyFill="0" applyAlignment="0" applyProtection="0"/>
    <xf numFmtId="0" fontId="6" fillId="0" borderId="17" applyNumberFormat="0" applyFill="0" applyAlignment="0" applyProtection="0"/>
    <xf numFmtId="0" fontId="6" fillId="0" borderId="0" applyNumberFormat="0" applyFill="0" applyBorder="0" applyAlignment="0" applyProtection="0"/>
    <xf numFmtId="0" fontId="7" fillId="0" borderId="0"/>
    <xf numFmtId="14" fontId="8" fillId="0" borderId="0" applyFill="0" applyBorder="0">
      <alignment horizontal="center" vertical="center"/>
    </xf>
    <xf numFmtId="0" fontId="9" fillId="6" borderId="0" applyNumberFormat="0" applyBorder="0" applyAlignment="0" applyProtection="0"/>
    <xf numFmtId="0" fontId="10" fillId="7" borderId="0" applyNumberFormat="0" applyBorder="0" applyAlignment="0" applyProtection="0"/>
    <xf numFmtId="14" fontId="9" fillId="6" borderId="0" applyBorder="0" applyAlignment="0" applyProtection="0"/>
    <xf numFmtId="0" fontId="10" fillId="7" borderId="0" applyBorder="0" applyAlignment="0" applyProtection="0"/>
    <xf numFmtId="0" fontId="7" fillId="8" borderId="0" applyBorder="0" applyAlignment="0" applyProtection="0"/>
    <xf numFmtId="0" fontId="15" fillId="10" borderId="0" applyNumberFormat="0" applyBorder="0" applyAlignment="0" applyProtection="0"/>
    <xf numFmtId="43" fontId="3" fillId="0" borderId="0" applyFont="0" applyFill="0" applyBorder="0" applyAlignment="0" applyProtection="0"/>
    <xf numFmtId="0" fontId="35" fillId="0" borderId="0"/>
  </cellStyleXfs>
  <cellXfs count="852">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9" xfId="0" applyBorder="1" applyAlignment="1">
      <alignment horizontal="center" vertical="center"/>
    </xf>
    <xf numFmtId="10" fontId="1" fillId="0" borderId="0" xfId="0" applyNumberFormat="1" applyFont="1"/>
    <xf numFmtId="0" fontId="13" fillId="0" borderId="0" xfId="0" applyFont="1"/>
    <xf numFmtId="0" fontId="13" fillId="0" borderId="0" xfId="0" applyFont="1" applyAlignment="1">
      <alignment horizontal="right"/>
    </xf>
    <xf numFmtId="0" fontId="14" fillId="0" borderId="0" xfId="0" applyFont="1" applyAlignment="1">
      <alignment horizontal="right"/>
    </xf>
    <xf numFmtId="0" fontId="0" fillId="0" borderId="0" xfId="0" applyAlignment="1">
      <alignment vertical="center"/>
    </xf>
    <xf numFmtId="2" fontId="17" fillId="0" borderId="0" xfId="12" applyNumberFormat="1" applyFont="1" applyFill="1" applyAlignment="1">
      <alignment horizontal="center" vertical="center"/>
    </xf>
    <xf numFmtId="43" fontId="7" fillId="11" borderId="0" xfId="13" applyFont="1" applyFill="1" applyAlignment="1">
      <alignment horizontal="right" vertical="center"/>
    </xf>
    <xf numFmtId="0" fontId="18" fillId="0" borderId="0" xfId="0" applyFont="1" applyAlignment="1">
      <alignment horizontal="right"/>
    </xf>
    <xf numFmtId="0" fontId="19" fillId="0" borderId="0" xfId="0" applyFont="1" applyAlignment="1">
      <alignment horizontal="right"/>
    </xf>
    <xf numFmtId="49" fontId="20" fillId="0" borderId="0" xfId="0" applyNumberFormat="1" applyFont="1" applyAlignment="1">
      <alignment horizontal="right"/>
    </xf>
    <xf numFmtId="0" fontId="21" fillId="0" borderId="16" xfId="2" applyFont="1"/>
    <xf numFmtId="0" fontId="1" fillId="0" borderId="0" xfId="0" applyFont="1" applyAlignment="1">
      <alignment horizontal="right" vertical="center" wrapText="1"/>
    </xf>
    <xf numFmtId="0" fontId="1" fillId="0" borderId="0" xfId="0" applyFont="1" applyAlignment="1">
      <alignment horizontal="right" wrapText="1"/>
    </xf>
    <xf numFmtId="168" fontId="6" fillId="0" borderId="18" xfId="4" applyNumberFormat="1" applyBorder="1" applyAlignment="1">
      <alignment horizontal="center" vertical="top"/>
    </xf>
    <xf numFmtId="0" fontId="1" fillId="0" borderId="0" xfId="0" applyFont="1" applyAlignment="1">
      <alignment horizontal="center" wrapText="1"/>
    </xf>
    <xf numFmtId="0" fontId="27" fillId="0" borderId="0" xfId="3" applyFont="1" applyBorder="1" applyAlignment="1">
      <alignment horizontal="right" vertical="center" indent="1"/>
    </xf>
    <xf numFmtId="0" fontId="7" fillId="0" borderId="0" xfId="5"/>
    <xf numFmtId="1" fontId="7" fillId="0" borderId="0" xfId="5" applyNumberFormat="1"/>
    <xf numFmtId="0" fontId="16" fillId="0" borderId="0" xfId="5" applyFont="1" applyAlignment="1">
      <alignment horizontal="center"/>
    </xf>
    <xf numFmtId="0" fontId="7" fillId="5" borderId="0" xfId="0" applyFont="1" applyFill="1" applyAlignment="1">
      <alignment horizontal="center" wrapText="1"/>
    </xf>
    <xf numFmtId="1" fontId="7" fillId="5" borderId="0" xfId="0" applyNumberFormat="1" applyFont="1" applyFill="1" applyAlignment="1">
      <alignment horizontal="center" wrapText="1"/>
    </xf>
    <xf numFmtId="0" fontId="16" fillId="5" borderId="0" xfId="0" applyFont="1" applyFill="1" applyAlignment="1">
      <alignment horizontal="center" wrapText="1"/>
    </xf>
    <xf numFmtId="169" fontId="7" fillId="5" borderId="0" xfId="0" applyNumberFormat="1" applyFont="1" applyFill="1" applyAlignment="1">
      <alignment horizontal="center" wrapText="1"/>
    </xf>
    <xf numFmtId="2" fontId="11" fillId="0" borderId="0" xfId="0" applyNumberFormat="1" applyFont="1" applyAlignment="1">
      <alignment horizontal="center" vertical="center"/>
    </xf>
    <xf numFmtId="164" fontId="13" fillId="0" borderId="0" xfId="0" applyNumberFormat="1" applyFont="1"/>
    <xf numFmtId="164" fontId="14" fillId="0" borderId="2" xfId="0" applyNumberFormat="1" applyFont="1" applyBorder="1" applyAlignment="1">
      <alignment horizontal="left"/>
    </xf>
    <xf numFmtId="0" fontId="13" fillId="0" borderId="9" xfId="0" applyFont="1" applyBorder="1"/>
    <xf numFmtId="0" fontId="14" fillId="0" borderId="6" xfId="0" applyFont="1" applyBorder="1" applyAlignment="1">
      <alignment horizontal="center"/>
    </xf>
    <xf numFmtId="0" fontId="14" fillId="0" borderId="0" xfId="0" applyFont="1" applyAlignment="1">
      <alignment horizontal="center"/>
    </xf>
    <xf numFmtId="164" fontId="13" fillId="0" borderId="8" xfId="0" applyNumberFormat="1" applyFont="1" applyBorder="1"/>
    <xf numFmtId="164" fontId="14" fillId="0" borderId="0" xfId="0" applyNumberFormat="1" applyFont="1" applyAlignment="1">
      <alignment horizontal="right"/>
    </xf>
    <xf numFmtId="0" fontId="14" fillId="0" borderId="15" xfId="0" applyFont="1" applyBorder="1" applyAlignment="1">
      <alignment horizontal="right"/>
    </xf>
    <xf numFmtId="0" fontId="14" fillId="0" borderId="13" xfId="0" applyFont="1" applyBorder="1" applyAlignment="1">
      <alignment horizontal="center"/>
    </xf>
    <xf numFmtId="164" fontId="13" fillId="0" borderId="13" xfId="0" applyNumberFormat="1" applyFont="1" applyBorder="1"/>
    <xf numFmtId="0" fontId="13" fillId="0" borderId="2" xfId="0" applyFont="1" applyBorder="1"/>
    <xf numFmtId="0" fontId="13" fillId="0" borderId="2" xfId="0" applyFont="1" applyBorder="1" applyAlignment="1">
      <alignment horizontal="right"/>
    </xf>
    <xf numFmtId="164" fontId="13" fillId="0" borderId="3" xfId="0" applyNumberFormat="1" applyFont="1" applyBorder="1"/>
    <xf numFmtId="0" fontId="13" fillId="0" borderId="5" xfId="0" applyFont="1" applyBorder="1"/>
    <xf numFmtId="0" fontId="13" fillId="0" borderId="4" xfId="0" applyFont="1" applyBorder="1" applyAlignment="1">
      <alignment horizontal="right"/>
    </xf>
    <xf numFmtId="164" fontId="13" fillId="0" borderId="5" xfId="0" applyNumberFormat="1" applyFont="1" applyBorder="1"/>
    <xf numFmtId="6" fontId="29" fillId="4" borderId="9" xfId="0" applyNumberFormat="1" applyFont="1" applyFill="1" applyBorder="1"/>
    <xf numFmtId="164" fontId="13" fillId="0" borderId="7" xfId="0" applyNumberFormat="1" applyFont="1" applyBorder="1"/>
    <xf numFmtId="3" fontId="14" fillId="3" borderId="0" xfId="0" applyNumberFormat="1" applyFont="1" applyFill="1"/>
    <xf numFmtId="164" fontId="14" fillId="3" borderId="21" xfId="0" applyNumberFormat="1" applyFont="1" applyFill="1" applyBorder="1"/>
    <xf numFmtId="164" fontId="14" fillId="3" borderId="22" xfId="0" applyNumberFormat="1" applyFont="1" applyFill="1" applyBorder="1"/>
    <xf numFmtId="0" fontId="13" fillId="0" borderId="13" xfId="0" applyFont="1" applyBorder="1" applyAlignment="1">
      <alignment horizontal="right"/>
    </xf>
    <xf numFmtId="9" fontId="13" fillId="2" borderId="20" xfId="0" applyNumberFormat="1" applyFont="1" applyFill="1" applyBorder="1" applyAlignment="1">
      <alignment horizontal="left"/>
    </xf>
    <xf numFmtId="0" fontId="14" fillId="0" borderId="13" xfId="0" applyFont="1" applyBorder="1" applyAlignment="1">
      <alignment horizontal="center" vertical="center"/>
    </xf>
    <xf numFmtId="164" fontId="14" fillId="3" borderId="14" xfId="0" applyNumberFormat="1" applyFont="1" applyFill="1" applyBorder="1"/>
    <xf numFmtId="49" fontId="0" fillId="0" borderId="0" xfId="0" applyNumberFormat="1"/>
    <xf numFmtId="0" fontId="13" fillId="9" borderId="0" xfId="0" applyFont="1" applyFill="1" applyAlignment="1">
      <alignment horizontal="right"/>
    </xf>
    <xf numFmtId="0" fontId="29" fillId="0" borderId="0" xfId="0" applyFont="1" applyAlignment="1">
      <alignment horizontal="right"/>
    </xf>
    <xf numFmtId="165" fontId="29" fillId="4" borderId="0" xfId="0" applyNumberFormat="1" applyFont="1" applyFill="1" applyAlignment="1">
      <alignment horizontal="right"/>
    </xf>
    <xf numFmtId="3" fontId="13" fillId="0" borderId="0" xfId="0" applyNumberFormat="1" applyFont="1"/>
    <xf numFmtId="164" fontId="14" fillId="3" borderId="0" xfId="0" applyNumberFormat="1" applyFont="1" applyFill="1"/>
    <xf numFmtId="0" fontId="13" fillId="3" borderId="0" xfId="0" applyFont="1" applyFill="1" applyAlignment="1">
      <alignment horizontal="right"/>
    </xf>
    <xf numFmtId="164" fontId="13" fillId="3" borderId="0" xfId="0" applyNumberFormat="1" applyFont="1" applyFill="1"/>
    <xf numFmtId="164" fontId="14" fillId="3" borderId="4" xfId="0" applyNumberFormat="1" applyFont="1" applyFill="1" applyBorder="1"/>
    <xf numFmtId="0" fontId="13" fillId="0" borderId="33" xfId="0" applyFont="1" applyBorder="1"/>
    <xf numFmtId="164" fontId="13" fillId="3" borderId="5" xfId="0" applyNumberFormat="1" applyFont="1" applyFill="1" applyBorder="1"/>
    <xf numFmtId="3" fontId="13" fillId="15" borderId="20" xfId="0" applyNumberFormat="1" applyFont="1" applyFill="1" applyBorder="1"/>
    <xf numFmtId="0" fontId="0" fillId="2" borderId="0" xfId="0" applyFill="1" applyAlignment="1">
      <alignment horizontal="right"/>
    </xf>
    <xf numFmtId="0" fontId="1" fillId="2" borderId="37" xfId="0" applyFont="1" applyFill="1" applyBorder="1" applyAlignment="1">
      <alignment horizontal="right"/>
    </xf>
    <xf numFmtId="164" fontId="1" fillId="15" borderId="1" xfId="0" applyNumberFormat="1" applyFont="1" applyFill="1" applyBorder="1"/>
    <xf numFmtId="0" fontId="13" fillId="2" borderId="29" xfId="0" applyFont="1" applyFill="1" applyBorder="1" applyAlignment="1">
      <alignment horizontal="center" vertical="center"/>
    </xf>
    <xf numFmtId="0" fontId="1" fillId="0" borderId="0" xfId="0" quotePrefix="1" applyFont="1" applyAlignment="1">
      <alignment horizontal="center" wrapText="1"/>
    </xf>
    <xf numFmtId="3" fontId="1" fillId="15" borderId="5" xfId="0" applyNumberFormat="1" applyFont="1" applyFill="1" applyBorder="1"/>
    <xf numFmtId="0" fontId="1" fillId="15" borderId="6" xfId="0" applyFont="1" applyFill="1" applyBorder="1" applyAlignment="1">
      <alignment horizontal="right"/>
    </xf>
    <xf numFmtId="49" fontId="1" fillId="15" borderId="27" xfId="0" quotePrefix="1" applyNumberFormat="1" applyFont="1" applyFill="1" applyBorder="1" applyAlignment="1">
      <alignment horizontal="center" wrapText="1"/>
    </xf>
    <xf numFmtId="0" fontId="0" fillId="0" borderId="4" xfId="0" applyBorder="1"/>
    <xf numFmtId="0" fontId="1" fillId="0" borderId="30" xfId="0" applyFont="1" applyBorder="1" applyAlignment="1">
      <alignment horizontal="right" wrapText="1"/>
    </xf>
    <xf numFmtId="0" fontId="0" fillId="0" borderId="29" xfId="0" applyBorder="1"/>
    <xf numFmtId="9" fontId="13" fillId="2" borderId="29" xfId="0" applyNumberFormat="1" applyFont="1" applyFill="1" applyBorder="1"/>
    <xf numFmtId="0" fontId="13" fillId="9" borderId="20" xfId="0" applyFont="1" applyFill="1" applyBorder="1"/>
    <xf numFmtId="16" fontId="0" fillId="0" borderId="0" xfId="0" applyNumberFormat="1"/>
    <xf numFmtId="164" fontId="14" fillId="3" borderId="38" xfId="0" applyNumberFormat="1" applyFont="1" applyFill="1" applyBorder="1"/>
    <xf numFmtId="49" fontId="1" fillId="3" borderId="27" xfId="0" quotePrefix="1" applyNumberFormat="1" applyFont="1" applyFill="1" applyBorder="1" applyAlignment="1">
      <alignment horizontal="center" wrapText="1"/>
    </xf>
    <xf numFmtId="0" fontId="1" fillId="15" borderId="39" xfId="0" applyFont="1" applyFill="1" applyBorder="1" applyAlignment="1">
      <alignment horizontal="right"/>
    </xf>
    <xf numFmtId="164" fontId="1" fillId="15" borderId="21" xfId="0" applyNumberFormat="1" applyFont="1" applyFill="1" applyBorder="1"/>
    <xf numFmtId="0" fontId="1" fillId="15" borderId="40" xfId="0" applyFont="1" applyFill="1" applyBorder="1" applyAlignment="1">
      <alignment horizontal="right"/>
    </xf>
    <xf numFmtId="164" fontId="1" fillId="15" borderId="41" xfId="0" applyNumberFormat="1" applyFont="1" applyFill="1" applyBorder="1"/>
    <xf numFmtId="49" fontId="16" fillId="11" borderId="27" xfId="0" quotePrefix="1" applyNumberFormat="1" applyFont="1" applyFill="1" applyBorder="1" applyAlignment="1">
      <alignment horizontal="center" wrapText="1"/>
    </xf>
    <xf numFmtId="3" fontId="13" fillId="2" borderId="4" xfId="0" applyNumberFormat="1" applyFont="1" applyFill="1" applyBorder="1"/>
    <xf numFmtId="3" fontId="13" fillId="2" borderId="5" xfId="0" applyNumberFormat="1" applyFont="1" applyFill="1" applyBorder="1"/>
    <xf numFmtId="3" fontId="1" fillId="9" borderId="37" xfId="0" applyNumberFormat="1" applyFont="1" applyFill="1" applyBorder="1" applyAlignment="1">
      <alignment horizontal="right"/>
    </xf>
    <xf numFmtId="1" fontId="29" fillId="16" borderId="25" xfId="0" applyNumberFormat="1" applyFont="1" applyFill="1" applyBorder="1" applyAlignment="1">
      <alignment horizontal="right"/>
    </xf>
    <xf numFmtId="165" fontId="29" fillId="4" borderId="7" xfId="0" applyNumberFormat="1" applyFont="1" applyFill="1" applyBorder="1" applyAlignment="1">
      <alignment horizontal="right"/>
    </xf>
    <xf numFmtId="0" fontId="33" fillId="0" borderId="0" xfId="0" applyFont="1" applyAlignment="1">
      <alignment horizontal="right"/>
    </xf>
    <xf numFmtId="9" fontId="1" fillId="2" borderId="45" xfId="0" applyNumberFormat="1" applyFont="1" applyFill="1" applyBorder="1"/>
    <xf numFmtId="1" fontId="1" fillId="2" borderId="45"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4" fillId="3" borderId="2" xfId="0" applyNumberFormat="1" applyFont="1" applyFill="1" applyBorder="1"/>
    <xf numFmtId="3" fontId="13" fillId="3" borderId="1" xfId="0" applyNumberFormat="1" applyFont="1" applyFill="1" applyBorder="1"/>
    <xf numFmtId="166" fontId="1" fillId="2" borderId="45" xfId="0" applyNumberFormat="1" applyFont="1" applyFill="1" applyBorder="1"/>
    <xf numFmtId="3" fontId="1" fillId="2" borderId="37" xfId="0" applyNumberFormat="1" applyFont="1" applyFill="1" applyBorder="1" applyAlignment="1">
      <alignment horizontal="right"/>
    </xf>
    <xf numFmtId="165" fontId="1" fillId="2" borderId="45" xfId="0" applyNumberFormat="1" applyFont="1" applyFill="1" applyBorder="1"/>
    <xf numFmtId="0" fontId="0" fillId="0" borderId="0" xfId="0" applyAlignment="1">
      <alignment horizontal="left" vertical="top"/>
    </xf>
    <xf numFmtId="166" fontId="14" fillId="9" borderId="0" xfId="0" applyNumberFormat="1" applyFont="1" applyFill="1"/>
    <xf numFmtId="9" fontId="28" fillId="2" borderId="4" xfId="0" applyNumberFormat="1" applyFont="1" applyFill="1" applyBorder="1"/>
    <xf numFmtId="164" fontId="28" fillId="2" borderId="5" xfId="0" applyNumberFormat="1" applyFont="1" applyFill="1" applyBorder="1"/>
    <xf numFmtId="18" fontId="0" fillId="0" borderId="0" xfId="0" applyNumberFormat="1"/>
    <xf numFmtId="0" fontId="30" fillId="0" borderId="0" xfId="0" applyFont="1" applyAlignment="1">
      <alignment horizontal="right" vertical="center"/>
    </xf>
    <xf numFmtId="0" fontId="2" fillId="0" borderId="0" xfId="1" applyAlignment="1">
      <alignment horizontal="right"/>
    </xf>
    <xf numFmtId="0" fontId="30" fillId="0" borderId="0" xfId="0" applyFont="1" applyAlignment="1">
      <alignment horizontal="right" vertical="center" wrapText="1"/>
    </xf>
    <xf numFmtId="0" fontId="32" fillId="0" borderId="0" xfId="0" applyFont="1" applyAlignment="1">
      <alignment horizontal="right" vertical="center" wrapText="1"/>
    </xf>
    <xf numFmtId="0" fontId="31" fillId="0" borderId="0" xfId="0" applyFont="1" applyAlignment="1">
      <alignment horizontal="right" vertical="center" wrapText="1"/>
    </xf>
    <xf numFmtId="0" fontId="2" fillId="0" borderId="0" xfId="1" applyAlignment="1">
      <alignment horizontal="right" vertical="center" wrapText="1"/>
    </xf>
    <xf numFmtId="1" fontId="33" fillId="4" borderId="20"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3"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45" xfId="0" applyNumberFormat="1" applyFont="1" applyFill="1" applyBorder="1" applyAlignment="1">
      <alignment horizontal="center"/>
    </xf>
    <xf numFmtId="0" fontId="12"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5" borderId="45" xfId="0" applyNumberFormat="1" applyFont="1" applyFill="1" applyBorder="1"/>
    <xf numFmtId="9" fontId="0" fillId="2" borderId="0" xfId="0" applyNumberFormat="1" applyFill="1"/>
    <xf numFmtId="166" fontId="1" fillId="15" borderId="0" xfId="0" applyNumberFormat="1" applyFont="1" applyFill="1"/>
    <xf numFmtId="164" fontId="1" fillId="15" borderId="45" xfId="0" applyNumberFormat="1" applyFont="1" applyFill="1" applyBorder="1"/>
    <xf numFmtId="0" fontId="34" fillId="2" borderId="4" xfId="0" applyFont="1" applyFill="1" applyBorder="1"/>
    <xf numFmtId="0" fontId="1" fillId="2" borderId="3" xfId="0" applyFont="1" applyFill="1" applyBorder="1" applyAlignment="1">
      <alignment horizontal="left"/>
    </xf>
    <xf numFmtId="0" fontId="1" fillId="2" borderId="5" xfId="0" applyFont="1" applyFill="1" applyBorder="1" applyAlignment="1">
      <alignment horizontal="left"/>
    </xf>
    <xf numFmtId="170" fontId="28" fillId="2" borderId="4" xfId="0" applyNumberFormat="1" applyFont="1" applyFill="1" applyBorder="1"/>
    <xf numFmtId="0" fontId="36" fillId="0" borderId="0" xfId="1" applyFont="1"/>
    <xf numFmtId="166" fontId="0" fillId="2" borderId="0" xfId="0" applyNumberFormat="1" applyFill="1"/>
    <xf numFmtId="49" fontId="1" fillId="15" borderId="5" xfId="0" applyNumberFormat="1" applyFont="1" applyFill="1" applyBorder="1" applyAlignment="1">
      <alignment horizontal="center" vertical="center" wrapText="1"/>
    </xf>
    <xf numFmtId="3" fontId="16" fillId="11" borderId="37" xfId="0" applyNumberFormat="1" applyFont="1" applyFill="1" applyBorder="1"/>
    <xf numFmtId="3" fontId="1" fillId="3" borderId="37" xfId="0" applyNumberFormat="1" applyFont="1" applyFill="1" applyBorder="1"/>
    <xf numFmtId="0" fontId="37" fillId="0" borderId="0" xfId="0" applyFont="1"/>
    <xf numFmtId="0" fontId="0" fillId="0" borderId="0" xfId="0" applyAlignment="1">
      <alignment horizontal="center" wrapText="1"/>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1" fontId="13" fillId="0" borderId="0" xfId="0" applyNumberFormat="1" applyFont="1"/>
    <xf numFmtId="3" fontId="0" fillId="0" borderId="0" xfId="0" applyNumberFormat="1"/>
    <xf numFmtId="0" fontId="38" fillId="2" borderId="0" xfId="0" applyFont="1" applyFill="1"/>
    <xf numFmtId="0" fontId="38" fillId="0" borderId="0" xfId="0" applyFont="1"/>
    <xf numFmtId="166" fontId="0" fillId="9" borderId="0" xfId="0" applyNumberFormat="1" applyFill="1"/>
    <xf numFmtId="0" fontId="0" fillId="9" borderId="0" xfId="0" applyFill="1"/>
    <xf numFmtId="4" fontId="0" fillId="0" borderId="0" xfId="0" applyNumberFormat="1" applyAlignment="1">
      <alignment horizontal="right" vertical="center"/>
    </xf>
    <xf numFmtId="49" fontId="0" fillId="0" borderId="0" xfId="0" quotePrefix="1" applyNumberFormat="1"/>
    <xf numFmtId="49" fontId="1" fillId="15" borderId="26" xfId="0" applyNumberFormat="1" applyFont="1" applyFill="1" applyBorder="1" applyAlignment="1">
      <alignment horizontal="center" wrapText="1"/>
    </xf>
    <xf numFmtId="3" fontId="16" fillId="18" borderId="37" xfId="0" applyNumberFormat="1" applyFont="1" applyFill="1" applyBorder="1"/>
    <xf numFmtId="3" fontId="1" fillId="3" borderId="47" xfId="0" applyNumberFormat="1" applyFont="1" applyFill="1" applyBorder="1"/>
    <xf numFmtId="3" fontId="16" fillId="11" borderId="48" xfId="0" applyNumberFormat="1" applyFont="1" applyFill="1" applyBorder="1"/>
    <xf numFmtId="3" fontId="16" fillId="11" borderId="49" xfId="0" applyNumberFormat="1" applyFont="1" applyFill="1" applyBorder="1"/>
    <xf numFmtId="3" fontId="16" fillId="11" borderId="7" xfId="0" applyNumberFormat="1" applyFont="1" applyFill="1" applyBorder="1"/>
    <xf numFmtId="49" fontId="16" fillId="3" borderId="27" xfId="0" quotePrefix="1" applyNumberFormat="1" applyFont="1" applyFill="1" applyBorder="1" applyAlignment="1">
      <alignment horizontal="center" wrapText="1"/>
    </xf>
    <xf numFmtId="3" fontId="1" fillId="3" borderId="50" xfId="0" applyNumberFormat="1" applyFont="1" applyFill="1" applyBorder="1"/>
    <xf numFmtId="3" fontId="1" fillId="3" borderId="42" xfId="0" applyNumberFormat="1" applyFont="1" applyFill="1" applyBorder="1"/>
    <xf numFmtId="3" fontId="1" fillId="3" borderId="14" xfId="0" applyNumberFormat="1" applyFont="1" applyFill="1" applyBorder="1"/>
    <xf numFmtId="3" fontId="16" fillId="11" borderId="32" xfId="0" applyNumberFormat="1" applyFont="1" applyFill="1" applyBorder="1"/>
    <xf numFmtId="3" fontId="16" fillId="11" borderId="47" xfId="0" applyNumberFormat="1" applyFont="1" applyFill="1" applyBorder="1"/>
    <xf numFmtId="49" fontId="0" fillId="0" borderId="0" xfId="0" applyNumberFormat="1" applyAlignment="1">
      <alignment horizontal="right"/>
    </xf>
    <xf numFmtId="0" fontId="14" fillId="0" borderId="3" xfId="0" applyFont="1" applyBorder="1" applyAlignment="1">
      <alignment horizontal="center"/>
    </xf>
    <xf numFmtId="0" fontId="13" fillId="0" borderId="9" xfId="0" applyFont="1" applyBorder="1" applyAlignment="1">
      <alignment horizontal="right"/>
    </xf>
    <xf numFmtId="164" fontId="13" fillId="0" borderId="9" xfId="0" applyNumberFormat="1" applyFont="1" applyBorder="1"/>
    <xf numFmtId="0" fontId="13" fillId="0" borderId="4" xfId="0" applyFont="1" applyBorder="1"/>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0" fontId="0" fillId="0" borderId="6" xfId="0" applyBorder="1" applyAlignment="1">
      <alignment horizontal="right"/>
    </xf>
    <xf numFmtId="166" fontId="0" fillId="0" borderId="7"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4" fillId="3" borderId="32" xfId="0" applyNumberFormat="1" applyFont="1" applyFill="1" applyBorder="1"/>
    <xf numFmtId="164" fontId="28" fillId="9" borderId="2" xfId="0" applyNumberFormat="1" applyFont="1" applyFill="1" applyBorder="1"/>
    <xf numFmtId="0" fontId="13" fillId="0" borderId="29" xfId="0" applyFont="1" applyBorder="1"/>
    <xf numFmtId="0" fontId="13" fillId="15" borderId="29" xfId="0" applyFont="1" applyFill="1" applyBorder="1"/>
    <xf numFmtId="3" fontId="13" fillId="15" borderId="29" xfId="0" applyNumberFormat="1" applyFont="1" applyFill="1" applyBorder="1"/>
    <xf numFmtId="0" fontId="12" fillId="0" borderId="0" xfId="0" applyFont="1"/>
    <xf numFmtId="9" fontId="13" fillId="2" borderId="26" xfId="0" applyNumberFormat="1" applyFont="1" applyFill="1" applyBorder="1" applyAlignment="1">
      <alignment horizontal="right"/>
    </xf>
    <xf numFmtId="0" fontId="14" fillId="3" borderId="4" xfId="0" applyFont="1" applyFill="1" applyBorder="1" applyAlignment="1">
      <alignment horizontal="right"/>
    </xf>
    <xf numFmtId="0" fontId="14" fillId="3" borderId="0" xfId="0" applyFont="1" applyFill="1" applyAlignment="1">
      <alignment horizontal="right"/>
    </xf>
    <xf numFmtId="164" fontId="13" fillId="2" borderId="4" xfId="0" applyNumberFormat="1" applyFont="1" applyFill="1" applyBorder="1"/>
    <xf numFmtId="8" fontId="0" fillId="0" borderId="0" xfId="0" applyNumberFormat="1"/>
    <xf numFmtId="172" fontId="0" fillId="0" borderId="0" xfId="0" applyNumberFormat="1"/>
    <xf numFmtId="10" fontId="0" fillId="2" borderId="20" xfId="0" applyNumberFormat="1" applyFill="1" applyBorder="1"/>
    <xf numFmtId="0" fontId="1" fillId="0" borderId="20"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0" xfId="0" applyNumberFormat="1" applyFont="1" applyBorder="1" applyAlignment="1">
      <alignment horizontal="center" wrapText="1"/>
    </xf>
    <xf numFmtId="3" fontId="0" fillId="0" borderId="1" xfId="0" applyNumberFormat="1" applyBorder="1"/>
    <xf numFmtId="38" fontId="1" fillId="0" borderId="0" xfId="0" applyNumberFormat="1" applyFont="1"/>
    <xf numFmtId="0" fontId="1" fillId="0" borderId="20" xfId="0" applyFont="1" applyBorder="1" applyAlignment="1">
      <alignment horizontal="center"/>
    </xf>
    <xf numFmtId="9" fontId="28" fillId="15" borderId="20" xfId="0" applyNumberFormat="1" applyFont="1" applyFill="1" applyBorder="1"/>
    <xf numFmtId="164" fontId="28" fillId="15" borderId="20" xfId="0" applyNumberFormat="1" applyFont="1" applyFill="1" applyBorder="1"/>
    <xf numFmtId="164" fontId="13" fillId="17" borderId="4" xfId="0" applyNumberFormat="1" applyFont="1" applyFill="1" applyBorder="1"/>
    <xf numFmtId="3" fontId="13" fillId="17" borderId="35" xfId="0" applyNumberFormat="1" applyFont="1" applyFill="1" applyBorder="1"/>
    <xf numFmtId="164" fontId="13" fillId="20" borderId="4" xfId="0" applyNumberFormat="1" applyFont="1" applyFill="1" applyBorder="1"/>
    <xf numFmtId="3" fontId="13" fillId="20" borderId="35" xfId="0" applyNumberFormat="1" applyFont="1" applyFill="1" applyBorder="1"/>
    <xf numFmtId="9" fontId="28" fillId="2" borderId="20" xfId="0" applyNumberFormat="1" applyFont="1" applyFill="1" applyBorder="1"/>
    <xf numFmtId="3" fontId="13" fillId="20" borderId="4" xfId="0" applyNumberFormat="1" applyFont="1" applyFill="1" applyBorder="1"/>
    <xf numFmtId="0" fontId="13" fillId="20" borderId="35" xfId="0" applyFont="1" applyFill="1" applyBorder="1"/>
    <xf numFmtId="10" fontId="28" fillId="2" borderId="20" xfId="0" applyNumberFormat="1" applyFont="1" applyFill="1" applyBorder="1"/>
    <xf numFmtId="3" fontId="28" fillId="2" borderId="20" xfId="0" applyNumberFormat="1" applyFont="1" applyFill="1" applyBorder="1"/>
    <xf numFmtId="171" fontId="13" fillId="3" borderId="26" xfId="0" applyNumberFormat="1" applyFont="1" applyFill="1" applyBorder="1" applyAlignment="1">
      <alignment horizontal="right"/>
    </xf>
    <xf numFmtId="164" fontId="13" fillId="3" borderId="28" xfId="0" applyNumberFormat="1" applyFont="1" applyFill="1" applyBorder="1"/>
    <xf numFmtId="9" fontId="13" fillId="3" borderId="28" xfId="0" applyNumberFormat="1" applyFont="1" applyFill="1" applyBorder="1"/>
    <xf numFmtId="3" fontId="13" fillId="3" borderId="28" xfId="0" applyNumberFormat="1" applyFont="1" applyFill="1" applyBorder="1"/>
    <xf numFmtId="9" fontId="13" fillId="3" borderId="27" xfId="0" applyNumberFormat="1" applyFont="1" applyFill="1" applyBorder="1"/>
    <xf numFmtId="171" fontId="13" fillId="21" borderId="26" xfId="0" applyNumberFormat="1" applyFont="1" applyFill="1" applyBorder="1" applyAlignment="1">
      <alignment horizontal="right"/>
    </xf>
    <xf numFmtId="164" fontId="13" fillId="21" borderId="28" xfId="0" applyNumberFormat="1" applyFont="1" applyFill="1" applyBorder="1"/>
    <xf numFmtId="9" fontId="13" fillId="21" borderId="28" xfId="0" applyNumberFormat="1" applyFont="1" applyFill="1" applyBorder="1"/>
    <xf numFmtId="9" fontId="13" fillId="21" borderId="27" xfId="0" applyNumberFormat="1" applyFont="1" applyFill="1" applyBorder="1"/>
    <xf numFmtId="0" fontId="13" fillId="15" borderId="6" xfId="0" applyFont="1" applyFill="1" applyBorder="1"/>
    <xf numFmtId="0" fontId="13" fillId="15" borderId="1" xfId="0" applyFont="1" applyFill="1" applyBorder="1" applyAlignment="1">
      <alignment horizontal="right"/>
    </xf>
    <xf numFmtId="0" fontId="0" fillId="15" borderId="1" xfId="0" applyFill="1" applyBorder="1" applyAlignment="1">
      <alignment horizontal="right"/>
    </xf>
    <xf numFmtId="3" fontId="13" fillId="15" borderId="1" xfId="0" applyNumberFormat="1" applyFont="1" applyFill="1" applyBorder="1"/>
    <xf numFmtId="9" fontId="13" fillId="15" borderId="1" xfId="0" applyNumberFormat="1" applyFont="1" applyFill="1" applyBorder="1"/>
    <xf numFmtId="3" fontId="13" fillId="22" borderId="1" xfId="0" applyNumberFormat="1" applyFont="1" applyFill="1" applyBorder="1"/>
    <xf numFmtId="9" fontId="13" fillId="22" borderId="7" xfId="0" applyNumberFormat="1" applyFont="1" applyFill="1" applyBorder="1"/>
    <xf numFmtId="0" fontId="13" fillId="17" borderId="2" xfId="0" applyFont="1" applyFill="1" applyBorder="1"/>
    <xf numFmtId="0" fontId="13" fillId="17" borderId="34" xfId="0" applyFont="1" applyFill="1" applyBorder="1"/>
    <xf numFmtId="3" fontId="13" fillId="17" borderId="4" xfId="0" applyNumberFormat="1" applyFont="1" applyFill="1" applyBorder="1"/>
    <xf numFmtId="3" fontId="13" fillId="17" borderId="0" xfId="0" applyNumberFormat="1" applyFont="1" applyFill="1"/>
    <xf numFmtId="3" fontId="13" fillId="17" borderId="6" xfId="0" applyNumberFormat="1" applyFont="1" applyFill="1" applyBorder="1"/>
    <xf numFmtId="3" fontId="13" fillId="17" borderId="36" xfId="0" applyNumberFormat="1" applyFont="1" applyFill="1" applyBorder="1"/>
    <xf numFmtId="3" fontId="13" fillId="20" borderId="6" xfId="0" applyNumberFormat="1" applyFont="1" applyFill="1" applyBorder="1"/>
    <xf numFmtId="0" fontId="13" fillId="20" borderId="36" xfId="0" applyFont="1" applyFill="1" applyBorder="1"/>
    <xf numFmtId="3" fontId="13" fillId="20" borderId="2" xfId="0" applyNumberFormat="1" applyFont="1" applyFill="1" applyBorder="1"/>
    <xf numFmtId="3" fontId="13" fillId="20" borderId="4" xfId="0" applyNumberFormat="1" applyFont="1" applyFill="1" applyBorder="1" applyAlignment="1">
      <alignment horizontal="center"/>
    </xf>
    <xf numFmtId="0" fontId="13" fillId="23" borderId="2" xfId="0" applyFont="1" applyFill="1" applyBorder="1" applyAlignment="1">
      <alignment horizontal="right"/>
    </xf>
    <xf numFmtId="171" fontId="13" fillId="21" borderId="4" xfId="0" applyNumberFormat="1" applyFont="1" applyFill="1" applyBorder="1" applyAlignment="1">
      <alignment horizontal="right"/>
    </xf>
    <xf numFmtId="164" fontId="13" fillId="21" borderId="0" xfId="0" applyNumberFormat="1" applyFont="1" applyFill="1"/>
    <xf numFmtId="10" fontId="13" fillId="21" borderId="0" xfId="0" applyNumberFormat="1" applyFont="1" applyFill="1"/>
    <xf numFmtId="3" fontId="13" fillId="21" borderId="0" xfId="0" applyNumberFormat="1" applyFont="1" applyFill="1"/>
    <xf numFmtId="4" fontId="13" fillId="21" borderId="0" xfId="0" applyNumberFormat="1" applyFont="1" applyFill="1"/>
    <xf numFmtId="10" fontId="13" fillId="21" borderId="5" xfId="0" applyNumberFormat="1" applyFont="1" applyFill="1" applyBorder="1"/>
    <xf numFmtId="3" fontId="13" fillId="24" borderId="4" xfId="0" applyNumberFormat="1" applyFont="1" applyFill="1" applyBorder="1"/>
    <xf numFmtId="164" fontId="13" fillId="24" borderId="35" xfId="0" applyNumberFormat="1" applyFont="1" applyFill="1" applyBorder="1"/>
    <xf numFmtId="164" fontId="13" fillId="24" borderId="4" xfId="0" applyNumberFormat="1" applyFont="1" applyFill="1" applyBorder="1" applyAlignment="1">
      <alignment horizontal="right"/>
    </xf>
    <xf numFmtId="0" fontId="13" fillId="24" borderId="4" xfId="0" applyFont="1" applyFill="1" applyBorder="1" applyAlignment="1">
      <alignment horizontal="right"/>
    </xf>
    <xf numFmtId="164" fontId="13" fillId="24" borderId="4" xfId="0" applyNumberFormat="1" applyFont="1" applyFill="1" applyBorder="1"/>
    <xf numFmtId="164" fontId="13" fillId="24" borderId="6" xfId="0" applyNumberFormat="1" applyFont="1" applyFill="1" applyBorder="1"/>
    <xf numFmtId="164" fontId="13" fillId="24" borderId="36" xfId="0" applyNumberFormat="1" applyFont="1" applyFill="1" applyBorder="1"/>
    <xf numFmtId="0" fontId="13" fillId="20" borderId="0" xfId="0" applyFont="1" applyFill="1"/>
    <xf numFmtId="164" fontId="13" fillId="20" borderId="0" xfId="0" applyNumberFormat="1" applyFont="1" applyFill="1"/>
    <xf numFmtId="164" fontId="13" fillId="20" borderId="1" xfId="0" applyNumberFormat="1" applyFont="1" applyFill="1" applyBorder="1"/>
    <xf numFmtId="0" fontId="13" fillId="17" borderId="3" xfId="0" applyFont="1" applyFill="1" applyBorder="1"/>
    <xf numFmtId="0" fontId="13" fillId="17" borderId="4" xfId="0" applyFont="1" applyFill="1" applyBorder="1"/>
    <xf numFmtId="0" fontId="13" fillId="17" borderId="5" xfId="0" applyFont="1" applyFill="1" applyBorder="1"/>
    <xf numFmtId="164" fontId="13" fillId="17" borderId="6" xfId="0" applyNumberFormat="1" applyFont="1" applyFill="1" applyBorder="1"/>
    <xf numFmtId="164" fontId="13" fillId="17" borderId="7" xfId="0" applyNumberFormat="1" applyFont="1" applyFill="1" applyBorder="1"/>
    <xf numFmtId="3" fontId="13" fillId="20" borderId="0" xfId="0" applyNumberFormat="1" applyFont="1" applyFill="1"/>
    <xf numFmtId="3" fontId="13" fillId="20" borderId="51" xfId="0" applyNumberFormat="1" applyFont="1" applyFill="1" applyBorder="1"/>
    <xf numFmtId="0" fontId="13" fillId="20" borderId="1" xfId="0" applyFont="1" applyFill="1" applyBorder="1"/>
    <xf numFmtId="0" fontId="13" fillId="0" borderId="6" xfId="0" applyFont="1" applyBorder="1" applyAlignment="1">
      <alignment horizontal="right"/>
    </xf>
    <xf numFmtId="38" fontId="0" fillId="15" borderId="20" xfId="0" applyNumberFormat="1" applyFill="1" applyBorder="1"/>
    <xf numFmtId="38" fontId="0" fillId="2" borderId="20" xfId="0" applyNumberFormat="1" applyFill="1" applyBorder="1"/>
    <xf numFmtId="38" fontId="0" fillId="23" borderId="20" xfId="0" applyNumberFormat="1" applyFill="1" applyBorder="1"/>
    <xf numFmtId="38" fontId="0" fillId="17" borderId="20" xfId="0" applyNumberFormat="1" applyFill="1" applyBorder="1"/>
    <xf numFmtId="0" fontId="1" fillId="17" borderId="20" xfId="0" applyFont="1" applyFill="1" applyBorder="1" applyAlignment="1">
      <alignment horizontal="center" wrapText="1"/>
    </xf>
    <xf numFmtId="0" fontId="14" fillId="15" borderId="26" xfId="0" applyFont="1" applyFill="1" applyBorder="1" applyAlignment="1">
      <alignment horizontal="left" vertical="center" wrapText="1"/>
    </xf>
    <xf numFmtId="0" fontId="14" fillId="15" borderId="20" xfId="0" applyFont="1" applyFill="1" applyBorder="1" applyAlignment="1">
      <alignment horizontal="left" vertical="center" wrapText="1"/>
    </xf>
    <xf numFmtId="164" fontId="13" fillId="9" borderId="36" xfId="0" applyNumberFormat="1" applyFont="1" applyFill="1" applyBorder="1"/>
    <xf numFmtId="0" fontId="13" fillId="17" borderId="35" xfId="0" applyFont="1" applyFill="1" applyBorder="1"/>
    <xf numFmtId="164" fontId="13" fillId="23" borderId="3" xfId="0" applyNumberFormat="1" applyFont="1" applyFill="1" applyBorder="1"/>
    <xf numFmtId="0" fontId="13" fillId="2" borderId="0" xfId="0" applyFont="1" applyFill="1"/>
    <xf numFmtId="3" fontId="14" fillId="0" borderId="4" xfId="0" applyNumberFormat="1" applyFont="1" applyBorder="1"/>
    <xf numFmtId="0" fontId="0" fillId="15" borderId="1" xfId="0" applyFill="1" applyBorder="1"/>
    <xf numFmtId="3" fontId="1" fillId="0" borderId="26" xfId="0" applyNumberFormat="1" applyFont="1" applyBorder="1" applyAlignment="1">
      <alignment horizontal="center" wrapText="1"/>
    </xf>
    <xf numFmtId="0" fontId="0" fillId="17" borderId="29" xfId="0" applyFill="1" applyBorder="1" applyAlignment="1">
      <alignment horizontal="center"/>
    </xf>
    <xf numFmtId="0" fontId="0" fillId="17" borderId="25" xfId="0" applyFill="1" applyBorder="1" applyAlignment="1">
      <alignment horizontal="center"/>
    </xf>
    <xf numFmtId="3" fontId="13" fillId="20" borderId="5" xfId="0" applyNumberFormat="1" applyFont="1" applyFill="1" applyBorder="1"/>
    <xf numFmtId="0" fontId="13" fillId="23" borderId="4" xfId="0" applyFont="1" applyFill="1" applyBorder="1" applyAlignment="1">
      <alignment horizontal="right"/>
    </xf>
    <xf numFmtId="164" fontId="13" fillId="23" borderId="5" xfId="0" applyNumberFormat="1" applyFont="1" applyFill="1" applyBorder="1"/>
    <xf numFmtId="0" fontId="13" fillId="20" borderId="9" xfId="0" applyFont="1" applyFill="1" applyBorder="1"/>
    <xf numFmtId="0" fontId="29" fillId="25" borderId="2" xfId="0" applyFont="1" applyFill="1" applyBorder="1" applyAlignment="1">
      <alignment horizontal="right"/>
    </xf>
    <xf numFmtId="1" fontId="29" fillId="25" borderId="4" xfId="0" applyNumberFormat="1" applyFont="1" applyFill="1" applyBorder="1" applyAlignment="1">
      <alignment horizontal="right"/>
    </xf>
    <xf numFmtId="1" fontId="29" fillId="25" borderId="6" xfId="0" applyNumberFormat="1" applyFont="1" applyFill="1" applyBorder="1" applyAlignment="1">
      <alignment horizontal="right"/>
    </xf>
    <xf numFmtId="164" fontId="14" fillId="3" borderId="10" xfId="0" applyNumberFormat="1" applyFont="1" applyFill="1" applyBorder="1" applyAlignment="1">
      <alignment horizontal="center"/>
    </xf>
    <xf numFmtId="0" fontId="0" fillId="15" borderId="0" xfId="0" applyFill="1" applyAlignment="1">
      <alignment horizontal="right"/>
    </xf>
    <xf numFmtId="0" fontId="0" fillId="15" borderId="0" xfId="0" applyFill="1"/>
    <xf numFmtId="4" fontId="0" fillId="15" borderId="0" xfId="0" applyNumberFormat="1" applyFill="1"/>
    <xf numFmtId="14" fontId="0" fillId="15" borderId="0" xfId="0" applyNumberFormat="1" applyFill="1"/>
    <xf numFmtId="0" fontId="1" fillId="15" borderId="0" xfId="0" applyFont="1" applyFill="1" applyAlignment="1">
      <alignment horizontal="center"/>
    </xf>
    <xf numFmtId="166" fontId="1" fillId="15" borderId="0" xfId="0" applyNumberFormat="1" applyFont="1" applyFill="1" applyAlignment="1">
      <alignment horizontal="center"/>
    </xf>
    <xf numFmtId="4" fontId="1" fillId="15" borderId="0" xfId="0" applyNumberFormat="1" applyFont="1" applyFill="1" applyAlignment="1">
      <alignment horizontal="center"/>
    </xf>
    <xf numFmtId="166" fontId="0" fillId="15" borderId="0" xfId="0" applyNumberFormat="1" applyFill="1"/>
    <xf numFmtId="2" fontId="0" fillId="15" borderId="0" xfId="0" applyNumberFormat="1" applyFill="1"/>
    <xf numFmtId="4" fontId="0" fillId="15" borderId="1" xfId="0" applyNumberFormat="1" applyFill="1" applyBorder="1"/>
    <xf numFmtId="0" fontId="1" fillId="15" borderId="0" xfId="0" applyFont="1" applyFill="1" applyAlignment="1">
      <alignment horizontal="right"/>
    </xf>
    <xf numFmtId="3" fontId="1" fillId="15" borderId="37" xfId="0" applyNumberFormat="1" applyFont="1" applyFill="1" applyBorder="1" applyAlignment="1">
      <alignment horizontal="right"/>
    </xf>
    <xf numFmtId="164" fontId="0" fillId="15" borderId="0" xfId="0" applyNumberFormat="1" applyFill="1"/>
    <xf numFmtId="173" fontId="0" fillId="15" borderId="0" xfId="0" applyNumberFormat="1" applyFill="1" applyAlignment="1">
      <alignment horizontal="right"/>
    </xf>
    <xf numFmtId="173" fontId="0" fillId="15" borderId="0" xfId="0" applyNumberFormat="1" applyFill="1"/>
    <xf numFmtId="164" fontId="1" fillId="15" borderId="0" xfId="0" applyNumberFormat="1" applyFont="1" applyFill="1" applyAlignment="1">
      <alignment horizontal="center"/>
    </xf>
    <xf numFmtId="1" fontId="0" fillId="15" borderId="0" xfId="0" applyNumberFormat="1" applyFill="1"/>
    <xf numFmtId="164" fontId="0" fillId="15" borderId="1" xfId="0" applyNumberFormat="1" applyFill="1" applyBorder="1"/>
    <xf numFmtId="2" fontId="1" fillId="15" borderId="0" xfId="0" applyNumberFormat="1" applyFont="1" applyFill="1" applyAlignment="1">
      <alignment horizontal="center"/>
    </xf>
    <xf numFmtId="164" fontId="1" fillId="15" borderId="0" xfId="0" applyNumberFormat="1" applyFont="1" applyFill="1"/>
    <xf numFmtId="0" fontId="13" fillId="15" borderId="0" xfId="0" applyFont="1" applyFill="1" applyAlignment="1">
      <alignment horizontal="right"/>
    </xf>
    <xf numFmtId="4" fontId="28" fillId="2" borderId="3" xfId="0" applyNumberFormat="1" applyFont="1" applyFill="1" applyBorder="1"/>
    <xf numFmtId="14" fontId="13" fillId="0" borderId="0" xfId="0" applyNumberFormat="1" applyFont="1"/>
    <xf numFmtId="9" fontId="13" fillId="0" borderId="0" xfId="0" applyNumberFormat="1" applyFont="1"/>
    <xf numFmtId="3" fontId="13" fillId="3" borderId="0" xfId="0" applyNumberFormat="1" applyFont="1" applyFill="1"/>
    <xf numFmtId="3" fontId="13" fillId="3" borderId="20" xfId="0" applyNumberFormat="1" applyFont="1" applyFill="1" applyBorder="1"/>
    <xf numFmtId="164" fontId="13" fillId="3" borderId="9" xfId="0" applyNumberFormat="1" applyFont="1" applyFill="1" applyBorder="1"/>
    <xf numFmtId="164" fontId="13" fillId="3" borderId="3" xfId="0" applyNumberFormat="1" applyFont="1" applyFill="1" applyBorder="1"/>
    <xf numFmtId="165" fontId="28" fillId="2" borderId="22" xfId="0" applyNumberFormat="1" applyFont="1" applyFill="1" applyBorder="1" applyAlignment="1">
      <alignment horizontal="center"/>
      <extLst>
        <ext xmlns:xfpb="http://schemas.microsoft.com/office/spreadsheetml/2022/featurepropertybag" uri="{C7286773-470A-42A8-94C5-96B5CB345126}">
          <xfpb:xfComplement i="0"/>
        </ext>
      </extLst>
    </xf>
    <xf numFmtId="1" fontId="14" fillId="3" borderId="0" xfId="0" applyNumberFormat="1" applyFont="1" applyFill="1" applyAlignment="1">
      <alignment horizontal="center"/>
    </xf>
    <xf numFmtId="3" fontId="13" fillId="0" borderId="0" xfId="0" applyNumberFormat="1" applyFont="1" applyAlignment="1">
      <alignment horizontal="right"/>
    </xf>
    <xf numFmtId="14" fontId="13" fillId="2" borderId="20" xfId="0" applyNumberFormat="1" applyFont="1" applyFill="1" applyBorder="1"/>
    <xf numFmtId="170" fontId="0" fillId="23" borderId="20" xfId="0" applyNumberFormat="1" applyFill="1" applyBorder="1"/>
    <xf numFmtId="170" fontId="0" fillId="17" borderId="20" xfId="0" applyNumberFormat="1" applyFill="1" applyBorder="1"/>
    <xf numFmtId="6" fontId="1" fillId="0" borderId="0" xfId="0" applyNumberFormat="1" applyFont="1" applyAlignment="1">
      <alignment horizontal="right"/>
    </xf>
    <xf numFmtId="9" fontId="13" fillId="15" borderId="20" xfId="0" applyNumberFormat="1" applyFont="1" applyFill="1" applyBorder="1" applyAlignment="1">
      <alignment horizontal="right"/>
    </xf>
    <xf numFmtId="14" fontId="0" fillId="2" borderId="0" xfId="0" applyNumberFormat="1" applyFill="1"/>
    <xf numFmtId="4"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4" fillId="9" borderId="20" xfId="0" applyFont="1" applyFill="1" applyBorder="1" applyAlignment="1">
      <alignment horizontal="right" vertical="center" wrapText="1"/>
    </xf>
    <xf numFmtId="0" fontId="13" fillId="20" borderId="35" xfId="0" applyFont="1" applyFill="1" applyBorder="1" applyAlignment="1">
      <alignment horizontal="center"/>
    </xf>
    <xf numFmtId="0" fontId="14" fillId="2" borderId="20" xfId="0" applyFont="1" applyFill="1" applyBorder="1" applyAlignment="1">
      <alignment horizontal="center" vertical="center" wrapText="1"/>
      <extLst>
        <ext xmlns:xfpb="http://schemas.microsoft.com/office/spreadsheetml/2022/featurepropertybag" uri="{C7286773-470A-42A8-94C5-96B5CB345126}">
          <xfpb:xfComplement i="0"/>
        </ext>
      </extLst>
    </xf>
    <xf numFmtId="9" fontId="0" fillId="2" borderId="20" xfId="0" applyNumberFormat="1" applyFill="1" applyBorder="1"/>
    <xf numFmtId="4" fontId="0" fillId="9" borderId="0" xfId="0" applyNumberFormat="1" applyFill="1"/>
    <xf numFmtId="170" fontId="0" fillId="15" borderId="20" xfId="0" applyNumberFormat="1" applyFill="1" applyBorder="1"/>
    <xf numFmtId="10" fontId="0" fillId="0" borderId="0" xfId="0" applyNumberFormat="1"/>
    <xf numFmtId="14" fontId="0" fillId="0" borderId="0" xfId="0" applyNumberFormat="1" applyAlignment="1">
      <alignment horizontal="right"/>
    </xf>
    <xf numFmtId="0" fontId="14" fillId="2" borderId="20" xfId="0" applyFont="1" applyFill="1" applyBorder="1" applyAlignment="1">
      <alignment horizontal="center"/>
    </xf>
    <xf numFmtId="38" fontId="0" fillId="0" borderId="0" xfId="0" applyNumberFormat="1"/>
    <xf numFmtId="173" fontId="0" fillId="0" borderId="0" xfId="0" applyNumberFormat="1"/>
    <xf numFmtId="174" fontId="0" fillId="0" borderId="0" xfId="0" applyNumberFormat="1"/>
    <xf numFmtId="3" fontId="0" fillId="0" borderId="0" xfId="0" applyNumberFormat="1" applyAlignment="1">
      <alignment horizontal="right"/>
    </xf>
    <xf numFmtId="0" fontId="0" fillId="0" borderId="5" xfId="0" applyBorder="1" applyAlignment="1">
      <alignment horizontal="right"/>
    </xf>
    <xf numFmtId="0" fontId="25"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3" fontId="0" fillId="0" borderId="0" xfId="0" applyNumberFormat="1" applyAlignment="1">
      <alignment horizontal="left"/>
    </xf>
    <xf numFmtId="8" fontId="0" fillId="0" borderId="0" xfId="0" applyNumberFormat="1" applyAlignment="1">
      <alignment horizontal="left"/>
    </xf>
    <xf numFmtId="174"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4" fontId="0" fillId="2" borderId="0" xfId="0" applyNumberFormat="1" applyFill="1" applyAlignment="1">
      <alignment horizontal="left"/>
    </xf>
    <xf numFmtId="170" fontId="1" fillId="0" borderId="0" xfId="0" applyNumberFormat="1" applyFont="1"/>
    <xf numFmtId="170" fontId="0" fillId="0" borderId="0" xfId="0" applyNumberFormat="1"/>
    <xf numFmtId="170" fontId="0" fillId="0" borderId="1" xfId="0" applyNumberFormat="1" applyBorder="1"/>
    <xf numFmtId="3" fontId="1" fillId="0" borderId="25" xfId="0" applyNumberFormat="1" applyFont="1" applyBorder="1" applyAlignment="1">
      <alignment horizontal="center" wrapText="1"/>
    </xf>
    <xf numFmtId="4" fontId="1" fillId="0" borderId="0" xfId="0" applyNumberFormat="1" applyFont="1" applyAlignment="1">
      <alignment horizontal="right"/>
    </xf>
    <xf numFmtId="4" fontId="0" fillId="15" borderId="20" xfId="0" applyNumberFormat="1" applyFill="1" applyBorder="1"/>
    <xf numFmtId="4" fontId="1" fillId="2" borderId="20" xfId="0" applyNumberFormat="1" applyFont="1" applyFill="1" applyBorder="1" applyAlignment="1">
      <alignment horizontal="center"/>
    </xf>
    <xf numFmtId="4" fontId="0" fillId="2" borderId="20" xfId="0" applyNumberFormat="1" applyFill="1" applyBorder="1"/>
    <xf numFmtId="4" fontId="1" fillId="0" borderId="20" xfId="0" applyNumberFormat="1" applyFont="1" applyBorder="1" applyAlignment="1">
      <alignment horizontal="center" wrapText="1"/>
    </xf>
    <xf numFmtId="172" fontId="0" fillId="17" borderId="29" xfId="0" applyNumberFormat="1" applyFill="1" applyBorder="1" applyAlignment="1">
      <alignment horizontal="center"/>
    </xf>
    <xf numFmtId="172" fontId="0" fillId="0" borderId="0" xfId="0" applyNumberFormat="1" applyAlignment="1">
      <alignment horizontal="center"/>
    </xf>
    <xf numFmtId="172" fontId="1" fillId="17" borderId="20" xfId="0" applyNumberFormat="1" applyFont="1" applyFill="1" applyBorder="1" applyAlignment="1">
      <alignment horizontal="center" wrapText="1"/>
    </xf>
    <xf numFmtId="172" fontId="0" fillId="17" borderId="25" xfId="0" applyNumberFormat="1" applyFill="1" applyBorder="1" applyAlignment="1">
      <alignment horizontal="center"/>
    </xf>
    <xf numFmtId="4" fontId="1" fillId="0" borderId="20" xfId="0" applyNumberFormat="1" applyFont="1" applyBorder="1" applyAlignment="1">
      <alignment horizontal="center"/>
    </xf>
    <xf numFmtId="4" fontId="1" fillId="0" borderId="0" xfId="0" applyNumberFormat="1" applyFont="1"/>
    <xf numFmtId="4" fontId="1" fillId="0" borderId="25" xfId="0" applyNumberFormat="1" applyFont="1" applyBorder="1" applyAlignment="1">
      <alignment horizontal="center" wrapText="1"/>
    </xf>
    <xf numFmtId="3" fontId="0" fillId="2" borderId="20" xfId="0" applyNumberFormat="1" applyFill="1" applyBorder="1"/>
    <xf numFmtId="3" fontId="0" fillId="15" borderId="20" xfId="0" applyNumberFormat="1" applyFill="1" applyBorder="1"/>
    <xf numFmtId="3" fontId="1" fillId="15" borderId="25" xfId="0" applyNumberFormat="1" applyFont="1" applyFill="1" applyBorder="1" applyAlignment="1">
      <alignment horizontal="center" wrapText="1"/>
    </xf>
    <xf numFmtId="3" fontId="0" fillId="24" borderId="0" xfId="0" applyNumberFormat="1" applyFill="1"/>
    <xf numFmtId="3" fontId="0" fillId="24" borderId="1" xfId="0" applyNumberFormat="1" applyFill="1" applyBorder="1"/>
    <xf numFmtId="14" fontId="14" fillId="2" borderId="20" xfId="0" applyNumberFormat="1" applyFont="1" applyFill="1" applyBorder="1" applyAlignment="1">
      <alignment horizontal="center" vertical="center"/>
    </xf>
    <xf numFmtId="0" fontId="13" fillId="15" borderId="20" xfId="0" applyFont="1" applyFill="1" applyBorder="1"/>
    <xf numFmtId="0" fontId="13" fillId="15" borderId="25" xfId="0" applyFont="1" applyFill="1" applyBorder="1"/>
    <xf numFmtId="0" fontId="1" fillId="0" borderId="20" xfId="0" applyFont="1" applyBorder="1" applyAlignment="1">
      <alignment horizontal="left"/>
    </xf>
    <xf numFmtId="0" fontId="40" fillId="0" borderId="0" xfId="0" applyFont="1" applyAlignment="1">
      <alignment horizontal="left" vertical="center"/>
    </xf>
    <xf numFmtId="0" fontId="39" fillId="2" borderId="0" xfId="0" applyFont="1" applyFill="1"/>
    <xf numFmtId="166" fontId="0" fillId="15" borderId="0" xfId="0" applyNumberFormat="1" applyFill="1" applyAlignment="1">
      <alignment horizontal="right"/>
    </xf>
    <xf numFmtId="166" fontId="1" fillId="15" borderId="0" xfId="0" applyNumberFormat="1" applyFont="1" applyFill="1" applyAlignment="1">
      <alignment horizontal="right"/>
    </xf>
    <xf numFmtId="164" fontId="28" fillId="2" borderId="20" xfId="0" applyNumberFormat="1" applyFont="1" applyFill="1" applyBorder="1"/>
    <xf numFmtId="0" fontId="42" fillId="0" borderId="0" xfId="0" applyFont="1"/>
    <xf numFmtId="0" fontId="42" fillId="0" borderId="0" xfId="0" applyFont="1" applyAlignment="1">
      <alignment horizontal="left"/>
    </xf>
    <xf numFmtId="38" fontId="42" fillId="0" borderId="0" xfId="0" applyNumberFormat="1" applyFont="1" applyAlignment="1">
      <alignment horizontal="left"/>
    </xf>
    <xf numFmtId="4" fontId="42" fillId="0" borderId="0" xfId="0" applyNumberFormat="1" applyFont="1" applyAlignment="1">
      <alignment horizontal="left"/>
    </xf>
    <xf numFmtId="8" fontId="42" fillId="0" borderId="0" xfId="0" applyNumberFormat="1" applyFont="1" applyAlignment="1">
      <alignment horizontal="left"/>
    </xf>
    <xf numFmtId="173" fontId="42" fillId="0" borderId="0" xfId="0" applyNumberFormat="1" applyFont="1" applyAlignment="1">
      <alignment horizontal="left"/>
    </xf>
    <xf numFmtId="0" fontId="42" fillId="2" borderId="0" xfId="0" applyFont="1" applyFill="1" applyAlignment="1">
      <alignment horizontal="left"/>
    </xf>
    <xf numFmtId="174" fontId="42" fillId="2" borderId="0" xfId="0" applyNumberFormat="1" applyFont="1" applyFill="1" applyAlignment="1">
      <alignment horizontal="left"/>
    </xf>
    <xf numFmtId="174" fontId="42" fillId="0" borderId="0" xfId="0" applyNumberFormat="1" applyFont="1" applyAlignment="1">
      <alignment horizontal="left"/>
    </xf>
    <xf numFmtId="3" fontId="42" fillId="0" borderId="0" xfId="0" applyNumberFormat="1" applyFont="1" applyAlignment="1">
      <alignment horizontal="left"/>
    </xf>
    <xf numFmtId="0" fontId="39" fillId="0" borderId="0" xfId="0" applyFont="1" applyAlignment="1">
      <alignment horizontal="left" vertical="center"/>
    </xf>
    <xf numFmtId="0" fontId="41" fillId="0" borderId="0" xfId="0" applyFont="1" applyAlignment="1">
      <alignment horizontal="left"/>
    </xf>
    <xf numFmtId="49" fontId="42" fillId="2" borderId="0" xfId="0" applyNumberFormat="1" applyFont="1" applyFill="1" applyAlignment="1">
      <alignment horizontal="left"/>
    </xf>
    <xf numFmtId="49" fontId="42" fillId="0" borderId="0" xfId="0" applyNumberFormat="1" applyFont="1" applyAlignment="1">
      <alignment horizontal="left"/>
    </xf>
    <xf numFmtId="4" fontId="42" fillId="2" borderId="0" xfId="0" applyNumberFormat="1" applyFont="1" applyFill="1" applyAlignment="1">
      <alignment horizontal="left"/>
    </xf>
    <xf numFmtId="0" fontId="42" fillId="2" borderId="0" xfId="0" applyFont="1" applyFill="1"/>
    <xf numFmtId="0" fontId="43" fillId="13" borderId="0" xfId="0" applyFont="1" applyFill="1" applyAlignment="1">
      <alignment vertical="center" wrapText="1"/>
    </xf>
    <xf numFmtId="0" fontId="41" fillId="0" borderId="0" xfId="0" applyFont="1"/>
    <xf numFmtId="0" fontId="1" fillId="0" borderId="2" xfId="0" applyFont="1" applyBorder="1"/>
    <xf numFmtId="0" fontId="1" fillId="0" borderId="4" xfId="0" applyFont="1" applyBorder="1"/>
    <xf numFmtId="0" fontId="1" fillId="0" borderId="6" xfId="0" applyFont="1" applyBorder="1"/>
    <xf numFmtId="49" fontId="39" fillId="2" borderId="0" xfId="0" applyNumberFormat="1" applyFont="1" applyFill="1" applyAlignment="1">
      <alignment horizontal="left"/>
    </xf>
    <xf numFmtId="49" fontId="1" fillId="0" borderId="0" xfId="0" applyNumberFormat="1" applyFont="1"/>
    <xf numFmtId="164" fontId="42" fillId="0" borderId="0" xfId="0" applyNumberFormat="1" applyFont="1" applyAlignment="1">
      <alignment horizontal="left"/>
    </xf>
    <xf numFmtId="3" fontId="29" fillId="4" borderId="31" xfId="0" applyNumberFormat="1" applyFont="1" applyFill="1" applyBorder="1" applyAlignment="1">
      <alignment horizontal="right"/>
    </xf>
    <xf numFmtId="0" fontId="44" fillId="0" borderId="0" xfId="0" applyFont="1"/>
    <xf numFmtId="0" fontId="44" fillId="0" borderId="0" xfId="0" applyFont="1" applyAlignment="1">
      <alignment horizontal="right"/>
    </xf>
    <xf numFmtId="49" fontId="45" fillId="0" borderId="0" xfId="0" applyNumberFormat="1" applyFont="1"/>
    <xf numFmtId="0" fontId="46" fillId="0" borderId="0" xfId="0" applyFont="1"/>
    <xf numFmtId="9" fontId="13" fillId="0" borderId="0" xfId="0" applyNumberFormat="1" applyFont="1" applyAlignment="1">
      <alignment horizontal="left"/>
    </xf>
    <xf numFmtId="0" fontId="25" fillId="0" borderId="0" xfId="0" applyFont="1" applyAlignment="1">
      <alignment horizontal="center"/>
    </xf>
    <xf numFmtId="1" fontId="0" fillId="15" borderId="0" xfId="0" applyNumberFormat="1" applyFill="1" applyAlignment="1">
      <alignment horizontal="right"/>
    </xf>
    <xf numFmtId="9" fontId="0" fillId="15" borderId="0" xfId="0" applyNumberFormat="1" applyFill="1" applyAlignment="1">
      <alignment horizontal="right"/>
    </xf>
    <xf numFmtId="10" fontId="0" fillId="2" borderId="0" xfId="0" applyNumberFormat="1" applyFill="1"/>
    <xf numFmtId="3" fontId="1" fillId="2" borderId="0" xfId="0" applyNumberFormat="1" applyFont="1" applyFill="1" applyAlignment="1">
      <alignment horizontal="right"/>
    </xf>
    <xf numFmtId="3" fontId="0" fillId="15" borderId="0" xfId="0" applyNumberFormat="1" applyFill="1"/>
    <xf numFmtId="0" fontId="0" fillId="0" borderId="0" xfId="0" applyAlignment="1">
      <alignment wrapText="1"/>
    </xf>
    <xf numFmtId="0" fontId="16" fillId="27" borderId="0" xfId="0" applyFont="1" applyFill="1" applyAlignment="1">
      <alignment horizontal="center"/>
    </xf>
    <xf numFmtId="0" fontId="16" fillId="27" borderId="54" xfId="0" applyFont="1" applyFill="1" applyBorder="1" applyAlignment="1">
      <alignment horizontal="center"/>
    </xf>
    <xf numFmtId="0" fontId="16" fillId="27" borderId="54" xfId="0" applyFont="1" applyFill="1" applyBorder="1" applyAlignment="1">
      <alignment horizontal="center" wrapText="1"/>
    </xf>
    <xf numFmtId="1" fontId="16" fillId="27" borderId="54" xfId="0" applyNumberFormat="1" applyFont="1" applyFill="1" applyBorder="1" applyAlignment="1">
      <alignment horizontal="center"/>
    </xf>
    <xf numFmtId="1" fontId="0" fillId="0" borderId="0" xfId="0" applyNumberFormat="1" applyAlignment="1">
      <alignment horizontal="right"/>
    </xf>
    <xf numFmtId="169" fontId="0" fillId="0" borderId="0" xfId="0" applyNumberFormat="1"/>
    <xf numFmtId="171" fontId="0" fillId="0" borderId="0" xfId="0" applyNumberFormat="1"/>
    <xf numFmtId="0" fontId="23" fillId="5" borderId="9" xfId="0" applyFont="1" applyFill="1" applyBorder="1" applyAlignment="1">
      <alignment horizontal="center" wrapText="1"/>
    </xf>
    <xf numFmtId="10" fontId="0" fillId="0" borderId="5" xfId="0" applyNumberFormat="1" applyBorder="1"/>
    <xf numFmtId="175" fontId="0" fillId="0" borderId="0" xfId="0" applyNumberFormat="1"/>
    <xf numFmtId="4" fontId="1" fillId="15" borderId="0" xfId="0" applyNumberFormat="1" applyFont="1" applyFill="1" applyAlignment="1">
      <alignment horizontal="right"/>
    </xf>
    <xf numFmtId="49" fontId="0" fillId="15" borderId="0" xfId="0" applyNumberFormat="1" applyFill="1" applyAlignment="1">
      <alignment horizontal="right"/>
    </xf>
    <xf numFmtId="10" fontId="0" fillId="15" borderId="0" xfId="0" applyNumberFormat="1" applyFill="1"/>
    <xf numFmtId="0" fontId="25" fillId="0" borderId="17" xfId="3" applyFont="1" applyAlignment="1">
      <alignment horizontal="left" vertical="center"/>
    </xf>
    <xf numFmtId="0" fontId="25" fillId="0" borderId="0" xfId="0" applyFont="1" applyAlignment="1">
      <alignment vertical="center"/>
    </xf>
    <xf numFmtId="0" fontId="0" fillId="0" borderId="0" xfId="0" applyAlignment="1">
      <alignment horizontal="center" vertical="top"/>
    </xf>
    <xf numFmtId="1" fontId="0" fillId="0" borderId="0" xfId="0" applyNumberFormat="1" applyAlignment="1">
      <alignment horizontal="right" vertical="center"/>
    </xf>
    <xf numFmtId="0" fontId="7" fillId="0" borderId="0" xfId="0" applyFont="1" applyAlignment="1">
      <alignment horizontal="center" wrapText="1"/>
    </xf>
    <xf numFmtId="2" fontId="4" fillId="0" borderId="0" xfId="0" applyNumberFormat="1" applyFont="1" applyAlignment="1">
      <alignment horizontal="left" vertical="center"/>
    </xf>
    <xf numFmtId="1" fontId="4" fillId="0" borderId="0" xfId="0" applyNumberFormat="1" applyFont="1" applyAlignment="1">
      <alignment horizontal="right" vertical="center"/>
    </xf>
    <xf numFmtId="3" fontId="4" fillId="0" borderId="0" xfId="0" applyNumberFormat="1" applyFont="1" applyAlignment="1">
      <alignment horizontal="right" vertical="center"/>
    </xf>
    <xf numFmtId="0" fontId="11" fillId="0" borderId="56" xfId="0" applyFont="1" applyBorder="1"/>
    <xf numFmtId="0" fontId="11" fillId="0" borderId="56" xfId="0" applyFont="1" applyBorder="1" applyAlignment="1">
      <alignment vertical="center"/>
    </xf>
    <xf numFmtId="169" fontId="11" fillId="0" borderId="56" xfId="0" applyNumberFormat="1" applyFont="1" applyBorder="1" applyAlignment="1">
      <alignment vertical="center"/>
    </xf>
    <xf numFmtId="0" fontId="11" fillId="0" borderId="55" xfId="0" applyFont="1" applyBorder="1"/>
    <xf numFmtId="0" fontId="11" fillId="0" borderId="55" xfId="0" applyFont="1" applyBorder="1" applyAlignment="1">
      <alignment vertical="center"/>
    </xf>
    <xf numFmtId="169" fontId="11" fillId="0" borderId="55" xfId="0" applyNumberFormat="1" applyFont="1" applyBorder="1" applyAlignment="1">
      <alignment vertical="center"/>
    </xf>
    <xf numFmtId="0" fontId="11" fillId="0" borderId="52" xfId="0" applyFont="1" applyBorder="1"/>
    <xf numFmtId="0" fontId="11" fillId="0" borderId="52" xfId="0" applyFont="1" applyBorder="1" applyAlignment="1">
      <alignment vertical="center"/>
    </xf>
    <xf numFmtId="169" fontId="11" fillId="0" borderId="52" xfId="0" applyNumberFormat="1" applyFont="1" applyBorder="1" applyAlignment="1">
      <alignment vertical="center"/>
    </xf>
    <xf numFmtId="0" fontId="7" fillId="19" borderId="0" xfId="0" applyFont="1" applyFill="1" applyAlignment="1">
      <alignment horizontal="center" wrapText="1"/>
    </xf>
    <xf numFmtId="0" fontId="0" fillId="2" borderId="0" xfId="0" applyFill="1" applyAlignment="1">
      <alignment horizontal="right" vertical="center"/>
    </xf>
    <xf numFmtId="1" fontId="4" fillId="0" borderId="28" xfId="0" applyNumberFormat="1" applyFont="1" applyBorder="1" applyAlignment="1">
      <alignment horizontal="center"/>
    </xf>
    <xf numFmtId="0" fontId="4" fillId="0" borderId="28" xfId="0" applyFont="1" applyBorder="1" applyAlignment="1">
      <alignment horizontal="center"/>
    </xf>
    <xf numFmtId="49" fontId="4" fillId="0" borderId="28" xfId="0" applyNumberFormat="1" applyFont="1" applyBorder="1" applyAlignment="1">
      <alignment horizontal="center"/>
    </xf>
    <xf numFmtId="0" fontId="4" fillId="0" borderId="20" xfId="0" applyFont="1" applyBorder="1"/>
    <xf numFmtId="176" fontId="0" fillId="0" borderId="0" xfId="0" applyNumberFormat="1" applyAlignment="1">
      <alignment horizontal="right" vertical="center"/>
    </xf>
    <xf numFmtId="0" fontId="0" fillId="0" borderId="19" xfId="0" applyBorder="1" applyAlignment="1">
      <alignment horizontal="center"/>
    </xf>
    <xf numFmtId="167" fontId="0" fillId="0" borderId="0" xfId="0" applyNumberFormat="1"/>
    <xf numFmtId="3" fontId="0" fillId="0" borderId="0" xfId="0" applyNumberFormat="1" applyAlignment="1">
      <alignment horizontal="center"/>
    </xf>
    <xf numFmtId="4" fontId="0" fillId="0" borderId="0" xfId="0" applyNumberFormat="1" applyAlignment="1">
      <alignment horizontal="center" vertical="center"/>
    </xf>
    <xf numFmtId="0" fontId="11" fillId="0" borderId="56" xfId="0" applyFont="1" applyBorder="1" applyAlignment="1">
      <alignment horizontal="center" vertical="center"/>
    </xf>
    <xf numFmtId="0" fontId="11" fillId="0" borderId="55" xfId="0" applyFont="1" applyBorder="1" applyAlignment="1">
      <alignment horizontal="center" vertical="center"/>
    </xf>
    <xf numFmtId="0" fontId="11" fillId="0" borderId="52" xfId="0" applyFont="1" applyBorder="1" applyAlignment="1">
      <alignment horizontal="center" vertical="center"/>
    </xf>
    <xf numFmtId="49" fontId="0" fillId="0" borderId="0" xfId="0" applyNumberFormat="1" applyAlignment="1">
      <alignment horizontal="center"/>
    </xf>
    <xf numFmtId="0" fontId="0" fillId="0" borderId="19" xfId="0" applyBorder="1" applyAlignment="1">
      <alignment vertical="center"/>
    </xf>
    <xf numFmtId="0" fontId="26" fillId="0" borderId="0" xfId="0" applyFont="1" applyAlignment="1">
      <alignment horizontal="center" vertical="center"/>
    </xf>
    <xf numFmtId="4" fontId="1" fillId="0" borderId="0" xfId="0" applyNumberFormat="1" applyFont="1" applyAlignment="1">
      <alignment horizontal="left" vertical="center"/>
    </xf>
    <xf numFmtId="3" fontId="0" fillId="15" borderId="0" xfId="0" applyNumberFormat="1" applyFill="1" applyAlignment="1">
      <alignment horizontal="center" vertical="center"/>
    </xf>
    <xf numFmtId="0" fontId="16" fillId="27" borderId="58" xfId="0" applyFont="1" applyFill="1" applyBorder="1" applyAlignment="1">
      <alignment horizontal="center"/>
    </xf>
    <xf numFmtId="0" fontId="0" fillId="0" borderId="52" xfId="0" applyBorder="1" applyAlignment="1">
      <alignment horizontal="right"/>
    </xf>
    <xf numFmtId="0" fontId="0" fillId="0" borderId="53" xfId="0" applyBorder="1"/>
    <xf numFmtId="0" fontId="0" fillId="0" borderId="53" xfId="0" applyBorder="1" applyAlignment="1">
      <alignment wrapText="1"/>
    </xf>
    <xf numFmtId="1" fontId="0" fillId="0" borderId="53" xfId="0" applyNumberFormat="1" applyBorder="1" applyAlignment="1">
      <alignment horizontal="right"/>
    </xf>
    <xf numFmtId="4" fontId="0" fillId="0" borderId="53" xfId="0" applyNumberFormat="1" applyBorder="1"/>
    <xf numFmtId="4" fontId="0" fillId="0" borderId="53" xfId="0" applyNumberFormat="1" applyBorder="1" applyAlignment="1">
      <alignment horizontal="right"/>
    </xf>
    <xf numFmtId="4" fontId="0" fillId="0" borderId="52" xfId="0" applyNumberFormat="1" applyBorder="1"/>
    <xf numFmtId="0" fontId="0" fillId="0" borderId="52" xfId="0" applyBorder="1"/>
    <xf numFmtId="1" fontId="0" fillId="0" borderId="19" xfId="0" applyNumberFormat="1" applyBorder="1" applyAlignment="1">
      <alignment horizontal="right" vertical="center"/>
    </xf>
    <xf numFmtId="1" fontId="1" fillId="0" borderId="0" xfId="0" applyNumberFormat="1" applyFont="1" applyAlignment="1">
      <alignment horizontal="right"/>
    </xf>
    <xf numFmtId="1" fontId="0" fillId="0" borderId="59" xfId="0" applyNumberFormat="1" applyBorder="1" applyAlignment="1">
      <alignment horizontal="right"/>
    </xf>
    <xf numFmtId="0" fontId="0" fillId="0" borderId="29" xfId="0" applyBorder="1" applyAlignment="1">
      <alignment horizontal="center"/>
    </xf>
    <xf numFmtId="0" fontId="47" fillId="0" borderId="0" xfId="0" applyFont="1" applyAlignment="1">
      <alignment vertical="center"/>
    </xf>
    <xf numFmtId="0" fontId="0" fillId="0" borderId="0" xfId="0" applyAlignment="1">
      <alignment horizontal="left" vertical="center" indent="1"/>
    </xf>
    <xf numFmtId="0" fontId="1" fillId="0" borderId="0" xfId="0" applyFont="1" applyAlignment="1">
      <alignment horizontal="left" vertical="center" indent="1"/>
    </xf>
    <xf numFmtId="0" fontId="0" fillId="0" borderId="0" xfId="0" applyAlignment="1">
      <alignment horizontal="left" vertical="center" indent="2"/>
    </xf>
    <xf numFmtId="0" fontId="48" fillId="0" borderId="0" xfId="0" applyFont="1" applyAlignment="1">
      <alignment horizontal="left" vertical="center" indent="2"/>
    </xf>
    <xf numFmtId="0" fontId="0" fillId="0" borderId="0" xfId="0" applyAlignment="1">
      <alignment horizontal="left" vertical="center" indent="3"/>
    </xf>
    <xf numFmtId="177" fontId="0" fillId="0" borderId="0" xfId="0" applyNumberFormat="1"/>
    <xf numFmtId="0" fontId="0" fillId="28" borderId="55" xfId="0" applyFill="1" applyBorder="1"/>
    <xf numFmtId="169" fontId="0" fillId="28" borderId="55" xfId="0" applyNumberFormat="1" applyFill="1" applyBorder="1"/>
    <xf numFmtId="1" fontId="0" fillId="28" borderId="55" xfId="0" applyNumberFormat="1" applyFill="1" applyBorder="1"/>
    <xf numFmtId="0" fontId="0" fillId="28" borderId="57" xfId="0" applyFill="1" applyBorder="1"/>
    <xf numFmtId="0" fontId="0" fillId="2" borderId="0" xfId="0" applyFill="1" applyAlignment="1">
      <alignment horizontal="center" vertical="center"/>
    </xf>
    <xf numFmtId="1" fontId="1" fillId="0" borderId="0" xfId="0" applyNumberFormat="1" applyFont="1" applyAlignment="1">
      <alignment horizontal="center"/>
    </xf>
    <xf numFmtId="0" fontId="11" fillId="0" borderId="0" xfId="0" applyFont="1" applyAlignment="1">
      <alignment horizontal="center" vertical="center"/>
    </xf>
    <xf numFmtId="4" fontId="0" fillId="2" borderId="0" xfId="0" applyNumberFormat="1" applyFill="1" applyAlignment="1">
      <alignment horizontal="center" vertical="center"/>
    </xf>
    <xf numFmtId="0" fontId="1" fillId="15" borderId="0" xfId="0" applyFont="1" applyFill="1" applyAlignment="1">
      <alignment horizontal="left"/>
    </xf>
    <xf numFmtId="0" fontId="0" fillId="15" borderId="0" xfId="0" applyFill="1" applyAlignment="1">
      <alignment horizontal="left"/>
    </xf>
    <xf numFmtId="9" fontId="0" fillId="15" borderId="0" xfId="0" applyNumberFormat="1" applyFill="1" applyAlignment="1">
      <alignment horizontal="left"/>
    </xf>
    <xf numFmtId="3" fontId="11" fillId="0" borderId="55" xfId="0" applyNumberFormat="1" applyFont="1" applyBorder="1" applyAlignment="1">
      <alignment horizontal="right" vertical="center"/>
    </xf>
    <xf numFmtId="1" fontId="11" fillId="0" borderId="55" xfId="0" applyNumberFormat="1" applyFont="1" applyBorder="1" applyAlignment="1">
      <alignment horizontal="right" vertical="center"/>
    </xf>
    <xf numFmtId="169" fontId="11" fillId="0" borderId="56" xfId="0" applyNumberFormat="1" applyFont="1" applyBorder="1" applyAlignment="1">
      <alignment horizontal="center" vertical="center"/>
    </xf>
    <xf numFmtId="169" fontId="11" fillId="0" borderId="55" xfId="0" applyNumberFormat="1" applyFont="1" applyBorder="1" applyAlignment="1">
      <alignment horizontal="center" vertical="center"/>
    </xf>
    <xf numFmtId="1" fontId="0" fillId="2" borderId="0" xfId="0" applyNumberFormat="1" applyFill="1" applyAlignment="1">
      <alignment horizontal="right" vertical="center"/>
    </xf>
    <xf numFmtId="1" fontId="0" fillId="2" borderId="0" xfId="0" applyNumberFormat="1" applyFill="1" applyAlignment="1">
      <alignment horizontal="center" vertical="center"/>
    </xf>
    <xf numFmtId="4" fontId="0" fillId="2" borderId="0" xfId="0" applyNumberFormat="1" applyFill="1" applyAlignment="1">
      <alignment horizontal="right" vertical="center"/>
    </xf>
    <xf numFmtId="169" fontId="1" fillId="0" borderId="0" xfId="0" applyNumberFormat="1" applyFont="1" applyAlignment="1">
      <alignment horizontal="right"/>
    </xf>
    <xf numFmtId="1" fontId="0" fillId="2" borderId="0" xfId="0" applyNumberFormat="1" applyFill="1"/>
    <xf numFmtId="1" fontId="0" fillId="2" borderId="0" xfId="0" applyNumberFormat="1" applyFill="1" applyAlignment="1">
      <alignment vertical="center"/>
    </xf>
    <xf numFmtId="0" fontId="25" fillId="0" borderId="0" xfId="0" applyFont="1" applyAlignment="1">
      <alignment horizontal="center" wrapText="1"/>
    </xf>
    <xf numFmtId="0" fontId="0" fillId="0" borderId="0" xfId="0" applyAlignment="1">
      <alignment horizontal="left" wrapText="1"/>
    </xf>
    <xf numFmtId="0" fontId="25" fillId="2" borderId="4" xfId="0" applyFont="1" applyFill="1" applyBorder="1" applyAlignment="1">
      <alignment horizontal="right" vertical="center" wrapText="1"/>
    </xf>
    <xf numFmtId="0" fontId="0" fillId="0" borderId="5" xfId="0" applyBorder="1" applyAlignment="1">
      <alignment wrapText="1"/>
    </xf>
    <xf numFmtId="0" fontId="0" fillId="0" borderId="0" xfId="0" applyAlignment="1">
      <alignment horizontal="right" wrapText="1"/>
    </xf>
    <xf numFmtId="2" fontId="4" fillId="0" borderId="0" xfId="0" applyNumberFormat="1" applyFont="1" applyAlignment="1">
      <alignment horizontal="left" vertical="center" wrapText="1"/>
    </xf>
    <xf numFmtId="1" fontId="4" fillId="0" borderId="0" xfId="0" applyNumberFormat="1" applyFont="1" applyAlignment="1">
      <alignment horizontal="right" vertical="center" wrapText="1"/>
    </xf>
    <xf numFmtId="0" fontId="7" fillId="0" borderId="0" xfId="5" applyAlignment="1">
      <alignment wrapText="1"/>
    </xf>
    <xf numFmtId="167" fontId="0" fillId="0" borderId="0" xfId="0" applyNumberFormat="1" applyAlignment="1">
      <alignment horizontal="right" vertical="center"/>
    </xf>
    <xf numFmtId="0" fontId="4" fillId="15" borderId="28" xfId="0" applyFont="1" applyFill="1" applyBorder="1" applyAlignment="1">
      <alignment horizontal="center"/>
    </xf>
    <xf numFmtId="1" fontId="11" fillId="0" borderId="56" xfId="0" applyNumberFormat="1" applyFont="1" applyBorder="1" applyAlignment="1">
      <alignment horizontal="center" vertical="center"/>
    </xf>
    <xf numFmtId="1" fontId="11" fillId="0" borderId="55" xfId="0" applyNumberFormat="1" applyFont="1" applyBorder="1" applyAlignment="1">
      <alignment horizontal="center" vertical="center"/>
    </xf>
    <xf numFmtId="1" fontId="11" fillId="0" borderId="52" xfId="0" applyNumberFormat="1" applyFont="1" applyBorder="1" applyAlignment="1">
      <alignment horizontal="center" vertical="center"/>
    </xf>
    <xf numFmtId="1" fontId="0" fillId="0" borderId="0" xfId="0" applyNumberFormat="1" applyAlignment="1">
      <alignment horizontal="center"/>
    </xf>
    <xf numFmtId="1" fontId="0" fillId="2" borderId="0" xfId="0" applyNumberFormat="1" applyFill="1" applyAlignment="1">
      <alignment horizontal="center"/>
    </xf>
    <xf numFmtId="16" fontId="1" fillId="0" borderId="0" xfId="0" applyNumberFormat="1" applyFont="1" applyAlignment="1">
      <alignment horizontal="left"/>
    </xf>
    <xf numFmtId="0" fontId="11" fillId="0" borderId="0" xfId="0" applyFont="1"/>
    <xf numFmtId="0" fontId="4" fillId="2" borderId="0" xfId="0" applyFont="1" applyFill="1" applyAlignment="1">
      <alignment horizontal="center"/>
    </xf>
    <xf numFmtId="4" fontId="4" fillId="2" borderId="0" xfId="0" applyNumberFormat="1" applyFont="1" applyFill="1" applyAlignment="1">
      <alignment horizontal="center" vertical="center"/>
    </xf>
    <xf numFmtId="4" fontId="11" fillId="2" borderId="0" xfId="0" applyNumberFormat="1" applyFont="1" applyFill="1" applyAlignment="1">
      <alignment horizontal="center" vertical="center"/>
    </xf>
    <xf numFmtId="16" fontId="1" fillId="0" borderId="0" xfId="0" applyNumberFormat="1" applyFont="1" applyAlignment="1">
      <alignment horizontal="center"/>
    </xf>
    <xf numFmtId="16" fontId="0" fillId="15" borderId="0" xfId="0" applyNumberFormat="1" applyFill="1" applyAlignment="1">
      <alignment horizontal="right"/>
    </xf>
    <xf numFmtId="0" fontId="0" fillId="0" borderId="0" xfId="0" applyAlignment="1">
      <alignment vertical="center" wrapText="1"/>
    </xf>
    <xf numFmtId="0" fontId="52" fillId="0" borderId="0" xfId="0" applyFont="1" applyAlignment="1">
      <alignment vertical="center" wrapText="1"/>
    </xf>
    <xf numFmtId="0" fontId="53" fillId="0" borderId="0" xfId="0" applyFont="1" applyAlignment="1">
      <alignment vertical="center" wrapText="1"/>
    </xf>
    <xf numFmtId="0" fontId="54" fillId="0" borderId="0" xfId="0" applyFont="1" applyAlignment="1">
      <alignment vertical="center" wrapText="1"/>
    </xf>
    <xf numFmtId="0" fontId="2" fillId="0" borderId="0" xfId="1" applyAlignment="1">
      <alignment vertical="center" wrapText="1"/>
    </xf>
    <xf numFmtId="1" fontId="0" fillId="0" borderId="60" xfId="0" applyNumberFormat="1" applyBorder="1" applyAlignment="1">
      <alignment horizontal="right" vertical="center"/>
    </xf>
    <xf numFmtId="3" fontId="0" fillId="28" borderId="61" xfId="0" applyNumberFormat="1" applyFill="1" applyBorder="1"/>
    <xf numFmtId="0" fontId="1" fillId="30" borderId="0" xfId="0" applyFont="1" applyFill="1"/>
    <xf numFmtId="14" fontId="1" fillId="30" borderId="0" xfId="0" applyNumberFormat="1" applyFont="1" applyFill="1"/>
    <xf numFmtId="166" fontId="1" fillId="30" borderId="0" xfId="0" applyNumberFormat="1" applyFont="1" applyFill="1"/>
    <xf numFmtId="166" fontId="13" fillId="17" borderId="4" xfId="0" applyNumberFormat="1" applyFont="1" applyFill="1" applyBorder="1"/>
    <xf numFmtId="14" fontId="0" fillId="0" borderId="4" xfId="0" applyNumberFormat="1" applyBorder="1" applyAlignment="1">
      <alignment horizontal="right"/>
    </xf>
    <xf numFmtId="166" fontId="0" fillId="0" borderId="5" xfId="0" applyNumberFormat="1" applyBorder="1"/>
    <xf numFmtId="9" fontId="33" fillId="0" borderId="0" xfId="0" applyNumberFormat="1" applyFont="1" applyAlignment="1">
      <alignment horizontal="right"/>
    </xf>
    <xf numFmtId="0" fontId="55" fillId="0" borderId="0" xfId="0" applyFont="1" applyAlignment="1">
      <alignment horizontal="right"/>
    </xf>
    <xf numFmtId="9" fontId="28" fillId="2" borderId="64" xfId="0" applyNumberFormat="1" applyFont="1" applyFill="1" applyBorder="1" applyAlignment="1">
      <alignment horizontal="center"/>
    </xf>
    <xf numFmtId="3" fontId="29" fillId="25" borderId="31" xfId="0" applyNumberFormat="1" applyFont="1" applyFill="1" applyBorder="1" applyAlignment="1">
      <alignment horizontal="right"/>
    </xf>
    <xf numFmtId="3" fontId="13" fillId="15" borderId="6" xfId="0" applyNumberFormat="1" applyFont="1" applyFill="1" applyBorder="1"/>
    <xf numFmtId="9" fontId="0" fillId="15" borderId="20" xfId="0" applyNumberFormat="1" applyFill="1" applyBorder="1"/>
    <xf numFmtId="9" fontId="1" fillId="2" borderId="20" xfId="0" applyNumberFormat="1" applyFont="1" applyFill="1" applyBorder="1" applyAlignment="1">
      <alignment horizontal="center"/>
    </xf>
    <xf numFmtId="38" fontId="0" fillId="22" borderId="20" xfId="0" applyNumberFormat="1" applyFill="1" applyBorder="1"/>
    <xf numFmtId="10" fontId="1" fillId="2" borderId="20" xfId="0" applyNumberFormat="1" applyFont="1" applyFill="1" applyBorder="1" applyAlignment="1">
      <alignment horizontal="center"/>
    </xf>
    <xf numFmtId="14" fontId="0" fillId="2" borderId="20" xfId="0" applyNumberFormat="1" applyFill="1" applyBorder="1"/>
    <xf numFmtId="10" fontId="0" fillId="22" borderId="20" xfId="0" applyNumberFormat="1" applyFill="1" applyBorder="1"/>
    <xf numFmtId="10" fontId="0" fillId="23" borderId="20" xfId="0" applyNumberFormat="1" applyFill="1" applyBorder="1"/>
    <xf numFmtId="10" fontId="0" fillId="17" borderId="20" xfId="0" applyNumberFormat="1" applyFill="1" applyBorder="1"/>
    <xf numFmtId="10" fontId="0" fillId="15" borderId="20" xfId="0" applyNumberFormat="1" applyFill="1" applyBorder="1"/>
    <xf numFmtId="14" fontId="0" fillId="15" borderId="20" xfId="0" applyNumberFormat="1" applyFill="1" applyBorder="1"/>
    <xf numFmtId="8" fontId="42" fillId="2" borderId="0" xfId="0" applyNumberFormat="1" applyFont="1" applyFill="1" applyAlignment="1">
      <alignment horizontal="left"/>
    </xf>
    <xf numFmtId="14" fontId="42" fillId="2" borderId="0" xfId="0" applyNumberFormat="1" applyFont="1" applyFill="1" applyAlignment="1">
      <alignment horizontal="left"/>
    </xf>
    <xf numFmtId="0" fontId="1" fillId="0" borderId="26" xfId="0" applyFont="1" applyBorder="1" applyAlignment="1">
      <alignment horizontal="center" wrapText="1"/>
    </xf>
    <xf numFmtId="0" fontId="1" fillId="0" borderId="28" xfId="0" applyFont="1" applyBorder="1" applyAlignment="1">
      <alignment horizontal="center" wrapText="1"/>
    </xf>
    <xf numFmtId="0" fontId="1" fillId="0" borderId="27" xfId="0" applyFont="1" applyBorder="1" applyAlignment="1">
      <alignment horizontal="center" wrapText="1"/>
    </xf>
    <xf numFmtId="166" fontId="0" fillId="0" borderId="1" xfId="0" applyNumberFormat="1" applyBorder="1"/>
    <xf numFmtId="0" fontId="0" fillId="0" borderId="7" xfId="0" applyBorder="1"/>
    <xf numFmtId="0" fontId="0" fillId="0" borderId="3" xfId="0" applyBorder="1" applyAlignment="1">
      <alignment horizontal="center" wrapText="1"/>
    </xf>
    <xf numFmtId="0" fontId="0" fillId="0" borderId="5" xfId="0" applyBorder="1" applyAlignment="1">
      <alignment horizontal="center" wrapText="1"/>
    </xf>
    <xf numFmtId="0" fontId="14" fillId="3" borderId="3" xfId="0" applyFont="1" applyFill="1" applyBorder="1" applyAlignment="1">
      <alignment horizontal="center" wrapText="1"/>
    </xf>
    <xf numFmtId="0" fontId="14" fillId="3" borderId="5" xfId="0" applyFont="1" applyFill="1" applyBorder="1" applyAlignment="1">
      <alignment horizontal="center" wrapText="1"/>
    </xf>
    <xf numFmtId="164" fontId="14" fillId="3" borderId="4" xfId="0" applyNumberFormat="1" applyFont="1" applyFill="1" applyBorder="1" applyAlignment="1">
      <alignment horizontal="right"/>
    </xf>
    <xf numFmtId="0" fontId="13" fillId="3" borderId="0" xfId="0" applyFont="1" applyFill="1" applyAlignment="1">
      <alignment horizontal="right"/>
    </xf>
    <xf numFmtId="0" fontId="14" fillId="3" borderId="4" xfId="0" applyFont="1" applyFill="1" applyBorder="1" applyAlignment="1">
      <alignment horizontal="right"/>
    </xf>
    <xf numFmtId="0" fontId="14" fillId="3" borderId="0" xfId="0" applyFont="1" applyFill="1" applyAlignment="1">
      <alignment horizontal="right"/>
    </xf>
    <xf numFmtId="164" fontId="13" fillId="14" borderId="26" xfId="0" applyNumberFormat="1" applyFont="1" applyFill="1" applyBorder="1"/>
    <xf numFmtId="164" fontId="13" fillId="14" borderId="27" xfId="0" applyNumberFormat="1" applyFont="1" applyFill="1" applyBorder="1"/>
    <xf numFmtId="3" fontId="13" fillId="0" borderId="0" xfId="0" applyNumberFormat="1" applyFont="1"/>
    <xf numFmtId="0" fontId="13" fillId="21" borderId="28" xfId="0" applyFont="1" applyFill="1" applyBorder="1" applyAlignment="1">
      <alignment horizontal="right"/>
    </xf>
    <xf numFmtId="0" fontId="0" fillId="21" borderId="28" xfId="0" applyFill="1" applyBorder="1"/>
    <xf numFmtId="0" fontId="14" fillId="0" borderId="9" xfId="0" applyFont="1" applyBorder="1" applyAlignment="1">
      <alignment horizontal="center"/>
    </xf>
    <xf numFmtId="0" fontId="14" fillId="0" borderId="26" xfId="0" applyFont="1" applyBorder="1" applyAlignment="1">
      <alignment horizontal="center"/>
    </xf>
    <xf numFmtId="0" fontId="1" fillId="0" borderId="27" xfId="0" applyFont="1" applyBorder="1" applyAlignment="1">
      <alignment horizontal="center"/>
    </xf>
    <xf numFmtId="14" fontId="14" fillId="2" borderId="26" xfId="0" applyNumberFormat="1" applyFont="1" applyFill="1" applyBorder="1" applyAlignment="1">
      <alignment horizontal="center" vertical="center"/>
    </xf>
    <xf numFmtId="0" fontId="0" fillId="2" borderId="27" xfId="0" applyFill="1" applyBorder="1" applyAlignment="1">
      <alignment vertical="center"/>
    </xf>
    <xf numFmtId="164" fontId="14"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4" fillId="0" borderId="0" xfId="0" applyNumberFormat="1" applyFont="1" applyAlignment="1">
      <alignment horizontal="center" wrapText="1"/>
    </xf>
    <xf numFmtId="0" fontId="1" fillId="0" borderId="1" xfId="0" applyFont="1" applyBorder="1" applyAlignment="1">
      <alignment horizontal="center" wrapText="1"/>
    </xf>
    <xf numFmtId="0" fontId="14" fillId="14" borderId="2" xfId="0" applyFont="1" applyFill="1" applyBorder="1" applyAlignment="1">
      <alignment horizontal="center" vertical="center" wrapText="1"/>
    </xf>
    <xf numFmtId="0" fontId="1" fillId="14" borderId="9" xfId="0" applyFont="1" applyFill="1" applyBorder="1" applyAlignment="1">
      <alignment horizontal="center" vertical="center" wrapText="1"/>
    </xf>
    <xf numFmtId="0" fontId="1" fillId="14" borderId="3" xfId="0" applyFont="1" applyFill="1" applyBorder="1" applyAlignment="1">
      <alignment horizontal="center" vertical="center" wrapText="1"/>
    </xf>
    <xf numFmtId="0" fontId="1" fillId="14" borderId="6" xfId="0" applyFont="1" applyFill="1" applyBorder="1" applyAlignment="1">
      <alignment horizontal="center" vertical="center" wrapText="1"/>
    </xf>
    <xf numFmtId="0" fontId="1" fillId="14" borderId="1" xfId="0" applyFont="1" applyFill="1" applyBorder="1" applyAlignment="1">
      <alignment horizontal="center" vertical="center" wrapText="1"/>
    </xf>
    <xf numFmtId="0" fontId="1" fillId="14" borderId="7" xfId="0" applyFont="1" applyFill="1" applyBorder="1" applyAlignment="1">
      <alignment horizontal="center" vertical="center" wrapText="1"/>
    </xf>
    <xf numFmtId="0" fontId="14" fillId="3" borderId="6" xfId="0" applyFont="1" applyFill="1" applyBorder="1" applyAlignment="1">
      <alignment horizontal="right"/>
    </xf>
    <xf numFmtId="0" fontId="13" fillId="3" borderId="1" xfId="0" applyFont="1" applyFill="1" applyBorder="1"/>
    <xf numFmtId="0" fontId="14" fillId="15" borderId="2" xfId="0" applyFont="1" applyFill="1" applyBorder="1" applyAlignment="1">
      <alignment horizontal="center" vertical="center" wrapText="1"/>
    </xf>
    <xf numFmtId="0" fontId="1" fillId="0" borderId="9" xfId="0" applyFont="1" applyBorder="1" applyAlignment="1">
      <alignment horizontal="center" vertical="center" wrapText="1"/>
    </xf>
    <xf numFmtId="0" fontId="1" fillId="0" borderId="3"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3" fillId="21" borderId="0" xfId="0" applyFont="1" applyFill="1" applyAlignment="1">
      <alignment horizontal="right"/>
    </xf>
    <xf numFmtId="0" fontId="0" fillId="21" borderId="0" xfId="0" applyFill="1"/>
    <xf numFmtId="0" fontId="13" fillId="3" borderId="28" xfId="0" applyFont="1" applyFill="1" applyBorder="1" applyAlignment="1">
      <alignment horizontal="right"/>
    </xf>
    <xf numFmtId="0" fontId="0" fillId="3" borderId="28" xfId="0" applyFill="1" applyBorder="1"/>
    <xf numFmtId="9" fontId="13" fillId="2" borderId="26" xfId="0" applyNumberFormat="1" applyFont="1" applyFill="1" applyBorder="1" applyAlignment="1">
      <alignment horizontal="right"/>
    </xf>
    <xf numFmtId="9" fontId="0" fillId="0" borderId="28" xfId="0" applyNumberFormat="1" applyBorder="1" applyAlignment="1">
      <alignment horizontal="right"/>
    </xf>
    <xf numFmtId="164" fontId="14" fillId="3" borderId="43" xfId="0" applyNumberFormat="1" applyFont="1" applyFill="1" applyBorder="1"/>
    <xf numFmtId="0" fontId="0" fillId="0" borderId="44" xfId="0" applyBorder="1"/>
    <xf numFmtId="9" fontId="13" fillId="15" borderId="26" xfId="0" applyNumberFormat="1" applyFont="1" applyFill="1" applyBorder="1" applyAlignment="1">
      <alignment horizontal="right"/>
    </xf>
    <xf numFmtId="9" fontId="0" fillId="15" borderId="27" xfId="0" applyNumberFormat="1" applyFill="1" applyBorder="1" applyAlignment="1">
      <alignment horizontal="right"/>
    </xf>
    <xf numFmtId="0" fontId="14" fillId="14" borderId="4" xfId="0" applyFont="1" applyFill="1" applyBorder="1" applyAlignment="1">
      <alignment horizontal="center" vertical="center" wrapText="1"/>
    </xf>
    <xf numFmtId="0" fontId="1" fillId="14" borderId="0" xfId="0" applyFont="1" applyFill="1" applyAlignment="1">
      <alignment horizontal="center" vertical="center" wrapText="1"/>
    </xf>
    <xf numFmtId="0" fontId="1" fillId="14" borderId="5" xfId="0" applyFont="1" applyFill="1" applyBorder="1" applyAlignment="1">
      <alignment horizontal="center" vertical="center" wrapText="1"/>
    </xf>
    <xf numFmtId="0" fontId="14" fillId="3" borderId="9" xfId="0" applyFont="1" applyFill="1" applyBorder="1" applyAlignment="1">
      <alignment horizontal="center" wrapText="1"/>
    </xf>
    <xf numFmtId="0" fontId="14" fillId="3" borderId="1" xfId="0" applyFont="1" applyFill="1" applyBorder="1" applyAlignment="1">
      <alignment horizontal="center" wrapText="1"/>
    </xf>
    <xf numFmtId="3" fontId="13" fillId="2" borderId="4" xfId="0" applyNumberFormat="1" applyFont="1" applyFill="1" applyBorder="1"/>
    <xf numFmtId="3" fontId="13" fillId="2" borderId="5" xfId="0" applyNumberFormat="1" applyFont="1" applyFill="1" applyBorder="1"/>
    <xf numFmtId="3" fontId="13" fillId="2" borderId="23" xfId="0" applyNumberFormat="1" applyFont="1" applyFill="1" applyBorder="1"/>
    <xf numFmtId="3" fontId="13" fillId="2" borderId="24" xfId="0" applyNumberFormat="1" applyFont="1" applyFill="1" applyBorder="1"/>
    <xf numFmtId="164" fontId="13" fillId="0" borderId="1" xfId="0" applyNumberFormat="1" applyFont="1" applyBorder="1"/>
    <xf numFmtId="0" fontId="13" fillId="0" borderId="1" xfId="0" applyFont="1" applyBorder="1"/>
    <xf numFmtId="3" fontId="13" fillId="0" borderId="1" xfId="0" applyNumberFormat="1" applyFont="1" applyBorder="1"/>
    <xf numFmtId="0" fontId="14" fillId="0" borderId="1" xfId="0" applyFont="1" applyBorder="1" applyAlignment="1">
      <alignment horizontal="center"/>
    </xf>
    <xf numFmtId="14" fontId="13" fillId="2" borderId="30" xfId="0" applyNumberFormat="1" applyFont="1" applyFill="1" applyBorder="1" applyAlignment="1">
      <alignment horizontal="center" vertical="center"/>
    </xf>
    <xf numFmtId="0" fontId="0" fillId="0" borderId="25" xfId="0" applyBorder="1" applyAlignment="1">
      <alignment horizontal="center" vertical="center"/>
    </xf>
    <xf numFmtId="164" fontId="13" fillId="0" borderId="11" xfId="0" applyNumberFormat="1" applyFont="1" applyBorder="1"/>
    <xf numFmtId="0" fontId="13" fillId="0" borderId="12" xfId="0" applyFont="1" applyBorder="1"/>
    <xf numFmtId="3" fontId="13" fillId="3" borderId="9" xfId="0" applyNumberFormat="1" applyFont="1" applyFill="1" applyBorder="1"/>
    <xf numFmtId="3" fontId="13" fillId="3" borderId="0" xfId="0" applyNumberFormat="1" applyFont="1" applyFill="1"/>
    <xf numFmtId="3" fontId="13" fillId="2" borderId="30" xfId="0" applyNumberFormat="1" applyFont="1" applyFill="1" applyBorder="1" applyAlignment="1">
      <alignment horizontal="center" vertical="center"/>
    </xf>
    <xf numFmtId="3" fontId="0" fillId="0" borderId="25" xfId="0" applyNumberFormat="1" applyBorder="1" applyAlignment="1">
      <alignment horizontal="center" vertical="center"/>
    </xf>
    <xf numFmtId="0" fontId="0" fillId="2" borderId="26" xfId="0" applyFill="1" applyBorder="1" applyAlignment="1">
      <alignment vertical="center"/>
    </xf>
    <xf numFmtId="0" fontId="0" fillId="0" borderId="27" xfId="0" applyBorder="1" applyAlignment="1">
      <alignment vertical="center"/>
    </xf>
    <xf numFmtId="164" fontId="14" fillId="0" borderId="26" xfId="0" applyNumberFormat="1" applyFont="1"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1" fillId="2" borderId="28" xfId="0" applyFont="1" applyFill="1" applyBorder="1" applyAlignment="1">
      <alignment horizontal="center"/>
    </xf>
    <xf numFmtId="0" fontId="0" fillId="0" borderId="27" xfId="0" applyBorder="1" applyAlignment="1">
      <alignment horizontal="center"/>
    </xf>
    <xf numFmtId="0" fontId="1" fillId="2" borderId="26" xfId="0" applyFont="1" applyFill="1" applyBorder="1" applyAlignment="1">
      <alignment horizontal="center"/>
    </xf>
    <xf numFmtId="0" fontId="0" fillId="0" borderId="28" xfId="0" applyBorder="1" applyAlignment="1">
      <alignment horizontal="center"/>
    </xf>
    <xf numFmtId="0" fontId="14" fillId="0" borderId="2" xfId="0" applyFont="1" applyBorder="1" applyAlignment="1">
      <alignment horizontal="center"/>
    </xf>
    <xf numFmtId="3" fontId="13" fillId="2" borderId="2" xfId="0" applyNumberFormat="1" applyFont="1" applyFill="1" applyBorder="1"/>
    <xf numFmtId="3" fontId="13" fillId="2" borderId="3" xfId="0" applyNumberFormat="1" applyFont="1" applyFill="1" applyBorder="1"/>
    <xf numFmtId="164" fontId="14" fillId="0" borderId="9" xfId="0" applyNumberFormat="1" applyFont="1" applyBorder="1" applyAlignment="1">
      <alignment horizontal="right"/>
    </xf>
    <xf numFmtId="0" fontId="14" fillId="0" borderId="9" xfId="0" applyFont="1" applyBorder="1" applyAlignment="1">
      <alignment horizontal="right"/>
    </xf>
    <xf numFmtId="164" fontId="13" fillId="15" borderId="6" xfId="0" applyNumberFormat="1" applyFont="1" applyFill="1" applyBorder="1"/>
    <xf numFmtId="0" fontId="13" fillId="15" borderId="7" xfId="0" applyFont="1" applyFill="1" applyBorder="1"/>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13" fillId="15" borderId="30" xfId="0" applyFont="1" applyFill="1" applyBorder="1" applyAlignment="1">
      <alignment horizontal="center" vertical="center" wrapText="1"/>
    </xf>
    <xf numFmtId="0" fontId="0" fillId="15" borderId="25" xfId="0" applyFill="1" applyBorder="1" applyAlignment="1">
      <alignment horizontal="center" vertical="center" wrapText="1"/>
    </xf>
    <xf numFmtId="3" fontId="13" fillId="2" borderId="6" xfId="0" applyNumberFormat="1" applyFont="1" applyFill="1" applyBorder="1"/>
    <xf numFmtId="3" fontId="13" fillId="2" borderId="7" xfId="0" applyNumberFormat="1" applyFont="1" applyFill="1" applyBorder="1"/>
    <xf numFmtId="0" fontId="14" fillId="0" borderId="0" xfId="0" applyFont="1" applyAlignment="1">
      <alignment horizontal="right"/>
    </xf>
    <xf numFmtId="0" fontId="13" fillId="0" borderId="0" xfId="0" applyFont="1"/>
    <xf numFmtId="9" fontId="13" fillId="2" borderId="30" xfId="0" applyNumberFormat="1" applyFont="1" applyFill="1" applyBorder="1" applyAlignment="1">
      <alignment horizontal="center"/>
    </xf>
    <xf numFmtId="9" fontId="0" fillId="0" borderId="25" xfId="0" applyNumberFormat="1" applyBorder="1" applyAlignment="1">
      <alignment horizontal="center"/>
    </xf>
    <xf numFmtId="0" fontId="14" fillId="2" borderId="2" xfId="0" applyFont="1" applyFill="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4" fillId="15" borderId="3" xfId="0" applyFont="1" applyFill="1" applyBorder="1" applyAlignment="1">
      <alignment horizontal="center" vertical="center" wrapText="1"/>
    </xf>
    <xf numFmtId="0" fontId="14" fillId="15" borderId="4" xfId="0" applyFont="1" applyFill="1" applyBorder="1" applyAlignment="1">
      <alignment horizontal="center" vertical="center" wrapText="1"/>
    </xf>
    <xf numFmtId="0" fontId="14" fillId="15" borderId="5" xfId="0" applyFont="1" applyFill="1" applyBorder="1" applyAlignment="1">
      <alignment horizontal="center" vertical="center" wrapText="1"/>
    </xf>
    <xf numFmtId="0" fontId="14" fillId="15" borderId="6" xfId="0" applyFont="1" applyFill="1" applyBorder="1" applyAlignment="1">
      <alignment horizontal="center" vertical="center" wrapText="1"/>
    </xf>
    <xf numFmtId="0" fontId="14" fillId="15" borderId="7" xfId="0" applyFont="1" applyFill="1" applyBorder="1" applyAlignment="1">
      <alignment horizontal="center" vertical="center" wrapText="1"/>
    </xf>
    <xf numFmtId="0" fontId="14" fillId="9" borderId="2" xfId="0" applyFont="1" applyFill="1" applyBorder="1" applyAlignment="1">
      <alignment horizontal="right" vertical="center" wrapText="1"/>
    </xf>
    <xf numFmtId="0" fontId="13" fillId="9" borderId="6" xfId="0" applyFont="1" applyFill="1" applyBorder="1" applyAlignment="1">
      <alignment horizontal="right" vertical="center" wrapText="1"/>
    </xf>
    <xf numFmtId="164" fontId="14" fillId="0" borderId="0" xfId="0" applyNumberFormat="1" applyFont="1" applyAlignment="1">
      <alignment horizontal="right"/>
    </xf>
    <xf numFmtId="164" fontId="13" fillId="15" borderId="30" xfId="0" applyNumberFormat="1" applyFont="1" applyFill="1" applyBorder="1" applyAlignment="1">
      <alignment horizontal="center" vertical="center" wrapText="1"/>
    </xf>
    <xf numFmtId="164" fontId="0" fillId="15" borderId="25" xfId="0" applyNumberFormat="1" applyFill="1" applyBorder="1" applyAlignment="1">
      <alignment horizontal="center" vertical="center" wrapText="1"/>
    </xf>
    <xf numFmtId="0" fontId="14"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13" fillId="15" borderId="26" xfId="0" applyFont="1" applyFill="1" applyBorder="1" applyAlignment="1">
      <alignment horizontal="left"/>
    </xf>
    <xf numFmtId="0" fontId="0" fillId="0" borderId="27" xfId="0" applyBorder="1" applyAlignment="1">
      <alignment horizontal="left"/>
    </xf>
    <xf numFmtId="14" fontId="13" fillId="2" borderId="26" xfId="0" applyNumberFormat="1" applyFont="1" applyFill="1" applyBorder="1" applyAlignment="1">
      <alignment horizontal="center" vertical="center"/>
    </xf>
    <xf numFmtId="164" fontId="13" fillId="15" borderId="26" xfId="0" applyNumberFormat="1" applyFont="1" applyFill="1" applyBorder="1"/>
    <xf numFmtId="0" fontId="13" fillId="15" borderId="27" xfId="0" applyFont="1" applyFill="1" applyBorder="1"/>
    <xf numFmtId="164" fontId="13" fillId="0" borderId="6" xfId="0" applyNumberFormat="1" applyFont="1" applyBorder="1"/>
    <xf numFmtId="0" fontId="13" fillId="0" borderId="7" xfId="0" applyFont="1" applyBorder="1"/>
    <xf numFmtId="3" fontId="13" fillId="15" borderId="2" xfId="0" applyNumberFormat="1" applyFont="1" applyFill="1" applyBorder="1"/>
    <xf numFmtId="0" fontId="13" fillId="15" borderId="3" xfId="0" applyFont="1" applyFill="1" applyBorder="1"/>
    <xf numFmtId="164" fontId="13" fillId="2" borderId="6" xfId="0" applyNumberFormat="1" applyFont="1" applyFill="1" applyBorder="1"/>
    <xf numFmtId="0" fontId="0" fillId="2" borderId="7" xfId="0" applyFill="1" applyBorder="1"/>
    <xf numFmtId="0" fontId="13" fillId="15" borderId="62" xfId="0" applyFont="1" applyFill="1" applyBorder="1" applyAlignment="1">
      <alignment horizontal="center" vertical="center" wrapText="1"/>
    </xf>
    <xf numFmtId="0" fontId="0" fillId="0" borderId="63" xfId="0" applyBorder="1"/>
    <xf numFmtId="0" fontId="25" fillId="2" borderId="1" xfId="0" applyFont="1" applyFill="1" applyBorder="1" applyAlignment="1">
      <alignment horizontal="left"/>
    </xf>
    <xf numFmtId="0" fontId="0" fillId="2" borderId="1" xfId="0" applyFill="1" applyBorder="1" applyAlignment="1">
      <alignment horizontal="left"/>
    </xf>
    <xf numFmtId="3" fontId="13" fillId="15" borderId="26" xfId="0" applyNumberFormat="1" applyFont="1" applyFill="1" applyBorder="1"/>
    <xf numFmtId="0" fontId="0" fillId="15" borderId="27" xfId="0" applyFill="1" applyBorder="1"/>
    <xf numFmtId="0" fontId="13" fillId="2" borderId="1" xfId="0" applyFont="1" applyFill="1" applyBorder="1"/>
    <xf numFmtId="164" fontId="13" fillId="2" borderId="4" xfId="0" applyNumberFormat="1" applyFont="1" applyFill="1" applyBorder="1"/>
    <xf numFmtId="0" fontId="13" fillId="2" borderId="7" xfId="0" applyFont="1" applyFill="1" applyBorder="1"/>
    <xf numFmtId="0" fontId="14" fillId="0" borderId="9" xfId="0" applyFont="1" applyBorder="1" applyAlignment="1">
      <alignment horizontal="center" wrapText="1"/>
    </xf>
    <xf numFmtId="0" fontId="13" fillId="0" borderId="3" xfId="0" applyFont="1" applyBorder="1"/>
    <xf numFmtId="164" fontId="13" fillId="2" borderId="2" xfId="0" applyNumberFormat="1" applyFont="1" applyFill="1" applyBorder="1"/>
    <xf numFmtId="0" fontId="13" fillId="2" borderId="9" xfId="0" applyFont="1" applyFill="1" applyBorder="1"/>
    <xf numFmtId="164" fontId="13" fillId="15" borderId="0" xfId="0" applyNumberFormat="1" applyFont="1" applyFill="1"/>
    <xf numFmtId="0" fontId="13" fillId="15" borderId="0" xfId="0" applyFont="1" applyFill="1"/>
    <xf numFmtId="3" fontId="1" fillId="0" borderId="26" xfId="0" applyNumberFormat="1" applyFont="1" applyBorder="1" applyAlignment="1">
      <alignment horizontal="center"/>
    </xf>
    <xf numFmtId="0" fontId="1" fillId="0" borderId="0" xfId="0" applyFont="1" applyAlignment="1">
      <alignment horizontal="right"/>
    </xf>
    <xf numFmtId="8" fontId="0" fillId="0" borderId="0" xfId="0" applyNumberFormat="1"/>
    <xf numFmtId="0" fontId="0" fillId="0" borderId="0" xfId="0"/>
    <xf numFmtId="3" fontId="0" fillId="15" borderId="26" xfId="0" applyNumberFormat="1" applyFill="1" applyBorder="1" applyAlignment="1">
      <alignment horizontal="center" vertical="center"/>
    </xf>
    <xf numFmtId="0" fontId="0" fillId="15" borderId="28" xfId="0" applyFill="1" applyBorder="1" applyAlignment="1">
      <alignment horizontal="center" vertical="center"/>
    </xf>
    <xf numFmtId="0" fontId="0" fillId="15" borderId="27" xfId="0" applyFill="1" applyBorder="1" applyAlignment="1">
      <alignment horizontal="center" vertical="center"/>
    </xf>
    <xf numFmtId="0" fontId="0" fillId="15" borderId="28" xfId="0" applyFill="1" applyBorder="1"/>
    <xf numFmtId="4" fontId="1" fillId="0" borderId="26" xfId="0" applyNumberFormat="1" applyFont="1" applyBorder="1" applyAlignment="1">
      <alignment horizontal="center"/>
    </xf>
    <xf numFmtId="4" fontId="1" fillId="0" borderId="28" xfId="0" applyNumberFormat="1" applyFont="1" applyBorder="1" applyAlignment="1">
      <alignment horizontal="center"/>
    </xf>
    <xf numFmtId="4" fontId="0" fillId="0" borderId="28" xfId="0" applyNumberFormat="1" applyBorder="1"/>
    <xf numFmtId="4" fontId="0" fillId="0" borderId="27" xfId="0" applyNumberFormat="1" applyBorder="1"/>
    <xf numFmtId="3" fontId="1" fillId="0" borderId="6" xfId="0" applyNumberFormat="1" applyFont="1" applyBorder="1" applyAlignment="1">
      <alignment horizontal="center"/>
    </xf>
    <xf numFmtId="0" fontId="1" fillId="0" borderId="7" xfId="0" applyFont="1" applyBorder="1" applyAlignment="1">
      <alignment horizontal="center"/>
    </xf>
    <xf numFmtId="0" fontId="1" fillId="0" borderId="1" xfId="0" applyFont="1" applyBorder="1" applyAlignment="1">
      <alignment horizontal="center"/>
    </xf>
    <xf numFmtId="0" fontId="0" fillId="0" borderId="1" xfId="0" applyBorder="1"/>
    <xf numFmtId="3" fontId="1" fillId="0" borderId="0" xfId="0" applyNumberFormat="1" applyFont="1" applyAlignment="1">
      <alignment horizontal="center" wrapText="1"/>
    </xf>
    <xf numFmtId="0" fontId="1" fillId="0" borderId="0" xfId="0" applyFont="1" applyAlignment="1">
      <alignment horizontal="center" wrapText="1"/>
    </xf>
    <xf numFmtId="38" fontId="0" fillId="2" borderId="30" xfId="0" applyNumberFormat="1" applyFill="1" applyBorder="1" applyAlignment="1">
      <alignment horizontal="center" vertical="center"/>
    </xf>
    <xf numFmtId="3" fontId="0" fillId="2" borderId="26" xfId="0" applyNumberFormat="1" applyFill="1" applyBorder="1"/>
    <xf numFmtId="3" fontId="0" fillId="0" borderId="27" xfId="0" applyNumberFormat="1" applyBorder="1"/>
    <xf numFmtId="9" fontId="0" fillId="2" borderId="26" xfId="0" applyNumberFormat="1" applyFill="1" applyBorder="1"/>
    <xf numFmtId="9" fontId="0" fillId="0" borderId="27" xfId="0" applyNumberFormat="1" applyBorder="1"/>
    <xf numFmtId="3" fontId="0" fillId="15" borderId="26" xfId="0" applyNumberFormat="1" applyFill="1" applyBorder="1"/>
    <xf numFmtId="3" fontId="0" fillId="15" borderId="27" xfId="0" applyNumberFormat="1" applyFill="1" applyBorder="1"/>
    <xf numFmtId="3" fontId="0" fillId="0" borderId="0" xfId="0" applyNumberFormat="1" applyAlignment="1">
      <alignment horizontal="right"/>
    </xf>
    <xf numFmtId="0" fontId="0" fillId="0" borderId="5" xfId="0" applyBorder="1" applyAlignment="1">
      <alignment horizontal="right"/>
    </xf>
    <xf numFmtId="3" fontId="0" fillId="0" borderId="26" xfId="0" applyNumberFormat="1" applyBorder="1" applyAlignment="1">
      <alignment horizontal="right"/>
    </xf>
    <xf numFmtId="3" fontId="0" fillId="0" borderId="27" xfId="0" applyNumberFormat="1" applyBorder="1" applyAlignment="1">
      <alignment horizontal="right"/>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horizontal="left" vertical="top" wrapText="1"/>
    </xf>
    <xf numFmtId="0" fontId="0" fillId="0" borderId="0" xfId="0" applyAlignment="1">
      <alignment vertical="top"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46"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25" fillId="12" borderId="2" xfId="0" applyFont="1" applyFill="1" applyBorder="1" applyAlignment="1" applyProtection="1">
      <alignment horizontal="center" vertical="center"/>
      <protection locked="0"/>
    </xf>
    <xf numFmtId="0" fontId="0" fillId="0" borderId="9" xfId="0" applyBorder="1"/>
    <xf numFmtId="0" fontId="25" fillId="29" borderId="2" xfId="0" applyFont="1" applyFill="1" applyBorder="1" applyAlignment="1" applyProtection="1">
      <alignment horizontal="center" vertical="center" wrapText="1"/>
      <protection locked="0"/>
    </xf>
    <xf numFmtId="0" fontId="25" fillId="12" borderId="9" xfId="0" applyFont="1" applyFill="1" applyBorder="1" applyAlignment="1" applyProtection="1">
      <alignment horizontal="center" vertical="center"/>
      <protection locked="0"/>
    </xf>
    <xf numFmtId="0" fontId="25" fillId="12" borderId="3" xfId="0" applyFont="1" applyFill="1" applyBorder="1" applyAlignment="1" applyProtection="1">
      <alignment horizontal="center" vertical="center"/>
      <protection locked="0"/>
    </xf>
    <xf numFmtId="0" fontId="25" fillId="12" borderId="4" xfId="0" applyFont="1" applyFill="1" applyBorder="1" applyAlignment="1" applyProtection="1">
      <alignment horizontal="center" vertical="center"/>
      <protection locked="0"/>
    </xf>
    <xf numFmtId="0" fontId="25" fillId="12" borderId="0" xfId="0" applyFont="1" applyFill="1" applyAlignment="1" applyProtection="1">
      <alignment horizontal="center" vertical="center"/>
      <protection locked="0"/>
    </xf>
    <xf numFmtId="0" fontId="25" fillId="12" borderId="5" xfId="0" applyFont="1" applyFill="1" applyBorder="1" applyAlignment="1" applyProtection="1">
      <alignment horizontal="center" vertical="center"/>
      <protection locked="0"/>
    </xf>
    <xf numFmtId="0" fontId="25" fillId="12" borderId="6" xfId="0" applyFont="1" applyFill="1" applyBorder="1" applyAlignment="1" applyProtection="1">
      <alignment horizontal="center" vertical="center"/>
      <protection locked="0"/>
    </xf>
    <xf numFmtId="0" fontId="25" fillId="12" borderId="1" xfId="0" applyFont="1" applyFill="1" applyBorder="1" applyAlignment="1" applyProtection="1">
      <alignment horizontal="center" vertical="center"/>
      <protection locked="0"/>
    </xf>
    <xf numFmtId="0" fontId="25" fillId="12" borderId="7" xfId="0" applyFont="1" applyFill="1" applyBorder="1" applyAlignment="1" applyProtection="1">
      <alignment horizontal="center" vertical="center"/>
      <protection locked="0"/>
    </xf>
    <xf numFmtId="0" fontId="25" fillId="29" borderId="9" xfId="0" applyFont="1" applyFill="1" applyBorder="1" applyAlignment="1" applyProtection="1">
      <alignment horizontal="center" vertical="center" wrapText="1"/>
      <protection locked="0"/>
    </xf>
    <xf numFmtId="0" fontId="25" fillId="29" borderId="3" xfId="0" applyFont="1" applyFill="1" applyBorder="1" applyAlignment="1" applyProtection="1">
      <alignment horizontal="center" vertical="center" wrapText="1"/>
      <protection locked="0"/>
    </xf>
    <xf numFmtId="0" fontId="25" fillId="29" borderId="4" xfId="0" applyFont="1" applyFill="1" applyBorder="1" applyAlignment="1" applyProtection="1">
      <alignment horizontal="center" vertical="center" wrapText="1"/>
      <protection locked="0"/>
    </xf>
    <xf numFmtId="0" fontId="25" fillId="29" borderId="0" xfId="0" applyFont="1" applyFill="1" applyAlignment="1" applyProtection="1">
      <alignment horizontal="center" vertical="center" wrapText="1"/>
      <protection locked="0"/>
    </xf>
    <xf numFmtId="0" fontId="25" fillId="29" borderId="5" xfId="0" applyFont="1" applyFill="1" applyBorder="1" applyAlignment="1" applyProtection="1">
      <alignment horizontal="center" vertical="center" wrapText="1"/>
      <protection locked="0"/>
    </xf>
    <xf numFmtId="0" fontId="25" fillId="29" borderId="6" xfId="0" applyFont="1" applyFill="1" applyBorder="1" applyAlignment="1" applyProtection="1">
      <alignment horizontal="center" vertical="center" wrapText="1"/>
      <protection locked="0"/>
    </xf>
    <xf numFmtId="0" fontId="25" fillId="29" borderId="1" xfId="0" applyFont="1" applyFill="1" applyBorder="1" applyAlignment="1" applyProtection="1">
      <alignment horizontal="center" vertical="center" wrapText="1"/>
      <protection locked="0"/>
    </xf>
    <xf numFmtId="0" fontId="25" fillId="29" borderId="7" xfId="0" applyFont="1" applyFill="1" applyBorder="1" applyAlignment="1" applyProtection="1">
      <alignment horizontal="center" vertical="center" wrapText="1"/>
      <protection locked="0"/>
    </xf>
    <xf numFmtId="164" fontId="0" fillId="20" borderId="0" xfId="0" applyNumberFormat="1" applyFill="1" applyAlignment="1">
      <alignment horizontal="right"/>
    </xf>
    <xf numFmtId="0" fontId="0" fillId="0" borderId="0" xfId="0" applyAlignment="1">
      <alignment horizontal="right"/>
    </xf>
    <xf numFmtId="0" fontId="1" fillId="0" borderId="0" xfId="0" applyFont="1" applyAlignment="1">
      <alignment horizontal="right" vertical="center" wrapText="1"/>
    </xf>
    <xf numFmtId="0" fontId="0" fillId="0" borderId="0" xfId="0" applyAlignment="1">
      <alignment horizontal="right" vertical="center"/>
    </xf>
    <xf numFmtId="0" fontId="26" fillId="0" borderId="0" xfId="0" applyFont="1" applyAlignment="1">
      <alignment horizontal="center"/>
    </xf>
    <xf numFmtId="166" fontId="0" fillId="20" borderId="0" xfId="0" applyNumberFormat="1" applyFill="1"/>
    <xf numFmtId="166" fontId="0" fillId="0" borderId="0" xfId="0" applyNumberFormat="1"/>
    <xf numFmtId="0" fontId="1" fillId="26" borderId="4" xfId="0" applyFont="1" applyFill="1" applyBorder="1" applyAlignment="1">
      <alignment horizontal="right" vertical="center" wrapText="1"/>
    </xf>
    <xf numFmtId="164" fontId="0" fillId="20" borderId="0" xfId="0" applyNumberFormat="1" applyFill="1"/>
    <xf numFmtId="164" fontId="0" fillId="0" borderId="0" xfId="0" applyNumberFormat="1"/>
    <xf numFmtId="0" fontId="1" fillId="15" borderId="4" xfId="3" applyFont="1" applyFill="1" applyBorder="1" applyAlignment="1" applyProtection="1">
      <alignment horizontal="right" vertical="center"/>
    </xf>
    <xf numFmtId="171" fontId="1" fillId="15" borderId="4" xfId="3" applyNumberFormat="1" applyFont="1" applyFill="1" applyBorder="1" applyAlignment="1" applyProtection="1">
      <alignment horizontal="right" vertical="center"/>
    </xf>
    <xf numFmtId="0" fontId="1" fillId="3" borderId="4" xfId="0" applyFont="1" applyFill="1" applyBorder="1" applyAlignment="1">
      <alignment horizontal="right" vertical="center" wrapText="1"/>
    </xf>
    <xf numFmtId="0" fontId="0" fillId="0" borderId="0" xfId="0" applyAlignment="1">
      <alignment horizontal="right" vertical="center" wrapText="1"/>
    </xf>
    <xf numFmtId="0" fontId="1" fillId="20" borderId="4" xfId="0" applyFont="1" applyFill="1" applyBorder="1" applyAlignment="1">
      <alignment horizontal="right" vertical="center" wrapText="1"/>
    </xf>
    <xf numFmtId="0" fontId="24" fillId="0" borderId="0" xfId="5" applyFont="1" applyAlignment="1">
      <alignment horizontal="center" wrapText="1"/>
    </xf>
    <xf numFmtId="4" fontId="0" fillId="0" borderId="0" xfId="0" applyNumberFormat="1" applyAlignment="1">
      <alignment horizontal="right" vertical="center"/>
    </xf>
    <xf numFmtId="0" fontId="1" fillId="22" borderId="4" xfId="0" applyFont="1" applyFill="1" applyBorder="1" applyAlignment="1">
      <alignment horizontal="right" vertical="center" wrapText="1"/>
    </xf>
    <xf numFmtId="166" fontId="1" fillId="0" borderId="0" xfId="0" applyNumberFormat="1" applyFont="1" applyAlignment="1">
      <alignment horizontal="right"/>
    </xf>
    <xf numFmtId="0" fontId="14" fillId="15" borderId="30" xfId="0" applyFont="1" applyFill="1" applyBorder="1" applyAlignment="1">
      <alignment horizontal="center" vertical="center" wrapText="1"/>
    </xf>
    <xf numFmtId="0" fontId="1" fillId="15" borderId="25" xfId="0" applyFont="1" applyFill="1" applyBorder="1" applyAlignment="1">
      <alignment horizontal="center" vertical="center" wrapText="1"/>
    </xf>
    <xf numFmtId="0" fontId="14" fillId="2" borderId="30"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25"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5" borderId="28" xfId="0" applyNumberFormat="1" applyFont="1" applyFill="1" applyBorder="1"/>
    <xf numFmtId="0" fontId="0" fillId="0" borderId="27" xfId="0" applyBorder="1"/>
    <xf numFmtId="3" fontId="11" fillId="3" borderId="26" xfId="0" applyNumberFormat="1" applyFont="1" applyFill="1" applyBorder="1" applyAlignment="1">
      <alignment horizontal="center"/>
    </xf>
    <xf numFmtId="0" fontId="4" fillId="3" borderId="28" xfId="0" applyFont="1" applyFill="1" applyBorder="1" applyAlignment="1">
      <alignment horizontal="center"/>
    </xf>
    <xf numFmtId="0" fontId="4" fillId="3" borderId="27" xfId="0" applyFont="1" applyFill="1" applyBorder="1" applyAlignment="1">
      <alignment horizontal="center"/>
    </xf>
    <xf numFmtId="0" fontId="1" fillId="15" borderId="26" xfId="0" applyFont="1" applyFill="1" applyBorder="1" applyAlignment="1">
      <alignment horizontal="center" vertical="center" wrapText="1"/>
    </xf>
    <xf numFmtId="0" fontId="0" fillId="0" borderId="27" xfId="0" applyBorder="1" applyAlignment="1">
      <alignment horizontal="center" wrapText="1"/>
    </xf>
    <xf numFmtId="3" fontId="1" fillId="15" borderId="4" xfId="0" applyNumberFormat="1" applyFont="1" applyFill="1" applyBorder="1"/>
    <xf numFmtId="3" fontId="16" fillId="11" borderId="26" xfId="0" applyNumberFormat="1" applyFont="1" applyFill="1" applyBorder="1" applyAlignment="1">
      <alignment horizontal="center"/>
    </xf>
    <xf numFmtId="164" fontId="1" fillId="15" borderId="27" xfId="0" applyNumberFormat="1" applyFont="1" applyFill="1" applyBorder="1"/>
    <xf numFmtId="3" fontId="11" fillId="3" borderId="28" xfId="0" applyNumberFormat="1" applyFont="1" applyFill="1" applyBorder="1" applyAlignment="1">
      <alignment horizontal="center"/>
    </xf>
    <xf numFmtId="3" fontId="11" fillId="3" borderId="27" xfId="0" applyNumberFormat="1" applyFont="1" applyFill="1" applyBorder="1" applyAlignment="1">
      <alignment horizontal="center"/>
    </xf>
    <xf numFmtId="0" fontId="1" fillId="15" borderId="27" xfId="0" applyFont="1" applyFill="1" applyBorder="1" applyAlignment="1">
      <alignment horizontal="center" vertical="center" wrapText="1"/>
    </xf>
    <xf numFmtId="3" fontId="16" fillId="11" borderId="28" xfId="0" applyNumberFormat="1" applyFont="1" applyFill="1" applyBorder="1" applyAlignment="1">
      <alignment horizontal="center"/>
    </xf>
    <xf numFmtId="3" fontId="16" fillId="11" borderId="27" xfId="0" applyNumberFormat="1" applyFont="1" applyFill="1" applyBorder="1" applyAlignment="1">
      <alignment horizontal="center"/>
    </xf>
    <xf numFmtId="3" fontId="1" fillId="15" borderId="0" xfId="0" applyNumberFormat="1" applyFont="1" applyFill="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246">
    <dxf>
      <numFmt numFmtId="3" formatCode="#,##0"/>
    </dxf>
    <dxf>
      <font>
        <b val="0"/>
        <i val="0"/>
        <strike val="0"/>
        <condense val="0"/>
        <extend val="0"/>
        <outline val="0"/>
        <shadow val="0"/>
        <u val="none"/>
        <vertAlign val="baseline"/>
        <sz val="11"/>
        <color theme="1"/>
        <name val="Calibri"/>
        <family val="2"/>
        <scheme val="minor"/>
      </font>
      <numFmt numFmtId="3" formatCode="#,##0"/>
      <fill>
        <patternFill patternType="solid">
          <fgColor theme="9" tint="0.79998168889431442"/>
          <bgColor theme="9" tint="0.79998168889431442"/>
        </patternFill>
      </fill>
      <border diagonalUp="0" diagonalDown="0">
        <left/>
        <right style="thin">
          <color theme="9" tint="0.39997558519241921"/>
        </right>
        <top/>
        <bottom/>
        <vertical/>
        <horizontal/>
      </border>
    </dxf>
    <dxf>
      <numFmt numFmtId="0" formatCode="General"/>
    </dxf>
    <dxf>
      <numFmt numFmtId="3" formatCode="#,##0"/>
    </dxf>
    <dxf>
      <alignment horizontal="center" vertical="bottom" textRotation="0" wrapText="0" indent="0" justifyLastLine="0" shrinkToFit="0" readingOrder="0"/>
    </dxf>
    <dxf>
      <fill>
        <patternFill>
          <bgColor theme="0" tint="-4.9989318521683403E-2"/>
        </patternFill>
      </fill>
      <border>
        <left/>
        <right/>
        <top/>
        <bottom/>
        <vertical/>
        <horizontal/>
      </border>
    </dxf>
    <dxf>
      <alignment horizontal="general" vertical="bottom" textRotation="0" wrapText="1" indent="0" justifyLastLine="0" shrinkToFit="0" readingOrder="0"/>
    </dxf>
    <dxf>
      <alignment horizontal="general" vertical="bottom" textRotation="0" wrapText="1"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border diagonalUp="0" diagonalDown="0" outline="0">
        <left style="thin">
          <color theme="6" tint="0.39997558519241921"/>
        </left>
        <right style="thin">
          <color theme="6" tint="0.39997558519241921"/>
        </right>
        <top style="thin">
          <color theme="6" tint="0.39997558519241921"/>
        </top>
        <bottom style="thin">
          <color theme="6" tint="0.39997558519241921"/>
        </bottom>
      </border>
    </dxf>
    <dxf>
      <numFmt numFmtId="1" formatCode="0"/>
      <alignment horizontal="right"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numFmt numFmtId="1" formatCode="0"/>
      <alignment horizontal="right" vertical="center" textRotation="0" wrapText="0" indent="0" justifyLastLine="0" shrinkToFit="0" readingOrder="0"/>
      <border diagonalUp="0" diagonalDown="0" outline="0">
        <left style="thin">
          <color theme="6" tint="0.39997558519241921"/>
        </left>
        <right style="thin">
          <color theme="6" tint="0.39997558519241921"/>
        </right>
        <top style="thin">
          <color theme="6" tint="0.39997558519241921"/>
        </top>
        <bottom style="thin">
          <color theme="6" tint="0.39997558519241921"/>
        </bottom>
      </border>
    </dxf>
    <dxf>
      <numFmt numFmtId="1" formatCode="0"/>
      <alignment horizontal="right"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numFmt numFmtId="1" formatCode="0"/>
      <alignment horizontal="right" vertical="center" textRotation="0" wrapText="0" indent="0" justifyLastLine="0" shrinkToFit="0" readingOrder="0"/>
      <border diagonalUp="0" diagonalDown="0" outline="0">
        <left style="thin">
          <color theme="6" tint="0.39997558519241921"/>
        </left>
        <right style="thin">
          <color theme="6" tint="0.39997558519241921"/>
        </right>
        <top style="thin">
          <color theme="6" tint="0.39997558519241921"/>
        </top>
        <bottom style="thin">
          <color theme="6" tint="0.39997558519241921"/>
        </bottom>
      </border>
    </dxf>
    <dxf>
      <numFmt numFmtId="1" formatCode="0"/>
      <alignment horizontal="right"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alignment horizontal="center" vertical="center" textRotation="0" wrapText="0" indent="0" justifyLastLine="0" shrinkToFit="0" readingOrder="0"/>
      <border diagonalUp="0" diagonalDown="0" outline="0">
        <left style="thin">
          <color theme="6" tint="0.39997558519241921"/>
        </left>
        <right style="thin">
          <color theme="6" tint="0.39997558519241921"/>
        </right>
        <top style="thin">
          <color theme="6" tint="0.39997558519241921"/>
        </top>
        <bottom style="thin">
          <color theme="6" tint="0.39997558519241921"/>
        </bottom>
      </border>
    </dxf>
    <dxf>
      <numFmt numFmtId="0" formatCode="General"/>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alignment horizontal="center" vertical="center" textRotation="0" wrapText="0" indent="0" justifyLastLine="0" shrinkToFit="0" readingOrder="0"/>
      <border diagonalUp="0" diagonalDown="0" outline="0">
        <left style="thin">
          <color theme="6" tint="0.39997558519241921"/>
        </left>
        <right style="thin">
          <color theme="6" tint="0.39997558519241921"/>
        </right>
        <top style="thin">
          <color theme="6" tint="0.39997558519241921"/>
        </top>
        <bottom style="thin">
          <color theme="6" tint="0.39997558519241921"/>
        </bottom>
      </border>
    </dxf>
    <dxf>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alignment horizontal="center" vertical="center" textRotation="0" wrapText="0" indent="0" justifyLastLine="0" shrinkToFit="0" readingOrder="0"/>
      <border diagonalUp="0" diagonalDown="0" outline="0">
        <left style="thin">
          <color theme="6" tint="0.39997558519241921"/>
        </left>
        <right style="thin">
          <color theme="6" tint="0.39997558519241921"/>
        </right>
        <top style="thin">
          <color theme="6" tint="0.39997558519241921"/>
        </top>
        <bottom style="thin">
          <color theme="6" tint="0.39997558519241921"/>
        </bottom>
      </border>
    </dxf>
    <dxf>
      <numFmt numFmtId="0" formatCode="General"/>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numFmt numFmtId="0" formatCode="General"/>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alignment horizontal="center" vertical="bottom" textRotation="0" wrapText="0" indent="0" justifyLastLine="0" shrinkToFit="0" readingOrder="0"/>
    </dxf>
    <dxf>
      <numFmt numFmtId="1" formatCode="0"/>
      <fill>
        <patternFill patternType="solid">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general" vertical="center" textRotation="0" wrapText="0" indent="0" justifyLastLine="0" shrinkToFit="0" readingOrder="0"/>
    </dxf>
    <dxf>
      <numFmt numFmtId="1" formatCode="0"/>
      <fill>
        <patternFill patternType="solid">
          <fgColor indexed="64"/>
          <bgColor rgb="FFFFFF00"/>
        </patternFill>
      </fill>
      <alignment horizontal="general" vertical="center" textRotation="0" wrapText="0" indent="0" justifyLastLine="0" shrinkToFit="0" readingOrder="0"/>
    </dxf>
    <dxf>
      <numFmt numFmtId="167" formatCode="m/d/yy;@"/>
      <fill>
        <patternFill patternType="solid">
          <fgColor indexed="64"/>
          <bgColor rgb="FFFFFF00"/>
        </patternFill>
      </fill>
      <alignment horizontal="right" vertical="center" textRotation="0" wrapText="0" indent="0" justifyLastLine="0" shrinkToFit="0" readingOrder="0"/>
    </dxf>
    <dxf>
      <numFmt numFmtId="4" formatCode="#,##0.00"/>
      <fill>
        <patternFill patternType="solid">
          <fgColor indexed="64"/>
          <bgColor rgb="FFFFFF00"/>
        </patternFill>
      </fill>
      <alignment horizontal="right" vertical="center" textRotation="0" wrapText="0" indent="0" justifyLastLine="0" shrinkToFit="0" readingOrder="0"/>
    </dxf>
    <dxf>
      <numFmt numFmtId="167" formatCode="m/d/yy;@"/>
      <fill>
        <patternFill patternType="solid">
          <fgColor indexed="64"/>
          <bgColor rgb="FFFFFF00"/>
        </patternFill>
      </fill>
      <alignment horizontal="right" vertical="center" textRotation="0" wrapText="0" indent="0" justifyLastLine="0" shrinkToFit="0" readingOrder="0"/>
    </dxf>
    <dxf>
      <numFmt numFmtId="167" formatCode="m/d/yy;@"/>
      <fill>
        <patternFill patternType="none">
          <fgColor indexed="64"/>
          <bgColor auto="1"/>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C00000"/>
        </patternFill>
      </fill>
    </dxf>
    <dxf>
      <font>
        <b/>
        <strike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dxf>
    <dxf>
      <alignment horizontal="right" vertical="center" textRotation="0" wrapText="0" indent="0" justifyLastLine="0" shrinkToFit="0" readingOrder="0"/>
    </dxf>
    <dxf>
      <numFmt numFmtId="0" formatCode="General"/>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center" textRotation="0" wrapText="0" indent="0" justifyLastLine="0" shrinkToFit="0" readingOrder="0"/>
    </dxf>
    <dxf>
      <numFmt numFmtId="4" formatCode="#,##0.00"/>
      <alignment horizontal="center" vertical="center" textRotation="0" wrapText="0" indent="0" justifyLastLine="0" shrinkToFit="0" readingOrder="0"/>
    </dxf>
    <dxf>
      <numFmt numFmtId="1" formatCode="0"/>
      <alignment horizontal="righ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4" formatCode="#,##0.00"/>
      <fill>
        <patternFill patternType="solid">
          <fgColor indexed="64"/>
          <bgColor rgb="FFFFFF00"/>
        </patternFill>
      </fill>
      <alignment horizontal="center" vertical="center" textRotation="0" wrapText="0" indent="0" justifyLastLine="0" shrinkToFit="0" readingOrder="0"/>
    </dxf>
    <dxf>
      <numFmt numFmtId="1" formatCode="0"/>
      <alignment horizontal="righ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4" formatCode="#,##0.00"/>
      <fill>
        <patternFill patternType="solid">
          <fgColor indexed="64"/>
          <bgColor rgb="FFFFFF00"/>
        </patternFill>
      </fill>
      <alignment horizontal="center" vertical="center" textRotation="0" wrapText="0" indent="0" justifyLastLine="0" shrinkToFit="0" readingOrder="0"/>
    </dxf>
    <dxf>
      <numFmt numFmtId="1" formatCode="0"/>
      <alignment horizontal="right" vertical="center" textRotation="0" wrapText="0" indent="0" justifyLastLine="0" shrinkToFit="0" readingOrder="0"/>
    </dxf>
    <dxf>
      <font>
        <b/>
        <strike val="0"/>
        <outline val="0"/>
        <shadow val="0"/>
        <u val="none"/>
        <vertAlign val="baseline"/>
        <sz val="11"/>
        <color theme="1"/>
        <name val="Calibri"/>
        <family val="2"/>
        <scheme val="minor"/>
      </font>
      <numFmt numFmtId="169" formatCode="m/d;@"/>
      <fill>
        <patternFill patternType="none">
          <fgColor indexed="64"/>
          <bgColor auto="1"/>
        </patternFill>
      </fill>
      <alignment horizontal="right" vertical="bottom" textRotation="0" wrapText="0" indent="0" justifyLastLine="0" shrinkToFit="0" readingOrder="0"/>
    </dxf>
    <dxf>
      <numFmt numFmtId="1" formatCode="0"/>
      <alignment horizontal="right" vertical="center" textRotation="0" wrapText="0" indent="0" justifyLastLine="0" shrinkToFit="0" readingOrder="0"/>
    </dxf>
    <dxf>
      <numFmt numFmtId="1" formatCode="0"/>
      <fill>
        <patternFill patternType="solid">
          <fgColor indexed="64"/>
          <bgColor rgb="FFFFFF00"/>
        </patternFill>
      </fill>
      <alignment horizontal="center"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fill>
        <patternFill patternType="solid">
          <fgColor indexed="64"/>
          <bgColor rgb="FFFFFF00"/>
        </patternFill>
      </fill>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bottom" textRotation="0" wrapText="0" indent="0" justifyLastLine="0" shrinkToFit="0" readingOrder="0"/>
    </dxf>
    <dxf>
      <numFmt numFmtId="176" formatCode="0.0000000"/>
      <alignment horizontal="right" vertical="center"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auto="1"/>
        <name val="Calibri"/>
        <family val="2"/>
        <scheme val="minor"/>
      </font>
      <numFmt numFmtId="1" formatCode="0"/>
      <fill>
        <patternFill patternType="none">
          <fgColor indexed="64"/>
          <bgColor auto="1"/>
        </patternFill>
      </fill>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169" formatCode="m/d;@"/>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169" formatCode="m/d;@"/>
      <fill>
        <patternFill patternType="none">
          <fgColor indexed="64"/>
          <bgColor auto="1"/>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border diagonalUp="0" diagonalDown="0">
        <left/>
        <right/>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169" formatCode="m/d;@"/>
      <alignment horizontal="center"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169" formatCode="m/d;@"/>
      <alignment horizontal="center" vertical="center" textRotation="0" wrapText="0" indent="0" justifyLastLine="0" shrinkToFit="0" readingOrder="0"/>
      <border diagonalUp="0" diagonalDown="0">
        <left/>
        <right/>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169" formatCode="m/d;@"/>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1" formatCode="0"/>
      <alignment horizontal="right"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1"/>
        <color auto="1"/>
        <name val="Calibri"/>
        <family val="2"/>
        <scheme val="minor"/>
      </font>
      <numFmt numFmtId="1" formatCode="0"/>
      <fill>
        <patternFill patternType="none">
          <fgColor indexed="64"/>
          <bgColor auto="1"/>
        </patternFill>
      </fill>
      <alignment horizontal="righ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fill>
        <patternFill patternType="none">
          <fgColor indexed="64"/>
          <bgColor auto="1"/>
        </patternFill>
      </fill>
    </dxf>
    <dxf>
      <font>
        <b/>
        <i val="0"/>
        <strike val="0"/>
        <condense val="0"/>
        <extend val="0"/>
        <outline val="0"/>
        <shadow val="0"/>
        <u val="none"/>
        <vertAlign val="baseline"/>
        <sz val="11"/>
        <color auto="1"/>
        <name val="Calibri"/>
        <family val="2"/>
        <scheme val="minor"/>
      </font>
      <fill>
        <patternFill patternType="solid">
          <fgColor indexed="64"/>
          <bgColor rgb="FFFFFF00"/>
        </patternFill>
      </fill>
      <border diagonalUp="0" diagonalDown="0" outline="0">
        <left style="thin">
          <color auto="1"/>
        </left>
        <right style="thin">
          <color auto="1"/>
        </right>
        <top/>
        <bottom/>
      </border>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theme="5" tint="0.59996337778862885"/>
        </patternFill>
      </fill>
    </dxf>
    <dxf>
      <fill>
        <patternFill>
          <bgColor theme="4" tint="0.79998168889431442"/>
        </patternFill>
      </fill>
    </dxf>
    <dxf>
      <fill>
        <patternFill>
          <bgColor theme="4" tint="0.79998168889431442"/>
        </patternFill>
      </fill>
      <border>
        <left style="thin">
          <color rgb="FFFF0000"/>
        </left>
        <right style="thin">
          <color rgb="FFFF0000"/>
        </right>
        <top style="thin">
          <color rgb="FFFF0000"/>
        </top>
        <bottom style="thin">
          <color rgb="FFFF0000"/>
        </bottom>
      </border>
    </dxf>
    <dxf>
      <fill>
        <patternFill>
          <bgColor rgb="FFFF0000"/>
        </patternFill>
      </fill>
    </dxf>
    <dxf>
      <fill>
        <patternFill>
          <bgColor theme="7" tint="0.59996337778862885"/>
        </patternFill>
      </fill>
    </dxf>
    <dxf>
      <font>
        <color auto="1"/>
      </font>
      <fill>
        <patternFill>
          <bgColor rgb="FFFFFF00"/>
        </patternFill>
      </fill>
    </dxf>
    <dxf>
      <font>
        <color auto="1"/>
      </font>
      <fill>
        <patternFill>
          <bgColor rgb="FFCCFF33"/>
        </patternFill>
      </fill>
    </dxf>
    <dxf>
      <font>
        <color auto="1"/>
      </font>
      <fill>
        <patternFill>
          <bgColor rgb="FFFFFF00"/>
        </patternFill>
      </fill>
    </dxf>
    <dxf>
      <font>
        <color auto="1"/>
      </font>
      <fill>
        <patternFill>
          <bgColor rgb="FFCCFF33"/>
        </patternFill>
      </fill>
    </dxf>
    <dxf>
      <font>
        <color auto="1"/>
      </font>
      <fill>
        <patternFill>
          <bgColor rgb="FFFFFF00"/>
        </patternFill>
      </fill>
    </dxf>
    <dxf>
      <font>
        <color auto="1"/>
      </font>
      <fill>
        <patternFill>
          <bgColor rgb="FFCCFF33"/>
        </patternFill>
      </fill>
    </dxf>
    <dxf>
      <fill>
        <patternFill>
          <bgColor rgb="FFFFC000"/>
        </patternFill>
      </fill>
    </dxf>
    <dxf>
      <font>
        <color theme="8" tint="-0.499984740745262"/>
      </font>
      <fill>
        <patternFill>
          <bgColor theme="0" tint="-4.9989318521683403E-2"/>
        </patternFill>
      </fill>
      <border>
        <right/>
      </border>
    </dxf>
    <dxf>
      <font>
        <color auto="1"/>
      </font>
      <fill>
        <patternFill>
          <bgColor rgb="FFFFFF00"/>
        </patternFill>
      </fill>
    </dxf>
    <dxf>
      <fill>
        <patternFill>
          <bgColor theme="5" tint="0.59996337778862885"/>
        </patternFill>
      </fill>
    </dxf>
    <dxf>
      <fill>
        <patternFill>
          <bgColor theme="7" tint="0.59996337778862885"/>
        </patternFill>
      </fill>
    </dxf>
    <dxf>
      <fill>
        <patternFill>
          <bgColor theme="4" tint="0.79998168889431442"/>
        </patternFill>
      </fill>
    </dxf>
    <dxf>
      <fill>
        <patternFill>
          <bgColor theme="5" tint="0.59996337778862885"/>
        </patternFill>
      </fill>
    </dxf>
    <dxf>
      <fill>
        <patternFill>
          <bgColor theme="7" tint="0.59996337778862885"/>
        </patternFill>
      </fill>
    </dxf>
    <dxf>
      <fill>
        <patternFill>
          <bgColor theme="4" tint="0.79998168889431442"/>
        </patternFill>
      </fill>
    </dxf>
    <dxf>
      <fill>
        <patternFill>
          <bgColor rgb="FF92D050"/>
        </patternFill>
      </fill>
    </dxf>
    <dxf>
      <font>
        <color theme="0"/>
      </font>
      <fill>
        <patternFill>
          <bgColor rgb="FFFF0000"/>
        </patternFill>
      </fill>
    </dxf>
    <dxf>
      <fill>
        <patternFill>
          <bgColor rgb="FFFFC000"/>
        </patternFill>
      </fill>
    </dxf>
    <dxf>
      <fill>
        <patternFill>
          <bgColor theme="5" tint="0.59996337778862885"/>
        </patternFill>
      </fill>
    </dxf>
    <dxf>
      <fill>
        <patternFill>
          <bgColor theme="7" tint="0.59996337778862885"/>
        </patternFill>
      </fill>
    </dxf>
    <dxf>
      <fill>
        <patternFill>
          <bgColor theme="4" tint="0.79998168889431442"/>
        </patternFill>
      </fill>
    </dxf>
    <dxf>
      <font>
        <color theme="1"/>
      </font>
      <fill>
        <patternFill>
          <bgColor rgb="FF92D050"/>
        </patternFill>
      </fill>
    </dxf>
    <dxf>
      <font>
        <color theme="1"/>
      </font>
      <fill>
        <patternFill>
          <bgColor rgb="FFFFFF00"/>
        </patternFill>
      </fill>
    </dxf>
    <dxf>
      <fill>
        <patternFill>
          <bgColor rgb="FFFFC000"/>
        </patternFill>
      </fill>
    </dxf>
    <dxf>
      <font>
        <color theme="8" tint="-0.499984740745262"/>
      </font>
      <fill>
        <patternFill>
          <bgColor theme="0" tint="-4.9989318521683403E-2"/>
        </patternFill>
      </fill>
      <border>
        <right/>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numFmt numFmtId="3" formatCode="#,##0"/>
    </dxf>
    <dxf>
      <numFmt numFmtId="171" formatCode="yyyy\-mm\-dd;@"/>
    </dxf>
    <dxf>
      <numFmt numFmtId="171" formatCode="yyyy\-mm\-dd;@"/>
    </dxf>
    <dxf>
      <numFmt numFmtId="0" formatCode="Genera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 formatCode="0"/>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30" formatCode="@"/>
    </dxf>
    <dxf>
      <numFmt numFmtId="0" formatCode="General"/>
      <fill>
        <patternFill patternType="solid">
          <fgColor indexed="64"/>
          <bgColor rgb="FFFFFF00"/>
        </patternFill>
      </fill>
    </dxf>
    <dxf>
      <numFmt numFmtId="0" formatCode="General"/>
      <alignment horizontal="general" vertical="bottom" textRotation="0" wrapText="1" indent="0" justifyLastLine="0" shrinkToFit="0" readingOrder="0"/>
    </dxf>
    <dxf>
      <numFmt numFmtId="0" formatCode="General"/>
    </dxf>
    <dxf>
      <numFmt numFmtId="0" formatCode="Genera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 formatCode="0"/>
    </dxf>
    <dxf>
      <numFmt numFmtId="1" formatCode="0"/>
      <fill>
        <patternFill patternType="none">
          <fgColor indexed="64"/>
          <bgColor indexed="65"/>
        </patternFill>
      </fill>
    </dxf>
    <dxf>
      <numFmt numFmtId="0" formatCode="General"/>
      <fill>
        <patternFill patternType="none">
          <fgColor indexed="64"/>
          <bgColor indexed="65"/>
        </patternFill>
      </fill>
    </dxf>
    <dxf>
      <numFmt numFmtId="30" formatCode="@"/>
      <fill>
        <patternFill patternType="none">
          <fgColor indexed="64"/>
          <bgColor indexed="65"/>
        </patternFill>
      </fill>
    </dxf>
    <dxf>
      <numFmt numFmtId="0" formatCode="General"/>
      <fill>
        <patternFill patternType="none">
          <fgColor indexed="64"/>
          <bgColor indexed="65"/>
        </patternFill>
      </fill>
    </dxf>
    <dxf>
      <fill>
        <patternFill patternType="solid">
          <fgColor indexed="64"/>
          <bgColor rgb="FFFFFF00"/>
        </patternFill>
      </fill>
    </dxf>
    <dxf>
      <numFmt numFmtId="0" formatCode="General"/>
      <fill>
        <patternFill patternType="solid">
          <fgColor indexed="64"/>
          <bgColor rgb="FFFFFF00"/>
        </patternFill>
      </fill>
    </dxf>
    <dxf>
      <fill>
        <patternFill patternType="solid">
          <fgColor indexed="64"/>
          <bgColor rgb="FFFFFF00"/>
        </patternFill>
      </fill>
    </dxf>
    <dxf>
      <fill>
        <patternFill patternType="none">
          <fgColor indexed="64"/>
          <bgColor indexed="65"/>
        </patternFill>
      </fill>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dxf>
    <dxf>
      <numFmt numFmtId="0" formatCode="Genera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 formatCode="0"/>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dxf>
    <dxf>
      <fill>
        <patternFill patternType="none">
          <fgColor indexed="64"/>
          <bgColor indexed="65"/>
        </patternFill>
      </fill>
    </dxf>
    <dxf>
      <fill>
        <patternFill patternType="none">
          <fgColor indexed="64"/>
          <bgColor indexed="65"/>
        </patternFill>
      </fill>
    </dxf>
    <dxf>
      <numFmt numFmtId="0" formatCode="General"/>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numFmt numFmtId="0" formatCode="General"/>
    </dxf>
    <dxf>
      <numFmt numFmtId="0" formatCode="General"/>
    </dxf>
    <dxf>
      <numFmt numFmtId="177" formatCode="0.0000"/>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7"/>
        </left>
        <right/>
        <top style="thin">
          <color theme="9" tint="0.39997558519241921"/>
        </top>
        <bottom/>
      </border>
    </dxf>
    <dxf>
      <numFmt numFmtId="4" formatCode="#,##0.0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numFmt numFmtId="4" formatCode="#,##0.00"/>
      <fill>
        <patternFill patternType="none">
          <fgColor indexed="64"/>
          <bgColor auto="1"/>
        </patternFill>
      </fill>
      <border diagonalUp="0" diagonalDown="0" outline="0">
        <left/>
        <right/>
        <top style="thin">
          <color theme="9" tint="0.39997558519241921"/>
        </top>
        <bottom/>
      </border>
    </dxf>
    <dxf>
      <numFmt numFmtId="1" formatCode="0"/>
      <alignment horizontal="right" vertical="bottom" textRotation="0" wrapText="0" indent="0" justifyLastLine="0" shrinkToFit="0" readingOrder="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auto="1"/>
        </patternFill>
      </fill>
      <alignment horizontal="right" vertical="bottom" textRotation="0" wrapText="0" indent="0" justifyLastLine="0" shrinkToFit="0" readingOrder="0"/>
      <border diagonalUp="0" diagonalDown="0" outline="0">
        <left style="thin">
          <color theme="7"/>
        </left>
        <right/>
        <top style="thin">
          <color theme="9" tint="0.39997558519241921"/>
        </top>
        <bottom/>
      </border>
    </dxf>
    <dxf>
      <alignment horizontal="general" vertical="bottom" textRotation="0" wrapText="1" indent="0" justifyLastLine="0" shrinkToFit="0" readingOrder="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general" vertical="bottom" textRotation="0" wrapText="1" indent="0" justifyLastLine="0" shrinkToFit="0" readingOrder="0"/>
      <border diagonalUp="0" diagonalDown="0" outline="0">
        <left style="thin">
          <color theme="7"/>
        </left>
        <right/>
        <top style="thin">
          <color theme="9" tint="0.39997558519241921"/>
        </top>
        <bottom/>
      </border>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7"/>
        </left>
        <right/>
        <top style="thin">
          <color theme="9" tint="0.39997558519241921"/>
        </top>
        <bottom/>
      </border>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right" vertical="bottom" textRotation="0" wrapText="0" indent="0" justifyLastLine="0" shrinkToFit="0" readingOrder="0"/>
      <border diagonalUp="0" diagonalDown="0" outline="0">
        <left/>
        <right/>
        <top style="thin">
          <color theme="9" tint="0.39997558519241921"/>
        </top>
        <bottom/>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horizontal="center" vertical="bottom" textRotation="0" indent="0" justifyLastLine="0" shrinkToFit="0" readingOrder="0"/>
      <border diagonalUp="0" diagonalDown="0" outline="0">
        <left style="thin">
          <color theme="7"/>
        </left>
        <right style="thin">
          <color theme="7"/>
        </right>
        <top/>
        <bottom/>
      </border>
    </dxf>
    <dxf>
      <fill>
        <patternFill>
          <bgColor rgb="FFFFFF00"/>
        </patternFill>
      </fill>
    </dxf>
    <dxf>
      <fill>
        <patternFill>
          <bgColor rgb="FFFFFF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numFmt numFmtId="166" formatCode="&quot;$&quot;#,##0.00"/>
    </dxf>
    <dxf>
      <numFmt numFmtId="19" formatCode="m/d/yyyy"/>
    </dxf>
    <dxf>
      <font>
        <b/>
        <i val="0"/>
        <strike val="0"/>
        <condense val="0"/>
        <extend val="0"/>
        <outline val="0"/>
        <shadow val="0"/>
        <u val="none"/>
        <vertAlign val="baseline"/>
        <sz val="11"/>
        <color theme="1"/>
        <name val="Calibri"/>
        <family val="2"/>
        <scheme val="minor"/>
      </font>
      <fill>
        <patternFill patternType="solid">
          <fgColor indexed="64"/>
          <bgColor rgb="FF8EA9DB"/>
        </patternFill>
      </fill>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245"/>
      <tableStyleElement type="headerRow" dxfId="244"/>
      <tableStyleElement type="firstRowStripe" dxfId="243"/>
    </tableStyle>
    <tableStyle name="Gantt Table Style 2" pivot="0" count="3" xr9:uid="{188EAD57-0217-4B5E-8A07-C858B28862F4}">
      <tableStyleElement type="wholeTable" dxfId="242"/>
      <tableStyleElement type="headerRow" dxfId="241"/>
      <tableStyleElement type="firstRowStripe" dxfId="240"/>
    </tableStyle>
  </tableStyles>
  <colors>
    <mruColors>
      <color rgb="FFCC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sheetMetadata" Target="metadata.xml"/><Relationship Id="rId47" Type="http://schemas.openxmlformats.org/officeDocument/2006/relationships/calcChain" Target="calcChain.xml"/><Relationship Id="rId63" Type="http://schemas.openxmlformats.org/officeDocument/2006/relationships/customXml" Target="../customXml/item16.xml"/><Relationship Id="rId68" Type="http://schemas.openxmlformats.org/officeDocument/2006/relationships/customXml" Target="../customXml/item21.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45" Type="http://schemas.microsoft.com/office/2017/06/relationships/rdRichValueTypes" Target="richData/rdRichValueTypes.xml"/><Relationship Id="rId53" Type="http://schemas.openxmlformats.org/officeDocument/2006/relationships/customXml" Target="../customXml/item6.xml"/><Relationship Id="rId58" Type="http://schemas.openxmlformats.org/officeDocument/2006/relationships/customXml" Target="../customXml/item11.xml"/><Relationship Id="rId66" Type="http://schemas.openxmlformats.org/officeDocument/2006/relationships/customXml" Target="../customXml/item19.xml"/><Relationship Id="rId74" Type="http://schemas.openxmlformats.org/officeDocument/2006/relationships/customXml" Target="../customXml/item27.xml"/><Relationship Id="rId5" Type="http://schemas.openxmlformats.org/officeDocument/2006/relationships/worksheet" Target="worksheets/sheet5.xml"/><Relationship Id="rId61" Type="http://schemas.openxmlformats.org/officeDocument/2006/relationships/customXml" Target="../customXml/item14.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17/06/relationships/rdRichValue" Target="richData/rdrichvalue.xml"/><Relationship Id="rId48" Type="http://schemas.openxmlformats.org/officeDocument/2006/relationships/customXml" Target="../customXml/item1.xml"/><Relationship Id="rId56" Type="http://schemas.openxmlformats.org/officeDocument/2006/relationships/customXml" Target="../customXml/item9.xml"/><Relationship Id="rId64" Type="http://schemas.openxmlformats.org/officeDocument/2006/relationships/customXml" Target="../customXml/item17.xml"/><Relationship Id="rId69" Type="http://schemas.openxmlformats.org/officeDocument/2006/relationships/customXml" Target="../customXml/item22.xml"/><Relationship Id="rId8" Type="http://schemas.openxmlformats.org/officeDocument/2006/relationships/worksheet" Target="worksheets/sheet8.xml"/><Relationship Id="rId51" Type="http://schemas.openxmlformats.org/officeDocument/2006/relationships/customXml" Target="../customXml/item4.xml"/><Relationship Id="rId72" Type="http://schemas.openxmlformats.org/officeDocument/2006/relationships/customXml" Target="../customXml/item2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22/11/relationships/FeaturePropertyBag" Target="featurePropertyBag/featurePropertyBag.xml"/><Relationship Id="rId59" Type="http://schemas.openxmlformats.org/officeDocument/2006/relationships/customXml" Target="../customXml/item12.xml"/><Relationship Id="rId67" Type="http://schemas.openxmlformats.org/officeDocument/2006/relationships/customXml" Target="../customXml/item20.xml"/><Relationship Id="rId20" Type="http://schemas.openxmlformats.org/officeDocument/2006/relationships/worksheet" Target="worksheets/sheet20.xml"/><Relationship Id="rId41" Type="http://schemas.openxmlformats.org/officeDocument/2006/relationships/sharedStrings" Target="sharedStrings.xml"/><Relationship Id="rId54" Type="http://schemas.openxmlformats.org/officeDocument/2006/relationships/customXml" Target="../customXml/item7.xml"/><Relationship Id="rId62" Type="http://schemas.openxmlformats.org/officeDocument/2006/relationships/customXml" Target="../customXml/item15.xml"/><Relationship Id="rId70" Type="http://schemas.openxmlformats.org/officeDocument/2006/relationships/customXml" Target="../customXml/item23.xml"/><Relationship Id="rId75" Type="http://schemas.openxmlformats.org/officeDocument/2006/relationships/customXml" Target="../customXml/item28.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57" Type="http://schemas.openxmlformats.org/officeDocument/2006/relationships/customXml" Target="../customXml/item10.xml"/><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17/06/relationships/rdRichValueStructure" Target="richData/rdrichvaluestructure.xml"/><Relationship Id="rId52" Type="http://schemas.openxmlformats.org/officeDocument/2006/relationships/customXml" Target="../customXml/item5.xml"/><Relationship Id="rId60" Type="http://schemas.openxmlformats.org/officeDocument/2006/relationships/customXml" Target="../customXml/item13.xml"/><Relationship Id="rId65" Type="http://schemas.openxmlformats.org/officeDocument/2006/relationships/customXml" Target="../customXml/item18.xml"/><Relationship Id="rId73" Type="http://schemas.openxmlformats.org/officeDocument/2006/relationships/customXml" Target="../customXml/item26.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connections" Target="connections.xml"/><Relationship Id="rId34" Type="http://schemas.openxmlformats.org/officeDocument/2006/relationships/worksheet" Target="worksheets/sheet34.xml"/><Relationship Id="rId50" Type="http://schemas.openxmlformats.org/officeDocument/2006/relationships/customXml" Target="../customXml/item3.xml"/><Relationship Id="rId55" Type="http://schemas.openxmlformats.org/officeDocument/2006/relationships/customXml" Target="../customXml/item8.xml"/><Relationship Id="rId76"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customXml" Target="../customXml/item24.xml"/></Relationships>
</file>

<file path=xl/ctrlProps/ctrlProp1.xml><?xml version="1.0" encoding="utf-8"?>
<formControlPr xmlns="http://schemas.microsoft.com/office/spreadsheetml/2009/9/main" objectType="CheckBox" fmlaLink="$Q$2" lockText="1" noThreeD="1"/>
</file>

<file path=xl/ctrlProps/ctrlProp2.xml><?xml version="1.0" encoding="utf-8"?>
<formControlPr xmlns="http://schemas.microsoft.com/office/spreadsheetml/2009/9/main" objectType="Radio" checked="Checked" firstButton="1" fmlaLink="$R$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CheckBox" fmlaLink="Q1" lockText="1" noThreeD="1"/>
</file>

<file path=xl/ctrlProps/ctrlProp6.xml><?xml version="1.0" encoding="utf-8"?>
<formControlPr xmlns="http://schemas.microsoft.com/office/spreadsheetml/2009/9/main" objectType="CheckBox" fmlaLink="$Q$3" lockText="1" noThreeD="1"/>
</file>

<file path=xl/ctrlProps/ctrlProp7.xml><?xml version="1.0" encoding="utf-8"?>
<formControlPr xmlns="http://schemas.microsoft.com/office/spreadsheetml/2009/9/main" objectType="CheckBox" checked="Checked" fmlaLink="$Q$5" lockText="1" noThreeD="1"/>
</file>

<file path=xl/ctrlProps/ctrlProp8.xml><?xml version="1.0" encoding="utf-8"?>
<formControlPr xmlns="http://schemas.microsoft.com/office/spreadsheetml/2009/9/main" objectType="CheckBox" checked="Checked" fmlaLink="$Q$4" lockText="1" noThreeD="1"/>
</file>

<file path=xl/ctrlProps/ctrlProp9.xml><?xml version="1.0" encoding="utf-8"?>
<formControlPr xmlns="http://schemas.microsoft.com/office/spreadsheetml/2009/9/main" objectType="CheckBox" checked="Checked" fmlaLink="$Q$6" lockText="1" noThreeD="1"/>
</file>

<file path=xl/ctrlProps/ctrlProp10.xml><?xml version="1.0" encoding="utf-8"?>
<formControlPr xmlns="http://schemas.microsoft.com/office/spreadsheetml/2009/9/main" objectType="Radio" checked="Checked" firstButton="1" fmlaLink="$AW$2"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checked="Checked" firstButton="1" fmlaLink="$AW$2"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Scroll" dx="39" fmlaLink="$BH$18" horiz="1" max="365" page="0" val="29"/>
</file>

<file path=xl/ctrlProps/ctrlProp17.xml><?xml version="1.0" encoding="utf-8"?>
<formControlPr xmlns="http://schemas.microsoft.com/office/spreadsheetml/2009/9/main" objectType="Radio" checked="Checked" firstButton="1" fmlaLink="T1"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CheckBox" checked="Checked" fmlaLink="#REF!"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C$5" lockText="1" noThreeD="1"/>
</file>

<file path=xl/drawings/_rels/drawing5.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200025</xdr:colOff>
          <xdr:row>21</xdr:row>
          <xdr:rowOff>123825</xdr:rowOff>
        </xdr:from>
        <xdr:to>
          <xdr:col>10</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0</xdr:row>
          <xdr:rowOff>47625</xdr:rowOff>
        </xdr:from>
        <xdr:to>
          <xdr:col>2</xdr:col>
          <xdr:colOff>19050</xdr:colOff>
          <xdr:row>0</xdr:row>
          <xdr:rowOff>238125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0</xdr:row>
          <xdr:rowOff>47625</xdr:rowOff>
        </xdr:from>
        <xdr:to>
          <xdr:col>2</xdr:col>
          <xdr:colOff>619125</xdr:colOff>
          <xdr:row>0</xdr:row>
          <xdr:rowOff>257175</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495300</xdr:colOff>
          <xdr:row>0</xdr:row>
          <xdr:rowOff>28575</xdr:rowOff>
        </xdr:from>
        <xdr:to>
          <xdr:col>4</xdr:col>
          <xdr:colOff>85725</xdr:colOff>
          <xdr:row>0</xdr:row>
          <xdr:rowOff>247650</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20</xdr:row>
          <xdr:rowOff>114300</xdr:rowOff>
        </xdr:from>
        <xdr:to>
          <xdr:col>10</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0</xdr:row>
          <xdr:rowOff>266700</xdr:rowOff>
        </xdr:from>
        <xdr:to>
          <xdr:col>13</xdr:col>
          <xdr:colOff>381000</xdr:colOff>
          <xdr:row>2</xdr:row>
          <xdr:rowOff>9525</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66561" name="Option Button 1" hidden="1">
              <a:extLst>
                <a:ext uri="{63B3BB69-23CF-44E3-9099-C40C66FF867C}">
                  <a14:compatExt spid="_x0000_s66561"/>
                </a:ext>
                <a:ext uri="{FF2B5EF4-FFF2-40B4-BE49-F238E27FC236}">
                  <a16:creationId xmlns:a16="http://schemas.microsoft.com/office/drawing/2014/main" id="{00000000-0008-0000-0100-0000010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66562" name="Option Button 2" hidden="1">
              <a:extLst>
                <a:ext uri="{63B3BB69-23CF-44E3-9099-C40C66FF867C}">
                  <a14:compatExt spid="_x0000_s66562"/>
                </a:ext>
                <a:ext uri="{FF2B5EF4-FFF2-40B4-BE49-F238E27FC236}">
                  <a16:creationId xmlns:a16="http://schemas.microsoft.com/office/drawing/2014/main" id="{00000000-0008-0000-0100-0000020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66563" name="Option Button 3" hidden="1">
              <a:extLst>
                <a:ext uri="{63B3BB69-23CF-44E3-9099-C40C66FF867C}">
                  <a14:compatExt spid="_x0000_s66563"/>
                </a:ext>
                <a:ext uri="{FF2B5EF4-FFF2-40B4-BE49-F238E27FC236}">
                  <a16:creationId xmlns:a16="http://schemas.microsoft.com/office/drawing/2014/main" id="{00000000-0008-0000-0100-0000030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504825</xdr:colOff>
          <xdr:row>0</xdr:row>
          <xdr:rowOff>0</xdr:rowOff>
        </xdr:from>
        <xdr:to>
          <xdr:col>16</xdr:col>
          <xdr:colOff>238125</xdr:colOff>
          <xdr:row>0</xdr:row>
          <xdr:rowOff>190500</xdr:rowOff>
        </xdr:to>
        <xdr:sp macro="" textlink="">
          <xdr:nvSpPr>
            <xdr:cNvPr id="59406" name="Option Button 14" hidden="1">
              <a:extLst>
                <a:ext uri="{63B3BB69-23CF-44E3-9099-C40C66FF867C}">
                  <a14:compatExt spid="_x0000_s59406"/>
                </a:ext>
                <a:ext uri="{FF2B5EF4-FFF2-40B4-BE49-F238E27FC236}">
                  <a16:creationId xmlns:a16="http://schemas.microsoft.com/office/drawing/2014/main" id="{00000000-0008-0000-0200-00000E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476250</xdr:colOff>
          <xdr:row>0</xdr:row>
          <xdr:rowOff>0</xdr:rowOff>
        </xdr:from>
        <xdr:to>
          <xdr:col>17</xdr:col>
          <xdr:colOff>219075</xdr:colOff>
          <xdr:row>0</xdr:row>
          <xdr:rowOff>190500</xdr:rowOff>
        </xdr:to>
        <xdr:sp macro="" textlink="">
          <xdr:nvSpPr>
            <xdr:cNvPr id="59409" name="Option Button 17" hidden="1">
              <a:extLst>
                <a:ext uri="{63B3BB69-23CF-44E3-9099-C40C66FF867C}">
                  <a14:compatExt spid="_x0000_s59409"/>
                </a:ext>
                <a:ext uri="{FF2B5EF4-FFF2-40B4-BE49-F238E27FC236}">
                  <a16:creationId xmlns:a16="http://schemas.microsoft.com/office/drawing/2014/main" id="{00000000-0008-0000-0200-000011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523875</xdr:colOff>
          <xdr:row>0</xdr:row>
          <xdr:rowOff>0</xdr:rowOff>
        </xdr:from>
        <xdr:to>
          <xdr:col>18</xdr:col>
          <xdr:colOff>133350</xdr:colOff>
          <xdr:row>1</xdr:row>
          <xdr:rowOff>9525</xdr:rowOff>
        </xdr:to>
        <xdr:sp macro="" textlink="">
          <xdr:nvSpPr>
            <xdr:cNvPr id="59411" name="Option Button 19" hidden="1">
              <a:extLst>
                <a:ext uri="{63B3BB69-23CF-44E3-9099-C40C66FF867C}">
                  <a14:compatExt spid="_x0000_s59411"/>
                </a:ext>
                <a:ext uri="{FF2B5EF4-FFF2-40B4-BE49-F238E27FC236}">
                  <a16:creationId xmlns:a16="http://schemas.microsoft.com/office/drawing/2014/main" id="{00000000-0008-0000-0200-000013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50</xdr:col>
          <xdr:colOff>38100</xdr:colOff>
          <xdr:row>15</xdr:row>
          <xdr:rowOff>142875</xdr:rowOff>
        </xdr:from>
        <xdr:to>
          <xdr:col>52</xdr:col>
          <xdr:colOff>85725</xdr:colOff>
          <xdr:row>17</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C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1</xdr:row>
          <xdr:rowOff>9525</xdr:rowOff>
        </xdr:from>
        <xdr:to>
          <xdr:col>20</xdr:col>
          <xdr:colOff>28575</xdr:colOff>
          <xdr:row>1</xdr:row>
          <xdr:rowOff>228600</xdr:rowOff>
        </xdr:to>
        <xdr:sp macro="" textlink="">
          <xdr:nvSpPr>
            <xdr:cNvPr id="29859" name="Option Button 163" hidden="1">
              <a:extLst>
                <a:ext uri="{63B3BB69-23CF-44E3-9099-C40C66FF867C}">
                  <a14:compatExt spid="_x0000_s29859"/>
                </a:ext>
                <a:ext uri="{FF2B5EF4-FFF2-40B4-BE49-F238E27FC236}">
                  <a16:creationId xmlns:a16="http://schemas.microsoft.com/office/drawing/2014/main" id="{00000000-0008-0000-0C00-0000A3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1</xdr:row>
          <xdr:rowOff>247650</xdr:rowOff>
        </xdr:from>
        <xdr:to>
          <xdr:col>20</xdr:col>
          <xdr:colOff>9525</xdr:colOff>
          <xdr:row>3</xdr:row>
          <xdr:rowOff>9525</xdr:rowOff>
        </xdr:to>
        <xdr:sp macro="" textlink="">
          <xdr:nvSpPr>
            <xdr:cNvPr id="29861" name="Option Button 165" descr="Marked Dependencies" hidden="1">
              <a:extLst>
                <a:ext uri="{63B3BB69-23CF-44E3-9099-C40C66FF867C}">
                  <a14:compatExt spid="_x0000_s29861"/>
                </a:ext>
                <a:ext uri="{FF2B5EF4-FFF2-40B4-BE49-F238E27FC236}">
                  <a16:creationId xmlns:a16="http://schemas.microsoft.com/office/drawing/2014/main" id="{00000000-0008-0000-0C00-0000A5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3</xdr:row>
          <xdr:rowOff>0</xdr:rowOff>
        </xdr:from>
        <xdr:to>
          <xdr:col>19</xdr:col>
          <xdr:colOff>419100</xdr:colOff>
          <xdr:row>4</xdr:row>
          <xdr:rowOff>9525</xdr:rowOff>
        </xdr:to>
        <xdr:sp macro="" textlink="">
          <xdr:nvSpPr>
            <xdr:cNvPr id="29862" name="Option Button 166" descr="Marked Dependencies" hidden="1">
              <a:extLst>
                <a:ext uri="{63B3BB69-23CF-44E3-9099-C40C66FF867C}">
                  <a14:compatExt spid="_x0000_s29862"/>
                </a:ext>
                <a:ext uri="{FF2B5EF4-FFF2-40B4-BE49-F238E27FC236}">
                  <a16:creationId xmlns:a16="http://schemas.microsoft.com/office/drawing/2014/main" id="{00000000-0008-0000-0C00-0000A6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485775</xdr:colOff>
          <xdr:row>7</xdr:row>
          <xdr:rowOff>57150</xdr:rowOff>
        </xdr:from>
        <xdr:to>
          <xdr:col>24</xdr:col>
          <xdr:colOff>790575</xdr:colOff>
          <xdr:row>7</xdr:row>
          <xdr:rowOff>276225</xdr:rowOff>
        </xdr:to>
        <xdr:sp macro="" textlink="">
          <xdr:nvSpPr>
            <xdr:cNvPr id="29958" name="Check Box 262" hidden="1">
              <a:extLst>
                <a:ext uri="{63B3BB69-23CF-44E3-9099-C40C66FF867C}">
                  <a14:compatExt spid="_x0000_s29958"/>
                </a:ext>
                <a:ext uri="{FF2B5EF4-FFF2-40B4-BE49-F238E27FC236}">
                  <a16:creationId xmlns:a16="http://schemas.microsoft.com/office/drawing/2014/main" id="{00000000-0008-0000-0C00-0000067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Box 137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219075</xdr:colOff>
          <xdr:row>1</xdr:row>
          <xdr:rowOff>161925</xdr:rowOff>
        </xdr:from>
        <xdr:to>
          <xdr:col>24</xdr:col>
          <xdr:colOff>171450</xdr:colOff>
          <xdr:row>2</xdr:row>
          <xdr:rowOff>161925</xdr:rowOff>
        </xdr:to>
        <xdr:sp macro="" textlink="">
          <xdr:nvSpPr>
            <xdr:cNvPr id="29993" name="Button 297" hidden="1">
              <a:extLst>
                <a:ext uri="{63B3BB69-23CF-44E3-9099-C40C66FF867C}">
                  <a14:compatExt spid="_x0000_s29993"/>
                </a:ext>
                <a:ext uri="{FF2B5EF4-FFF2-40B4-BE49-F238E27FC236}">
                  <a16:creationId xmlns:a16="http://schemas.microsoft.com/office/drawing/2014/main" id="{00000000-0008-0000-0C00-0000297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Full Recalc</a:t>
              </a: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4</xdr:row>
          <xdr:rowOff>9525</xdr:rowOff>
        </xdr:from>
        <xdr:to>
          <xdr:col>1</xdr:col>
          <xdr:colOff>1533525</xdr:colOff>
          <xdr:row>5</xdr:row>
          <xdr:rowOff>9525</xdr:rowOff>
        </xdr:to>
        <xdr:sp macro="" textlink="">
          <xdr:nvSpPr>
            <xdr:cNvPr id="29994" name="Button 298" hidden="1">
              <a:extLst>
                <a:ext uri="{63B3BB69-23CF-44E3-9099-C40C66FF867C}">
                  <a14:compatExt spid="_x0000_s29994"/>
                </a:ext>
                <a:ext uri="{FF2B5EF4-FFF2-40B4-BE49-F238E27FC236}">
                  <a16:creationId xmlns:a16="http://schemas.microsoft.com/office/drawing/2014/main" id="{00000000-0008-0000-0C00-00002A7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Full Recalc</a:t>
              </a: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1638300</xdr:colOff>
          <xdr:row>3</xdr:row>
          <xdr:rowOff>219075</xdr:rowOff>
        </xdr:from>
        <xdr:to>
          <xdr:col>2</xdr:col>
          <xdr:colOff>66675</xdr:colOff>
          <xdr:row>4</xdr:row>
          <xdr:rowOff>200025</xdr:rowOff>
        </xdr:to>
        <xdr:sp macro="" textlink="">
          <xdr:nvSpPr>
            <xdr:cNvPr id="29995" name="Check Box 299" hidden="1">
              <a:extLst>
                <a:ext uri="{63B3BB69-23CF-44E3-9099-C40C66FF867C}">
                  <a14:compatExt spid="_x0000_s29995"/>
                </a:ext>
                <a:ext uri="{FF2B5EF4-FFF2-40B4-BE49-F238E27FC236}">
                  <a16:creationId xmlns:a16="http://schemas.microsoft.com/office/drawing/2014/main" id="{00000000-0008-0000-0C00-00002B7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Box 299</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9" xr16:uid="{3DB3AD59-8536-49A2-9E4C-C8B9FC00E0F0}" autoFormatId="16" applyNumberFormats="0" applyBorderFormats="0" applyFontFormats="0" applyPatternFormats="0" applyAlignmentFormats="0" applyWidthHeightFormats="0">
  <queryTableRefresh nextId="19" unboundColumnsRight="9">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7"/>
      <queryTableField id="18" name="Dependency" tableColumnId="18"/>
      <queryTableField id="8" dataBound="0" tableColumnId="8"/>
      <queryTableField id="9" dataBound="0" tableColumnId="9"/>
      <queryTableField id="10" dataBound="0" tableColumnId="10"/>
      <queryTableField id="11" dataBound="0" tableColumnId="11"/>
      <queryTableField id="13" dataBound="0" tableColumnId="13"/>
      <queryTableField id="14" dataBound="0" tableColumnId="14"/>
      <queryTableField id="15" dataBound="0" tableColumnId="15"/>
      <queryTableField id="16" dataBound="0" tableColumnId="16"/>
      <queryTableField id="1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0" xr16:uid="{62A27E4B-03AA-4A23-A713-0BAFEC8D06CF}" autoFormatId="16" applyNumberFormats="0" applyBorderFormats="0" applyFontFormats="0" applyPatternFormats="0" applyAlignmentFormats="0" applyWidthHeightFormats="0">
  <queryTableRefresh nextId="26" unboundColumnsRight="9">
    <queryTableFields count="16">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9"/>
      <queryTableField id="8" dataBound="0" tableColumnId="18"/>
      <queryTableField id="17" dataBound="0" tableColumnId="16"/>
      <queryTableField id="9" dataBound="0" tableColumnId="9"/>
      <queryTableField id="10" dataBound="0" tableColumnId="10"/>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2" xr16:uid="{2272E845-C833-4827-AB0E-4B80291D5D21}" autoFormatId="16" applyNumberFormats="0" applyBorderFormats="0" applyFontFormats="0" applyPatternFormats="0" applyAlignmentFormats="0" applyWidthHeightFormats="0">
  <queryTableRefresh nextId="25" unboundColumnsRight="9">
    <queryTableFields count="16">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8"/>
      <queryTableField id="8" dataBound="0" tableColumnId="7"/>
      <queryTableField id="17" dataBound="0" tableColumnId="16"/>
      <queryTableField id="9" dataBound="0" tableColumnId="9"/>
      <queryTableField id="10" dataBound="0" tableColumnId="10"/>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growShrinkType="overwriteClear" connectionId="11" xr16:uid="{AB9174BE-A2AA-4DFE-B5A0-85C3A4E5BA40}" autoFormatId="16" applyNumberFormats="0" applyBorderFormats="0" applyFontFormats="0" applyPatternFormats="0" applyAlignmentFormats="0" applyWidthHeightFormats="0">
  <queryTableRefresh nextId="25" unboundColumnsRight="9">
    <queryTableFields count="16">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8"/>
      <queryTableField id="8" dataBound="0" tableColumnId="7"/>
      <queryTableField id="17" dataBound="0" tableColumnId="16"/>
      <queryTableField id="9" dataBound="0" tableColumnId="9"/>
      <queryTableField id="10" dataBound="0" tableColumnId="10"/>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 xr16:uid="{C1B9FFB7-428B-4851-88E2-A2794DB68D21}" autoFormatId="16" applyNumberFormats="0" applyBorderFormats="0" applyFontFormats="0" applyPatternFormats="0" applyAlignmentFormats="0" applyWidthHeightFormats="0">
  <queryTableRefresh nextId="13">
    <queryTableFields count="10">
      <queryTableField id="1" name="Assigned"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8" name="Dep" tableColumnId="8"/>
      <queryTableField id="10" name="Due" tableColumnId="10"/>
      <queryTableField id="11" name="Index" tableColumnId="1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2" xr16:uid="{7E0A4695-9E3E-4C51-A76E-809701190F2E}" autoFormatId="16" applyNumberFormats="0" applyBorderFormats="0" applyFontFormats="0" applyPatternFormats="0" applyAlignmentFormats="0" applyWidthHeightFormats="0">
  <queryTableRefresh nextId="25" unboundColumnsRight="5">
    <queryTableFields count="13">
      <queryTableField id="1" name="Index" tableColumnId="1"/>
      <queryTableField id="2" name="Cost Code" tableColumnId="2"/>
      <queryTableField id="3" name="Title" tableColumnId="3"/>
      <queryTableField id="4" name="Description" tableColumnId="4"/>
      <queryTableField id="16" name="Done" tableColumnId="6"/>
      <queryTableField id="19" name="Draw" tableColumnId="8"/>
      <queryTableField id="5" name="Price" tableColumnId="5"/>
      <queryTableField id="18" name="Due" tableColumnId="7"/>
      <queryTableField id="23" dataBound="0" tableColumnId="12"/>
      <queryTableField id="9" dataBound="0" tableColumnId="9"/>
      <queryTableField id="10" dataBound="0" tableColumnId="10"/>
      <queryTableField id="24" dataBound="0" tableColumnId="13"/>
      <queryTableField id="11" dataBound="0" tableColumnId="11"/>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86A441F-583C-4139-83E2-F3EBE833BC5E}" name="tblCarryingExpenses" displayName="tblCarryingExpenses" ref="AL2:AV192" totalsRowShown="0" headerRowDxfId="239">
  <autoFilter ref="AL2:AV192" xr:uid="{D86A441F-583C-4139-83E2-F3EBE833BC5E}"/>
  <tableColumns count="11">
    <tableColumn id="1" xr3:uid="{B6ACC2ED-E809-4D88-8D4A-5DFDF05549F3}" name="Include"/>
    <tableColumn id="2" xr3:uid="{146F54F4-747D-487D-814E-E63FAF673A00}" name="Category"/>
    <tableColumn id="3" xr3:uid="{7B192D49-F7C3-426F-ADCF-C62DDCA37B9A}" name="Date" dataDxfId="238"/>
    <tableColumn id="4" xr3:uid="{2ADA85F7-5CBA-4AAD-9E00-23846CD99D75}" name="Vendor"/>
    <tableColumn id="5" xr3:uid="{1E0C5403-4444-4D63-AF8F-C6E2D586D854}" name="Description"/>
    <tableColumn id="6" xr3:uid="{3D301F12-7C42-4841-93E6-547E9E92F8A5}" name="Amount" dataDxfId="237"/>
    <tableColumn id="7" xr3:uid="{84F7A39E-813A-4D28-AADA-AF82E24CC991}" name="Source"/>
    <tableColumn id="8" xr3:uid="{7360B8DE-71EC-43E7-A005-397A361051BC}" name="Invoice #"/>
    <tableColumn id="9" xr3:uid="{135709D3-8845-4B63-93E6-B7ACB4064C51}" name="Source File"/>
    <tableColumn id="10" xr3:uid="{8836844C-391E-4B12-AA69-1854FD293B2B}" name="Status"/>
    <tableColumn id="11" xr3:uid="{0251EF43-368B-4679-8030-EF4F1351CA4C}" name="Not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04BC767-34F9-44F1-A9FC-4F7E4C837A06}" name="tblContractBase" displayName="tblContractBase" ref="A1:H214" totalsRowShown="0" headerRowDxfId="208" dataDxfId="207" tableBorderDxfId="206">
  <autoFilter ref="A1:H214" xr:uid="{F04BC767-34F9-44F1-A9FC-4F7E4C837A06}"/>
  <sortState xmlns:xlrd2="http://schemas.microsoft.com/office/spreadsheetml/2017/richdata2" ref="A2:H214">
    <sortCondition ref="A1:A214"/>
  </sortState>
  <tableColumns count="8">
    <tableColumn id="1" xr3:uid="{07B67D15-CD60-40AF-B839-F965916CE3C1}" name="Index" dataDxfId="205"/>
    <tableColumn id="2" xr3:uid="{96ED4F9E-B5B1-427C-9287-D5699CC4336A}" name="Cost Code" dataDxfId="204" totalsRowDxfId="203"/>
    <tableColumn id="3" xr3:uid="{7731E66A-B343-453B-8F4A-0DB49865ED68}" name="Title" dataDxfId="202" totalsRowDxfId="201"/>
    <tableColumn id="4" xr3:uid="{954D3DD3-61FA-485B-9B14-22DE8BD30E11}" name="Description" dataDxfId="200" totalsRowDxfId="199"/>
    <tableColumn id="5" xr3:uid="{B017106D-49F2-46AB-AD10-BD362BF46446}" name="Qty" dataDxfId="198" totalsRowDxfId="197"/>
    <tableColumn id="6" xr3:uid="{6257B278-6DE1-492B-ACFF-354B800708ED}" name="Unit Price" dataDxfId="196" totalsRowDxfId="195"/>
    <tableColumn id="7" xr3:uid="{F9F25888-E545-4C3B-96B2-E28C303268E9}" name="Assigned" dataDxfId="194" totalsRowDxfId="193"/>
    <tableColumn id="8" xr3:uid="{2FC3BC55-BA01-4A91-A5AE-63D8F2CE692A}" name="Dependency" dataDxfId="192">
      <calculatedColumnFormula>+A1</calculatedColumnFormula>
    </tableColumn>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C2D7BDB-1AD2-47FD-8484-9A7A7287B93B}" name="tblContractDependency" displayName="tblContractDependency" ref="A1:Q33" tableType="queryTable" totalsRowShown="0">
  <autoFilter ref="A1:Q33" xr:uid="{8C2D7BDB-1AD2-47FD-8484-9A7A7287B93B}"/>
  <tableColumns count="17">
    <tableColumn id="1" xr3:uid="{9BA4A245-7827-429F-B510-CB4DB27281E8}" uniqueName="1" name="Index" queryTableFieldId="1"/>
    <tableColumn id="2" xr3:uid="{5B0C41A3-9A28-4B32-80C1-BBA0573A5B63}" uniqueName="2" name="Cost Code" queryTableFieldId="2" dataDxfId="191"/>
    <tableColumn id="3" xr3:uid="{652F5567-5E63-4241-A40B-A20F557A2D92}" uniqueName="3" name="Title" queryTableFieldId="3" dataDxfId="190"/>
    <tableColumn id="4" xr3:uid="{3C612867-5039-4B04-A357-AC3AF76C43FD}" uniqueName="4" name="Description" queryTableFieldId="4" dataDxfId="189"/>
    <tableColumn id="5" xr3:uid="{143F2CBD-B2BA-4104-8A88-DC5658D6CFB7}" uniqueName="5" name="Qty" queryTableFieldId="5"/>
    <tableColumn id="6" xr3:uid="{5A5BE1B1-DBB7-4343-949D-88F68A6774E5}" uniqueName="6" name="Unit Price" queryTableFieldId="6"/>
    <tableColumn id="7" xr3:uid="{6D59F401-3AEA-4FF5-84FB-BF34B040D6B4}" uniqueName="7" name="Assigned" queryTableFieldId="7" dataDxfId="188"/>
    <tableColumn id="18" xr3:uid="{54D602F5-25F9-423E-944C-BE8A69FFF4F6}" uniqueName="18" name="Dependency" queryTableFieldId="18"/>
    <tableColumn id="8" xr3:uid="{AE8EA6EA-857C-4074-AA81-AEE33FC3E58E}" uniqueName="8" name="Unit Price 2" queryTableFieldId="8" dataDxfId="187"/>
    <tableColumn id="9" xr3:uid="{5BC245A6-7444-4512-83EF-9C85F8863D94}" uniqueName="9" name="Order" queryTableFieldId="9" dataDxfId="186">
      <calculatedColumnFormula>IFERROR(_xlfn.XLOOKUP(tblContractDependency[[#This Row],[Index]], Contract_Edits[Index], Contract_Edits[Order]), tblContractDependency[[#This Row],[Order]])</calculatedColumnFormula>
    </tableColumn>
    <tableColumn id="10" xr3:uid="{DFCFE34B-E74A-4140-A925-18947B6D9E0C}" uniqueName="10" name="Approve" queryTableFieldId="10" dataDxfId="185">
      <calculatedColumnFormula>IFERROR(_xlfn.XLOOKUP(tblContractDependency[[#This Row],[Index]], Contract_Edits[Index], Contract_Edits[Approve]), tblContractDependency[[#This Row],[Approve]])</calculatedColumnFormula>
    </tableColumn>
    <tableColumn id="11" xr3:uid="{DA813399-FB08-46B1-97AB-D0C78B030AE9}" uniqueName="11" name="Group" queryTableFieldId="11" dataDxfId="184">
      <calculatedColumnFormula>IFERROR(_xlfn.XLOOKUP(tblContractDependency[[#This Row],[Index]], Contract_Edits[Index], Contract_Edits[Group]), tblContractDependency[[#This Row],[Group]])</calculatedColumnFormula>
    </tableColumn>
    <tableColumn id="13" xr3:uid="{FD2135BE-A6B3-439D-BDB0-AC27C942E53A}" uniqueName="13" name="Days" queryTableFieldId="13" dataDxfId="183">
      <calculatedColumnFormula>IFERROR( _xlfn.XLOOKUP(tblContractDependency[[#This Row],[Index]], Contract_Edits[Index],Contract_Edits[Days]), 1)</calculatedColumnFormula>
    </tableColumn>
    <tableColumn id="14" xr3:uid="{1351CAFD-D7E3-430A-B9C2-8C71FDD895D4}" uniqueName="14" name="Done" queryTableFieldId="14" dataDxfId="182">
      <calculatedColumnFormula>IFERROR(_xlfn.XLOOKUP(tblContractDependency[[#This Row],[Index]], Contract_Edits[Index], Contract_Edits[Done],), "No")</calculatedColumnFormula>
    </tableColumn>
    <tableColumn id="15" xr3:uid="{2ECB559F-3CEF-4AB4-B096-631FD6E41172}" uniqueName="15" name="Paid" queryTableFieldId="15" dataDxfId="181">
      <calculatedColumnFormula>IFERROR(_xlfn.XLOOKUP(tblContractDependency[[#This Row],[Index]], Contract_Edits[Index], Contract_Edits[Paid]), 0)</calculatedColumnFormula>
    </tableColumn>
    <tableColumn id="16" xr3:uid="{E371D610-3854-40F2-A071-EBDC42902802}" uniqueName="16" name="Notes" queryTableFieldId="16" dataDxfId="180">
      <calculatedColumnFormula>IFERROR(_xlfn.XLOOKUP(tblContractDependency[[#This Row],[Index]], Contract_Edits[Index], Contract_Edits[Notes]), 0)</calculatedColumnFormula>
    </tableColumn>
    <tableColumn id="17" xr3:uid="{35F94B56-B124-4ED5-8F4B-DA480959A872}" uniqueName="17" name="Dep" queryTableFieldId="17" dataDxfId="179">
      <calculatedColumnFormula>+tblContractDependency[[#This Row],[Dependency]]</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28C07A9-C7B0-4B0B-BF9C-E0690FAA6876}" name="tblContractGlasgow" displayName="tblContractGlasgow" ref="A4:P83" tableType="queryTable" totalsRowShown="0">
  <autoFilter ref="A4:P83" xr:uid="{328C07A9-C7B0-4B0B-BF9C-E0690FAA6876}"/>
  <tableColumns count="16">
    <tableColumn id="1" xr3:uid="{924CB117-F857-404B-89A1-E4208CC5674F}" uniqueName="1" name="Index" queryTableFieldId="1"/>
    <tableColumn id="2" xr3:uid="{79B96313-5BA0-43D9-B9AA-5FB25A6A57DA}" uniqueName="2" name="Cost Code" queryTableFieldId="2" dataDxfId="178"/>
    <tableColumn id="3" xr3:uid="{454CFC2B-50AC-45D9-BA0D-89A5E3F1C465}" uniqueName="3" name="Title" queryTableFieldId="3" dataDxfId="177"/>
    <tableColumn id="4" xr3:uid="{3E4542E5-F647-41A0-899D-A88ABC94A121}" uniqueName="4" name="Description" queryTableFieldId="4" dataDxfId="176"/>
    <tableColumn id="5" xr3:uid="{0EA148DF-7E4A-48A1-87D3-6688EB925B1E}" uniqueName="5" name="Qty" queryTableFieldId="5"/>
    <tableColumn id="6" xr3:uid="{7B157E98-9344-4700-AED3-B7D16E15A75A}" uniqueName="6" name="Unit Price" queryTableFieldId="6" dataDxfId="175"/>
    <tableColumn id="19" xr3:uid="{E87A3321-56FA-497A-BD4A-2B06F2DB2171}" uniqueName="19" name="Assigned" queryTableFieldId="7"/>
    <tableColumn id="18" xr3:uid="{2CAC230F-FBAD-4C94-A1FB-D2EE772E5D4B}" uniqueName="18" name="Unit Price 2" queryTableFieldId="8" dataDxfId="174"/>
    <tableColumn id="16" xr3:uid="{10EEA7D5-6693-4CBB-8632-87710B8DABC0}" uniqueName="16" name="Order" queryTableFieldId="17" dataDxfId="173">
      <calculatedColumnFormula>IFERROR(_xlfn.XLOOKUP(tblContractGlasgow[[#This Row],[Index]], Contract_Edits[Index], Contract_Edits[Order]), tblContractGlasgow[[#This Row],[Order]])</calculatedColumnFormula>
    </tableColumn>
    <tableColumn id="9" xr3:uid="{68E54E42-F9AE-44E0-BFC2-AC4E5FE0009D}" uniqueName="9" name="Approve" queryTableFieldId="9" dataDxfId="172">
      <calculatedColumnFormula>_xlfn.XLOOKUP(tblContractGlasgow[[#This Row],[Index]], Contract_Edits[Index], Contract_Edits[Approve])</calculatedColumnFormula>
    </tableColumn>
    <tableColumn id="10" xr3:uid="{1E85FCB7-07F4-4B8F-899A-6FF941760877}" uniqueName="10" name="Group" queryTableFieldId="10" dataDxfId="171">
      <calculatedColumnFormula>IFERROR(_xlfn.XLOOKUP(tblContractGlasgow[[#This Row],[Index]], Contract_Edits[Index], Contract_Edits[Group]), tblContractGlasgow[[#This Row],[Group]])</calculatedColumnFormula>
    </tableColumn>
    <tableColumn id="12" xr3:uid="{D7A2A196-7F57-4D69-952B-F136B04A14BB}" uniqueName="12" name="Days" queryTableFieldId="12" dataDxfId="170">
      <calculatedColumnFormula>IFERROR( _xlfn.XLOOKUP(tblContractGlasgow[[#This Row],[Index]], Contract_Edits[Index],Contract_Edits[Days]), 1)</calculatedColumnFormula>
    </tableColumn>
    <tableColumn id="13" xr3:uid="{A7977CA2-90CE-49B7-A9DB-4652096AA01D}" uniqueName="13" name="Done" queryTableFieldId="13" dataDxfId="169">
      <calculatedColumnFormula>IFERROR(_xlfn.XLOOKUP(tblContractGlasgow[[#This Row],[Index]], Contract_Edits[Index], Contract_Edits[Done],), "No")</calculatedColumnFormula>
    </tableColumn>
    <tableColumn id="14" xr3:uid="{81407668-5D17-4BC5-9BE0-FE1B8B4B4CC9}" uniqueName="14" name="Paid" queryTableFieldId="14" dataDxfId="168">
      <calculatedColumnFormula>IFERROR(_xlfn.XLOOKUP(tblContractGlasgow[[#This Row],[Index]], Contract_Edits[Index], Contract_Edits[Paid]), 0)</calculatedColumnFormula>
    </tableColumn>
    <tableColumn id="15" xr3:uid="{E1DDC23F-D81E-493B-AE6C-39BB3C679F4E}" uniqueName="15" name="Notes" queryTableFieldId="15" dataDxfId="167">
      <calculatedColumnFormula>IFERROR(_xlfn.XLOOKUP(tblContractGlasgow[[#This Row],[Index]], Contract_Edits[Index], Contract_Edits[Notes]), 0)</calculatedColumnFormula>
    </tableColumn>
    <tableColumn id="17" xr3:uid="{F0EB7761-DB9B-41C6-8771-8DDC45C3E1E4}" uniqueName="17" name="Dep" queryTableFieldId="18" dataDxfId="166">
      <calculatedColumnFormula>IFERROR( _xlfn.XLOOKUP(tblContractGlasgow[[#This Row],[Index]], Contract_Edits[Index],Contract_Edits[Dep]),174)</calculatedColumnFormula>
    </tableColumn>
  </tableColumns>
  <tableStyleInfo name="TableStyleLight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C3CBBB-118B-4223-B8F1-A2178BE528B9}" name="tblContractTim" displayName="tblContractTim" ref="A4:P52" tableType="queryTable" totalsRowShown="0">
  <autoFilter ref="A4:P52" xr:uid="{CBC3CBBB-118B-4223-B8F1-A2178BE528B9}"/>
  <sortState xmlns:xlrd2="http://schemas.microsoft.com/office/spreadsheetml/2017/richdata2" ref="A5:P52">
    <sortCondition ref="B5:B52"/>
  </sortState>
  <tableColumns count="16">
    <tableColumn id="1" xr3:uid="{6FEC611A-F3C0-470C-ACBF-C5923E7860D1}" uniqueName="1" name="Index" queryTableFieldId="1"/>
    <tableColumn id="2" xr3:uid="{89DFC025-9338-438F-A35A-57234CA7D834}" uniqueName="2" name="Cost Code" queryTableFieldId="2" dataDxfId="165"/>
    <tableColumn id="3" xr3:uid="{C866347C-3351-40C4-87CE-8C691F809940}" uniqueName="3" name="Title" queryTableFieldId="3" dataDxfId="164"/>
    <tableColumn id="4" xr3:uid="{311FC545-6905-46F1-A9F4-A8764698DE43}" uniqueName="4" name="Description" queryTableFieldId="4" dataDxfId="163" totalsRowDxfId="162"/>
    <tableColumn id="5" xr3:uid="{51F791AC-EFEC-477F-AA63-A42D74256E18}" uniqueName="5" name="Qty" queryTableFieldId="5"/>
    <tableColumn id="6" xr3:uid="{2AD5ED1F-D85A-40B0-BF14-D82BB4C9CFFE}" uniqueName="6" name="Unit Price" queryTableFieldId="6" dataDxfId="161" totalsRowDxfId="160"/>
    <tableColumn id="18" xr3:uid="{190DEF62-2597-4983-B313-D03CA3B59085}" uniqueName="18" name="Assigned" queryTableFieldId="7"/>
    <tableColumn id="7" xr3:uid="{AF7ED0C9-218C-4F48-840E-16BE9AAB803F}" uniqueName="7" name="Unit Price 2" queryTableFieldId="8" dataDxfId="159" totalsRowDxfId="158">
      <calculatedColumnFormula>IF(tblContractTim[[#This Row],[Days]]=0, tblContractTim[[#This Row],[Unit Price]], tblContractTim[[#This Row],[Days]] * $R$2 * $R$1)</calculatedColumnFormula>
    </tableColumn>
    <tableColumn id="16" xr3:uid="{12A291E7-C972-4A57-BE5C-5BA075258657}" uniqueName="16" name="Order" queryTableFieldId="17" dataDxfId="157">
      <calculatedColumnFormula>IFERROR(_xlfn.XLOOKUP(tblContractTim[[#This Row],[Index]], Contract_Edits[Index], Contract_Edits[Order]), tblContractTim[[#This Row],[Order]])</calculatedColumnFormula>
    </tableColumn>
    <tableColumn id="9" xr3:uid="{6F50FB29-FE9E-438D-A2E7-E10F62F0CFCF}" uniqueName="9" name="Approve" queryTableFieldId="9" dataDxfId="156"/>
    <tableColumn id="10" xr3:uid="{72F2E134-4745-4FCD-B4D2-90E1F706917C}" uniqueName="10" name="Group" queryTableFieldId="10" dataDxfId="155">
      <calculatedColumnFormula>IFERROR(_xlfn.XLOOKUP(tblContractTim[[#This Row],[Index]], Contract_Edits[Index], Contract_Edits[Group]), tblContractTim[[#This Row],[Group]])</calculatedColumnFormula>
    </tableColumn>
    <tableColumn id="12" xr3:uid="{8F90AF37-FBA1-4579-9E1A-6F5DABF67CF4}" uniqueName="12" name="Days" queryTableFieldId="12" dataDxfId="154" totalsRowDxfId="153">
      <calculatedColumnFormula>IFERROR( _xlfn.XLOOKUP(tblContractTim[[#This Row],[Index]], Contract_Edits[Index],Contract_Edits[Days]), 1)</calculatedColumnFormula>
    </tableColumn>
    <tableColumn id="13" xr3:uid="{B8FA9F75-1842-4436-8030-AA57DBC927A2}" uniqueName="13" name="Done" queryTableFieldId="13" dataDxfId="152">
      <calculatedColumnFormula>IFERROR(_xlfn.XLOOKUP(tblContractTim[[#This Row],[Index]], Contract_Edits[Index], Contract_Edits[Done],), "No")</calculatedColumnFormula>
    </tableColumn>
    <tableColumn id="14" xr3:uid="{777A19BB-2BDA-4CC1-BB04-11C2103F9CF8}" uniqueName="14" name="Paid" queryTableFieldId="14" dataDxfId="151">
      <calculatedColumnFormula>IFERROR(_xlfn.XLOOKUP(tblContractTim[[#This Row],[Index]], Contract_Edits[Index], Contract_Edits[Paid]), "")</calculatedColumnFormula>
    </tableColumn>
    <tableColumn id="15" xr3:uid="{9A381962-2546-4352-AFEF-3FB862DF585C}" uniqueName="15" name="Notes" queryTableFieldId="15" dataDxfId="150">
      <calculatedColumnFormula>IFERROR(_xlfn.XLOOKUP(tblContractTim[[#This Row],[Index]], Contract_Edits[Index], Contract_Edits[Notes]), 0)</calculatedColumnFormula>
    </tableColumn>
    <tableColumn id="17" xr3:uid="{56918B34-0352-41C6-A30D-9D3E8210EABA}" uniqueName="17" name="Dep" queryTableFieldId="18" dataDxfId="149">
      <calculatedColumnFormula>IFERROR( _xlfn.XLOOKUP(tblContractTim[[#This Row],[Index]], Contract_Edits[Index],Contract_Edits[Dep]),174)</calculatedColumnFormula>
    </tableColumn>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B868DC9F-3AC9-4764-BB4D-07B5212D650F}" name="tblContractOthers" displayName="tblContractOthers" ref="A4:P55" tableType="queryTable" totalsRowShown="0">
  <autoFilter ref="A4:P55" xr:uid="{B868DC9F-3AC9-4764-BB4D-07B5212D650F}"/>
  <tableColumns count="16">
    <tableColumn id="1" xr3:uid="{767E8A3B-CF11-4881-9AE2-322A13B25B95}" uniqueName="1" name="Index" queryTableFieldId="1"/>
    <tableColumn id="2" xr3:uid="{9CCF87BB-A886-4B69-AA1D-18729B4B6A61}" uniqueName="2" name="Cost Code" queryTableFieldId="2" dataDxfId="148"/>
    <tableColumn id="3" xr3:uid="{B20CDFB7-9728-4C18-B167-A2D39A1A2D24}" uniqueName="3" name="Title" queryTableFieldId="3" dataDxfId="147"/>
    <tableColumn id="4" xr3:uid="{1C5ABEC5-9A20-4E1C-A631-CDE2F2FF8B7C}" uniqueName="4" name="Description" queryTableFieldId="4" dataDxfId="146"/>
    <tableColumn id="5" xr3:uid="{60C0207D-B37D-4560-9F7A-B810C79E61FD}" uniqueName="5" name="Qty" queryTableFieldId="5"/>
    <tableColumn id="6" xr3:uid="{F09D6C5E-59D2-4F0E-AC74-410B1B5B52AB}" uniqueName="6" name="Unit Price" queryTableFieldId="6"/>
    <tableColumn id="18" xr3:uid="{3C43FCE5-049F-476E-B977-29E8808F7823}" uniqueName="18" name="Assigned" queryTableFieldId="7"/>
    <tableColumn id="7" xr3:uid="{9652C760-F6DE-446A-94C4-6FFD321F14B6}" uniqueName="7" name="Unit Price 2" queryTableFieldId="8" dataDxfId="145"/>
    <tableColumn id="16" xr3:uid="{A5A71B71-CDCB-4B45-A5D8-37954022AA1B}" uniqueName="16" name="Order" queryTableFieldId="17" dataDxfId="144">
      <calculatedColumnFormula>IFERROR(_xlfn.XLOOKUP(tblContractOthers[[#This Row],[Index]], Contract_Edits[Index], Contract_Edits[Order]), tblContractOthers[[#This Row],[Order]])</calculatedColumnFormula>
    </tableColumn>
    <tableColumn id="9" xr3:uid="{184A4F73-5757-4C08-94C8-2813CC3E589F}" uniqueName="9" name="Approve" queryTableFieldId="9" dataDxfId="143"/>
    <tableColumn id="10" xr3:uid="{ABFA9295-D9B0-4947-8941-7C8AA7FF18CD}" uniqueName="10" name="Group" queryTableFieldId="10" dataDxfId="142">
      <calculatedColumnFormula>IFERROR(_xlfn.XLOOKUP(tblContractOthers[[#This Row],[Index]], Contract_Edits[Index], Contract_Edits[Group]), tblContractOthers[[#This Row],[Group]])</calculatedColumnFormula>
    </tableColumn>
    <tableColumn id="12" xr3:uid="{7DD1DD4C-BF0F-4D3D-BE55-80B22A6317B2}" uniqueName="12" name="Days" queryTableFieldId="12" dataDxfId="141">
      <calculatedColumnFormula>IFERROR( _xlfn.XLOOKUP(tblContractOthers[[#This Row],[Index]], Contract_Edits[Index],Contract_Edits[Days]), 1)</calculatedColumnFormula>
    </tableColumn>
    <tableColumn id="13" xr3:uid="{5A50E1E4-FC2D-4FA4-A00F-E700FB546012}" uniqueName="13" name="Done" queryTableFieldId="13" dataDxfId="140">
      <calculatedColumnFormula>IFERROR(_xlfn.XLOOKUP(tblContractOthers[[#This Row],[Index]], Contract_Edits[Index], Contract_Edits[Done],), "No")</calculatedColumnFormula>
    </tableColumn>
    <tableColumn id="14" xr3:uid="{3D487BB2-E21D-47DA-9290-B0DB7A7C91CE}" uniqueName="14" name="Paid" queryTableFieldId="14" dataDxfId="139">
      <calculatedColumnFormula>IFERROR(_xlfn.XLOOKUP(tblContractOthers[[#This Row],[Index]], Contract_Edits[Index], Contract_Edits[Paid]), 0)</calculatedColumnFormula>
    </tableColumn>
    <tableColumn id="15" xr3:uid="{D5D0DA63-7DD5-40BC-8760-3D58B1C91D13}" uniqueName="15" name="Notes" queryTableFieldId="15" dataDxfId="138">
      <calculatedColumnFormula>IFERROR(_xlfn.XLOOKUP(tblContractOthers[[#This Row],[Index]], Contract_Edits[Index], Contract_Edits[Notes]), 0)</calculatedColumnFormula>
    </tableColumn>
    <tableColumn id="17" xr3:uid="{1D480FB1-DA23-4EC0-8085-E0FBBFF4F175}" uniqueName="17" name="Dep" queryTableFieldId="18" dataDxfId="137">
      <calculatedColumnFormula>IFERROR( _xlfn.XLOOKUP(tblContractOthers[[#This Row],[Index]], Contract_Edits[Index],Contract_Edits[Dep]),174)</calculatedColumnFormula>
    </tableColumn>
  </tableColumns>
  <tableStyleInfo name="TableStyleMedium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52113C3-08FD-41A3-9B9D-E8926F28A61E}" name="qryCostSummary" displayName="qryCostSummary" ref="R6:X15" totalsRowShown="0">
  <autoFilter ref="R6:X15" xr:uid="{B52113C3-08FD-41A3-9B9D-E8926F28A61E}"/>
  <tableColumns count="7">
    <tableColumn id="1" xr3:uid="{EDFC091C-9A71-4EC7-AAB2-6333996F8104}" name="Cost Code" dataDxfId="136"/>
    <tableColumn id="5" xr3:uid="{6AA8627C-EA8A-4E61-8882-050D86E3969F}" name="Price"/>
    <tableColumn id="6" xr3:uid="{1CDEF3FD-7CCE-4227-B566-F9F61BC041B6}" name="Dep"/>
    <tableColumn id="7" xr3:uid="{AB81F94E-FC00-4775-897E-C5BE88C2FF1D}" name="Due"/>
    <tableColumn id="2" xr3:uid="{C855A632-6C89-4449-A03A-EA614FA6B6B1}" name="start Date2" dataDxfId="135"/>
    <tableColumn id="3" xr3:uid="{26B1FC0C-E5D6-49B0-BF90-B98E29B972D4}" name="End date" dataDxfId="134"/>
    <tableColumn id="4" xr3:uid="{843A04AA-27EE-4C70-9AF9-C8849A1372D7}" name="Cost" dataDxfId="13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5C58A62-286D-492B-AB2E-D88499E2857D}" name="TabsSummary" displayName="TabsSummary" ref="A8:AA23" totalsRowShown="0" headerRowDxfId="94" dataDxfId="93">
  <tableColumns count="27">
    <tableColumn id="1" xr3:uid="{5A93CC9B-5DB4-44A4-AE21-C453CA575F5E}" name="Assigned" dataDxfId="92"/>
    <tableColumn id="3" xr3:uid="{B595F722-C559-4BBD-BBF1-E66CC82194A1}" name="Cost Code" dataDxfId="91"/>
    <tableColumn id="4" xr3:uid="{9AEE8938-2838-42B6-BC13-3B624710597E}" name="Title" dataDxfId="90"/>
    <tableColumn id="5" xr3:uid="{FBD3E090-17D3-4F97-9026-4084A5E61E7A}" name="Description" dataDxfId="89"/>
    <tableColumn id="6" xr3:uid="{D886DE43-47F9-4ABD-B954-36797318BAE7}" name="Qty" dataDxfId="88"/>
    <tableColumn id="7" xr3:uid="{FD0B0C97-E681-4BDA-BFB2-0CB4E5A411C4}" name="Unit Price" dataDxfId="87"/>
    <tableColumn id="8" xr3:uid="{EBE3B21C-F91B-4912-9C7F-00DB9895F215}" name="Price" dataDxfId="86"/>
    <tableColumn id="36" xr3:uid="{D44D583C-B30C-400A-AC5F-7A7047A2A12B}" name="Dep" dataDxfId="85"/>
    <tableColumn id="18" xr3:uid="{C7321916-9213-4A8A-8D99-485A856B5463}" name="Due" dataDxfId="84"/>
    <tableColumn id="11" xr3:uid="{6F5FC790-C196-4F0D-8CE3-24F27A9636E7}" name="Index" dataDxfId="83"/>
    <tableColumn id="37" xr3:uid="{6A22E938-1CB8-46A0-8226-0B7C109B8303}" name="In Sync" dataDxfId="82"/>
    <tableColumn id="20" xr3:uid="{50E2592D-E598-4A45-AEBB-A502729F4906}" name="Index2" dataDxfId="81"/>
    <tableColumn id="12" xr3:uid="{60CED4A5-AAE8-4B74-963B-312B54A4107B}" name="Days" dataDxfId="80"/>
    <tableColumn id="13" xr3:uid="{E9BB411D-0558-4C05-AE16-73EB296357D3}" name="Used" dataDxfId="79"/>
    <tableColumn id="14" xr3:uid="{21C73D00-CC0E-4567-8B2B-D2BBB4A94A1B}" name="Date" dataDxfId="78"/>
    <tableColumn id="15" xr3:uid="{1C159C06-C0FD-4959-85F3-B6AD08E1AA0E}" name="Done" dataDxfId="77"/>
    <tableColumn id="16" xr3:uid="{D5F22DF8-D8BC-4063-B7A3-52076E083DD7}" name="Paid" dataDxfId="76"/>
    <tableColumn id="17" xr3:uid="{5BA19B51-51C4-47B0-8F3E-DD153343B3EF}" name="Draw" dataDxfId="75"/>
    <tableColumn id="2" xr3:uid="{4D1F7EB4-CEDF-4F2A-A538-1A559AEEFFB0}" name="Dep2" dataDxfId="74"/>
    <tableColumn id="21" xr3:uid="{931E6E93-3275-44F7-8D16-9DAD033E9135}" name="Group" dataDxfId="73"/>
    <tableColumn id="42" xr3:uid="{EAA17209-690B-4609-8106-60C299D008B6}" name="Rank" dataDxfId="72"/>
    <tableColumn id="22" xr3:uid="{6DAA93D8-4056-4293-9363-50954168AEDF}" name="Order" dataDxfId="71"/>
    <tableColumn id="23" xr3:uid="{4199958E-B33D-40CD-A966-63728D7AC8EC}" name="Start" dataDxfId="70"/>
    <tableColumn id="19" xr3:uid="{A81D1110-48C7-44D7-9A00-F6FE107B5F6A}" name="Notes" dataDxfId="69"/>
    <tableColumn id="10" xr3:uid="{73950BD5-D1BA-43C9-AF72-856E1AD48600}" name="Dep Titles" dataDxfId="68"/>
    <tableColumn id="27" xr3:uid="{9E03DB8F-2CAB-4F14-8DE1-20479239C5C1}" name="Approve" dataDxfId="67"/>
    <tableColumn id="9" xr3:uid="{91667D01-36C3-4521-AA2D-1EFA62E77F01}" name="DrawNu" dataDxfId="66"/>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B60DCBE-E06F-482E-AA85-ACC692384496}" name="Contract_Edits" displayName="Contract_Edits" ref="L24:AN303" totalsRowShown="0" headerRowDxfId="65" totalsRowDxfId="64">
  <sortState xmlns:xlrd2="http://schemas.microsoft.com/office/spreadsheetml/2017/richdata2" ref="L25:AN303">
    <sortCondition ref="V25:V303"/>
    <sortCondition ref="L25:L303"/>
  </sortState>
  <tableColumns count="29">
    <tableColumn id="1" xr3:uid="{C3641EFC-F008-4843-94FC-8706A622B226}" name="Index" dataDxfId="63" totalsRowDxfId="62"/>
    <tableColumn id="24" xr3:uid="{DAF2DE9F-6E6F-4C11-AD50-400D1A7D8562}" name="Days" dataDxfId="61" totalsRowDxfId="60"/>
    <tableColumn id="30" xr3:uid="{79CFC59B-E6BC-41D0-B251-9D454ABE36D2}" name="Used" dataDxfId="59" totalsRowDxfId="58"/>
    <tableColumn id="31" xr3:uid="{EC59EFEA-C6A7-4B1B-9229-E13F552232B3}" name="Date" dataDxfId="57" totalsRowDxfId="56">
      <calculatedColumnFormula array="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calculatedColumnFormula>
    </tableColumn>
    <tableColumn id="5" xr3:uid="{E5332D17-BE5F-403D-886A-EEBF6CF25A9C}" name="Done" dataDxfId="55" totalsRowDxfId="54"/>
    <tableColumn id="16" xr3:uid="{5BE42E81-CD47-4BD3-8C35-8A0A9659EBDC}" name="Paid" dataDxfId="53" totalsRowDxfId="52"/>
    <tableColumn id="10" xr3:uid="{9FCA3033-9F65-4505-A5A7-99D4ED8F1042}" name="Draw" dataDxfId="51" totalsRowDxfId="50"/>
    <tableColumn id="28" xr3:uid="{43F6FEE0-5380-41C8-8B55-5EC4AD20C3E4}" name="Dep" dataDxfId="49" totalsRowDxfId="48">
      <calculatedColumnFormula array="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calculatedColumnFormula>
    </tableColumn>
    <tableColumn id="2" xr3:uid="{6F2547E8-55F6-49C1-A247-7F5DAF64EADC}" name="Group" dataDxfId="47" totalsRowDxfId="46"/>
    <tableColumn id="21" xr3:uid="{A7E97A30-A5FE-4781-A859-7C9C7AA8EE36}" name="Rank" dataDxfId="45" totalsRowDxfId="44"/>
    <tableColumn id="3" xr3:uid="{200E7299-305E-455A-9FD2-4450DC7113E9}" name="Order" dataDxfId="43" totalsRowDxfId="42">
      <calculatedColumnFormula>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calculatedColumnFormula>
    </tableColumn>
    <tableColumn id="18" xr3:uid="{28DB5D7E-D032-42C2-AC0B-3A89139922E6}" name="Start" dataDxfId="41" totalsRowDxfId="40"/>
    <tableColumn id="9" xr3:uid="{5F3552B1-B355-42E5-B1C4-F5C8A9E432E8}" name="Notes" dataDxfId="39" totalsRowDxfId="38"/>
    <tableColumn id="26" xr3:uid="{0801256D-AD14-4FF3-AB49-E5FE9F79D6D2}" name="DepTitles" dataDxfId="37" totalsRowDxfId="36"/>
    <tableColumn id="8" xr3:uid="{7D75652A-A374-473E-8233-3EEBD95E51DA}" name="Approve" dataDxfId="35" totalsRowDxfId="34"/>
    <tableColumn id="7" xr3:uid="{5B75A2E1-E1C6-4844-BC79-567D9782DFF1}" name="DrawNu" dataDxfId="33" totalsRowDxfId="32"/>
    <tableColumn id="22" xr3:uid="{71C6F083-DA19-4E97-8E4A-242BDA3A50E7}" name="RowPos" dataDxfId="31">
      <calculatedColumnFormula array="1">ROW()-ROW(Contract_Edits[#Headers])</calculatedColumnFormula>
    </tableColumn>
    <tableColumn id="23" xr3:uid="{EDFE2A14-66DA-423F-9F26-5A640B3F32B2}" name="PrevPos" dataDxfId="30">
      <calculatedColumnFormula>IF(Contract_Edits[[#This Row],[RowPos]]&gt;1, Contract_Edits[[#This Row],[RowPos]]-1, 0)</calculatedColumnFormula>
    </tableColumn>
    <tableColumn id="12" xr3:uid="{EF4538EA-DDA7-426C-AC14-F8A656E34C11}" name="ParentKey" dataDxfId="29" totalsRowDxfId="28">
      <calculatedColumnFormula>IF(N(Contract_Edits[[#This Row],[Dep]])=0, N(Contract_Edits[[#This Row],[Index]]), N(Contract_Edits[[#This Row],[Dep]]))</calculatedColumnFormula>
    </tableColumn>
    <tableColumn id="4" xr3:uid="{53FE2532-9572-498D-9C0A-5CE40F11DA88}" name="PrevSiblingPos" dataDxfId="27" totalsRowDxfId="26"/>
    <tableColumn id="25" xr3:uid="{170737C7-BE20-4083-B74F-095E5972BE77}" name="SiblingRank" dataDxfId="25" totalsRowDxfId="24">
      <calculatedColumnFormula>IF(OR(#REF!=0,#REF!=""), 0, COUNTIFS(#REF!,#REF!,Contract_Edits[RowPos],"&lt;="&amp;Contract_Edits[[#This Row],[RowPos]]) * 5)</calculatedColumnFormula>
    </tableColumn>
    <tableColumn id="11" xr3:uid="{DD2ABC07-9113-4133-8C93-10A1054668D3}" name="BaseFlag" dataDxfId="23" totalsRowDxfId="22">
      <calculatedColumnFormula>--(
  ISNUMBER(SEARCH("BASE PARENT", UPPER(CLEAN(TRIM(_xlfn.XLOOKUP(TEXT(Contract_Edits[[#This Row],[Index]],"0"), baseIdxTxt, baseCost, "")))))) +
  ISNUMBER(SEARCH("DEPENDENCY GROUP", UPPER(CLEAN(TRIM(_xlfn.XLOOKUP(TEXT(Contract_Edits[[#This Row],[Index]],"0"), baseIdxTxt, baseCost, ""))))))
)</calculatedColumnFormula>
    </tableColumn>
    <tableColumn id="13" xr3:uid="{13E0A68A-8291-4F59-91CE-C443F04FEBB9}" name="BaseTop" dataDxfId="21" totalsRowDxfId="20">
      <calculatedColumnFormula array="1">IF(Contract_Edits[[#This Row],[BaseFlag]]=1,
   10*BaseDepthL(TEXT(Contract_Edits[[#This Row],[Index]],"0"),500,editsIdxTxt,editsParentKeyTxt,baseIdxTxt,baseCost)-5,
   ""
)</calculatedColumnFormula>
    </tableColumn>
    <tableColumn id="14" xr3:uid="{7DDB2CCC-734C-4EC1-84A2-709CFB7A3A20}" name="ParentAnchor" dataDxfId="19" totalsRowDxfId="18">
      <calculatedColumnFormula array="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calculatedColumnFormula>
    </tableColumn>
    <tableColumn id="27" xr3:uid="{4FC9132A-9660-4B14-903F-70849943FBEB}" name="ParentExist" dataDxfId="17" totalsRowDxfId="16">
      <calculatedColumnFormula>IF(Contract_Edits[[#This Row],[Dep]]=0,"Root",
   IF(ISNUMBER(MATCH(Contract_Edits[[#This Row],[Dep]],Contract_Edits[Index],0)),"OK","Missing")
)</calculatedColumnFormula>
    </tableColumn>
    <tableColumn id="29" xr3:uid="{F9DC7E22-8470-46E2-85DC-17EEBEAF58F1}" name="CycleFlag" dataDxfId="15" totalsRowDxfId="14">
      <calculatedColumnFormula>IF(AND(Contract_Edits[[#This Row],[Dep]]&lt;&gt;0,
        ISNUMBER(MATCH(Contract_Edits[[#This Row],[Dep]], Contract_Edits[Index], 0)),
        INDEX(Contract_Edits[Dep], MATCH(Contract_Edits[[#This Row],[Dep]], Contract_Edits[Index], 0))=Contract_Edits[[#This Row],[Index]]),
   "2-cycle","")</calculatedColumnFormula>
    </tableColumn>
    <tableColumn id="6" xr3:uid="{66C95A2F-44DC-4B2D-A7FB-71A816568E3E}" name="CoDependent" dataDxfId="13" totalsRowDxfId="12">
      <calculatedColumnFormula array="1">IF(Contract_Edits[[#This Row],[BaseFlag]]&lt;&gt;1,0,
   IF(TEXT(Contract_Edits[[#This Row],[Dep]],"0")=TEXT(Contract_Edits[[#This Row],[Index]],"0"),
      0,
      MAX(0, SUMPRODUCT(--(Contract_Edits[BaseFlag]=1),
                        --(TEXT(Contract_Edits[Dep],"0")=TEXT(Contract_Edits[[#This Row],[Dep]],"0"))) - 1)
   )
)</calculatedColumnFormula>
    </tableColumn>
    <tableColumn id="17" xr3:uid="{4DC7CF69-210E-4372-89E2-BEFF4EFAD21C}" name="BandKey" dataDxfId="11" totalsRowDxfId="10">
      <calculatedColumnFormula array="1">IF(Contract_Edits[[#This Row],[BaseFlag]]=1,
   TEXT(Contract_Edits[[#This Row],[Index]],"0"),
   NearestBaseL(TEXT(Contract_Edits[[#This Row],[ParentKey]],"0"),500,editsIdxTxt,editsParentKeyTxt,baseIdxTxt,baseCost)
)</calculatedColumnFormula>
    </tableColumn>
    <tableColumn id="20" xr3:uid="{10402378-87A3-4CAE-A94F-8335E5406309}" name="BaseBand" dataDxfId="9" totalsRowDxfId="8">
      <calculatedColumnFormula array="1">1+SUMPRODUCT(
  (Contract_Edits[BaseFlag]=1)*
  (TEXT(Contract_Edits[ParentAnchor],"0")=TEXT(Contract_Edits[[#This Row],[ParentAnchor]],"0"))*
  (VALUE(TEXT(Contract_Edits[Index],"0"))&lt;VALUE(TEXT(Contract_Edits[[#This Row],[Index]],"0")))
)</calculatedColumnFormula>
    </tableColumn>
  </tableColumns>
  <tableStyleInfo name="TableStyleMedium5"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706D724-B009-4963-A2A9-D0287150E949}" name="qryContractsToGnatt" displayName="qryContractsToGnatt" ref="A24:J236" tableType="queryTable" totalsRowShown="0">
  <autoFilter ref="A24:J236" xr:uid="{9706D724-B009-4963-A2A9-D0287150E949}"/>
  <tableColumns count="10">
    <tableColumn id="1" xr3:uid="{DE471983-B1FF-4C06-B657-BF4EE45AED18}" uniqueName="1" name="Assigned" queryTableFieldId="1"/>
    <tableColumn id="2" xr3:uid="{7D375CC0-115F-4064-B9B5-4F43AEA4DB6F}" uniqueName="2" name="Cost Code" queryTableFieldId="2"/>
    <tableColumn id="3" xr3:uid="{781C9C1D-59B1-4EBE-9148-2B2B08FDF3F5}" uniqueName="3" name="Title" queryTableFieldId="3"/>
    <tableColumn id="4" xr3:uid="{D6C7444A-389B-48BF-AE7A-969BF20116AE}" uniqueName="4" name="Description" queryTableFieldId="4" dataDxfId="7"/>
    <tableColumn id="5" xr3:uid="{C40974C5-86C5-4027-A222-0FEF5088A279}" uniqueName="5" name="Qty" queryTableFieldId="5" dataDxfId="6"/>
    <tableColumn id="6" xr3:uid="{ED2424A7-91B1-4D5C-A85D-4126E8782D0F}" uniqueName="6" name="Unit Price" queryTableFieldId="6"/>
    <tableColumn id="7" xr3:uid="{77768296-43B7-4399-9DE5-6BBA50D3AF7A}" uniqueName="7" name="Price" queryTableFieldId="7"/>
    <tableColumn id="8" xr3:uid="{71CB5870-22B3-4315-BD2B-84B1012C5D8C}" uniqueName="8" name="Dep" queryTableFieldId="8"/>
    <tableColumn id="10" xr3:uid="{D47735FF-8BA7-40FC-A3D3-63C74EBAE13F}" uniqueName="10" name="Due" queryTableFieldId="10"/>
    <tableColumn id="11" xr3:uid="{E2DC138A-F7AE-4645-B378-DA3572D17412}" uniqueName="11" name="Index" queryTableFieldId="11"/>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80B1DF2-3106-4494-9807-58275FE84C19}" name="qryGnattToDraws" displayName="qryGnattToDraws" ref="A1:M165" tableType="queryTable" totalsRowShown="0" headerRowDxfId="4">
  <autoFilter ref="A1:M165" xr:uid="{380B1DF2-3106-4494-9807-58275FE84C19}">
    <filterColumn colId="2">
      <filters>
        <filter val="Appliances"/>
        <filter val="Backfill- Waterproof"/>
        <filter val="Backsplash"/>
        <filter val="Bath Accessories"/>
        <filter val="bathroom vanity"/>
        <filter val="Brick wall demolitioni"/>
        <filter val="Cabinet Countertops"/>
        <filter val="Cabinets"/>
        <filter val="Cleaning"/>
        <filter val="Crawl Space"/>
        <filter val="Demo &amp; Cleanup"/>
        <filter val="Demolition"/>
        <filter val="Deposit"/>
        <filter val="Disconnect Power"/>
        <filter val="Door Hardware"/>
        <filter val="Drywall"/>
        <filter val="Drywall repair"/>
        <filter val="Electrical"/>
        <filter val="Electrical Rough-In"/>
        <filter val="Electrical trimout"/>
        <filter val="Engineering"/>
        <filter val="Extend Driveway"/>
        <filter val="Exterior"/>
        <filter val="Flooring"/>
        <filter val="Flooring Materials"/>
        <filter val="Footing"/>
        <filter val="Foundation"/>
        <filter val="Framing"/>
        <filter val="Framing Materials"/>
        <filter val="Garage Doors"/>
        <filter val="HVAC"/>
        <filter val="HVAC rough-in"/>
        <filter val="HVAC trimout"/>
        <filter val="Insulation"/>
        <filter val="Interest"/>
        <filter val="Interior Trim"/>
        <filter val="Interior Trim material"/>
        <filter val="Landscaping"/>
        <filter val="Legal"/>
        <filter val="LVP Flooring"/>
        <filter val="Monoslab"/>
        <filter val="Paint"/>
        <filter val="Painting"/>
        <filter val="Permits"/>
        <filter val="Piers"/>
        <filter val="Plumbing"/>
        <filter val="Plumbing Ground Work"/>
        <filter val="Plumbing rough-in"/>
        <filter val="Plumbing trimout"/>
        <filter val="Power Connection"/>
        <filter val="Provide cabinet"/>
        <filter val="Provide interior trim"/>
        <filter val="Provide Spiral Starcase"/>
        <filter val="Reconnect Power"/>
        <filter val="Replace Sub-Floor"/>
        <filter val="Roofing"/>
        <filter val="Rough In"/>
        <filter val="Sell"/>
        <filter val="Shower Enclosure"/>
        <filter val="Siding"/>
        <filter val="Smart Home"/>
        <filter val="Spiral Stairs"/>
        <filter val="Survey"/>
        <filter val="Tile Floor"/>
        <filter val="Tile Shower"/>
        <filter val="Tim's Hourly Wage"/>
        <filter val="Trim"/>
        <filter val="Water Remidaition"/>
        <filter val="Windows &amp; Doors"/>
        <filter val="Wire Shelving"/>
      </filters>
    </filterColumn>
  </autoFilter>
  <tableColumns count="13">
    <tableColumn id="1" xr3:uid="{4E64F496-8A52-4762-B356-E356733EFEF7}" uniqueName="1" name="Index" queryTableFieldId="1"/>
    <tableColumn id="2" xr3:uid="{39224C7F-2824-4C63-A0BE-1E2ED9B9D7B9}" uniqueName="2" name="Cost Code" queryTableFieldId="2"/>
    <tableColumn id="3" xr3:uid="{71C30E13-D9BB-4037-9564-B1BBEF92C6B5}" uniqueName="3" name="Title" queryTableFieldId="3"/>
    <tableColumn id="4" xr3:uid="{DD174BB2-32D6-4E6B-8544-99E0114288CB}" uniqueName="4" name="Description" queryTableFieldId="4"/>
    <tableColumn id="6" xr3:uid="{A1CFD4F1-F311-4941-AAAD-47610B2DDE2D}" uniqueName="6" name="Done" queryTableFieldId="16"/>
    <tableColumn id="8" xr3:uid="{1E84CEA1-DAE0-4590-B951-252BED2B23BF}" uniqueName="8" name="Draw" queryTableFieldId="19"/>
    <tableColumn id="5" xr3:uid="{D14D62C8-D258-4F1E-BD59-AB502AE96E2D}" uniqueName="5" name="Price" queryTableFieldId="5" dataDxfId="3"/>
    <tableColumn id="7" xr3:uid="{336A303F-2C63-4C4F-A025-3E6CAFF0E8D4}" uniqueName="7" name="Due" queryTableFieldId="18"/>
    <tableColumn id="12" xr3:uid="{AC377377-1D5F-467F-AD1A-7823100187E1}" uniqueName="12" name="Draw Nu" queryTableFieldId="23" dataDxfId="2">
      <calculatedColumnFormula>IFERROR(_xlfn.XLOOKUP(qryGnattToDraws[[#This Row],[Index]], Contract_Edits[Index], Contract_Edits[DrawNu],), "")</calculatedColumnFormula>
    </tableColumn>
    <tableColumn id="9" xr3:uid="{E508989F-EE5B-4736-A3D8-BAE706AD2B2D}" uniqueName="9" name="Completed" queryTableFieldId="9" dataDxfId="1">
      <calculatedColumnFormula>IF(ROW()=2,+qryGnattToDraws[[#This Row],[Due]],+qryGnattToDraws[[#This Row],[Due]]+J1)</calculatedColumnFormula>
    </tableColumn>
    <tableColumn id="10" xr3:uid="{B783BFBC-A47C-4B9A-B6A6-A58A81430AD6}" uniqueName="10" name="Draws" queryTableFieldId="10"/>
    <tableColumn id="13" xr3:uid="{4DC4AA98-4C72-4080-A03B-92ABE031BCAF}" uniqueName="13" name="Date" queryTableFieldId="24"/>
    <tableColumn id="11" xr3:uid="{CB03FFDC-FAA7-4688-866E-CF47EE84FF9D}" uniqueName="11" name="Interest" queryTableFieldId="11" dataDxfId="0">
      <calculatedColumnFormula>IF(qryGnattToDraws[[#This Row],[Draws]]&gt;0,+K2*Profit!$B$41/24,0)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hyperlink" Target="mailto:ben.wegas@casalending.com" TargetMode="External"/><Relationship Id="rId3" Type="http://schemas.openxmlformats.org/officeDocument/2006/relationships/hyperlink" Target="mailto:WesWill@BuyYourHomeLLC" TargetMode="External"/><Relationship Id="rId7" Type="http://schemas.openxmlformats.org/officeDocument/2006/relationships/hyperlink" Target="https://portal.builders-capital.com/" TargetMode="External"/><Relationship Id="rId2" Type="http://schemas.openxmlformats.org/officeDocument/2006/relationships/hyperlink" Target="mailto:Hubieelliott1@gmail.com" TargetMode="External"/><Relationship Id="rId1" Type="http://schemas.openxmlformats.org/officeDocument/2006/relationships/hyperlink" Target="mailto:Wes@BYHLLC.com" TargetMode="External"/><Relationship Id="rId6" Type="http://schemas.openxmlformats.org/officeDocument/2006/relationships/hyperlink" Target="https://casalending.serviceyourloan.com/payments" TargetMode="External"/><Relationship Id="rId5" Type="http://schemas.openxmlformats.org/officeDocument/2006/relationships/hyperlink" Target="mailto:w3638B0@" TargetMode="External"/><Relationship Id="rId10" Type="http://schemas.openxmlformats.org/officeDocument/2006/relationships/printerSettings" Target="../printerSettings/printerSettings6.bin"/><Relationship Id="rId4" Type="http://schemas.openxmlformats.org/officeDocument/2006/relationships/hyperlink" Target="mailto:WesWill@BuyYourHomeLLC.com" TargetMode="External"/><Relationship Id="rId9" Type="http://schemas.openxmlformats.org/officeDocument/2006/relationships/hyperlink" Target="https://borrowers.constructionloanservices.com/"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0.xml"/><Relationship Id="rId13" Type="http://schemas.openxmlformats.org/officeDocument/2006/relationships/table" Target="../tables/table9.xml"/><Relationship Id="rId3" Type="http://schemas.openxmlformats.org/officeDocument/2006/relationships/vmlDrawing" Target="../drawings/vmlDrawing4.vml"/><Relationship Id="rId7" Type="http://schemas.openxmlformats.org/officeDocument/2006/relationships/ctrlProp" Target="../ctrlProps/ctrlProp19.xml"/><Relationship Id="rId12" Type="http://schemas.openxmlformats.org/officeDocument/2006/relationships/table" Target="../tables/table8.xml"/><Relationship Id="rId2" Type="http://schemas.openxmlformats.org/officeDocument/2006/relationships/drawing" Target="../drawings/drawing4.xml"/><Relationship Id="rId1" Type="http://schemas.openxmlformats.org/officeDocument/2006/relationships/printerSettings" Target="../printerSettings/printerSettings8.bin"/><Relationship Id="rId6" Type="http://schemas.openxmlformats.org/officeDocument/2006/relationships/ctrlProp" Target="../ctrlProps/ctrlProp18.xml"/><Relationship Id="rId11" Type="http://schemas.openxmlformats.org/officeDocument/2006/relationships/ctrlProp" Target="../ctrlProps/ctrlProp23.xml"/><Relationship Id="rId5" Type="http://schemas.openxmlformats.org/officeDocument/2006/relationships/ctrlProp" Target="../ctrlProps/ctrlProp17.xml"/><Relationship Id="rId10" Type="http://schemas.openxmlformats.org/officeDocument/2006/relationships/ctrlProp" Target="../ctrlProps/ctrlProp22.xml"/><Relationship Id="rId4" Type="http://schemas.openxmlformats.org/officeDocument/2006/relationships/ctrlProp" Target="../ctrlProps/ctrlProp16.xml"/><Relationship Id="rId9" Type="http://schemas.openxmlformats.org/officeDocument/2006/relationships/ctrlProp" Target="../ctrlProps/ctrlProp21.xml"/><Relationship Id="rId14" Type="http://schemas.openxmlformats.org/officeDocument/2006/relationships/table" Target="../tables/table10.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3" Type="http://schemas.openxmlformats.org/officeDocument/2006/relationships/hyperlink" Target="https://www.lowes.com/pd/Simpson-Strong-Tie-LUS28-3Z-Double-Shear-Hanger-Z-Max/3006056" TargetMode="External"/><Relationship Id="rId2" Type="http://schemas.openxmlformats.org/officeDocument/2006/relationships/hyperlink" Target="https://www.lowes.com/pd/Simpson-Strong-Tie-LUS210-2Z-Double-Shear-Hanger-Z-Max/1156591" TargetMode="External"/><Relationship Id="rId1" Type="http://schemas.openxmlformats.org/officeDocument/2006/relationships/hyperlink" Target="https://www.lowes.com/pd/Simpson-Strong-Tie-H8-18-Gauge-Galvanized-Hurricane-Tie/1002748832" TargetMode="External"/><Relationship Id="rId4"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pageSetUpPr fitToPage="1"/>
  </sheetPr>
  <dimension ref="A1:R124"/>
  <sheetViews>
    <sheetView zoomScale="150" zoomScaleNormal="150" workbookViewId="0">
      <pane xSplit="1" ySplit="3" topLeftCell="B52" activePane="bottomRight" state="frozen"/>
      <selection pane="topRight" activeCell="C1" sqref="C1:E1"/>
      <selection pane="bottomLeft" activeCell="C1" sqref="C1:E1"/>
      <selection pane="bottomRight" activeCell="B64" sqref="B64:C64"/>
    </sheetView>
  </sheetViews>
  <sheetFormatPr defaultColWidth="9.140625" defaultRowHeight="15" customHeight="1"/>
  <cols>
    <col min="1" max="1" width="24.7109375" style="38" customWidth="1"/>
    <col min="2" max="2" width="7.7109375" style="38" bestFit="1" customWidth="1"/>
    <col min="3" max="3" width="11.28515625" style="60" customWidth="1"/>
    <col min="4" max="4" width="10.140625" style="37" customWidth="1"/>
    <col min="5" max="5" width="11" style="37" customWidth="1"/>
    <col min="6" max="6" width="9.28515625" style="37" bestFit="1" customWidth="1"/>
    <col min="7" max="7" width="9.7109375" style="37" customWidth="1"/>
    <col min="8" max="8" width="8.7109375" style="38" customWidth="1"/>
    <col min="9" max="9" width="8.5703125" style="60" bestFit="1" customWidth="1"/>
    <col min="10" max="10" width="11.5703125" style="37" customWidth="1"/>
    <col min="11" max="11" width="9.5703125" style="37" customWidth="1"/>
    <col min="12" max="12" width="5.28515625" style="37" customWidth="1"/>
    <col min="13" max="13" width="21.140625" style="349" bestFit="1" customWidth="1"/>
    <col min="14" max="14" width="8.42578125" style="89" bestFit="1" customWidth="1"/>
    <col min="15" max="15" width="5.42578125" style="37" bestFit="1" customWidth="1"/>
    <col min="16" max="16" width="23.140625" style="38" bestFit="1" customWidth="1"/>
    <col min="17" max="17" width="5.42578125" style="37" bestFit="1" customWidth="1"/>
    <col min="18" max="18" width="5" style="37" customWidth="1"/>
    <col min="19" max="19" width="10.140625" style="37" bestFit="1" customWidth="1"/>
    <col min="20" max="20" width="11" style="37" bestFit="1" customWidth="1"/>
    <col min="21" max="21" width="11.28515625" style="37" customWidth="1"/>
    <col min="22" max="23" width="11" style="37" customWidth="1"/>
    <col min="24" max="24" width="6.7109375" style="37" customWidth="1"/>
    <col min="25" max="25" width="8.5703125" style="37" customWidth="1"/>
    <col min="26" max="26" width="10.42578125" style="37" customWidth="1"/>
    <col min="27" max="27" width="9.7109375" style="37" customWidth="1"/>
    <col min="28" max="28" width="10.5703125" style="37" customWidth="1"/>
    <col min="29" max="29" width="10.42578125" style="37" customWidth="1"/>
    <col min="30" max="16384" width="9.140625" style="37"/>
  </cols>
  <sheetData>
    <row r="1" spans="1:18" ht="21" customHeight="1" thickBot="1">
      <c r="A1" s="38" t="s">
        <v>0</v>
      </c>
      <c r="B1" s="308" t="str">
        <f>IF(R3=1,"Flip","")</f>
        <v>Flip</v>
      </c>
      <c r="C1" s="309" t="str">
        <f>IF(R3=2,"Hold","")</f>
        <v/>
      </c>
      <c r="D1" s="309" t="str">
        <f>IF(R3=3,"Slow Flip","")</f>
        <v/>
      </c>
      <c r="E1" s="381" t="s">
        <v>1</v>
      </c>
      <c r="F1" s="732" t="s">
        <v>2</v>
      </c>
      <c r="G1" s="733"/>
      <c r="H1" s="733"/>
      <c r="P1" s="38" t="s">
        <v>3</v>
      </c>
      <c r="Q1" s="37" t="b">
        <v>0</v>
      </c>
    </row>
    <row r="2" spans="1:18" ht="16.5" customHeight="1" thickBot="1">
      <c r="A2" s="61"/>
      <c r="B2" s="681" t="s">
        <v>4</v>
      </c>
      <c r="C2" s="682"/>
      <c r="D2" s="682"/>
      <c r="E2" s="679" t="s">
        <v>5</v>
      </c>
      <c r="F2" s="680"/>
      <c r="G2" s="375" t="s">
        <v>6</v>
      </c>
      <c r="H2" s="739" t="s">
        <v>7</v>
      </c>
      <c r="I2" s="740"/>
      <c r="J2" s="709" t="s">
        <v>8</v>
      </c>
      <c r="K2" s="666">
        <v>45715</v>
      </c>
      <c r="M2" s="358" t="s">
        <v>9</v>
      </c>
      <c r="N2" s="358"/>
      <c r="P2" s="38" t="s">
        <v>10</v>
      </c>
      <c r="Q2" s="37" t="b">
        <v>0</v>
      </c>
    </row>
    <row r="3" spans="1:18" ht="12" customHeight="1" thickBot="1">
      <c r="A3" s="63" t="s">
        <v>11</v>
      </c>
      <c r="B3" s="64"/>
      <c r="D3" s="665" t="s">
        <v>12</v>
      </c>
      <c r="E3" s="665"/>
      <c r="F3" s="665" t="s">
        <v>13</v>
      </c>
      <c r="G3" s="663"/>
      <c r="H3" s="663"/>
      <c r="I3" s="725"/>
      <c r="J3" s="710"/>
      <c r="K3" s="667"/>
      <c r="P3" s="87" t="s">
        <v>14</v>
      </c>
      <c r="Q3" s="37" t="b">
        <v>0</v>
      </c>
      <c r="R3" s="37">
        <v>1</v>
      </c>
    </row>
    <row r="4" spans="1:18" ht="12" customHeight="1" thickBot="1">
      <c r="A4" s="38" t="s">
        <v>15</v>
      </c>
      <c r="B4" s="741">
        <v>625000</v>
      </c>
      <c r="C4" s="742"/>
      <c r="D4" s="267"/>
      <c r="E4" s="294"/>
      <c r="F4" s="291"/>
      <c r="G4" s="291"/>
      <c r="H4" s="71"/>
      <c r="I4" s="72"/>
      <c r="P4" s="87" t="s">
        <v>16</v>
      </c>
      <c r="Q4" s="37" t="b">
        <v>1</v>
      </c>
    </row>
    <row r="5" spans="1:18" ht="12" customHeight="1" thickBot="1">
      <c r="A5" s="38" t="s">
        <v>17</v>
      </c>
      <c r="B5" s="362">
        <f>+Amortization!O2</f>
        <v>0.68276000000000003</v>
      </c>
      <c r="C5" s="226">
        <v>0</v>
      </c>
      <c r="D5" s="295"/>
      <c r="E5" s="296"/>
      <c r="F5" s="291"/>
      <c r="G5" s="291"/>
      <c r="H5" s="74"/>
      <c r="I5" s="75"/>
      <c r="N5" s="89" t="s">
        <v>18</v>
      </c>
      <c r="O5" s="184"/>
      <c r="P5" s="87" t="s">
        <v>19</v>
      </c>
      <c r="Q5" s="37" t="b">
        <v>1</v>
      </c>
    </row>
    <row r="6" spans="1:18" ht="12" customHeight="1" thickBot="1">
      <c r="A6" s="38" t="s">
        <v>20</v>
      </c>
      <c r="B6" s="743">
        <f>+B4</f>
        <v>625000</v>
      </c>
      <c r="C6" s="744"/>
      <c r="D6" s="295"/>
      <c r="E6" s="296"/>
      <c r="F6" s="291"/>
      <c r="G6" s="299">
        <f>IF(OR(R3=1,R3=2),$B$6,0)</f>
        <v>625000</v>
      </c>
      <c r="H6" s="74"/>
      <c r="I6" s="75"/>
      <c r="O6" s="184"/>
      <c r="P6" s="357"/>
      <c r="Q6" s="37" t="b">
        <v>1</v>
      </c>
    </row>
    <row r="7" spans="1:18" ht="12" customHeight="1" thickBot="1">
      <c r="A7" s="38" t="s">
        <v>21</v>
      </c>
      <c r="B7" s="362">
        <f>+Amortization!$K$3</f>
        <v>6.2397489838123099E-2</v>
      </c>
      <c r="C7" s="241">
        <f>+B6*B7</f>
        <v>38998.431148826938</v>
      </c>
      <c r="D7" s="242"/>
      <c r="E7" s="243">
        <f>IF(R3=3,+C7,0)</f>
        <v>0</v>
      </c>
      <c r="F7" s="292"/>
      <c r="G7" s="291"/>
      <c r="H7" s="74"/>
      <c r="I7" s="75"/>
      <c r="J7" s="709" t="s">
        <v>22</v>
      </c>
      <c r="K7" s="699">
        <v>0.03</v>
      </c>
      <c r="O7" s="184"/>
      <c r="P7" s="357"/>
    </row>
    <row r="8" spans="1:18" ht="12" customHeight="1" thickBot="1">
      <c r="A8" s="38" t="s">
        <v>23</v>
      </c>
      <c r="B8" s="229"/>
      <c r="C8" s="313"/>
      <c r="D8" s="242"/>
      <c r="E8" s="296"/>
      <c r="F8" s="292"/>
      <c r="G8" s="300">
        <f>+IF($C$1="hold",$K$7,0)*$C$50/12*B4</f>
        <v>0</v>
      </c>
      <c r="H8" s="314"/>
      <c r="I8" s="75"/>
      <c r="J8" s="710"/>
      <c r="K8" s="700"/>
      <c r="M8" s="349" t="s">
        <v>24</v>
      </c>
    </row>
    <row r="9" spans="1:18" ht="12" customHeight="1" thickBot="1">
      <c r="A9" s="86" t="str">
        <f>IF(R3=3,"Delta Mortgages","Monthly Rent:")</f>
        <v>Monthly Rent:</v>
      </c>
      <c r="B9" s="728">
        <v>1825</v>
      </c>
      <c r="C9" s="736"/>
      <c r="D9" s="297"/>
      <c r="E9" s="298"/>
      <c r="F9" s="293"/>
      <c r="G9" s="301"/>
      <c r="H9" s="302"/>
      <c r="I9" s="310" t="str">
        <f>IF(OR(C1="Hold",D1="Slow Flip"),IF(C1="hold",+B9,+Amortization!AJ8),"")</f>
        <v/>
      </c>
      <c r="J9" s="709" t="s">
        <v>25</v>
      </c>
      <c r="K9" s="672">
        <v>2750</v>
      </c>
    </row>
    <row r="10" spans="1:18" ht="12" customHeight="1" thickBot="1">
      <c r="C10" s="711" t="s">
        <v>26</v>
      </c>
      <c r="D10" s="687" t="s">
        <v>26</v>
      </c>
      <c r="E10" s="65">
        <f>SUM(D4:E9)</f>
        <v>0</v>
      </c>
      <c r="F10" s="668">
        <f>+SUM(F4:G9)</f>
        <v>625000</v>
      </c>
      <c r="G10" s="669"/>
      <c r="H10" s="668">
        <f>SUM(H4:I9)</f>
        <v>0</v>
      </c>
      <c r="I10" s="669"/>
      <c r="J10" s="710"/>
      <c r="K10" s="673"/>
      <c r="M10" s="349" t="s">
        <v>27</v>
      </c>
      <c r="O10" s="414"/>
    </row>
    <row r="11" spans="1:18" ht="12" customHeight="1" thickBot="1">
      <c r="C11" s="66"/>
      <c r="D11" s="67"/>
      <c r="E11" s="60"/>
      <c r="F11" s="676" t="str">
        <f>IF(R3=3,"Profit calcuations based on selling in 5 years","")</f>
        <v/>
      </c>
      <c r="G11" s="677"/>
      <c r="H11" s="677"/>
      <c r="I11" s="678"/>
      <c r="M11" s="349" t="s">
        <v>28</v>
      </c>
      <c r="N11" s="89">
        <v>250000</v>
      </c>
      <c r="O11" s="223" t="b">
        <f>+$B$4&gt;N11</f>
        <v>1</v>
      </c>
    </row>
    <row r="12" spans="1:18" ht="12" customHeight="1" thickTop="1" thickBot="1">
      <c r="A12" s="68" t="s">
        <v>29</v>
      </c>
      <c r="B12" s="68"/>
      <c r="C12" s="69"/>
      <c r="D12" s="267"/>
      <c r="E12" s="268"/>
      <c r="F12" s="275"/>
      <c r="G12" s="322"/>
      <c r="H12" s="277"/>
      <c r="I12" s="312"/>
      <c r="M12" s="349" t="s">
        <v>30</v>
      </c>
      <c r="N12" s="89">
        <v>700000</v>
      </c>
      <c r="O12" s="223" t="b">
        <f>+$B$4&lt;N12</f>
        <v>1</v>
      </c>
    </row>
    <row r="13" spans="1:18" ht="12" customHeight="1" thickBot="1">
      <c r="A13" s="38" t="s">
        <v>31</v>
      </c>
      <c r="B13" s="64"/>
      <c r="D13" s="295"/>
      <c r="E13" s="311"/>
      <c r="F13" s="247"/>
      <c r="G13" s="319">
        <f>IF(R3=3,+Amortization!AJ11,0)</f>
        <v>0</v>
      </c>
      <c r="H13" s="320"/>
      <c r="I13" s="321"/>
      <c r="J13" s="367" t="s">
        <v>32</v>
      </c>
      <c r="K13" s="369" t="b">
        <v>1</v>
      </c>
      <c r="M13" s="349" t="s">
        <v>33</v>
      </c>
      <c r="N13" s="89">
        <v>100000</v>
      </c>
      <c r="O13" s="223" t="b">
        <f>N13&lt;K61</f>
        <v>1</v>
      </c>
    </row>
    <row r="14" spans="1:18" ht="11.25" customHeight="1" thickBot="1">
      <c r="A14" s="38" t="s">
        <v>34</v>
      </c>
      <c r="B14" s="221"/>
      <c r="C14" s="348">
        <v>26541.02</v>
      </c>
      <c r="D14" s="269">
        <f>-C14</f>
        <v>-26541.02</v>
      </c>
      <c r="E14" s="243"/>
      <c r="F14" s="276"/>
      <c r="G14" s="96">
        <f>IF(K13,0,0.3*C14)</f>
        <v>0</v>
      </c>
      <c r="H14" s="719" t="s">
        <v>35</v>
      </c>
      <c r="I14" s="720"/>
      <c r="J14" s="637" t="s">
        <v>36</v>
      </c>
      <c r="K14" s="704"/>
      <c r="M14" s="349" t="s">
        <v>37</v>
      </c>
      <c r="N14" s="350">
        <v>0.35</v>
      </c>
      <c r="O14" s="223" t="b">
        <f>N14&lt;K61/B4</f>
        <v>0</v>
      </c>
      <c r="P14" s="451">
        <f>K61/B4</f>
        <v>0.17600842278247689</v>
      </c>
    </row>
    <row r="15" spans="1:18" ht="12" customHeight="1">
      <c r="A15" s="38" t="s">
        <v>38</v>
      </c>
      <c r="B15" s="168">
        <v>0.10625</v>
      </c>
      <c r="C15" s="140"/>
      <c r="D15" s="269">
        <v>-100030.99</v>
      </c>
      <c r="E15" s="243">
        <f>-D15</f>
        <v>100030.99</v>
      </c>
      <c r="F15" s="247"/>
      <c r="G15" s="368"/>
      <c r="H15" s="284"/>
      <c r="I15" s="285"/>
      <c r="J15" s="705"/>
      <c r="K15" s="706"/>
      <c r="M15" s="349" t="s">
        <v>39</v>
      </c>
      <c r="N15" s="89">
        <v>30000</v>
      </c>
      <c r="O15" s="223" t="b">
        <f>+N15&gt;($C$14+$C$20)</f>
        <v>0</v>
      </c>
    </row>
    <row r="16" spans="1:18" ht="12" customHeight="1">
      <c r="A16" s="38" t="s">
        <v>40</v>
      </c>
      <c r="B16" s="139"/>
      <c r="C16" s="140"/>
      <c r="D16" s="269"/>
      <c r="E16" s="243"/>
      <c r="F16" s="247">
        <f>-(120-C49)*(C16/120)</f>
        <v>0</v>
      </c>
      <c r="G16" s="248"/>
      <c r="H16" s="284">
        <f>-(C16*B16/12)</f>
        <v>0</v>
      </c>
      <c r="I16" s="285"/>
      <c r="J16" s="705"/>
      <c r="K16" s="706"/>
      <c r="M16" s="349" t="s">
        <v>41</v>
      </c>
      <c r="N16" s="89">
        <v>140000</v>
      </c>
      <c r="O16" s="223" t="b">
        <f>+N16&gt;($C$14+$C$20+E19)</f>
        <v>1</v>
      </c>
    </row>
    <row r="17" spans="1:17" ht="12" customHeight="1" thickBot="1">
      <c r="A17" s="38" t="s">
        <v>42</v>
      </c>
      <c r="B17" s="139">
        <v>0</v>
      </c>
      <c r="C17" s="140"/>
      <c r="D17" s="269">
        <f>-C17</f>
        <v>0</v>
      </c>
      <c r="E17" s="243">
        <f>+C17</f>
        <v>0</v>
      </c>
      <c r="F17" s="247">
        <f>IF(OR($R$3=1,$R$3=2,$R$3=3),IF(OR($R$3=1,$R$3=2),-C17,),0)</f>
        <v>0</v>
      </c>
      <c r="G17" s="248"/>
      <c r="H17" s="284"/>
      <c r="I17" s="285"/>
      <c r="J17" s="707"/>
      <c r="K17" s="708"/>
      <c r="O17" s="223"/>
    </row>
    <row r="18" spans="1:17" ht="12" customHeight="1" thickBot="1">
      <c r="A18" s="38" t="s">
        <v>43</v>
      </c>
      <c r="B18" s="118"/>
      <c r="C18" s="119"/>
      <c r="D18" s="269"/>
      <c r="E18" s="243"/>
      <c r="F18" s="247">
        <f>-C18</f>
        <v>0</v>
      </c>
      <c r="G18" s="248"/>
      <c r="H18" s="284"/>
      <c r="I18" s="285"/>
      <c r="J18" s="40"/>
      <c r="K18" s="40"/>
      <c r="O18" s="223"/>
    </row>
    <row r="19" spans="1:17" ht="12" customHeight="1" thickBot="1">
      <c r="A19" s="38" t="s">
        <v>44</v>
      </c>
      <c r="B19" s="240">
        <f>+B17</f>
        <v>0</v>
      </c>
      <c r="C19" s="421">
        <v>25000</v>
      </c>
      <c r="D19" s="242">
        <f>-C19</f>
        <v>-25000</v>
      </c>
      <c r="E19" s="243"/>
      <c r="F19" s="244">
        <f>IF(B1="flip",-C19,0)</f>
        <v>-25000</v>
      </c>
      <c r="G19" s="245"/>
      <c r="H19" s="284"/>
      <c r="I19" s="285"/>
      <c r="J19" s="40"/>
      <c r="K19" s="40"/>
      <c r="O19" s="223"/>
      <c r="P19" s="357"/>
    </row>
    <row r="20" spans="1:17" ht="12" customHeight="1" thickBot="1">
      <c r="A20" s="86" t="s">
        <v>45</v>
      </c>
      <c r="B20" s="347"/>
      <c r="C20" s="229">
        <v>45000</v>
      </c>
      <c r="D20" s="269">
        <v>-45000</v>
      </c>
      <c r="E20" s="243"/>
      <c r="F20" s="244"/>
      <c r="G20" s="248"/>
      <c r="H20" s="287"/>
      <c r="I20" s="285"/>
      <c r="J20" s="40"/>
      <c r="K20" s="40"/>
      <c r="O20" s="415"/>
      <c r="P20" s="357"/>
    </row>
    <row r="21" spans="1:17" ht="12" customHeight="1" thickBot="1">
      <c r="A21" s="38" t="s">
        <v>46</v>
      </c>
      <c r="B21" s="734">
        <f>-SUM(D14:D20)-F19</f>
        <v>221572.01</v>
      </c>
      <c r="C21" s="735"/>
      <c r="D21" s="269"/>
      <c r="E21" s="243"/>
      <c r="F21" s="247"/>
      <c r="G21" s="248"/>
      <c r="H21" s="287"/>
      <c r="I21" s="285"/>
      <c r="P21" s="357"/>
    </row>
    <row r="22" spans="1:17" ht="12" customHeight="1" thickBot="1">
      <c r="A22" s="38" t="s">
        <v>47</v>
      </c>
      <c r="B22" s="246">
        <v>0.9</v>
      </c>
      <c r="C22" s="241">
        <f>IF(C1="Hold",+B4*B22,0)</f>
        <v>0</v>
      </c>
      <c r="D22" s="242"/>
      <c r="E22" s="243">
        <f>IF(AND(Q1,R3=2),C22+B21,0)</f>
        <v>0</v>
      </c>
      <c r="F22" s="247" t="str">
        <f>IF(AND(Q1,R3=2),-C22,"")</f>
        <v/>
      </c>
      <c r="G22" s="248"/>
      <c r="H22" s="286">
        <f>IF(AND(Q1,R3=2),IF(Q2,IPMT(B23/12,1,C23*12,C22),PMT(B23/12,12*C23,C22)),0)</f>
        <v>0</v>
      </c>
      <c r="I22" s="285"/>
      <c r="J22" s="674" t="s">
        <v>48</v>
      </c>
      <c r="K22" s="675"/>
      <c r="P22" s="357"/>
    </row>
    <row r="23" spans="1:17" ht="12" customHeight="1" thickBot="1">
      <c r="A23" s="38" t="s">
        <v>49</v>
      </c>
      <c r="B23" s="249">
        <v>6.5000000000000002E-2</v>
      </c>
      <c r="C23" s="250">
        <v>30</v>
      </c>
      <c r="D23" s="242"/>
      <c r="E23" s="243"/>
      <c r="F23" s="247"/>
      <c r="G23" s="248"/>
      <c r="H23" s="287"/>
      <c r="I23" s="285"/>
      <c r="J23" s="674" t="s">
        <v>50</v>
      </c>
      <c r="K23" s="675"/>
      <c r="P23" s="357"/>
    </row>
    <row r="24" spans="1:17" ht="12" customHeight="1" thickBot="1">
      <c r="A24" s="38" t="s">
        <v>51</v>
      </c>
      <c r="B24" s="721">
        <v>45566</v>
      </c>
      <c r="C24" s="623"/>
      <c r="D24" s="242"/>
      <c r="E24" s="243"/>
      <c r="F24" s="247"/>
      <c r="G24" s="248"/>
      <c r="H24" s="287"/>
      <c r="I24" s="285"/>
      <c r="K24" s="40"/>
      <c r="M24" s="349">
        <v>45680</v>
      </c>
      <c r="N24" s="89">
        <v>398800</v>
      </c>
      <c r="P24" s="357"/>
    </row>
    <row r="25" spans="1:17" ht="12" customHeight="1" thickBot="1">
      <c r="A25" s="86" t="s">
        <v>52</v>
      </c>
      <c r="B25" s="108">
        <v>0</v>
      </c>
      <c r="C25" s="109"/>
      <c r="D25" s="269"/>
      <c r="E25" s="243"/>
      <c r="F25" s="247"/>
      <c r="G25" s="248"/>
      <c r="H25" s="286"/>
      <c r="I25" s="285"/>
      <c r="M25" s="349">
        <v>45694</v>
      </c>
      <c r="N25" s="89">
        <v>399400</v>
      </c>
      <c r="Q25" s="89"/>
    </row>
    <row r="26" spans="1:17" ht="12" customHeight="1" thickBot="1">
      <c r="A26" s="86" t="s">
        <v>53</v>
      </c>
      <c r="B26" s="100"/>
      <c r="C26" s="109">
        <v>0</v>
      </c>
      <c r="D26" s="269">
        <f>-B26</f>
        <v>0</v>
      </c>
      <c r="E26" s="243"/>
      <c r="F26" s="247"/>
      <c r="G26" s="248"/>
      <c r="H26" s="287"/>
      <c r="I26" s="285"/>
      <c r="Q26" s="89"/>
    </row>
    <row r="27" spans="1:17" ht="12" customHeight="1" thickBot="1">
      <c r="A27" s="86" t="s">
        <v>54</v>
      </c>
      <c r="B27" s="737">
        <v>5000</v>
      </c>
      <c r="C27" s="738">
        <v>5000</v>
      </c>
      <c r="D27" s="269">
        <f>-B27</f>
        <v>-5000</v>
      </c>
      <c r="E27" s="243"/>
      <c r="F27" s="247"/>
      <c r="G27" s="248"/>
      <c r="H27" s="287"/>
      <c r="I27" s="285"/>
    </row>
    <row r="28" spans="1:17" ht="12" customHeight="1" thickBot="1">
      <c r="A28" s="86" t="s">
        <v>55</v>
      </c>
      <c r="B28" s="224">
        <f>+F72/30.42</f>
        <v>12.952005259697566</v>
      </c>
      <c r="C28" s="73"/>
      <c r="D28" s="269"/>
      <c r="E28" s="243"/>
      <c r="F28" s="247"/>
      <c r="G28" s="248"/>
      <c r="H28" s="286"/>
      <c r="I28" s="285"/>
      <c r="Q28" s="89"/>
    </row>
    <row r="29" spans="1:17" ht="12" customHeight="1">
      <c r="A29" s="86" t="s">
        <v>56</v>
      </c>
      <c r="B29" s="222">
        <f>+STR!K17/12</f>
        <v>0</v>
      </c>
      <c r="C29" s="73"/>
      <c r="D29" s="269"/>
      <c r="E29" s="243"/>
      <c r="F29" s="247"/>
      <c r="G29" s="248"/>
      <c r="H29" s="286">
        <f>-B29</f>
        <v>0</v>
      </c>
      <c r="I29" s="285"/>
      <c r="J29" s="701" t="s">
        <v>57</v>
      </c>
      <c r="K29" s="639"/>
      <c r="Q29" s="89"/>
    </row>
    <row r="30" spans="1:17" ht="12" customHeight="1" thickBot="1">
      <c r="A30" s="86" t="s">
        <v>58</v>
      </c>
      <c r="C30" s="224"/>
      <c r="D30" s="269"/>
      <c r="E30" s="243"/>
      <c r="F30" s="247"/>
      <c r="G30" s="248"/>
      <c r="H30" s="286"/>
      <c r="I30" s="285"/>
      <c r="J30" s="702"/>
      <c r="K30" s="703"/>
      <c r="O30" s="184"/>
      <c r="P30" s="357"/>
    </row>
    <row r="31" spans="1:17" ht="12" customHeight="1">
      <c r="A31" s="86" t="s">
        <v>1523</v>
      </c>
      <c r="B31" s="224">
        <f>+Carrying!B25/Profit!$B$28</f>
        <v>46.965700507614216</v>
      </c>
      <c r="C31" s="73"/>
      <c r="D31" s="269"/>
      <c r="E31" s="243"/>
      <c r="F31" s="247"/>
      <c r="G31" s="248"/>
      <c r="H31" s="286">
        <f t="shared" ref="H31:H35" si="0">IF($R$3=3,-B31,0)</f>
        <v>0</v>
      </c>
      <c r="I31" s="285">
        <f t="shared" ref="I31:I35" si="1">IF($R$3=3,+B31,0)</f>
        <v>0</v>
      </c>
      <c r="J31" s="714" t="s">
        <v>59</v>
      </c>
      <c r="K31" s="715"/>
      <c r="P31" s="357"/>
    </row>
    <row r="32" spans="1:17" ht="12" customHeight="1">
      <c r="A32" s="86" t="s">
        <v>1557</v>
      </c>
      <c r="B32" s="224">
        <f>+Carrying!E25/Profit!$B$28</f>
        <v>1113.4893563451776</v>
      </c>
      <c r="C32" s="73"/>
      <c r="D32" s="269"/>
      <c r="E32" s="243"/>
      <c r="F32" s="247"/>
      <c r="G32" s="248"/>
      <c r="H32" s="286"/>
      <c r="I32" s="285"/>
      <c r="J32" s="716"/>
      <c r="K32" s="717"/>
      <c r="P32" s="357"/>
    </row>
    <row r="33" spans="1:16" ht="12" customHeight="1">
      <c r="A33" s="86" t="s">
        <v>60</v>
      </c>
      <c r="B33" s="224">
        <f>+Carrying!H25/Profit!$B$28</f>
        <v>424.64467005076159</v>
      </c>
      <c r="C33" s="73"/>
      <c r="D33" s="269"/>
      <c r="E33" s="243"/>
      <c r="F33" s="247"/>
      <c r="G33" s="248"/>
      <c r="H33" s="286"/>
      <c r="I33" s="285"/>
      <c r="J33" s="716"/>
      <c r="K33" s="717"/>
      <c r="P33" s="357"/>
    </row>
    <row r="34" spans="1:16" ht="12" customHeight="1" thickBot="1">
      <c r="A34" s="86" t="s">
        <v>1424</v>
      </c>
      <c r="B34" s="224">
        <f>+Carrying!K25/Profit!$B$28</f>
        <v>457.19252588832489</v>
      </c>
      <c r="C34" s="73"/>
      <c r="D34" s="269"/>
      <c r="E34" s="243"/>
      <c r="F34" s="247"/>
      <c r="G34" s="248"/>
      <c r="H34" s="286">
        <f t="shared" si="0"/>
        <v>0</v>
      </c>
      <c r="I34" s="285">
        <f t="shared" si="1"/>
        <v>0</v>
      </c>
      <c r="J34" s="718"/>
      <c r="K34" s="605"/>
    </row>
    <row r="35" spans="1:16" ht="12" customHeight="1">
      <c r="A35" s="86" t="s">
        <v>504</v>
      </c>
      <c r="B35" s="224">
        <f>+Carrying!N25/Profit!$B$28</f>
        <v>0</v>
      </c>
      <c r="C35" s="73"/>
      <c r="D35" s="269"/>
      <c r="E35" s="243"/>
      <c r="F35" s="247"/>
      <c r="G35" s="248"/>
      <c r="H35" s="286">
        <f t="shared" si="0"/>
        <v>0</v>
      </c>
      <c r="I35" s="285">
        <f t="shared" si="1"/>
        <v>0</v>
      </c>
    </row>
    <row r="36" spans="1:16" ht="12" customHeight="1">
      <c r="A36" s="86" t="s">
        <v>1527</v>
      </c>
      <c r="B36" s="224">
        <f>+Carrying!Q25/Profit!$B$28</f>
        <v>31.021451269035534</v>
      </c>
      <c r="C36" s="73"/>
      <c r="D36" s="269"/>
      <c r="E36" s="243"/>
      <c r="F36" s="247"/>
      <c r="G36" s="248"/>
      <c r="H36" s="286"/>
      <c r="I36" s="285"/>
      <c r="J36"/>
      <c r="K36"/>
      <c r="M36" s="37"/>
      <c r="N36" s="37"/>
    </row>
    <row r="37" spans="1:16" ht="12" customHeight="1">
      <c r="A37" s="86" t="s">
        <v>1525</v>
      </c>
      <c r="B37" s="224">
        <f>+Carrying!T25/Profit!$B$28</f>
        <v>0.77208121827411169</v>
      </c>
      <c r="C37" s="73"/>
      <c r="D37" s="269"/>
      <c r="E37" s="243"/>
      <c r="F37" s="247"/>
      <c r="G37" s="248"/>
      <c r="H37" s="286"/>
      <c r="I37" s="285"/>
      <c r="J37"/>
      <c r="K37"/>
      <c r="M37" s="37"/>
      <c r="N37" s="37"/>
    </row>
    <row r="38" spans="1:16" ht="12" customHeight="1">
      <c r="A38" s="86" t="s">
        <v>223</v>
      </c>
      <c r="B38" s="224">
        <f>+Carrying!W25/Profit!$B$28</f>
        <v>0</v>
      </c>
      <c r="C38" s="73"/>
      <c r="D38" s="269"/>
      <c r="E38" s="243"/>
      <c r="F38" s="247"/>
      <c r="G38" s="248"/>
      <c r="H38" s="286"/>
      <c r="I38" s="285"/>
      <c r="M38" s="37"/>
      <c r="N38" s="37"/>
    </row>
    <row r="39" spans="1:16" ht="12" customHeight="1" thickBot="1">
      <c r="A39" s="86" t="s">
        <v>505</v>
      </c>
      <c r="B39" s="224">
        <f>+Carrying!Z25/Profit!$B$28</f>
        <v>0</v>
      </c>
      <c r="C39" s="77"/>
      <c r="D39" s="269"/>
      <c r="E39" s="243"/>
      <c r="F39" s="247"/>
      <c r="G39" s="248"/>
      <c r="H39" s="286"/>
      <c r="I39" s="285"/>
      <c r="M39" s="37"/>
      <c r="N39" s="37"/>
    </row>
    <row r="40" spans="1:16" ht="12" customHeight="1" thickBot="1">
      <c r="A40" s="38" t="s">
        <v>1394</v>
      </c>
      <c r="B40" s="224">
        <f>+Carrying!AC25/Profit!$B$28</f>
        <v>463.24873096446703</v>
      </c>
      <c r="C40" s="77"/>
      <c r="D40" s="269">
        <f>-B40</f>
        <v>-463.24873096446703</v>
      </c>
      <c r="E40" s="243"/>
      <c r="F40" s="247"/>
      <c r="G40" s="248"/>
      <c r="H40" s="286"/>
      <c r="I40" s="285"/>
      <c r="M40" s="37"/>
      <c r="N40" s="37"/>
    </row>
    <row r="41" spans="1:16" ht="12" customHeight="1" thickBot="1">
      <c r="A41" s="38" t="s">
        <v>1524</v>
      </c>
      <c r="B41" s="224">
        <f>+Carrying!AF25/Profit!$B$28</f>
        <v>0</v>
      </c>
      <c r="D41" s="269"/>
      <c r="E41" s="243"/>
      <c r="F41" s="247"/>
      <c r="G41" s="248"/>
      <c r="H41" s="286"/>
      <c r="I41" s="285"/>
      <c r="J41" s="730" t="s">
        <v>62</v>
      </c>
      <c r="K41" s="712">
        <f>IF(+R3=3,-H56,+C42/B28)</f>
        <v>2537.3345162436549</v>
      </c>
    </row>
    <row r="42" spans="1:16" ht="12" customHeight="1" thickBot="1">
      <c r="A42" s="584" t="s">
        <v>62</v>
      </c>
      <c r="B42" s="355" t="b">
        <v>1</v>
      </c>
      <c r="C42" s="588">
        <f>+B28*SUM(B31:B41)</f>
        <v>32863.57</v>
      </c>
      <c r="D42" s="581">
        <f>-C42</f>
        <v>-32863.57</v>
      </c>
      <c r="E42" s="243">
        <f>IF(B42,C42,0)</f>
        <v>32863.57</v>
      </c>
      <c r="F42" s="247">
        <f>IF(B42,-E42,0)</f>
        <v>-32863.57</v>
      </c>
      <c r="G42" s="248"/>
      <c r="H42" s="286">
        <f>IF($R$3=3,-E42*B41/12,0)</f>
        <v>0</v>
      </c>
      <c r="I42" s="285"/>
      <c r="J42" s="731"/>
      <c r="K42" s="713"/>
    </row>
    <row r="43" spans="1:16" ht="12" customHeight="1" thickBot="1">
      <c r="A43" s="585" t="s">
        <v>1730</v>
      </c>
      <c r="B43" s="586">
        <v>0.1</v>
      </c>
      <c r="C43" s="355" t="b">
        <v>1</v>
      </c>
      <c r="D43" s="269"/>
      <c r="E43" s="243"/>
      <c r="F43" s="247"/>
      <c r="G43" s="248"/>
      <c r="H43" s="286"/>
      <c r="I43" s="285"/>
    </row>
    <row r="44" spans="1:16" ht="12" customHeight="1" thickBot="1">
      <c r="A44" s="87" t="s">
        <v>1731</v>
      </c>
      <c r="B44" s="446">
        <v>75000</v>
      </c>
      <c r="C44" s="587">
        <f>+(B6*0.75)-SUM(C15:C19)-B44</f>
        <v>368750</v>
      </c>
      <c r="D44" s="269"/>
      <c r="E44" s="243">
        <f>IF(C43,B44,0)</f>
        <v>75000</v>
      </c>
      <c r="F44" s="247">
        <f>IF(C43,-E44,0)</f>
        <v>-75000</v>
      </c>
      <c r="G44" s="248"/>
      <c r="H44" s="286">
        <f>IF($R$3=3,-E44*B43/12,0)</f>
        <v>0</v>
      </c>
      <c r="I44" s="285"/>
      <c r="J44" s="730" t="s">
        <v>1729</v>
      </c>
      <c r="K44" s="712">
        <f>+SUM(C15:C19)+B46</f>
        <v>25600</v>
      </c>
    </row>
    <row r="45" spans="1:16" ht="12" customHeight="1" thickBot="1">
      <c r="A45" s="38" t="s">
        <v>64</v>
      </c>
      <c r="B45" s="722">
        <f>-D67</f>
        <v>322046.89702998754</v>
      </c>
      <c r="C45" s="723"/>
      <c r="D45" s="269">
        <f>-B45</f>
        <v>-322046.89702998754</v>
      </c>
      <c r="E45" s="243"/>
      <c r="F45" s="247"/>
      <c r="G45" s="248"/>
      <c r="H45" s="287"/>
      <c r="I45" s="285"/>
      <c r="J45" s="731"/>
      <c r="K45" s="713"/>
    </row>
    <row r="46" spans="1:16" ht="12" customHeight="1" thickBot="1">
      <c r="A46" s="38" t="s">
        <v>66</v>
      </c>
      <c r="B46" s="724">
        <v>600</v>
      </c>
      <c r="C46" s="725"/>
      <c r="D46" s="269">
        <f>-B46</f>
        <v>-600</v>
      </c>
      <c r="E46" s="243"/>
      <c r="F46" s="247"/>
      <c r="G46" s="248"/>
      <c r="H46" s="287"/>
      <c r="I46" s="285"/>
    </row>
    <row r="47" spans="1:16" ht="12" customHeight="1">
      <c r="A47" s="87" t="s">
        <v>14</v>
      </c>
      <c r="B47" s="323"/>
      <c r="C47" s="76">
        <v>500</v>
      </c>
      <c r="D47" s="269"/>
      <c r="E47" s="243"/>
      <c r="F47" s="247" t="str">
        <f>IF(Q3,-C47,"")</f>
        <v/>
      </c>
      <c r="G47" s="248"/>
      <c r="H47" s="287"/>
      <c r="I47" s="285"/>
      <c r="J47" s="693" t="s">
        <v>61</v>
      </c>
      <c r="K47" s="712">
        <f>+B21</f>
        <v>221572.01</v>
      </c>
    </row>
    <row r="48" spans="1:16" ht="12" customHeight="1" thickBot="1">
      <c r="A48" s="87" t="s">
        <v>67</v>
      </c>
      <c r="B48" s="324"/>
      <c r="C48" s="88">
        <v>2.4E-2</v>
      </c>
      <c r="D48" s="269"/>
      <c r="E48" s="243"/>
      <c r="F48" s="247">
        <f>IF(Q4,IF(OR(R3=1,R3=2),-C48*$F$10,0),"")</f>
        <v>-15000</v>
      </c>
      <c r="G48" s="248"/>
      <c r="H48" s="287"/>
      <c r="I48" s="285"/>
      <c r="J48" s="694"/>
      <c r="K48" s="713"/>
    </row>
    <row r="49" spans="1:15" ht="12" customHeight="1" thickBot="1">
      <c r="A49" s="87" t="s">
        <v>68</v>
      </c>
      <c r="B49" s="325"/>
      <c r="C49" s="122">
        <v>2.5999999999999999E-2</v>
      </c>
      <c r="D49" s="269"/>
      <c r="E49" s="243"/>
      <c r="F49" s="247">
        <f>IF(Q5,IF(OR(R3=1,R3=2),-C49*$F$10,0),"")</f>
        <v>-16250</v>
      </c>
      <c r="G49" s="248"/>
      <c r="H49" s="287"/>
      <c r="I49" s="285"/>
      <c r="J49" s="693" t="s">
        <v>63</v>
      </c>
      <c r="K49" s="712">
        <f>-E55</f>
        <v>350591.16576095199</v>
      </c>
    </row>
    <row r="50" spans="1:15" ht="12" customHeight="1" thickBot="1">
      <c r="A50" s="123" t="s">
        <v>69</v>
      </c>
      <c r="B50" s="121"/>
      <c r="C50" s="148">
        <v>36</v>
      </c>
      <c r="D50" s="269"/>
      <c r="E50" s="243"/>
      <c r="F50" s="247"/>
      <c r="G50" s="248"/>
      <c r="H50" s="287"/>
      <c r="I50" s="285"/>
      <c r="J50" s="694"/>
      <c r="K50" s="713"/>
    </row>
    <row r="51" spans="1:15" ht="12" customHeight="1" thickBot="1">
      <c r="A51" s="38" t="s">
        <v>70</v>
      </c>
      <c r="B51" s="728"/>
      <c r="C51" s="729"/>
      <c r="D51" s="270"/>
      <c r="E51" s="243"/>
      <c r="F51" s="247">
        <f>-C51</f>
        <v>0</v>
      </c>
      <c r="G51" s="248"/>
      <c r="H51" s="288"/>
      <c r="I51" s="285"/>
      <c r="J51" s="629" t="s">
        <v>65</v>
      </c>
      <c r="K51" s="690"/>
    </row>
    <row r="52" spans="1:15" ht="12" customHeight="1" thickBot="1">
      <c r="A52" s="38" t="s">
        <v>71</v>
      </c>
      <c r="B52" s="726">
        <f>+D87</f>
        <v>940</v>
      </c>
      <c r="C52" s="727"/>
      <c r="D52" s="269">
        <f>-B52</f>
        <v>-940</v>
      </c>
      <c r="E52" s="243"/>
      <c r="F52" s="247"/>
      <c r="G52" s="248"/>
      <c r="H52" s="288"/>
      <c r="I52" s="285"/>
      <c r="J52" s="691"/>
      <c r="K52" s="692"/>
    </row>
    <row r="53" spans="1:15" ht="12" customHeight="1" thickBot="1">
      <c r="A53" s="38" t="s">
        <v>72</v>
      </c>
      <c r="B53" s="688">
        <f>+D98</f>
        <v>290</v>
      </c>
      <c r="C53" s="689"/>
      <c r="D53" s="271"/>
      <c r="E53" s="272"/>
      <c r="F53" s="273">
        <f>-B53</f>
        <v>-290</v>
      </c>
      <c r="G53" s="274"/>
      <c r="H53" s="289"/>
      <c r="I53" s="290"/>
    </row>
    <row r="54" spans="1:15" ht="12" customHeight="1" thickBot="1">
      <c r="B54" s="686" t="s">
        <v>73</v>
      </c>
      <c r="C54" s="687"/>
      <c r="D54" s="132">
        <f>+SUM(D14:D53)</f>
        <v>-558485.72576095199</v>
      </c>
      <c r="E54" s="351"/>
      <c r="F54" s="352">
        <f>+SUM(F14:F53)</f>
        <v>-164403.57</v>
      </c>
      <c r="G54" s="351"/>
      <c r="H54" s="353">
        <f>SUM(H15:H53)</f>
        <v>0</v>
      </c>
      <c r="I54" s="354">
        <f>SUM(I15:I53)+H10</f>
        <v>0</v>
      </c>
    </row>
    <row r="55" spans="1:15" ht="12" customHeight="1" thickBot="1">
      <c r="A55" s="39"/>
      <c r="B55" s="697" t="s">
        <v>74</v>
      </c>
      <c r="C55" s="698"/>
      <c r="D55" s="698"/>
      <c r="E55" s="93">
        <f>+SUM(D10:E53)</f>
        <v>-350591.16576095199</v>
      </c>
      <c r="F55" s="670">
        <f>+SUM(F10:G53)</f>
        <v>460596.43000000005</v>
      </c>
      <c r="G55" s="671"/>
      <c r="H55" s="91"/>
      <c r="I55" s="95">
        <f>+SUM(H54:I54)</f>
        <v>0</v>
      </c>
      <c r="O55" s="60"/>
    </row>
    <row r="56" spans="1:15" ht="12" customHeight="1">
      <c r="A56" s="39"/>
      <c r="B56" s="39"/>
      <c r="D56" s="39"/>
      <c r="E56" s="610" t="s">
        <v>75</v>
      </c>
      <c r="F56" s="611"/>
      <c r="G56" s="90">
        <f>SUM(E55:G55)</f>
        <v>110005.26423904806</v>
      </c>
      <c r="H56" s="91"/>
      <c r="I56" s="92"/>
      <c r="J56" s="656" t="s">
        <v>76</v>
      </c>
      <c r="K56" s="608" t="s">
        <v>77</v>
      </c>
      <c r="O56" s="60"/>
    </row>
    <row r="57" spans="1:15" ht="12" customHeight="1" thickBot="1">
      <c r="A57" s="39"/>
      <c r="B57" s="39"/>
      <c r="E57" s="610" t="s">
        <v>78</v>
      </c>
      <c r="F57" s="611"/>
      <c r="G57" s="611"/>
      <c r="H57" s="356">
        <f>IF(OR(R3=2,R3=3),IF(R3=2,C50,60),0)</f>
        <v>0</v>
      </c>
      <c r="I57" s="133">
        <f>IF(OR(R3=2,R3=3),+H57*I55,0)</f>
        <v>0</v>
      </c>
      <c r="J57" s="657"/>
      <c r="K57" s="609"/>
    </row>
    <row r="58" spans="1:15" ht="12" customHeight="1" thickBot="1">
      <c r="A58" s="39"/>
      <c r="B58" s="39"/>
      <c r="E58" s="94"/>
      <c r="F58" s="635" t="s">
        <v>79</v>
      </c>
      <c r="G58" s="636"/>
      <c r="H58" s="78"/>
      <c r="I58" s="78">
        <f>+I57+G56</f>
        <v>110005.26423904806</v>
      </c>
      <c r="J58" s="79">
        <f>$B$25*$I$58</f>
        <v>0</v>
      </c>
      <c r="K58" s="80">
        <f>+$I$58-J58</f>
        <v>110005.26423904806</v>
      </c>
    </row>
    <row r="59" spans="1:15" ht="12" customHeight="1" thickTop="1" thickBot="1">
      <c r="A59" s="81" t="s">
        <v>80</v>
      </c>
      <c r="B59" s="651">
        <f>IF(OR(C1="Hold",D1="slow flip"),0.15,0)</f>
        <v>0</v>
      </c>
      <c r="C59" s="652"/>
      <c r="D59" s="81"/>
      <c r="E59" s="81"/>
      <c r="H59" s="227"/>
      <c r="I59" s="228" t="s">
        <v>81</v>
      </c>
      <c r="J59" s="90">
        <f>-I81</f>
        <v>0</v>
      </c>
      <c r="K59" s="111">
        <f>+I81</f>
        <v>0</v>
      </c>
    </row>
    <row r="60" spans="1:15" ht="12" customHeight="1" thickTop="1" thickBot="1">
      <c r="A60" s="38" t="s">
        <v>82</v>
      </c>
      <c r="B60" s="647">
        <v>0.1</v>
      </c>
      <c r="C60" s="648">
        <v>0.15</v>
      </c>
      <c r="D60" s="649">
        <f>+K62*B60</f>
        <v>11000.526423904807</v>
      </c>
      <c r="E60" s="650"/>
      <c r="H60" s="612" t="s">
        <v>83</v>
      </c>
      <c r="I60" s="613"/>
      <c r="J60" s="326" t="s">
        <v>84</v>
      </c>
      <c r="K60" s="111">
        <f>IF(B59="",0,-$B$59*SUM(K58:K59))</f>
        <v>0</v>
      </c>
    </row>
    <row r="61" spans="1:15" ht="12" customHeight="1">
      <c r="G61" s="39"/>
      <c r="H61" s="612" t="s">
        <v>85</v>
      </c>
      <c r="I61" s="613"/>
      <c r="J61" s="79">
        <f>SUM(J58:J60)</f>
        <v>0</v>
      </c>
      <c r="K61" s="80">
        <f>SUM(K58:K60)</f>
        <v>110005.26423904806</v>
      </c>
    </row>
    <row r="62" spans="1:15" ht="12" customHeight="1" thickBot="1">
      <c r="A62" s="64"/>
      <c r="C62" s="38"/>
      <c r="D62" s="38"/>
      <c r="E62" s="38"/>
      <c r="H62" s="635" t="s">
        <v>86</v>
      </c>
      <c r="I62" s="636"/>
      <c r="J62" s="84"/>
      <c r="K62" s="220">
        <f>SUM(J61:K61)</f>
        <v>110005.26423904806</v>
      </c>
    </row>
    <row r="63" spans="1:15" ht="12" customHeight="1" thickTop="1">
      <c r="A63" s="68" t="s">
        <v>87</v>
      </c>
    </row>
    <row r="64" spans="1:15" ht="12" customHeight="1" thickBot="1">
      <c r="A64" s="38" t="s">
        <v>88</v>
      </c>
      <c r="B64" s="616">
        <f>'Gnatt Chart'!I6</f>
        <v>306711.33050475002</v>
      </c>
      <c r="C64" s="616"/>
      <c r="D64" s="616">
        <f>-B64</f>
        <v>-306711.33050475002</v>
      </c>
      <c r="E64" s="616"/>
    </row>
    <row r="65" spans="1:11" ht="12" customHeight="1" thickBot="1">
      <c r="A65" s="38" t="s">
        <v>89</v>
      </c>
      <c r="B65" s="82">
        <v>0.05</v>
      </c>
      <c r="D65" s="616"/>
      <c r="E65" s="616"/>
      <c r="G65" s="637" t="s">
        <v>90</v>
      </c>
      <c r="H65" s="638"/>
      <c r="I65" s="638"/>
      <c r="J65" s="639"/>
    </row>
    <row r="66" spans="1:11" ht="12" customHeight="1" thickBot="1">
      <c r="A66" s="38" t="s">
        <v>91</v>
      </c>
      <c r="B66" s="664">
        <f>IF(Q12&lt;&gt;"Yes",+B65*SUM(B64:C64),0)</f>
        <v>15335.566525237502</v>
      </c>
      <c r="C66" s="664"/>
      <c r="D66" s="664">
        <f>-B66</f>
        <v>-15335.566525237502</v>
      </c>
      <c r="E66" s="664"/>
      <c r="G66" s="640"/>
      <c r="H66" s="641"/>
      <c r="I66" s="641"/>
      <c r="J66" s="642"/>
    </row>
    <row r="67" spans="1:11" ht="12" customHeight="1" thickBot="1">
      <c r="A67" s="38" t="s">
        <v>92</v>
      </c>
      <c r="D67" s="614">
        <f>+SUM(D64:E66)</f>
        <v>-322046.89702998754</v>
      </c>
      <c r="E67" s="615"/>
      <c r="G67" s="653" t="s">
        <v>93</v>
      </c>
      <c r="H67" s="654"/>
      <c r="I67" s="654"/>
      <c r="J67" s="655"/>
    </row>
    <row r="68" spans="1:11" ht="12" customHeight="1" thickTop="1" thickBot="1">
      <c r="A68" s="83" t="s">
        <v>94</v>
      </c>
      <c r="B68" s="81"/>
      <c r="C68" s="81"/>
      <c r="D68" s="38"/>
      <c r="E68" s="38"/>
      <c r="G68" s="632"/>
      <c r="H68" s="633"/>
      <c r="I68" s="633"/>
      <c r="J68" s="634"/>
    </row>
    <row r="69" spans="1:11" ht="12" customHeight="1">
      <c r="A69" s="38" t="s">
        <v>95</v>
      </c>
      <c r="B69" s="684">
        <v>350</v>
      </c>
      <c r="C69" s="685"/>
      <c r="D69" s="616"/>
      <c r="E69" s="616"/>
      <c r="H69" s="37"/>
      <c r="I69" s="37"/>
    </row>
    <row r="70" spans="1:11" ht="12" customHeight="1" thickBot="1">
      <c r="A70" s="38" t="s">
        <v>96</v>
      </c>
      <c r="B70" s="658">
        <v>0</v>
      </c>
      <c r="C70" s="659"/>
      <c r="D70" s="616"/>
      <c r="E70" s="616"/>
      <c r="H70" s="37"/>
      <c r="I70" s="37"/>
    </row>
    <row r="71" spans="1:11" ht="12" customHeight="1" thickBot="1">
      <c r="A71" s="38" t="s">
        <v>97</v>
      </c>
      <c r="B71" s="658">
        <v>250</v>
      </c>
      <c r="C71" s="659"/>
      <c r="F71" s="683" t="s">
        <v>98</v>
      </c>
      <c r="G71" s="619"/>
      <c r="H71" s="619" t="s">
        <v>99</v>
      </c>
      <c r="I71" s="619"/>
      <c r="J71" s="205" t="s">
        <v>100</v>
      </c>
    </row>
    <row r="72" spans="1:11" ht="12" customHeight="1" thickBot="1">
      <c r="A72" s="38" t="s">
        <v>97</v>
      </c>
      <c r="B72" s="658"/>
      <c r="C72" s="659"/>
      <c r="F72" s="620">
        <f>_xlfn.DAYS(J72,H72)</f>
        <v>394</v>
      </c>
      <c r="G72" s="621"/>
      <c r="H72" s="622">
        <v>45748</v>
      </c>
      <c r="I72" s="623"/>
      <c r="J72" s="413">
        <v>46142</v>
      </c>
    </row>
    <row r="73" spans="1:11" ht="12" customHeight="1">
      <c r="A73" s="38" t="s">
        <v>101</v>
      </c>
      <c r="B73" s="658"/>
      <c r="C73" s="659"/>
      <c r="D73" s="70"/>
      <c r="E73" s="62"/>
      <c r="F73" s="62"/>
      <c r="G73" s="62"/>
      <c r="H73" s="206"/>
      <c r="I73" s="207"/>
      <c r="J73" s="62"/>
      <c r="K73" s="624" t="s">
        <v>102</v>
      </c>
    </row>
    <row r="74" spans="1:11" ht="12" customHeight="1">
      <c r="A74" s="38" t="s">
        <v>101</v>
      </c>
      <c r="B74" s="658"/>
      <c r="C74" s="659"/>
      <c r="D74" s="208"/>
      <c r="G74" s="627" t="s">
        <v>103</v>
      </c>
      <c r="H74" s="627" t="s">
        <v>104</v>
      </c>
      <c r="I74" s="627" t="s">
        <v>105</v>
      </c>
      <c r="J74" s="627" t="s">
        <v>106</v>
      </c>
      <c r="K74" s="625"/>
    </row>
    <row r="75" spans="1:11" ht="12" customHeight="1" thickBot="1">
      <c r="A75" s="38" t="s">
        <v>107</v>
      </c>
      <c r="B75" s="658"/>
      <c r="C75" s="659"/>
      <c r="D75" s="63" t="s">
        <v>108</v>
      </c>
      <c r="E75" s="665" t="s">
        <v>109</v>
      </c>
      <c r="F75" s="665"/>
      <c r="G75" s="628"/>
      <c r="H75" s="628"/>
      <c r="I75" s="628"/>
      <c r="J75" s="628"/>
      <c r="K75" s="626"/>
    </row>
    <row r="76" spans="1:11" ht="12" customHeight="1">
      <c r="A76" s="38" t="s">
        <v>110</v>
      </c>
      <c r="B76" s="658"/>
      <c r="C76" s="659"/>
      <c r="D76" s="278">
        <v>45397</v>
      </c>
      <c r="E76" s="643" t="s">
        <v>111</v>
      </c>
      <c r="F76" s="644"/>
      <c r="G76" s="279"/>
      <c r="H76" s="280">
        <f>+G76/$G$82</f>
        <v>0</v>
      </c>
      <c r="I76" s="281">
        <f>+$J$58*H76</f>
        <v>0</v>
      </c>
      <c r="J76" s="282">
        <f>+G76+I76</f>
        <v>0</v>
      </c>
      <c r="K76" s="283">
        <f>IF(G76="",0,+I76/G76*365/_xlfn.DAYS($J$72,D76))</f>
        <v>0</v>
      </c>
    </row>
    <row r="77" spans="1:11" ht="12" customHeight="1">
      <c r="A77" s="38" t="s">
        <v>112</v>
      </c>
      <c r="B77" s="658"/>
      <c r="C77" s="659"/>
      <c r="D77" s="278">
        <f>+D76+90</f>
        <v>45487</v>
      </c>
      <c r="E77" s="643" t="str">
        <f>+E76</f>
        <v>unknown</v>
      </c>
      <c r="F77" s="644"/>
      <c r="G77" s="279"/>
      <c r="H77" s="280">
        <f>+G77/$G$82</f>
        <v>0</v>
      </c>
      <c r="I77" s="281">
        <f>+$J$58*H77</f>
        <v>0</v>
      </c>
      <c r="J77" s="282">
        <f>+G77+I77</f>
        <v>0</v>
      </c>
      <c r="K77" s="283">
        <f>IF(G77="",0,+I77/G77*365/_xlfn.DAYS($J$72,D77))</f>
        <v>0</v>
      </c>
    </row>
    <row r="78" spans="1:11" ht="12" customHeight="1">
      <c r="A78" s="38" t="s">
        <v>113</v>
      </c>
      <c r="B78" s="658"/>
      <c r="C78" s="659"/>
      <c r="D78" s="278">
        <f>+D77+270</f>
        <v>45757</v>
      </c>
      <c r="E78" s="643" t="str">
        <f>+E77</f>
        <v>unknown</v>
      </c>
      <c r="F78" s="644"/>
      <c r="G78" s="279"/>
      <c r="H78" s="280">
        <f>+G78/$G$82</f>
        <v>0</v>
      </c>
      <c r="I78" s="281">
        <f>+$J$58*H78</f>
        <v>0</v>
      </c>
      <c r="J78" s="282">
        <f>+G78+I78</f>
        <v>0</v>
      </c>
      <c r="K78" s="283">
        <f>IF(G78="",0,+I78/G78*365/_xlfn.DAYS($J$72,D78))</f>
        <v>0</v>
      </c>
    </row>
    <row r="79" spans="1:11" ht="12" customHeight="1" thickBot="1">
      <c r="A79" s="38" t="s">
        <v>114</v>
      </c>
      <c r="B79" s="658"/>
      <c r="C79" s="659"/>
      <c r="D79" s="278">
        <f>+J72-120</f>
        <v>46022</v>
      </c>
      <c r="E79" s="643" t="str">
        <f>+E78</f>
        <v>unknown</v>
      </c>
      <c r="F79" s="644"/>
      <c r="G79" s="279"/>
      <c r="H79" s="280">
        <f>+G79/$G$82</f>
        <v>0</v>
      </c>
      <c r="I79" s="281">
        <f>+$J$58*H79</f>
        <v>0</v>
      </c>
      <c r="J79" s="282">
        <f>+G79+I79</f>
        <v>0</v>
      </c>
      <c r="K79" s="283">
        <f>IF(G79="",0,+I79/G79*365/_xlfn.DAYS($J$72,D79))</f>
        <v>0</v>
      </c>
    </row>
    <row r="80" spans="1:11" ht="12" customHeight="1" thickBot="1">
      <c r="A80" s="38" t="s">
        <v>115</v>
      </c>
      <c r="B80" s="658">
        <v>200</v>
      </c>
      <c r="C80" s="659"/>
      <c r="D80" s="251">
        <v>45422</v>
      </c>
      <c r="E80" s="645" t="str">
        <f>+F1</f>
        <v>Your Home, LLC</v>
      </c>
      <c r="F80" s="646"/>
      <c r="G80" s="252">
        <f>-D54-SUM(G75:G78)</f>
        <v>558485.72576095199</v>
      </c>
      <c r="H80" s="253">
        <f>+G80/$G$82</f>
        <v>1</v>
      </c>
      <c r="I80" s="252">
        <f>+$J$58*H80</f>
        <v>0</v>
      </c>
      <c r="J80" s="254">
        <f>+G80+I80</f>
        <v>558485.72576095199</v>
      </c>
      <c r="K80" s="255" t="e">
        <f>IF(G80=0,0,+I80/G80*$F$72/_xlfn.DAYS(J71,H71))</f>
        <v>#VALUE!</v>
      </c>
    </row>
    <row r="81" spans="1:11" ht="12" customHeight="1" thickBot="1">
      <c r="A81" s="38" t="s">
        <v>116</v>
      </c>
      <c r="B81" s="658"/>
      <c r="C81" s="659"/>
      <c r="D81" s="256" t="str">
        <f>+J71</f>
        <v>End Date</v>
      </c>
      <c r="E81" s="617" t="s">
        <v>117</v>
      </c>
      <c r="F81" s="618"/>
      <c r="G81" s="257">
        <f>+SUM(G75:G78)</f>
        <v>0</v>
      </c>
      <c r="H81" s="258">
        <f>+SUM(H75:H78)</f>
        <v>0</v>
      </c>
      <c r="I81" s="257">
        <f>+SUM(I75:I78)</f>
        <v>0</v>
      </c>
      <c r="J81" s="257">
        <f>+SUM(J75:J78)</f>
        <v>0</v>
      </c>
      <c r="K81" s="259">
        <f>AVERAGE(K75:K78)</f>
        <v>0</v>
      </c>
    </row>
    <row r="82" spans="1:11" ht="12" customHeight="1" thickBot="1">
      <c r="A82" s="38" t="s">
        <v>118</v>
      </c>
      <c r="B82" s="658"/>
      <c r="C82" s="659"/>
      <c r="D82" s="260"/>
      <c r="E82" s="261" t="s">
        <v>119</v>
      </c>
      <c r="F82" s="262"/>
      <c r="G82" s="263">
        <f>SUM(G75:G78)+G80</f>
        <v>558485.72576095199</v>
      </c>
      <c r="H82" s="264">
        <f>SUM(H75:H78)+H80</f>
        <v>1</v>
      </c>
      <c r="I82" s="263">
        <f>SUM(I78:I81)</f>
        <v>0</v>
      </c>
      <c r="J82" s="265">
        <f>SUM(J75:J78)</f>
        <v>0</v>
      </c>
      <c r="K82" s="266" t="e">
        <f>AVERAGE(K75:K81)</f>
        <v>#VALUE!</v>
      </c>
    </row>
    <row r="83" spans="1:11" ht="12" customHeight="1">
      <c r="A83" s="38" t="s">
        <v>120</v>
      </c>
      <c r="B83" s="658">
        <v>90</v>
      </c>
      <c r="C83" s="659"/>
      <c r="D83" s="616"/>
      <c r="E83" s="616"/>
    </row>
    <row r="84" spans="1:11" ht="12" customHeight="1">
      <c r="A84" s="38" t="s">
        <v>121</v>
      </c>
      <c r="B84" s="658">
        <v>20</v>
      </c>
      <c r="C84" s="659"/>
      <c r="D84" s="616"/>
      <c r="E84" s="616"/>
    </row>
    <row r="85" spans="1:11" ht="12" customHeight="1">
      <c r="A85" s="38" t="s">
        <v>122</v>
      </c>
      <c r="B85" s="658">
        <v>30</v>
      </c>
      <c r="C85" s="659"/>
      <c r="D85" s="616"/>
      <c r="E85" s="616"/>
    </row>
    <row r="86" spans="1:11" ht="12" customHeight="1" thickBot="1">
      <c r="A86" s="38" t="s">
        <v>123</v>
      </c>
      <c r="B86" s="695"/>
      <c r="C86" s="696"/>
      <c r="D86" s="662"/>
      <c r="E86" s="663"/>
    </row>
    <row r="87" spans="1:11" ht="12" customHeight="1" thickBot="1">
      <c r="D87" s="614">
        <f>+SUM(B69:C86)</f>
        <v>940</v>
      </c>
      <c r="E87" s="615"/>
      <c r="G87" s="629" t="s">
        <v>124</v>
      </c>
      <c r="H87" s="630"/>
      <c r="I87" s="630"/>
      <c r="J87" s="631"/>
    </row>
    <row r="88" spans="1:11" ht="12" customHeight="1" thickBot="1">
      <c r="G88" s="632"/>
      <c r="H88" s="633"/>
      <c r="I88" s="633"/>
      <c r="J88" s="634"/>
    </row>
    <row r="89" spans="1:11" ht="12" customHeight="1" thickTop="1" thickBot="1">
      <c r="A89" s="83" t="s">
        <v>125</v>
      </c>
      <c r="B89" s="81"/>
      <c r="C89" s="81"/>
      <c r="D89" s="81"/>
      <c r="E89" s="81"/>
    </row>
    <row r="90" spans="1:11" ht="12" customHeight="1">
      <c r="A90" s="38" t="s">
        <v>95</v>
      </c>
      <c r="B90" s="684"/>
      <c r="C90" s="685"/>
      <c r="D90" s="616"/>
      <c r="E90" s="616"/>
    </row>
    <row r="91" spans="1:11" ht="12" customHeight="1">
      <c r="A91" s="38" t="s">
        <v>97</v>
      </c>
      <c r="B91" s="658">
        <v>250</v>
      </c>
      <c r="C91" s="659"/>
      <c r="D91" s="616"/>
      <c r="E91" s="616"/>
    </row>
    <row r="92" spans="1:11" ht="12" customHeight="1">
      <c r="A92" s="38" t="s">
        <v>126</v>
      </c>
      <c r="B92" s="658">
        <v>0</v>
      </c>
      <c r="C92" s="659"/>
      <c r="D92" s="616"/>
      <c r="E92" s="616"/>
    </row>
    <row r="93" spans="1:11" ht="12" customHeight="1">
      <c r="A93" s="38" t="s">
        <v>127</v>
      </c>
      <c r="B93" s="658"/>
      <c r="C93" s="659"/>
      <c r="D93" s="616"/>
      <c r="E93" s="616"/>
    </row>
    <row r="94" spans="1:11" ht="12" customHeight="1">
      <c r="A94" s="38" t="s">
        <v>120</v>
      </c>
      <c r="B94" s="658"/>
      <c r="C94" s="659"/>
      <c r="D94" s="616"/>
      <c r="E94" s="616"/>
    </row>
    <row r="95" spans="1:11" ht="12" customHeight="1">
      <c r="A95" s="38" t="s">
        <v>128</v>
      </c>
      <c r="B95" s="658">
        <v>40</v>
      </c>
      <c r="C95" s="659"/>
      <c r="D95" s="616"/>
      <c r="E95" s="616"/>
    </row>
    <row r="96" spans="1:11" ht="12" customHeight="1">
      <c r="A96" s="38" t="s">
        <v>129</v>
      </c>
      <c r="B96" s="658"/>
      <c r="C96" s="659"/>
      <c r="D96" s="616"/>
      <c r="E96" s="616"/>
    </row>
    <row r="97" spans="1:10" ht="12" customHeight="1" thickBot="1">
      <c r="A97" s="38" t="s">
        <v>123</v>
      </c>
      <c r="B97" s="660"/>
      <c r="C97" s="661"/>
      <c r="D97" s="662"/>
      <c r="E97" s="663"/>
    </row>
    <row r="98" spans="1:10" ht="12" customHeight="1" thickTop="1" thickBot="1">
      <c r="D98" s="614">
        <f>+SUM(B90:C97)</f>
        <v>290</v>
      </c>
      <c r="E98" s="615"/>
      <c r="G98" s="629" t="s">
        <v>130</v>
      </c>
      <c r="H98" s="630"/>
      <c r="I98" s="630"/>
      <c r="J98" s="631"/>
    </row>
    <row r="99" spans="1:10" ht="12" customHeight="1" thickBot="1">
      <c r="G99" s="632"/>
      <c r="H99" s="633"/>
      <c r="I99" s="633"/>
      <c r="J99" s="634"/>
    </row>
    <row r="100" spans="1:10" ht="12" customHeight="1"/>
    <row r="101" spans="1:10" ht="12" customHeight="1"/>
    <row r="102" spans="1:10" ht="12" customHeight="1"/>
    <row r="103" spans="1:10" ht="12" customHeight="1"/>
    <row r="104" spans="1:10" ht="12" customHeight="1"/>
    <row r="105" spans="1:10" ht="12" customHeight="1"/>
    <row r="106" spans="1:10" ht="12" customHeight="1"/>
    <row r="107" spans="1:10" ht="12" customHeight="1"/>
    <row r="108" spans="1:10" ht="12" customHeight="1"/>
    <row r="109" spans="1:10" ht="12" customHeight="1"/>
    <row r="110" spans="1:10" ht="12" customHeight="1"/>
    <row r="111" spans="1:10" ht="12" customHeight="1"/>
    <row r="112" spans="1:10"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sheetData>
  <mergeCells count="124">
    <mergeCell ref="F1:H1"/>
    <mergeCell ref="B21:C21"/>
    <mergeCell ref="B9:C9"/>
    <mergeCell ref="B27:C27"/>
    <mergeCell ref="J2:J3"/>
    <mergeCell ref="H2:I3"/>
    <mergeCell ref="D3:E3"/>
    <mergeCell ref="F3:G3"/>
    <mergeCell ref="B4:C4"/>
    <mergeCell ref="B6:C6"/>
    <mergeCell ref="B55:D55"/>
    <mergeCell ref="K7:K8"/>
    <mergeCell ref="J29:K30"/>
    <mergeCell ref="J14:K17"/>
    <mergeCell ref="J7:J8"/>
    <mergeCell ref="J9:J10"/>
    <mergeCell ref="C10:D10"/>
    <mergeCell ref="K47:K48"/>
    <mergeCell ref="J47:J48"/>
    <mergeCell ref="J31:K34"/>
    <mergeCell ref="J23:K23"/>
    <mergeCell ref="H10:I10"/>
    <mergeCell ref="H14:I14"/>
    <mergeCell ref="B24:C24"/>
    <mergeCell ref="K49:K50"/>
    <mergeCell ref="B45:C45"/>
    <mergeCell ref="B46:C46"/>
    <mergeCell ref="B52:C52"/>
    <mergeCell ref="B51:C51"/>
    <mergeCell ref="J41:J42"/>
    <mergeCell ref="K41:K42"/>
    <mergeCell ref="J44:J45"/>
    <mergeCell ref="K44:K45"/>
    <mergeCell ref="B76:C76"/>
    <mergeCell ref="B77:C77"/>
    <mergeCell ref="B78:C78"/>
    <mergeCell ref="B74:C74"/>
    <mergeCell ref="B96:C96"/>
    <mergeCell ref="B79:C79"/>
    <mergeCell ref="B90:C90"/>
    <mergeCell ref="D90:E90"/>
    <mergeCell ref="B91:C91"/>
    <mergeCell ref="D91:E91"/>
    <mergeCell ref="B86:C86"/>
    <mergeCell ref="D86:E86"/>
    <mergeCell ref="B82:C82"/>
    <mergeCell ref="B83:C83"/>
    <mergeCell ref="B85:C85"/>
    <mergeCell ref="D87:E87"/>
    <mergeCell ref="D85:E85"/>
    <mergeCell ref="B84:C84"/>
    <mergeCell ref="D84:E84"/>
    <mergeCell ref="B81:C81"/>
    <mergeCell ref="K2:K3"/>
    <mergeCell ref="F10:G10"/>
    <mergeCell ref="F55:G55"/>
    <mergeCell ref="K9:K10"/>
    <mergeCell ref="J22:K22"/>
    <mergeCell ref="F11:I11"/>
    <mergeCell ref="E2:F2"/>
    <mergeCell ref="B2:D2"/>
    <mergeCell ref="B75:C75"/>
    <mergeCell ref="B73:C73"/>
    <mergeCell ref="F71:G71"/>
    <mergeCell ref="B69:C69"/>
    <mergeCell ref="D65:E65"/>
    <mergeCell ref="D64:E64"/>
    <mergeCell ref="B64:C64"/>
    <mergeCell ref="B66:C66"/>
    <mergeCell ref="B71:C71"/>
    <mergeCell ref="B54:C54"/>
    <mergeCell ref="B53:C53"/>
    <mergeCell ref="J51:K52"/>
    <mergeCell ref="J49:J50"/>
    <mergeCell ref="B70:C70"/>
    <mergeCell ref="D69:E69"/>
    <mergeCell ref="D67:E67"/>
    <mergeCell ref="B60:C60"/>
    <mergeCell ref="D60:E60"/>
    <mergeCell ref="B59:C59"/>
    <mergeCell ref="G98:J99"/>
    <mergeCell ref="G67:J68"/>
    <mergeCell ref="J56:J57"/>
    <mergeCell ref="F58:G58"/>
    <mergeCell ref="D96:E96"/>
    <mergeCell ref="B94:C94"/>
    <mergeCell ref="D94:E94"/>
    <mergeCell ref="B95:C95"/>
    <mergeCell ref="D95:E95"/>
    <mergeCell ref="B93:C93"/>
    <mergeCell ref="D93:E93"/>
    <mergeCell ref="B92:C92"/>
    <mergeCell ref="B97:C97"/>
    <mergeCell ref="D97:E97"/>
    <mergeCell ref="D66:E66"/>
    <mergeCell ref="B80:C80"/>
    <mergeCell ref="B72:C72"/>
    <mergeCell ref="E75:F75"/>
    <mergeCell ref="E76:F76"/>
    <mergeCell ref="E77:F77"/>
    <mergeCell ref="E78:F78"/>
    <mergeCell ref="K56:K57"/>
    <mergeCell ref="E56:F56"/>
    <mergeCell ref="E57:G57"/>
    <mergeCell ref="H61:I61"/>
    <mergeCell ref="D98:E98"/>
    <mergeCell ref="D83:E83"/>
    <mergeCell ref="D92:E92"/>
    <mergeCell ref="E81:F81"/>
    <mergeCell ref="H71:I71"/>
    <mergeCell ref="F72:G72"/>
    <mergeCell ref="H72:I72"/>
    <mergeCell ref="K73:K75"/>
    <mergeCell ref="G74:G75"/>
    <mergeCell ref="H74:H75"/>
    <mergeCell ref="I74:I75"/>
    <mergeCell ref="J74:J75"/>
    <mergeCell ref="G87:J88"/>
    <mergeCell ref="H62:I62"/>
    <mergeCell ref="H60:I60"/>
    <mergeCell ref="G65:J66"/>
    <mergeCell ref="E79:F79"/>
    <mergeCell ref="E80:F80"/>
    <mergeCell ref="D70:E70"/>
  </mergeCells>
  <conditionalFormatting sqref="F19:F20">
    <cfRule type="expression" dxfId="236" priority="26">
      <formula>IF(B1="flip",-C19,0)</formula>
    </cfRule>
  </conditionalFormatting>
  <conditionalFormatting sqref="I9">
    <cfRule type="expression" dxfId="235" priority="24">
      <formula>IF(OR(C1="Hold",D1="Slow Flip"),+B9,"")</formula>
    </cfRule>
  </conditionalFormatting>
  <conditionalFormatting sqref="B59">
    <cfRule type="expression" dxfId="234" priority="21">
      <formula>IF(OR(C1="Hold",D1="slow flip"),0.15,0)</formula>
    </cfRule>
  </conditionalFormatting>
  <conditionalFormatting sqref="I57">
    <cfRule type="expression" dxfId="233" priority="19">
      <formula>+H57*H54</formula>
    </cfRule>
  </conditionalFormatting>
  <conditionalFormatting sqref="F15">
    <cfRule type="expression" dxfId="232" priority="15">
      <formula>IF(R3=3,-C15,0)</formula>
    </cfRule>
  </conditionalFormatting>
  <conditionalFormatting sqref="F49">
    <cfRule type="expression" dxfId="231" priority="11">
      <formula>OR(R3=1,R3=2)</formula>
    </cfRule>
  </conditionalFormatting>
  <conditionalFormatting sqref="F48">
    <cfRule type="expression" dxfId="230" priority="10">
      <formula>OR(R3=1,R3=2)</formula>
    </cfRule>
  </conditionalFormatting>
  <conditionalFormatting sqref="G6">
    <cfRule type="expression" dxfId="229" priority="8">
      <formula>IF(OR(R3=1,R3=2),$B$6,0)</formula>
    </cfRule>
  </conditionalFormatting>
  <conditionalFormatting sqref="G8">
    <cfRule type="expression" dxfId="228" priority="63">
      <formula>R3=2</formula>
    </cfRule>
  </conditionalFormatting>
  <conditionalFormatting sqref="C22">
    <cfRule type="expression" dxfId="227" priority="93">
      <formula>IF(C1="Hold",+B4*B22,0)</formula>
    </cfRule>
  </conditionalFormatting>
  <conditionalFormatting sqref="F22">
    <cfRule type="expression" dxfId="226" priority="94">
      <formula>IF(OR(C1="hold",D1="slow flip"),-C22,"")</formula>
    </cfRule>
  </conditionalFormatting>
  <conditionalFormatting sqref="H22">
    <cfRule type="expression" dxfId="225" priority="95">
      <formula>IF(OR(C1="hold",C4="slow flip"),IPMT(B23/12,1,C23*12,C22),PMT(B23/12,12*C23,C22))</formula>
    </cfRule>
  </conditionalFormatting>
  <conditionalFormatting sqref="E22">
    <cfRule type="expression" dxfId="224" priority="97">
      <formula>IF(C1="hold",C22-C15-C19-C28-B45,0)</formula>
    </cfRule>
  </conditionalFormatting>
  <conditionalFormatting sqref="H57">
    <cfRule type="expression" dxfId="223" priority="98">
      <formula>IF(OR(C1="Hold",D1="slow Flip"),C50,0)</formula>
    </cfRule>
  </conditionalFormatting>
  <conditionalFormatting sqref="K60">
    <cfRule type="expression" dxfId="222" priority="99">
      <formula>IF(C1="Hold",-$B$59*K58,0)</formula>
    </cfRule>
  </conditionalFormatting>
  <conditionalFormatting sqref="D40">
    <cfRule type="expression" dxfId="221" priority="101">
      <formula>IF(OR(R3=1,R3=2),-B40,0)</formula>
    </cfRule>
  </conditionalFormatting>
  <conditionalFormatting sqref="D45">
    <cfRule type="expression" dxfId="220" priority="102">
      <formula>IF(OR(R3=1,R3=2),-B45,"")</formula>
    </cfRule>
  </conditionalFormatting>
  <conditionalFormatting sqref="E7">
    <cfRule type="expression" dxfId="219" priority="6">
      <formula>$R$3=3</formula>
    </cfRule>
  </conditionalFormatting>
  <conditionalFormatting sqref="A9">
    <cfRule type="expression" dxfId="218" priority="3">
      <formula>"(R3=3)"</formula>
    </cfRule>
  </conditionalFormatting>
  <conditionalFormatting sqref="F17:F18">
    <cfRule type="expression" dxfId="217" priority="1">
      <formula>IF(R5=3,-C17,0)</formula>
    </cfRule>
  </conditionalFormatting>
  <conditionalFormatting sqref="C7">
    <cfRule type="expression" dxfId="216" priority="2012">
      <formula>IF(C1048567="Hold",+B1048570*B7,0)</formula>
    </cfRule>
  </conditionalFormatting>
  <pageMargins left="0.25" right="0.25" top="0.75" bottom="0.75" header="0.3" footer="0.3"/>
  <pageSetup scale="52" orientation="portrait" r:id="rId1"/>
  <rowBreaks count="1" manualBreakCount="1">
    <brk id="6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10</xdr:col>
                    <xdr:colOff>200025</xdr:colOff>
                    <xdr:row>21</xdr:row>
                    <xdr:rowOff>123825</xdr:rowOff>
                  </from>
                  <to>
                    <xdr:col>10</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238125</xdr:colOff>
                    <xdr:row>0</xdr:row>
                    <xdr:rowOff>47625</xdr:rowOff>
                  </from>
                  <to>
                    <xdr:col>2</xdr:col>
                    <xdr:colOff>19050</xdr:colOff>
                    <xdr:row>0</xdr:row>
                    <xdr:rowOff>238125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352425</xdr:colOff>
                    <xdr:row>0</xdr:row>
                    <xdr:rowOff>47625</xdr:rowOff>
                  </from>
                  <to>
                    <xdr:col>2</xdr:col>
                    <xdr:colOff>619125</xdr:colOff>
                    <xdr:row>0</xdr:row>
                    <xdr:rowOff>257175</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495300</xdr:colOff>
                    <xdr:row>0</xdr:row>
                    <xdr:rowOff>28575</xdr:rowOff>
                  </from>
                  <to>
                    <xdr:col>4</xdr:col>
                    <xdr:colOff>85725</xdr:colOff>
                    <xdr:row>0</xdr:row>
                    <xdr:rowOff>247650</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10</xdr:col>
                    <xdr:colOff>200025</xdr:colOff>
                    <xdr:row>20</xdr:row>
                    <xdr:rowOff>114300</xdr:rowOff>
                  </from>
                  <to>
                    <xdr:col>10</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13</xdr:col>
                    <xdr:colOff>95250</xdr:colOff>
                    <xdr:row>0</xdr:row>
                    <xdr:rowOff>266700</xdr:rowOff>
                  </from>
                  <to>
                    <xdr:col>13</xdr:col>
                    <xdr:colOff>381000</xdr:colOff>
                    <xdr:row>2</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06" id="{0668A8FE-703E-4859-8056-2B7D54A562BA}">
            <xm:f>IF(S3=3,+'Amortization - Old'!#REF!,0)</xm:f>
            <x14:dxf>
              <fill>
                <patternFill>
                  <bgColor theme="9" tint="0.39994506668294322"/>
                </patternFill>
              </fill>
            </x14:dxf>
          </x14:cfRule>
          <xm:sqref>G11</xm:sqref>
        </x14:conditionalFormatting>
        <x14:conditionalFormatting xmlns:xm="http://schemas.microsoft.com/office/excel/2006/main">
          <x14:cfRule type="expression" priority="108" id="{0668A8FE-703E-4859-8056-2B7D54A562BA}">
            <xm:f>IF(T3=3,+'Amortization - Old'!#REF!,0)</xm:f>
            <x14:dxf>
              <fill>
                <patternFill>
                  <bgColor theme="9" tint="0.39994506668294322"/>
                </patternFill>
              </fill>
            </x14:dxf>
          </x14:cfRule>
          <xm:sqref>H11</xm:sqref>
        </x14:conditionalFormatting>
        <x14:conditionalFormatting xmlns:xm="http://schemas.microsoft.com/office/excel/2006/main">
          <x14:cfRule type="expression" priority="125" id="{4E27812F-AD97-4DF7-83ED-9E5E91B15EE4}">
            <xm:f>IF(R3=3,+'Amortization - Old'!AI10,0)</xm:f>
            <x14:dxf>
              <fill>
                <patternFill>
                  <bgColor theme="9" tint="0.39994506668294322"/>
                </patternFill>
              </fill>
            </x14:dxf>
          </x14:cfRule>
          <xm:sqref>G13</xm:sqref>
        </x14:conditionalFormatting>
        <x14:conditionalFormatting xmlns:xm="http://schemas.microsoft.com/office/excel/2006/main">
          <x14:cfRule type="expression" priority="126" id="{0668A8FE-703E-4859-8056-2B7D54A562BA}">
            <xm:f>IF(R3=3,+'Amortization - Old'!AI10,0)</xm:f>
            <x14:dxf>
              <fill>
                <patternFill>
                  <bgColor theme="9" tint="0.39994506668294322"/>
                </patternFill>
              </fill>
            </x14:dxf>
          </x14:cfRule>
          <xm:sqref>F11</xm:sqref>
        </x14:conditionalFormatting>
        <x14:conditionalFormatting xmlns:xm="http://schemas.microsoft.com/office/excel/2006/main">
          <x14:cfRule type="expression" priority="127" id="{0668A8FE-703E-4859-8056-2B7D54A562BA}">
            <xm:f>IF(U3=3,+'Amortization - Old'!AP9,0)</xm:f>
            <x14:dxf>
              <fill>
                <patternFill>
                  <bgColor theme="9" tint="0.39994506668294322"/>
                </patternFill>
              </fill>
            </x14:dxf>
          </x14:cfRule>
          <xm:sqref>I11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7559AE-075C-4DAF-ADD9-55E558A812A9}">
  <sheetPr codeName="Sheet3">
    <pageSetUpPr fitToPage="1"/>
  </sheetPr>
  <dimension ref="A1:AY783"/>
  <sheetViews>
    <sheetView workbookViewId="0">
      <pane ySplit="15" topLeftCell="A16" activePane="bottomLeft" state="frozen"/>
      <selection pane="bottomLeft" activeCell="P2" sqref="P2"/>
    </sheetView>
  </sheetViews>
  <sheetFormatPr defaultRowHeight="15"/>
  <cols>
    <col min="1" max="1" width="7.42578125" style="402" bestFit="1" customWidth="1"/>
    <col min="2" max="2" width="10.28515625" style="185" customWidth="1"/>
    <col min="3" max="3" width="9.140625" style="14" bestFit="1" customWidth="1"/>
    <col min="4" max="7" width="6.5703125" style="14" bestFit="1" customWidth="1"/>
    <col min="8" max="8" width="8.140625" style="14" bestFit="1" customWidth="1"/>
    <col min="9" max="10" width="11.140625" style="185" customWidth="1"/>
    <col min="11" max="11" width="7.85546875" style="185" bestFit="1" customWidth="1"/>
    <col min="12" max="12" width="5" style="22" bestFit="1" customWidth="1"/>
    <col min="13" max="13" width="8.7109375" style="22" customWidth="1"/>
    <col min="14" max="14" width="10.28515625" style="185" customWidth="1"/>
    <col min="15" max="15" width="8.85546875" style="14" bestFit="1" customWidth="1"/>
    <col min="16" max="16" width="9.7109375" style="14" customWidth="1"/>
    <col min="17" max="17" width="8.5703125" style="14" customWidth="1"/>
    <col min="18" max="18" width="10" style="14" customWidth="1"/>
    <col min="19" max="19" width="8.28515625" style="14" customWidth="1"/>
    <col min="20" max="20" width="8.85546875" style="14" bestFit="1" customWidth="1"/>
    <col min="21" max="21" width="8.42578125" style="185" customWidth="1"/>
    <col min="22" max="22" width="7.28515625" style="185" customWidth="1"/>
    <col min="23" max="23" width="7.85546875" style="185" bestFit="1" customWidth="1"/>
    <col min="24" max="24" width="8.28515625" style="402" bestFit="1" customWidth="1"/>
    <col min="25" max="25" width="9.140625" style="185" customWidth="1"/>
    <col min="26" max="26" width="15.140625" style="393" bestFit="1" customWidth="1"/>
    <col min="27" max="30" width="9.85546875" style="14" bestFit="1" customWidth="1"/>
    <col min="31" max="31" width="8.28515625" style="14" customWidth="1"/>
    <col min="32" max="32" width="8.85546875" style="14" bestFit="1" customWidth="1"/>
    <col min="33" max="34" width="7.5703125" style="185" bestFit="1" customWidth="1"/>
    <col min="35" max="36" width="10.85546875" style="185" bestFit="1" customWidth="1"/>
    <col min="37" max="37" width="8.28515625" style="185" bestFit="1" customWidth="1"/>
    <col min="38" max="38" width="10.140625" style="185" bestFit="1" customWidth="1"/>
    <col min="39" max="39" width="5" style="22" bestFit="1" customWidth="1"/>
    <col min="40" max="43" width="10.5703125" style="14" customWidth="1"/>
    <col min="44" max="44" width="9" bestFit="1" customWidth="1"/>
    <col min="45" max="45" width="10.140625" style="14" bestFit="1" customWidth="1"/>
    <col min="46" max="46" width="11.42578125" style="14" customWidth="1"/>
    <col min="47" max="47" width="11.7109375" style="185" bestFit="1" customWidth="1"/>
    <col min="48" max="48" width="8.28515625" style="185" bestFit="1" customWidth="1"/>
    <col min="49" max="49" width="11.85546875" style="14" bestFit="1" customWidth="1"/>
    <col min="50" max="50" width="12.42578125" customWidth="1"/>
    <col min="52" max="52" width="12.7109375" customWidth="1"/>
  </cols>
  <sheetData>
    <row r="1" spans="1:51" ht="15.75" thickBot="1">
      <c r="B1" s="234" t="s">
        <v>131</v>
      </c>
      <c r="N1" s="234"/>
      <c r="O1" s="396"/>
      <c r="P1" s="13"/>
      <c r="Q1" s="13"/>
      <c r="R1" s="13"/>
      <c r="S1" s="13"/>
      <c r="T1" s="13"/>
      <c r="Y1" s="234"/>
      <c r="Z1" s="392"/>
      <c r="AA1" s="396"/>
      <c r="AB1" s="13"/>
      <c r="AC1" s="13"/>
      <c r="AD1" s="13"/>
      <c r="AE1" s="13"/>
      <c r="AF1" s="13"/>
      <c r="AJ1" s="405"/>
      <c r="AK1" s="13"/>
      <c r="AP1"/>
      <c r="AQ1"/>
      <c r="AR1" s="239" t="s">
        <v>133</v>
      </c>
      <c r="AS1" s="239" t="s">
        <v>134</v>
      </c>
      <c r="AT1" s="239" t="s">
        <v>135</v>
      </c>
      <c r="AU1" s="405" t="s">
        <v>136</v>
      </c>
      <c r="AV1" s="14"/>
      <c r="AW1"/>
      <c r="AX1" s="185"/>
      <c r="AY1" s="14"/>
    </row>
    <row r="2" spans="1:51" ht="15.75" thickBot="1">
      <c r="B2" s="235" t="s">
        <v>137</v>
      </c>
      <c r="C2" s="409">
        <f>+Profit!C15</f>
        <v>0</v>
      </c>
      <c r="J2" s="2" t="s">
        <v>1732</v>
      </c>
      <c r="K2" s="764">
        <v>0</v>
      </c>
      <c r="L2" s="765"/>
      <c r="N2" s="30" t="s">
        <v>1733</v>
      </c>
      <c r="O2" s="589">
        <f>IF($AW$2=1,P2,IF($AW$2=2,Q2,IF($AW$2=3,R2)))</f>
        <v>0.68276000000000003</v>
      </c>
      <c r="P2" s="590">
        <v>0.68276000000000003</v>
      </c>
      <c r="Q2" s="590">
        <v>0.68276000000000003</v>
      </c>
      <c r="R2" s="590">
        <v>0.68276000000000003</v>
      </c>
      <c r="Y2" s="746" t="s">
        <v>138</v>
      </c>
      <c r="Z2" s="717"/>
      <c r="AA2" s="397">
        <f>IF($AW$2=1,AB2,IF($AW$2=2,AC2,IF($AW$2=3,AD2)))</f>
        <v>6.2397489838123099E-2</v>
      </c>
      <c r="AB2" s="232">
        <f>+$K$3</f>
        <v>6.2397489838123099E-2</v>
      </c>
      <c r="AC2" s="232">
        <f t="shared" ref="AC2:AD2" si="0">+$K$3</f>
        <v>6.2397489838123099E-2</v>
      </c>
      <c r="AD2" s="232">
        <f t="shared" si="0"/>
        <v>6.2397489838123099E-2</v>
      </c>
      <c r="AJ2" s="14"/>
      <c r="AK2" s="14"/>
      <c r="AP2" s="30" t="s">
        <v>139</v>
      </c>
      <c r="AQ2" s="232">
        <v>0.03</v>
      </c>
      <c r="AS2" s="185"/>
      <c r="AT2" s="185"/>
      <c r="AU2" s="14"/>
      <c r="AV2" s="14"/>
      <c r="AW2">
        <v>1</v>
      </c>
      <c r="AX2" s="185"/>
    </row>
    <row r="3" spans="1:51" ht="15.75" thickBot="1">
      <c r="B3" s="235"/>
      <c r="C3" s="409"/>
      <c r="J3" s="30" t="s">
        <v>1734</v>
      </c>
      <c r="K3" s="766">
        <v>6.2397489838123099E-2</v>
      </c>
      <c r="L3" s="767"/>
      <c r="N3" s="30" t="s">
        <v>1735</v>
      </c>
      <c r="O3" s="303">
        <f>IF($AW$2=1,P3,IF($AW$2=2,Q3,IF($AW$2=3,R3)))</f>
        <v>1051725</v>
      </c>
      <c r="P3" s="591">
        <f>+Profit!$B$4*(1++P2)</f>
        <v>1051725</v>
      </c>
      <c r="Q3" s="305">
        <f>+Profit!$B$4*(1++Q2)</f>
        <v>1051725</v>
      </c>
      <c r="R3" s="306">
        <f>+Profit!$B$4*(1++R2)</f>
        <v>1051725</v>
      </c>
      <c r="Y3" s="30"/>
      <c r="Z3" s="210"/>
      <c r="AA3" s="397"/>
      <c r="AB3" s="232"/>
      <c r="AC3" s="232"/>
      <c r="AD3" s="232"/>
      <c r="AJ3" s="14"/>
      <c r="AK3" s="14"/>
      <c r="AP3" s="30"/>
      <c r="AQ3" s="455"/>
      <c r="AS3" s="185"/>
      <c r="AT3" s="185"/>
      <c r="AU3" s="14"/>
      <c r="AV3" s="14"/>
      <c r="AW3"/>
      <c r="AX3" s="185"/>
    </row>
    <row r="4" spans="1:51" ht="15.75" thickBot="1">
      <c r="B4" s="235" t="s">
        <v>140</v>
      </c>
      <c r="C4" s="372">
        <f>+Profit!B15</f>
        <v>0.10625</v>
      </c>
      <c r="J4" s="30" t="s">
        <v>1736</v>
      </c>
      <c r="K4" s="768">
        <f>+Profit!K62</f>
        <v>110005.26423904806</v>
      </c>
      <c r="L4" s="769"/>
      <c r="N4" s="30" t="s">
        <v>1737</v>
      </c>
      <c r="O4" s="303">
        <f>IF($AW$2=1,P4,IF($AW$2=2,Q4,IF($AW$2=3,R4)))</f>
        <v>65625.000000000015</v>
      </c>
      <c r="P4" s="591">
        <f>+$O$3*$K$3</f>
        <v>65625.000000000015</v>
      </c>
      <c r="Q4" s="305">
        <f>+$O$3*$K$3</f>
        <v>65625.000000000015</v>
      </c>
      <c r="R4" s="306">
        <f>+$O$3*$K$3</f>
        <v>65625.000000000015</v>
      </c>
      <c r="Y4" s="746" t="s">
        <v>141</v>
      </c>
      <c r="Z4" s="717"/>
      <c r="AA4" s="303">
        <f>IF($AW$2=1,AB4,IF($AW$2=2,AC4,IF($AW$2=3,AD4)))</f>
        <v>1051725</v>
      </c>
      <c r="AB4" s="591">
        <f>+O3+X5</f>
        <v>1051725</v>
      </c>
      <c r="AC4" s="305">
        <f>+AB4</f>
        <v>1051725</v>
      </c>
      <c r="AD4" s="306">
        <f>+AC4</f>
        <v>1051725</v>
      </c>
      <c r="AJ4" s="14"/>
      <c r="AK4" s="14"/>
      <c r="AP4" s="30" t="s">
        <v>142</v>
      </c>
      <c r="AQ4"/>
      <c r="AR4" s="185">
        <f>_xlfn.XLOOKUP(5,$L:$L,$AT:$AT)</f>
        <v>1191057.45</v>
      </c>
      <c r="AS4" s="185">
        <f>_xlfn.XLOOKUP(10,$L:$L,$AT:$AT)</f>
        <v>2363062.049999998</v>
      </c>
      <c r="AT4" s="185">
        <f>_xlfn.XLOOKUP(20,$L:$L,$AT:$AT)</f>
        <v>4707071.2500000158</v>
      </c>
      <c r="AU4" s="14">
        <f>_xlfn.XLOOKUP(29,$L:$L,$AT:$AT)</f>
        <v>6816679.5300000319</v>
      </c>
      <c r="AV4" s="14"/>
      <c r="AW4"/>
      <c r="AX4" s="185"/>
      <c r="AY4" s="14"/>
    </row>
    <row r="5" spans="1:51" ht="15.75" thickBot="1">
      <c r="B5" s="235" t="s">
        <v>143</v>
      </c>
      <c r="C5" s="409">
        <f>+D5/12</f>
        <v>38.416666666666664</v>
      </c>
      <c r="D5" s="409">
        <f>DATEDIF(C7,C8,"m")</f>
        <v>461</v>
      </c>
      <c r="N5" s="30" t="s">
        <v>1738</v>
      </c>
      <c r="O5" s="303">
        <f>IF($AW$2=1,P5,IF($AW$2=2,Q5,IF($AW$2=3,R5)))</f>
        <v>986100</v>
      </c>
      <c r="P5" s="591">
        <f>+P3-P4</f>
        <v>986100</v>
      </c>
      <c r="Q5" s="305">
        <f>+Q3-Q4</f>
        <v>986100</v>
      </c>
      <c r="R5" s="306">
        <f>+R3-R4</f>
        <v>986100</v>
      </c>
      <c r="U5" s="761" t="s">
        <v>1739</v>
      </c>
      <c r="V5" s="762"/>
      <c r="W5" s="762"/>
      <c r="X5" s="763">
        <v>0</v>
      </c>
      <c r="Y5" s="746" t="s">
        <v>138</v>
      </c>
      <c r="Z5" s="717"/>
      <c r="AA5" s="303">
        <f>IF($AW$2=1,AB5,IF($AW$2=2,AC5,IF($AW$2=3,AD5)))</f>
        <v>65625.000000000015</v>
      </c>
      <c r="AB5" s="591">
        <f>+$O$3*AB2</f>
        <v>65625.000000000015</v>
      </c>
      <c r="AC5" s="305">
        <f>+$O$3*AC2</f>
        <v>65625.000000000015</v>
      </c>
      <c r="AD5" s="306">
        <f>+$O$3*AD2</f>
        <v>65625.000000000015</v>
      </c>
      <c r="AJ5" s="14"/>
      <c r="AK5" s="14"/>
      <c r="AP5" s="30" t="s">
        <v>146</v>
      </c>
      <c r="AQ5"/>
      <c r="AR5" s="185">
        <f>_xlfn.XLOOKUP(5,$L:$L,$AW:$AW)</f>
        <v>0</v>
      </c>
      <c r="AS5" s="185">
        <f>_xlfn.XLOOKUP(10,$L:$L,$AW:$AW)</f>
        <v>0</v>
      </c>
      <c r="AT5" s="185">
        <f>_xlfn.XLOOKUP(20,$L:$L,$AW:$AW)</f>
        <v>0</v>
      </c>
      <c r="AU5" s="14">
        <f>_xlfn.XLOOKUP(29,$L:$L,$AW:$AW)</f>
        <v>0</v>
      </c>
      <c r="AV5" s="14"/>
      <c r="AW5"/>
      <c r="AX5" s="185"/>
      <c r="AY5" s="14"/>
    </row>
    <row r="6" spans="1:51" ht="15.75" thickBot="1">
      <c r="B6" s="235" t="s">
        <v>147</v>
      </c>
      <c r="C6" s="14">
        <f>ROUND(PMT($C$4/12,$D$5,-$C$2,0), 2)</f>
        <v>0</v>
      </c>
      <c r="N6" s="30" t="s">
        <v>1740</v>
      </c>
      <c r="P6" s="592">
        <v>0.13125000000000001</v>
      </c>
      <c r="Q6" s="592">
        <v>0.14124999999999999</v>
      </c>
      <c r="R6" s="592">
        <v>0.13875000000000001</v>
      </c>
      <c r="U6" s="762"/>
      <c r="V6" s="762"/>
      <c r="W6" s="762"/>
      <c r="X6" s="667"/>
      <c r="Y6" s="746" t="s">
        <v>137</v>
      </c>
      <c r="Z6" s="717"/>
      <c r="AA6" s="303">
        <f>IF($AW$2=1,AB6,IF($AW$2=2,AC6,IF($AW$2=3,AD6)))</f>
        <v>986100</v>
      </c>
      <c r="AB6" s="591">
        <f t="shared" ref="AB6:AD6" si="1">+AB4-AB5</f>
        <v>986100</v>
      </c>
      <c r="AC6" s="305">
        <f t="shared" si="1"/>
        <v>986100</v>
      </c>
      <c r="AD6" s="306">
        <f t="shared" si="1"/>
        <v>986100</v>
      </c>
      <c r="AJ6" s="21"/>
      <c r="AK6" s="14"/>
      <c r="AP6" s="30" t="s">
        <v>149</v>
      </c>
      <c r="AQ6"/>
      <c r="AR6" s="237">
        <f>_xlfn.XLOOKUP(5,$L:$L,$AV:$AV)</f>
        <v>162233.9840623849</v>
      </c>
      <c r="AS6" s="237">
        <f>_xlfn.XLOOKUP(10,$L:$L,$AV:$AV)</f>
        <v>347824.02671709284</v>
      </c>
      <c r="AT6" s="237">
        <f>_xlfn.XLOOKUP(20,$L:$L,$AV:$AV)</f>
        <v>813835.11713378958</v>
      </c>
      <c r="AU6" s="21">
        <f>_xlfn.XLOOKUP(29,$L:$L,$AV:$AV)</f>
        <v>1370956.69998829</v>
      </c>
      <c r="AV6" s="14"/>
      <c r="AW6"/>
      <c r="AX6" s="185"/>
      <c r="AY6" s="14"/>
    </row>
    <row r="7" spans="1:51" ht="15.75" thickBot="1">
      <c r="B7" s="235" t="s">
        <v>1741</v>
      </c>
      <c r="C7" s="593">
        <v>45870</v>
      </c>
      <c r="N7" s="30" t="s">
        <v>140</v>
      </c>
      <c r="O7" s="372">
        <f>IF($AW$2=1,P7,IF($AW$2=2,Q7,IF($AW$2=3,R7)))</f>
        <v>0.23749999999999999</v>
      </c>
      <c r="P7" s="594">
        <f>+$C$4+P6</f>
        <v>0.23749999999999999</v>
      </c>
      <c r="Q7" s="595">
        <f>+$C$4+Q6</f>
        <v>0.2475</v>
      </c>
      <c r="R7" s="596">
        <f>+$C$4+R6</f>
        <v>0.245</v>
      </c>
      <c r="Y7" s="746" t="s">
        <v>1742</v>
      </c>
      <c r="Z7" s="717"/>
      <c r="AB7" s="594">
        <f>+$C$4+P6</f>
        <v>0.23749999999999999</v>
      </c>
      <c r="AC7" s="359">
        <f>+$C$4+Q6</f>
        <v>0.2475</v>
      </c>
      <c r="AD7" s="360">
        <f>+$C$4+R6</f>
        <v>0.245</v>
      </c>
      <c r="AH7" s="22"/>
      <c r="AI7" s="14" t="s">
        <v>150</v>
      </c>
      <c r="AJ7" s="14" t="s">
        <v>151</v>
      </c>
      <c r="AK7" s="406"/>
      <c r="AP7" s="30" t="s">
        <v>152</v>
      </c>
      <c r="AQ7"/>
      <c r="AR7" s="238">
        <f>SUM(AR4:AR6)</f>
        <v>1353291.4340623848</v>
      </c>
      <c r="AS7" s="238">
        <f>SUM(AS4:AS6)</f>
        <v>2710886.0767170908</v>
      </c>
      <c r="AT7" s="238">
        <f>SUM(AT4:AT6)</f>
        <v>5520906.3671338055</v>
      </c>
      <c r="AU7" s="406">
        <f>SUM(AU4:AU6)</f>
        <v>8187636.2299883217</v>
      </c>
      <c r="AV7" s="14"/>
      <c r="AW7"/>
      <c r="AX7" s="185"/>
      <c r="AY7" s="14"/>
    </row>
    <row r="8" spans="1:51" ht="15.75" thickBot="1">
      <c r="B8" s="235" t="s">
        <v>1743</v>
      </c>
      <c r="C8" s="593">
        <v>59902</v>
      </c>
      <c r="N8" s="30" t="s">
        <v>1744</v>
      </c>
      <c r="O8" s="303">
        <f>ROUND(PMT($O$7/12,$P$9,-$O$5,0), 2)</f>
        <v>19533.41</v>
      </c>
      <c r="P8" s="591">
        <f t="shared" ref="P8:Q8" si="2">ROUND(PMT(P7/12,$P$9,-P5,0), 2)</f>
        <v>19533.41</v>
      </c>
      <c r="Q8" s="305">
        <f t="shared" si="2"/>
        <v>20351.400000000001</v>
      </c>
      <c r="R8" s="306">
        <f>ROUND(PMT(R7/12,$P$9,-R5,0), 2)</f>
        <v>20146.82</v>
      </c>
      <c r="T8" s="13" t="s">
        <v>163</v>
      </c>
      <c r="Y8" s="746" t="s">
        <v>1745</v>
      </c>
      <c r="Z8" s="717"/>
      <c r="AB8" s="399">
        <f>+O9</f>
        <v>30</v>
      </c>
      <c r="AG8" s="30" t="s">
        <v>153</v>
      </c>
      <c r="AH8"/>
      <c r="AI8" s="185">
        <f>_xlfn.XLOOKUP(12,$M:$M,AS:AS)</f>
        <v>19533.41</v>
      </c>
      <c r="AJ8" s="185">
        <f>_xlfn.XLOOKUP(12,$M:$M,$AP:$AP)</f>
        <v>9113</v>
      </c>
      <c r="AK8" s="14"/>
      <c r="AP8" s="185"/>
      <c r="AQ8" s="185"/>
      <c r="AR8" s="185"/>
      <c r="AU8"/>
    </row>
    <row r="9" spans="1:51" ht="15.75" thickBot="1">
      <c r="N9" s="30" t="s">
        <v>1746</v>
      </c>
      <c r="O9" s="399">
        <v>30</v>
      </c>
      <c r="P9" s="397">
        <f>+O9*12</f>
        <v>360</v>
      </c>
      <c r="S9" s="396" t="s">
        <v>1747</v>
      </c>
      <c r="T9" s="399">
        <v>134.16999999999999</v>
      </c>
      <c r="Y9" s="379" t="str">
        <f>+"Payment at "&amp;AA9</f>
        <v>Payment at 0.10625</v>
      </c>
      <c r="Z9" s="303">
        <f>ROUND(PMT(AA9/12,AC9,AB9),0)*-1</f>
        <v>9113</v>
      </c>
      <c r="AA9" s="232">
        <v>0.10625</v>
      </c>
      <c r="AB9" s="303">
        <v>986100</v>
      </c>
      <c r="AC9" s="409">
        <v>360</v>
      </c>
      <c r="AG9" s="30" t="s">
        <v>155</v>
      </c>
      <c r="AH9"/>
      <c r="AI9" s="185">
        <f>+AI8*60</f>
        <v>1172004.6000000001</v>
      </c>
      <c r="AJ9" s="185">
        <f>+AJ8*60</f>
        <v>546780</v>
      </c>
      <c r="AK9" s="406"/>
      <c r="AQ9" s="396" t="s">
        <v>156</v>
      </c>
      <c r="AR9" s="185">
        <f>-_xlfn.XLOOKUP(5,$L:$L,$K:$K)</f>
        <v>0</v>
      </c>
      <c r="AS9" s="406"/>
      <c r="AU9"/>
    </row>
    <row r="10" spans="1:51" ht="15.75" thickBot="1">
      <c r="S10" s="396" t="s">
        <v>1748</v>
      </c>
      <c r="T10" s="399">
        <v>188.55</v>
      </c>
      <c r="Y10" s="379" t="str">
        <f>+"Payment at "&amp;AA10</f>
        <v>Payment at 0.13125</v>
      </c>
      <c r="Z10" s="303">
        <f>ROUND(PMT(AA10/12,AC10,AB10),0)*-1</f>
        <v>10874</v>
      </c>
      <c r="AA10" s="597">
        <v>0.13125000000000001</v>
      </c>
      <c r="AB10" s="304">
        <f>ROUND(PV(AA9/12,AC9-60,-Z9),0)</f>
        <v>956120</v>
      </c>
      <c r="AC10" s="409">
        <v>300</v>
      </c>
      <c r="AG10" s="30" t="s">
        <v>158</v>
      </c>
      <c r="AH10"/>
      <c r="AI10" s="185">
        <f>-_xlfn.XLOOKUP(5,$L:$L,$K:$K)</f>
        <v>0</v>
      </c>
      <c r="AJ10" s="185">
        <f>-_xlfn.XLOOKUP(5,$L:$L,$K:$K)</f>
        <v>0</v>
      </c>
      <c r="AK10" s="14"/>
      <c r="AQ10" s="396" t="s">
        <v>159</v>
      </c>
      <c r="AR10" s="237">
        <f>_xlfn.XLOOKUP(5,$L:$L,$W:$W)</f>
        <v>984137.69999999972</v>
      </c>
    </row>
    <row r="11" spans="1:51" ht="15" customHeight="1" thickBot="1">
      <c r="N11" s="30" t="s">
        <v>1749</v>
      </c>
      <c r="O11" s="593">
        <v>45748</v>
      </c>
      <c r="P11" s="30" t="s">
        <v>1750</v>
      </c>
      <c r="Q11" s="598">
        <f>EDATE(O11, P9-1)</f>
        <v>56674</v>
      </c>
      <c r="S11" s="396" t="s">
        <v>1751</v>
      </c>
      <c r="T11" s="397">
        <f>+O8+T9+T10</f>
        <v>19856.129999999997</v>
      </c>
      <c r="AB11" s="303">
        <f>_xlfn.XLOOKUP(60,$M:$M,AL:AL)</f>
        <v>955615.28</v>
      </c>
      <c r="AG11" s="30" t="s">
        <v>160</v>
      </c>
      <c r="AH11"/>
      <c r="AI11" s="237">
        <f>_xlfn.XLOOKUP(5,$L:$L,$W:$W)</f>
        <v>984137.69999999972</v>
      </c>
      <c r="AJ11" s="237">
        <f>_xlfn.XLOOKUP(5,$L:$L,$AL:$AL)</f>
        <v>955615.28</v>
      </c>
      <c r="AK11" s="14"/>
      <c r="AQ11" s="396" t="s">
        <v>161</v>
      </c>
      <c r="AR11" s="361">
        <f>SUM(AR9:AR10)</f>
        <v>984137.69999999972</v>
      </c>
    </row>
    <row r="12" spans="1:51" ht="15.75" thickBot="1">
      <c r="Y12" s="747"/>
      <c r="Z12" s="748"/>
      <c r="AC12" s="396"/>
      <c r="AG12" s="30" t="s">
        <v>162</v>
      </c>
      <c r="AH12"/>
      <c r="AI12" s="361">
        <f>SUM(AI9:AI11)</f>
        <v>2156142.2999999998</v>
      </c>
      <c r="AJ12" s="361">
        <f>SUM(AJ9:AJ11)</f>
        <v>1502395.28</v>
      </c>
      <c r="AK12" s="14"/>
      <c r="AP12" s="361"/>
      <c r="AQ12" s="361"/>
      <c r="AR12" s="185"/>
    </row>
    <row r="13" spans="1:51" ht="15.75" thickBot="1">
      <c r="N13" s="749" t="str">
        <f>"Mortgage Fixed at "&amp; O7</f>
        <v>Mortgage Fixed at 0.2375</v>
      </c>
      <c r="O13" s="750"/>
      <c r="P13" s="750"/>
      <c r="Q13" s="750"/>
      <c r="R13" s="750"/>
      <c r="S13" s="750"/>
      <c r="T13" s="750"/>
      <c r="U13" s="750"/>
      <c r="V13" s="750"/>
      <c r="W13" s="751"/>
      <c r="Y13" s="749" t="str">
        <f>"Mortgage Reduced to "&amp;AA9&amp;"% for 1st 5 years then "&amp;AA10 &amp; "%"</f>
        <v>Mortgage Reduced to 0.10625% for 1st 5 years then 0.13125%</v>
      </c>
      <c r="Z13" s="750"/>
      <c r="AA13" s="750"/>
      <c r="AB13" s="750"/>
      <c r="AC13" s="750"/>
      <c r="AD13" s="750"/>
      <c r="AE13" s="750"/>
      <c r="AF13" s="750"/>
      <c r="AG13" s="750"/>
      <c r="AH13" s="750"/>
      <c r="AI13" s="752"/>
      <c r="AJ13" s="752"/>
      <c r="AK13" s="752"/>
      <c r="AL13" s="735"/>
    </row>
    <row r="14" spans="1:51" ht="15" customHeight="1" thickBot="1">
      <c r="C14" s="753" t="s">
        <v>163</v>
      </c>
      <c r="D14" s="754"/>
      <c r="E14" s="755"/>
      <c r="F14" s="755"/>
      <c r="G14" s="755"/>
      <c r="H14" s="756"/>
      <c r="I14" s="745" t="s">
        <v>164</v>
      </c>
      <c r="J14" s="621"/>
      <c r="N14" s="410"/>
      <c r="U14" s="757" t="s">
        <v>164</v>
      </c>
      <c r="V14" s="758"/>
      <c r="W14" s="410"/>
      <c r="Y14" s="410"/>
      <c r="AA14" s="757" t="s">
        <v>163</v>
      </c>
      <c r="AB14" s="759"/>
      <c r="AC14" s="760"/>
      <c r="AD14" s="760"/>
      <c r="AE14" s="760"/>
      <c r="AF14" s="605"/>
      <c r="AG14" s="757" t="s">
        <v>164</v>
      </c>
      <c r="AH14" s="758"/>
      <c r="AI14" s="757" t="s">
        <v>165</v>
      </c>
      <c r="AJ14" s="759"/>
      <c r="AK14" s="758"/>
      <c r="AL14" s="410"/>
      <c r="AN14" s="745" t="s">
        <v>166</v>
      </c>
      <c r="AO14" s="621"/>
      <c r="AP14" s="745" t="s">
        <v>167</v>
      </c>
      <c r="AQ14" s="621"/>
      <c r="AT14" s="405" t="s">
        <v>164</v>
      </c>
      <c r="AU14" s="745" t="s">
        <v>168</v>
      </c>
      <c r="AV14" s="621"/>
    </row>
    <row r="15" spans="1:51" ht="15" customHeight="1" thickBot="1">
      <c r="A15" s="403" t="s">
        <v>108</v>
      </c>
      <c r="B15" s="236" t="s">
        <v>169</v>
      </c>
      <c r="C15" s="400" t="s">
        <v>170</v>
      </c>
      <c r="D15" s="407" t="s">
        <v>171</v>
      </c>
      <c r="E15" s="400" t="s">
        <v>172</v>
      </c>
      <c r="F15" s="400" t="s">
        <v>173</v>
      </c>
      <c r="G15" s="400" t="s">
        <v>174</v>
      </c>
      <c r="H15" s="400" t="s">
        <v>175</v>
      </c>
      <c r="I15" s="395" t="s">
        <v>171</v>
      </c>
      <c r="J15" s="395" t="s">
        <v>172</v>
      </c>
      <c r="K15" s="316" t="s">
        <v>176</v>
      </c>
      <c r="L15" s="307" t="s">
        <v>177</v>
      </c>
      <c r="M15" s="307" t="s">
        <v>178</v>
      </c>
      <c r="N15" s="236" t="s">
        <v>169</v>
      </c>
      <c r="O15" s="400" t="s">
        <v>170</v>
      </c>
      <c r="P15" s="400" t="s">
        <v>171</v>
      </c>
      <c r="Q15" s="400" t="s">
        <v>172</v>
      </c>
      <c r="R15" s="400" t="s">
        <v>173</v>
      </c>
      <c r="S15" s="400" t="s">
        <v>174</v>
      </c>
      <c r="T15" s="400" t="s">
        <v>179</v>
      </c>
      <c r="U15" s="395" t="s">
        <v>180</v>
      </c>
      <c r="V15" s="395" t="s">
        <v>172</v>
      </c>
      <c r="W15" s="400" t="s">
        <v>176</v>
      </c>
      <c r="X15" s="403" t="s">
        <v>108</v>
      </c>
      <c r="Y15" s="236" t="s">
        <v>169</v>
      </c>
      <c r="Z15" s="400" t="s">
        <v>181</v>
      </c>
      <c r="AA15" s="400" t="s">
        <v>170</v>
      </c>
      <c r="AB15" s="400" t="s">
        <v>171</v>
      </c>
      <c r="AC15" s="400" t="s">
        <v>172</v>
      </c>
      <c r="AD15" s="400" t="s">
        <v>173</v>
      </c>
      <c r="AE15" s="400" t="s">
        <v>174</v>
      </c>
      <c r="AF15" s="400" t="s">
        <v>175</v>
      </c>
      <c r="AG15" s="395" t="s">
        <v>171</v>
      </c>
      <c r="AH15" s="395" t="s">
        <v>172</v>
      </c>
      <c r="AI15" s="395" t="s">
        <v>182</v>
      </c>
      <c r="AJ15" s="395" t="s">
        <v>183</v>
      </c>
      <c r="AK15" s="395" t="s">
        <v>184</v>
      </c>
      <c r="AL15" s="395" t="s">
        <v>185</v>
      </c>
      <c r="AM15" s="307" t="s">
        <v>177</v>
      </c>
      <c r="AN15" s="400" t="s">
        <v>186</v>
      </c>
      <c r="AO15" s="400" t="s">
        <v>187</v>
      </c>
      <c r="AP15" s="400" t="s">
        <v>186</v>
      </c>
      <c r="AQ15" s="400" t="s">
        <v>187</v>
      </c>
      <c r="AR15" s="233" t="s">
        <v>188</v>
      </c>
      <c r="AS15" s="400" t="s">
        <v>189</v>
      </c>
      <c r="AT15" s="400" t="s">
        <v>189</v>
      </c>
      <c r="AU15" s="236" t="s">
        <v>163</v>
      </c>
      <c r="AV15" s="236" t="s">
        <v>190</v>
      </c>
    </row>
    <row r="16" spans="1:51">
      <c r="A16" s="401">
        <f>+C7</f>
        <v>45870</v>
      </c>
      <c r="B16" s="185">
        <f>+C2</f>
        <v>0</v>
      </c>
      <c r="C16" s="14">
        <f t="shared" ref="C16:C79" si="3">IF(+$K15&lt;=0,0,$C$6)</f>
        <v>0</v>
      </c>
      <c r="D16" s="14">
        <f>+C16-E16</f>
        <v>0</v>
      </c>
      <c r="E16" s="14">
        <f t="shared" ref="E16:E79" si="4">ROUND($B16*($C$4/12), 2)</f>
        <v>0</v>
      </c>
      <c r="I16" s="185">
        <f>+C16</f>
        <v>0</v>
      </c>
      <c r="J16" s="185">
        <f>+E16</f>
        <v>0</v>
      </c>
      <c r="K16" s="185">
        <f>+B16-D16</f>
        <v>0</v>
      </c>
      <c r="L16" s="317">
        <f t="shared" ref="L16:L79" si="5">IF(MOD(M16,12)=0,M16/12,L15)</f>
        <v>0</v>
      </c>
      <c r="M16" s="317">
        <v>0</v>
      </c>
      <c r="N16" s="185">
        <f>+$O$5</f>
        <v>986100</v>
      </c>
      <c r="O16" s="185">
        <f>IF($O$11&lt;=A16,$O$8,0)</f>
        <v>19533.41</v>
      </c>
      <c r="P16" s="185">
        <f>+O16-Q16</f>
        <v>16.849999999998545</v>
      </c>
      <c r="Q16" s="185">
        <f>IF($O$11&lt;=$A16,ROUND(N16*(O$7/12),2),0)</f>
        <v>19516.560000000001</v>
      </c>
      <c r="R16" s="185">
        <f t="shared" ref="R16:R63" si="6">IF(O16=0,0,$T$9)</f>
        <v>134.16999999999999</v>
      </c>
      <c r="S16" s="185">
        <f t="shared" ref="S16:S62" si="7">IF(P16=0,0,$T$10)</f>
        <v>188.55</v>
      </c>
      <c r="T16" s="185">
        <f t="shared" ref="T16:T58" si="8">SUM(P16:S16)</f>
        <v>19856.129999999997</v>
      </c>
      <c r="U16" s="185">
        <f>+P16</f>
        <v>16.849999999998545</v>
      </c>
      <c r="V16" s="185">
        <f>+Q16</f>
        <v>19516.560000000001</v>
      </c>
      <c r="W16" s="185">
        <f>+N16-P16</f>
        <v>986083.15</v>
      </c>
      <c r="X16" s="401">
        <f>+A16</f>
        <v>45870</v>
      </c>
      <c r="Y16" s="185">
        <f>+AA6</f>
        <v>986100</v>
      </c>
      <c r="Z16" s="393">
        <f t="shared" ref="Z16:Z79" si="9">IF(L16&gt;4,$AA$10,$AA$9)</f>
        <v>0.10625</v>
      </c>
      <c r="AA16" s="185">
        <f t="shared" ref="AA16:AA79" si="10">IF($O$11&lt;=$A16,IF(+AL15&lt;=0,0,IF(Z16=$AA$9,$Z$9,$Z$10)),0)</f>
        <v>9113</v>
      </c>
      <c r="AB16" s="185">
        <f t="shared" ref="AB16:AB79" si="11">+AA16-AC16</f>
        <v>381.90999999999985</v>
      </c>
      <c r="AC16" s="185">
        <f t="shared" ref="AC16:AC79" si="12">IF($O$11&lt;=$A16,ROUND(Y16*(Z16/12),2),0)</f>
        <v>8731.09</v>
      </c>
      <c r="AD16" s="185">
        <f t="shared" ref="AD16:AD60" si="13">IF(AA16=0,0,$T$9)</f>
        <v>134.16999999999999</v>
      </c>
      <c r="AE16" s="185">
        <f t="shared" ref="AE16:AE60" si="14">IF(AB16=0,0,$T$10)</f>
        <v>188.55</v>
      </c>
      <c r="AF16" s="185">
        <f t="shared" ref="AF16:AF79" si="15">SUM(AB16:AE16)</f>
        <v>9435.7199999999993</v>
      </c>
      <c r="AG16" s="185">
        <v>0</v>
      </c>
      <c r="AH16" s="185">
        <v>0</v>
      </c>
      <c r="AI16" s="411">
        <f>SUM(AB16:AC16)-SUM(P16:Q16)</f>
        <v>-10420.41</v>
      </c>
      <c r="AJ16" s="411">
        <f t="shared" ref="AJ16:AJ79" si="16">+W16-AL16</f>
        <v>365.06000000005588</v>
      </c>
      <c r="AK16" s="411"/>
      <c r="AL16" s="185">
        <f t="shared" ref="AL16" si="17">+Y16-AB16</f>
        <v>985718.09</v>
      </c>
      <c r="AM16" s="317">
        <f>+L16</f>
        <v>0</v>
      </c>
      <c r="AN16" s="14">
        <f t="shared" ref="AN16:AN59" si="18">IF(O16=0,0,+O16-C16)</f>
        <v>19533.41</v>
      </c>
      <c r="AO16" s="14">
        <f>IF(W16&lt;=0,0,+$O$5-$C$2+I16-U16+AV16)</f>
        <v>988548.4</v>
      </c>
      <c r="AP16" s="14">
        <f t="shared" ref="AP16:AP59" si="19">IF($O16=0,0,+AA16-$C16)</f>
        <v>9113</v>
      </c>
      <c r="AS16" s="14">
        <f t="shared" ref="AS16:AS79" si="20">+AN16-AR16</f>
        <v>19533.41</v>
      </c>
      <c r="AT16" s="14">
        <f>+AS16</f>
        <v>19533.41</v>
      </c>
      <c r="AU16" s="185">
        <f>+O5*AQ2/12</f>
        <v>2465.25</v>
      </c>
      <c r="AV16" s="185">
        <f>+AU16</f>
        <v>2465.25</v>
      </c>
    </row>
    <row r="17" spans="1:48">
      <c r="A17" s="401" t="str">
        <f>IF(K17&lt;=0," ",+A16+30)</f>
        <v xml:space="preserve"> </v>
      </c>
      <c r="B17" s="185">
        <f t="shared" ref="B17:B80" si="21">IF(+K16&lt;0,0,+K16)</f>
        <v>0</v>
      </c>
      <c r="C17" s="14">
        <f t="shared" si="3"/>
        <v>0</v>
      </c>
      <c r="D17" s="14">
        <f>+C17-E17</f>
        <v>0</v>
      </c>
      <c r="E17" s="14">
        <f t="shared" si="4"/>
        <v>0</v>
      </c>
      <c r="I17" s="185">
        <f>$D17+$I16</f>
        <v>0</v>
      </c>
      <c r="J17" s="185">
        <f>$E17+$J16</f>
        <v>0</v>
      </c>
      <c r="K17" s="185">
        <f>+B17-D17</f>
        <v>0</v>
      </c>
      <c r="L17" s="317">
        <f t="shared" si="5"/>
        <v>0</v>
      </c>
      <c r="M17" s="317">
        <f t="shared" ref="M17:M80" si="22">IF(N17&lt;&gt;"",IF(N17=$O$5,0,+M16+1),0)</f>
        <v>1</v>
      </c>
      <c r="N17" s="185">
        <f t="shared" ref="N17:N80" si="23">IF(+W16&lt;0,0,+W16)</f>
        <v>986083.15</v>
      </c>
      <c r="O17" s="185">
        <f t="shared" ref="O17:O58" si="24">IF($O$11&lt;=A17,IF(+$W16&lt;=0,0,$O$8),0)</f>
        <v>19533.41</v>
      </c>
      <c r="P17" s="185">
        <f>+O17-Q17</f>
        <v>17.180000000000291</v>
      </c>
      <c r="Q17" s="185">
        <f t="shared" ref="Q17:Q61" si="25">IF($O$11&lt;=A17,ROUND(N17*($O$7/12),2),0)</f>
        <v>19516.23</v>
      </c>
      <c r="R17" s="185">
        <f t="shared" si="6"/>
        <v>134.16999999999999</v>
      </c>
      <c r="S17" s="185">
        <f t="shared" si="7"/>
        <v>188.55</v>
      </c>
      <c r="T17" s="185">
        <f t="shared" si="8"/>
        <v>19856.129999999997</v>
      </c>
      <c r="U17" s="185">
        <f>+P17+U16</f>
        <v>34.029999999998836</v>
      </c>
      <c r="V17" s="185">
        <f>+V16+Q17</f>
        <v>39032.79</v>
      </c>
      <c r="W17" s="185">
        <f>+N17-P17</f>
        <v>986065.97</v>
      </c>
      <c r="X17" s="401" t="str">
        <f t="shared" ref="X17:X80" si="26">+A17</f>
        <v xml:space="preserve"> </v>
      </c>
      <c r="Y17" s="185">
        <f>IF(+AL16&lt;0,0,+AL16)</f>
        <v>985718.09</v>
      </c>
      <c r="Z17" s="393">
        <f t="shared" si="9"/>
        <v>0.10625</v>
      </c>
      <c r="AA17" s="185">
        <f t="shared" si="10"/>
        <v>9113</v>
      </c>
      <c r="AB17" s="185">
        <f t="shared" si="11"/>
        <v>385.29000000000087</v>
      </c>
      <c r="AC17" s="185">
        <f t="shared" si="12"/>
        <v>8727.7099999999991</v>
      </c>
      <c r="AD17" s="185">
        <f t="shared" si="13"/>
        <v>134.16999999999999</v>
      </c>
      <c r="AE17" s="185">
        <f t="shared" si="14"/>
        <v>188.55</v>
      </c>
      <c r="AF17" s="185">
        <f t="shared" si="15"/>
        <v>9435.7199999999993</v>
      </c>
      <c r="AG17" s="185">
        <f>+AB17+AG16</f>
        <v>385.29000000000087</v>
      </c>
      <c r="AH17" s="185">
        <f>+AH16+AC17</f>
        <v>8727.7099999999991</v>
      </c>
      <c r="AI17" s="411">
        <f t="shared" ref="AI17:AI59" si="27">O17-AA17+AI16</f>
        <v>0</v>
      </c>
      <c r="AJ17" s="411">
        <f t="shared" si="16"/>
        <v>733.17000000004191</v>
      </c>
      <c r="AK17" s="411"/>
      <c r="AL17" s="185">
        <f>+Y17-AB17</f>
        <v>985332.79999999993</v>
      </c>
      <c r="AM17" s="317">
        <f t="shared" ref="AM17:AM80" si="28">+L17</f>
        <v>0</v>
      </c>
      <c r="AN17" s="14">
        <f t="shared" si="18"/>
        <v>19533.41</v>
      </c>
      <c r="AO17" s="14">
        <f t="shared" ref="AO17:AO45" si="29">IF(W17&lt;=0,0,+$O$5-$C$2+I17-U17)</f>
        <v>986065.97</v>
      </c>
      <c r="AP17" s="14">
        <f t="shared" si="19"/>
        <v>9113</v>
      </c>
      <c r="AS17" s="14">
        <f t="shared" si="20"/>
        <v>19533.41</v>
      </c>
      <c r="AT17" s="14">
        <f t="shared" ref="AT17:AT80" si="30">IF(W17&lt;=0,0,+AS17+AT16)</f>
        <v>39066.82</v>
      </c>
      <c r="AU17" s="185">
        <f t="shared" ref="AU17:AU80" si="31">IF(W17&lt;=0,0,+($O$5+AV16)*$AQ$2/12)</f>
        <v>2471.413125</v>
      </c>
      <c r="AV17" s="185">
        <f t="shared" ref="AV17:AV80" si="32">IF(W17&lt;=0,0,+AV16+AU17)</f>
        <v>4936.663125</v>
      </c>
    </row>
    <row r="18" spans="1:48">
      <c r="A18" s="401" t="str">
        <f t="shared" ref="A18:A81" si="33">IF(K18&lt;=0," ",+A17+30)</f>
        <v xml:space="preserve"> </v>
      </c>
      <c r="B18" s="185">
        <f t="shared" si="21"/>
        <v>0</v>
      </c>
      <c r="C18" s="14">
        <f t="shared" si="3"/>
        <v>0</v>
      </c>
      <c r="D18" s="14">
        <f t="shared" ref="D18:D81" si="34">+C18-E18</f>
        <v>0</v>
      </c>
      <c r="E18" s="14">
        <f t="shared" si="4"/>
        <v>0</v>
      </c>
      <c r="I18" s="185">
        <f t="shared" ref="I18:I81" si="35">$D18+$I17</f>
        <v>0</v>
      </c>
      <c r="J18" s="185">
        <f t="shared" ref="J18:J81" si="36">$E18+$J17</f>
        <v>0</v>
      </c>
      <c r="K18" s="185">
        <f t="shared" ref="K18:K81" si="37">+B18-D18</f>
        <v>0</v>
      </c>
      <c r="L18" s="317">
        <f t="shared" si="5"/>
        <v>0</v>
      </c>
      <c r="M18" s="317">
        <f t="shared" si="22"/>
        <v>2</v>
      </c>
      <c r="N18" s="185">
        <f t="shared" si="23"/>
        <v>986065.97</v>
      </c>
      <c r="O18" s="185">
        <f t="shared" si="24"/>
        <v>19533.41</v>
      </c>
      <c r="P18" s="185">
        <f t="shared" ref="P18:P81" si="38">+O18-Q18</f>
        <v>17.520000000000437</v>
      </c>
      <c r="Q18" s="185">
        <f t="shared" si="25"/>
        <v>19515.89</v>
      </c>
      <c r="R18" s="185">
        <f t="shared" si="6"/>
        <v>134.16999999999999</v>
      </c>
      <c r="S18" s="185">
        <f t="shared" si="7"/>
        <v>188.55</v>
      </c>
      <c r="T18" s="185">
        <f t="shared" si="8"/>
        <v>19856.129999999997</v>
      </c>
      <c r="U18" s="185">
        <f t="shared" ref="U18:U81" si="39">+P18+U17</f>
        <v>51.549999999999272</v>
      </c>
      <c r="V18" s="185">
        <f t="shared" ref="V18:V81" si="40">+V17+Q18</f>
        <v>58548.68</v>
      </c>
      <c r="W18" s="185">
        <f t="shared" ref="W18:W81" si="41">+N18-P18</f>
        <v>986048.45</v>
      </c>
      <c r="X18" s="401" t="str">
        <f t="shared" si="26"/>
        <v xml:space="preserve"> </v>
      </c>
      <c r="Y18" s="185">
        <f t="shared" ref="Y18:Y59" si="42">IF(+AL17&lt;0,0,+AL17)</f>
        <v>985332.79999999993</v>
      </c>
      <c r="Z18" s="393">
        <f t="shared" si="9"/>
        <v>0.10625</v>
      </c>
      <c r="AA18" s="185">
        <f t="shared" si="10"/>
        <v>9113</v>
      </c>
      <c r="AB18" s="185">
        <f t="shared" si="11"/>
        <v>388.70000000000073</v>
      </c>
      <c r="AC18" s="185">
        <f t="shared" si="12"/>
        <v>8724.2999999999993</v>
      </c>
      <c r="AD18" s="185">
        <f t="shared" si="13"/>
        <v>134.16999999999999</v>
      </c>
      <c r="AE18" s="185">
        <f t="shared" si="14"/>
        <v>188.55</v>
      </c>
      <c r="AF18" s="185">
        <f t="shared" si="15"/>
        <v>9435.7199999999993</v>
      </c>
      <c r="AG18" s="185">
        <f t="shared" ref="AG18:AG81" si="43">+AB18+AG17</f>
        <v>773.9900000000016</v>
      </c>
      <c r="AH18" s="185">
        <f t="shared" ref="AH18:AH81" si="44">+AH17+AC18</f>
        <v>17452.009999999998</v>
      </c>
      <c r="AI18" s="411">
        <f t="shared" si="27"/>
        <v>10420.41</v>
      </c>
      <c r="AJ18" s="411">
        <f t="shared" si="16"/>
        <v>1104.3499999999767</v>
      </c>
      <c r="AK18" s="411"/>
      <c r="AL18" s="185">
        <f t="shared" ref="AL18:AL59" si="45">+Y18-AB18</f>
        <v>984944.1</v>
      </c>
      <c r="AM18" s="317">
        <f t="shared" si="28"/>
        <v>0</v>
      </c>
      <c r="AN18" s="14">
        <f t="shared" si="18"/>
        <v>19533.41</v>
      </c>
      <c r="AO18" s="14">
        <f t="shared" si="29"/>
        <v>986048.45</v>
      </c>
      <c r="AP18" s="14">
        <f t="shared" si="19"/>
        <v>9113</v>
      </c>
      <c r="AS18" s="14">
        <f t="shared" si="20"/>
        <v>19533.41</v>
      </c>
      <c r="AT18" s="14">
        <f t="shared" si="30"/>
        <v>58600.229999999996</v>
      </c>
      <c r="AU18" s="185">
        <f t="shared" si="31"/>
        <v>2477.5916578124998</v>
      </c>
      <c r="AV18" s="185">
        <f t="shared" si="32"/>
        <v>7414.2547828124998</v>
      </c>
    </row>
    <row r="19" spans="1:48">
      <c r="A19" s="401" t="str">
        <f t="shared" si="33"/>
        <v xml:space="preserve"> </v>
      </c>
      <c r="B19" s="185">
        <f t="shared" si="21"/>
        <v>0</v>
      </c>
      <c r="C19" s="14">
        <f t="shared" si="3"/>
        <v>0</v>
      </c>
      <c r="D19" s="14">
        <f t="shared" si="34"/>
        <v>0</v>
      </c>
      <c r="E19" s="14">
        <f t="shared" si="4"/>
        <v>0</v>
      </c>
      <c r="I19" s="185">
        <f t="shared" si="35"/>
        <v>0</v>
      </c>
      <c r="J19" s="185">
        <f t="shared" si="36"/>
        <v>0</v>
      </c>
      <c r="K19" s="185">
        <f t="shared" si="37"/>
        <v>0</v>
      </c>
      <c r="L19" s="317">
        <f t="shared" si="5"/>
        <v>0</v>
      </c>
      <c r="M19" s="317">
        <f t="shared" si="22"/>
        <v>3</v>
      </c>
      <c r="N19" s="185">
        <f t="shared" si="23"/>
        <v>986048.45</v>
      </c>
      <c r="O19" s="185">
        <f t="shared" si="24"/>
        <v>19533.41</v>
      </c>
      <c r="P19" s="185">
        <f t="shared" si="38"/>
        <v>17.869999999998981</v>
      </c>
      <c r="Q19" s="185">
        <f t="shared" si="25"/>
        <v>19515.54</v>
      </c>
      <c r="R19" s="185">
        <f t="shared" si="6"/>
        <v>134.16999999999999</v>
      </c>
      <c r="S19" s="185">
        <f t="shared" si="7"/>
        <v>188.55</v>
      </c>
      <c r="T19" s="185">
        <f t="shared" si="8"/>
        <v>19856.129999999997</v>
      </c>
      <c r="U19" s="185">
        <f t="shared" si="39"/>
        <v>69.419999999998254</v>
      </c>
      <c r="V19" s="185">
        <f t="shared" si="40"/>
        <v>78064.22</v>
      </c>
      <c r="W19" s="185">
        <f t="shared" si="41"/>
        <v>986030.58</v>
      </c>
      <c r="X19" s="401" t="str">
        <f t="shared" si="26"/>
        <v xml:space="preserve"> </v>
      </c>
      <c r="Y19" s="185">
        <f t="shared" si="42"/>
        <v>984944.1</v>
      </c>
      <c r="Z19" s="393">
        <f t="shared" si="9"/>
        <v>0.10625</v>
      </c>
      <c r="AA19" s="185">
        <f t="shared" si="10"/>
        <v>9113</v>
      </c>
      <c r="AB19" s="185">
        <f t="shared" si="11"/>
        <v>392.13999999999942</v>
      </c>
      <c r="AC19" s="185">
        <f t="shared" si="12"/>
        <v>8720.86</v>
      </c>
      <c r="AD19" s="185">
        <f t="shared" si="13"/>
        <v>134.16999999999999</v>
      </c>
      <c r="AE19" s="185">
        <f t="shared" si="14"/>
        <v>188.55</v>
      </c>
      <c r="AF19" s="185">
        <f t="shared" si="15"/>
        <v>9435.7199999999993</v>
      </c>
      <c r="AG19" s="185">
        <f t="shared" si="43"/>
        <v>1166.130000000001</v>
      </c>
      <c r="AH19" s="185">
        <f t="shared" si="44"/>
        <v>26172.87</v>
      </c>
      <c r="AI19" s="411">
        <f t="shared" si="27"/>
        <v>20840.82</v>
      </c>
      <c r="AJ19" s="411">
        <f t="shared" si="16"/>
        <v>1478.6199999999953</v>
      </c>
      <c r="AK19" s="411"/>
      <c r="AL19" s="185">
        <f t="shared" si="45"/>
        <v>984551.96</v>
      </c>
      <c r="AM19" s="317">
        <f t="shared" si="28"/>
        <v>0</v>
      </c>
      <c r="AN19" s="14">
        <f t="shared" si="18"/>
        <v>19533.41</v>
      </c>
      <c r="AO19" s="14">
        <f t="shared" si="29"/>
        <v>986030.58</v>
      </c>
      <c r="AP19" s="14">
        <f t="shared" si="19"/>
        <v>9113</v>
      </c>
      <c r="AS19" s="14">
        <f t="shared" si="20"/>
        <v>19533.41</v>
      </c>
      <c r="AT19" s="14">
        <f t="shared" si="30"/>
        <v>78133.64</v>
      </c>
      <c r="AU19" s="185">
        <f t="shared" si="31"/>
        <v>2483.7856369570313</v>
      </c>
      <c r="AV19" s="185">
        <f t="shared" si="32"/>
        <v>9898.0404197695316</v>
      </c>
    </row>
    <row r="20" spans="1:48">
      <c r="A20" s="401" t="str">
        <f t="shared" si="33"/>
        <v xml:space="preserve"> </v>
      </c>
      <c r="B20" s="185">
        <f t="shared" si="21"/>
        <v>0</v>
      </c>
      <c r="C20" s="14">
        <f t="shared" si="3"/>
        <v>0</v>
      </c>
      <c r="D20" s="14">
        <f t="shared" si="34"/>
        <v>0</v>
      </c>
      <c r="E20" s="14">
        <f t="shared" si="4"/>
        <v>0</v>
      </c>
      <c r="I20" s="185">
        <f t="shared" si="35"/>
        <v>0</v>
      </c>
      <c r="J20" s="185">
        <f t="shared" si="36"/>
        <v>0</v>
      </c>
      <c r="K20" s="185">
        <f t="shared" si="37"/>
        <v>0</v>
      </c>
      <c r="L20" s="317">
        <f t="shared" si="5"/>
        <v>0</v>
      </c>
      <c r="M20" s="317">
        <f t="shared" si="22"/>
        <v>4</v>
      </c>
      <c r="N20" s="185">
        <f t="shared" si="23"/>
        <v>986030.58</v>
      </c>
      <c r="O20" s="185">
        <f t="shared" si="24"/>
        <v>19533.41</v>
      </c>
      <c r="P20" s="185">
        <f t="shared" si="38"/>
        <v>18.220000000001164</v>
      </c>
      <c r="Q20" s="185">
        <f t="shared" si="25"/>
        <v>19515.189999999999</v>
      </c>
      <c r="R20" s="185">
        <f t="shared" si="6"/>
        <v>134.16999999999999</v>
      </c>
      <c r="S20" s="185">
        <f t="shared" si="7"/>
        <v>188.55</v>
      </c>
      <c r="T20" s="185">
        <f t="shared" si="8"/>
        <v>19856.129999999997</v>
      </c>
      <c r="U20" s="185">
        <f t="shared" si="39"/>
        <v>87.639999999999418</v>
      </c>
      <c r="V20" s="185">
        <f t="shared" si="40"/>
        <v>97579.41</v>
      </c>
      <c r="W20" s="185">
        <f t="shared" si="41"/>
        <v>986012.36</v>
      </c>
      <c r="X20" s="401" t="str">
        <f t="shared" si="26"/>
        <v xml:space="preserve"> </v>
      </c>
      <c r="Y20" s="185">
        <f t="shared" si="42"/>
        <v>984551.96</v>
      </c>
      <c r="Z20" s="393">
        <f t="shared" si="9"/>
        <v>0.10625</v>
      </c>
      <c r="AA20" s="185">
        <f t="shared" si="10"/>
        <v>9113</v>
      </c>
      <c r="AB20" s="185">
        <f t="shared" si="11"/>
        <v>395.61000000000058</v>
      </c>
      <c r="AC20" s="185">
        <f t="shared" si="12"/>
        <v>8717.39</v>
      </c>
      <c r="AD20" s="185">
        <f t="shared" si="13"/>
        <v>134.16999999999999</v>
      </c>
      <c r="AE20" s="185">
        <f t="shared" si="14"/>
        <v>188.55</v>
      </c>
      <c r="AF20" s="185">
        <f t="shared" si="15"/>
        <v>9435.7199999999993</v>
      </c>
      <c r="AG20" s="185">
        <f t="shared" si="43"/>
        <v>1561.7400000000016</v>
      </c>
      <c r="AH20" s="185">
        <f t="shared" si="44"/>
        <v>34890.259999999995</v>
      </c>
      <c r="AI20" s="411">
        <f t="shared" si="27"/>
        <v>31261.23</v>
      </c>
      <c r="AJ20" s="411">
        <f t="shared" si="16"/>
        <v>1856.0100000000093</v>
      </c>
      <c r="AK20" s="411"/>
      <c r="AL20" s="185">
        <f t="shared" si="45"/>
        <v>984156.35</v>
      </c>
      <c r="AM20" s="317">
        <f t="shared" si="28"/>
        <v>0</v>
      </c>
      <c r="AN20" s="14">
        <f t="shared" si="18"/>
        <v>19533.41</v>
      </c>
      <c r="AO20" s="14">
        <f t="shared" si="29"/>
        <v>986012.36</v>
      </c>
      <c r="AP20" s="14">
        <f t="shared" si="19"/>
        <v>9113</v>
      </c>
      <c r="AS20" s="14">
        <f t="shared" si="20"/>
        <v>19533.41</v>
      </c>
      <c r="AT20" s="14">
        <f t="shared" si="30"/>
        <v>97667.05</v>
      </c>
      <c r="AU20" s="185">
        <f t="shared" si="31"/>
        <v>2489.9951010494237</v>
      </c>
      <c r="AV20" s="185">
        <f t="shared" si="32"/>
        <v>12388.035520818956</v>
      </c>
    </row>
    <row r="21" spans="1:48">
      <c r="A21" s="401" t="str">
        <f t="shared" si="33"/>
        <v xml:space="preserve"> </v>
      </c>
      <c r="B21" s="185">
        <f t="shared" si="21"/>
        <v>0</v>
      </c>
      <c r="C21" s="14">
        <f t="shared" si="3"/>
        <v>0</v>
      </c>
      <c r="D21" s="14">
        <f t="shared" si="34"/>
        <v>0</v>
      </c>
      <c r="E21" s="14">
        <f t="shared" si="4"/>
        <v>0</v>
      </c>
      <c r="I21" s="185">
        <f t="shared" si="35"/>
        <v>0</v>
      </c>
      <c r="J21" s="185">
        <f t="shared" si="36"/>
        <v>0</v>
      </c>
      <c r="K21" s="185">
        <f t="shared" si="37"/>
        <v>0</v>
      </c>
      <c r="L21" s="317">
        <f t="shared" si="5"/>
        <v>0</v>
      </c>
      <c r="M21" s="317">
        <f t="shared" si="22"/>
        <v>5</v>
      </c>
      <c r="N21" s="185">
        <f t="shared" si="23"/>
        <v>986012.36</v>
      </c>
      <c r="O21" s="185">
        <f t="shared" si="24"/>
        <v>19533.41</v>
      </c>
      <c r="P21" s="185">
        <f t="shared" si="38"/>
        <v>18.579999999998108</v>
      </c>
      <c r="Q21" s="185">
        <f t="shared" si="25"/>
        <v>19514.830000000002</v>
      </c>
      <c r="R21" s="185">
        <f t="shared" si="6"/>
        <v>134.16999999999999</v>
      </c>
      <c r="S21" s="185">
        <f t="shared" si="7"/>
        <v>188.55</v>
      </c>
      <c r="T21" s="185">
        <f t="shared" si="8"/>
        <v>19856.129999999997</v>
      </c>
      <c r="U21" s="185">
        <f t="shared" si="39"/>
        <v>106.21999999999753</v>
      </c>
      <c r="V21" s="185">
        <f t="shared" si="40"/>
        <v>117094.24</v>
      </c>
      <c r="W21" s="185">
        <f t="shared" si="41"/>
        <v>985993.78</v>
      </c>
      <c r="X21" s="401" t="str">
        <f t="shared" si="26"/>
        <v xml:space="preserve"> </v>
      </c>
      <c r="Y21" s="185">
        <f t="shared" si="42"/>
        <v>984156.35</v>
      </c>
      <c r="Z21" s="393">
        <f t="shared" si="9"/>
        <v>0.10625</v>
      </c>
      <c r="AA21" s="185">
        <f t="shared" si="10"/>
        <v>9113</v>
      </c>
      <c r="AB21" s="185">
        <f t="shared" si="11"/>
        <v>399.1200000000008</v>
      </c>
      <c r="AC21" s="185">
        <f t="shared" si="12"/>
        <v>8713.8799999999992</v>
      </c>
      <c r="AD21" s="185">
        <f t="shared" si="13"/>
        <v>134.16999999999999</v>
      </c>
      <c r="AE21" s="185">
        <f t="shared" si="14"/>
        <v>188.55</v>
      </c>
      <c r="AF21" s="185">
        <f t="shared" si="15"/>
        <v>9435.7199999999993</v>
      </c>
      <c r="AG21" s="185">
        <f t="shared" si="43"/>
        <v>1960.8600000000024</v>
      </c>
      <c r="AH21" s="185">
        <f t="shared" si="44"/>
        <v>43604.139999999992</v>
      </c>
      <c r="AI21" s="411">
        <f t="shared" si="27"/>
        <v>41681.64</v>
      </c>
      <c r="AJ21" s="411">
        <f t="shared" si="16"/>
        <v>2236.5500000000466</v>
      </c>
      <c r="AK21" s="411"/>
      <c r="AL21" s="185">
        <f t="shared" si="45"/>
        <v>983757.23</v>
      </c>
      <c r="AM21" s="317">
        <f t="shared" si="28"/>
        <v>0</v>
      </c>
      <c r="AN21" s="14">
        <f t="shared" si="18"/>
        <v>19533.41</v>
      </c>
      <c r="AO21" s="14">
        <f t="shared" si="29"/>
        <v>985993.78</v>
      </c>
      <c r="AP21" s="14">
        <f t="shared" si="19"/>
        <v>9113</v>
      </c>
      <c r="AS21" s="14">
        <f t="shared" si="20"/>
        <v>19533.41</v>
      </c>
      <c r="AT21" s="14">
        <f t="shared" si="30"/>
        <v>117200.46</v>
      </c>
      <c r="AU21" s="185">
        <f t="shared" si="31"/>
        <v>2496.220088802047</v>
      </c>
      <c r="AV21" s="185">
        <f t="shared" si="32"/>
        <v>14884.255609621003</v>
      </c>
    </row>
    <row r="22" spans="1:48">
      <c r="A22" s="401" t="str">
        <f t="shared" si="33"/>
        <v xml:space="preserve"> </v>
      </c>
      <c r="B22" s="185">
        <f t="shared" si="21"/>
        <v>0</v>
      </c>
      <c r="C22" s="14">
        <f t="shared" si="3"/>
        <v>0</v>
      </c>
      <c r="D22" s="14">
        <f t="shared" si="34"/>
        <v>0</v>
      </c>
      <c r="E22" s="14">
        <f t="shared" si="4"/>
        <v>0</v>
      </c>
      <c r="I22" s="185">
        <f t="shared" si="35"/>
        <v>0</v>
      </c>
      <c r="J22" s="185">
        <f t="shared" si="36"/>
        <v>0</v>
      </c>
      <c r="K22" s="185">
        <f t="shared" si="37"/>
        <v>0</v>
      </c>
      <c r="L22" s="317">
        <f t="shared" si="5"/>
        <v>0</v>
      </c>
      <c r="M22" s="317">
        <f t="shared" si="22"/>
        <v>6</v>
      </c>
      <c r="N22" s="185">
        <f t="shared" si="23"/>
        <v>985993.78</v>
      </c>
      <c r="O22" s="185">
        <f t="shared" si="24"/>
        <v>19533.41</v>
      </c>
      <c r="P22" s="185">
        <f t="shared" si="38"/>
        <v>18.950000000000728</v>
      </c>
      <c r="Q22" s="185">
        <f t="shared" si="25"/>
        <v>19514.46</v>
      </c>
      <c r="R22" s="185">
        <f t="shared" si="6"/>
        <v>134.16999999999999</v>
      </c>
      <c r="S22" s="185">
        <f t="shared" si="7"/>
        <v>188.55</v>
      </c>
      <c r="T22" s="185">
        <f t="shared" si="8"/>
        <v>19856.129999999997</v>
      </c>
      <c r="U22" s="185">
        <f t="shared" si="39"/>
        <v>125.16999999999825</v>
      </c>
      <c r="V22" s="185">
        <f t="shared" si="40"/>
        <v>136608.70000000001</v>
      </c>
      <c r="W22" s="185">
        <f t="shared" si="41"/>
        <v>985974.83000000007</v>
      </c>
      <c r="X22" s="401" t="str">
        <f t="shared" si="26"/>
        <v xml:space="preserve"> </v>
      </c>
      <c r="Y22" s="185">
        <f t="shared" si="42"/>
        <v>983757.23</v>
      </c>
      <c r="Z22" s="393">
        <f t="shared" si="9"/>
        <v>0.10625</v>
      </c>
      <c r="AA22" s="185">
        <f t="shared" si="10"/>
        <v>9113</v>
      </c>
      <c r="AB22" s="185">
        <f t="shared" si="11"/>
        <v>402.64999999999964</v>
      </c>
      <c r="AC22" s="185">
        <f t="shared" si="12"/>
        <v>8710.35</v>
      </c>
      <c r="AD22" s="185">
        <f t="shared" si="13"/>
        <v>134.16999999999999</v>
      </c>
      <c r="AE22" s="185">
        <f t="shared" si="14"/>
        <v>188.55</v>
      </c>
      <c r="AF22" s="185">
        <f t="shared" si="15"/>
        <v>9435.7199999999993</v>
      </c>
      <c r="AG22" s="185">
        <f t="shared" si="43"/>
        <v>2363.510000000002</v>
      </c>
      <c r="AH22" s="185">
        <f t="shared" si="44"/>
        <v>52314.489999999991</v>
      </c>
      <c r="AI22" s="411">
        <f t="shared" si="27"/>
        <v>52102.05</v>
      </c>
      <c r="AJ22" s="411">
        <f t="shared" si="16"/>
        <v>2620.2500000001164</v>
      </c>
      <c r="AK22" s="411"/>
      <c r="AL22" s="185">
        <f t="shared" si="45"/>
        <v>983354.58</v>
      </c>
      <c r="AM22" s="317">
        <f t="shared" si="28"/>
        <v>0</v>
      </c>
      <c r="AN22" s="14">
        <f t="shared" si="18"/>
        <v>19533.41</v>
      </c>
      <c r="AO22" s="14">
        <f t="shared" si="29"/>
        <v>985974.83</v>
      </c>
      <c r="AP22" s="14">
        <f t="shared" si="19"/>
        <v>9113</v>
      </c>
      <c r="AS22" s="14">
        <f t="shared" si="20"/>
        <v>19533.41</v>
      </c>
      <c r="AT22" s="14">
        <f t="shared" si="30"/>
        <v>136733.87</v>
      </c>
      <c r="AU22" s="185">
        <f t="shared" si="31"/>
        <v>2502.4606390240529</v>
      </c>
      <c r="AV22" s="185">
        <f t="shared" si="32"/>
        <v>17386.716248645054</v>
      </c>
    </row>
    <row r="23" spans="1:48">
      <c r="A23" s="401" t="str">
        <f t="shared" si="33"/>
        <v xml:space="preserve"> </v>
      </c>
      <c r="B23" s="185">
        <f t="shared" si="21"/>
        <v>0</v>
      </c>
      <c r="C23" s="14">
        <f t="shared" si="3"/>
        <v>0</v>
      </c>
      <c r="D23" s="14">
        <f t="shared" si="34"/>
        <v>0</v>
      </c>
      <c r="E23" s="14">
        <f t="shared" si="4"/>
        <v>0</v>
      </c>
      <c r="I23" s="185">
        <f t="shared" si="35"/>
        <v>0</v>
      </c>
      <c r="J23" s="185">
        <f t="shared" si="36"/>
        <v>0</v>
      </c>
      <c r="K23" s="185">
        <f t="shared" si="37"/>
        <v>0</v>
      </c>
      <c r="L23" s="317">
        <f t="shared" si="5"/>
        <v>0</v>
      </c>
      <c r="M23" s="317">
        <f t="shared" si="22"/>
        <v>7</v>
      </c>
      <c r="N23" s="185">
        <f t="shared" si="23"/>
        <v>985974.83000000007</v>
      </c>
      <c r="O23" s="185">
        <f t="shared" si="24"/>
        <v>19533.41</v>
      </c>
      <c r="P23" s="185">
        <f t="shared" si="38"/>
        <v>19.319999999999709</v>
      </c>
      <c r="Q23" s="185">
        <f t="shared" si="25"/>
        <v>19514.09</v>
      </c>
      <c r="R23" s="185">
        <f t="shared" si="6"/>
        <v>134.16999999999999</v>
      </c>
      <c r="S23" s="185">
        <f t="shared" si="7"/>
        <v>188.55</v>
      </c>
      <c r="T23" s="185">
        <f t="shared" si="8"/>
        <v>19856.129999999997</v>
      </c>
      <c r="U23" s="185">
        <f t="shared" si="39"/>
        <v>144.48999999999796</v>
      </c>
      <c r="V23" s="185">
        <f t="shared" si="40"/>
        <v>156122.79</v>
      </c>
      <c r="W23" s="185">
        <f t="shared" si="41"/>
        <v>985955.51000000013</v>
      </c>
      <c r="X23" s="401" t="str">
        <f t="shared" si="26"/>
        <v xml:space="preserve"> </v>
      </c>
      <c r="Y23" s="185">
        <f t="shared" si="42"/>
        <v>983354.58</v>
      </c>
      <c r="Z23" s="393">
        <f t="shared" si="9"/>
        <v>0.10625</v>
      </c>
      <c r="AA23" s="185">
        <f t="shared" si="10"/>
        <v>9113</v>
      </c>
      <c r="AB23" s="185">
        <f t="shared" si="11"/>
        <v>406.20999999999913</v>
      </c>
      <c r="AC23" s="185">
        <f t="shared" si="12"/>
        <v>8706.7900000000009</v>
      </c>
      <c r="AD23" s="185">
        <f t="shared" si="13"/>
        <v>134.16999999999999</v>
      </c>
      <c r="AE23" s="185">
        <f t="shared" si="14"/>
        <v>188.55</v>
      </c>
      <c r="AF23" s="185">
        <f t="shared" si="15"/>
        <v>9435.7199999999993</v>
      </c>
      <c r="AG23" s="185">
        <f t="shared" si="43"/>
        <v>2769.7200000000012</v>
      </c>
      <c r="AH23" s="185">
        <f t="shared" si="44"/>
        <v>61021.279999999992</v>
      </c>
      <c r="AI23" s="411">
        <f t="shared" si="27"/>
        <v>62522.460000000006</v>
      </c>
      <c r="AJ23" s="411">
        <f t="shared" si="16"/>
        <v>3007.1400000001304</v>
      </c>
      <c r="AK23" s="411"/>
      <c r="AL23" s="185">
        <f t="shared" si="45"/>
        <v>982948.37</v>
      </c>
      <c r="AM23" s="317">
        <f t="shared" si="28"/>
        <v>0</v>
      </c>
      <c r="AN23" s="14">
        <f t="shared" si="18"/>
        <v>19533.41</v>
      </c>
      <c r="AO23" s="14">
        <f t="shared" si="29"/>
        <v>985955.51</v>
      </c>
      <c r="AP23" s="14">
        <f t="shared" si="19"/>
        <v>9113</v>
      </c>
      <c r="AS23" s="14">
        <f t="shared" si="20"/>
        <v>19533.41</v>
      </c>
      <c r="AT23" s="14">
        <f t="shared" si="30"/>
        <v>156267.28</v>
      </c>
      <c r="AU23" s="185">
        <f t="shared" si="31"/>
        <v>2508.7167906216127</v>
      </c>
      <c r="AV23" s="185">
        <f t="shared" si="32"/>
        <v>19895.433039266667</v>
      </c>
    </row>
    <row r="24" spans="1:48">
      <c r="A24" s="401" t="str">
        <f t="shared" si="33"/>
        <v xml:space="preserve"> </v>
      </c>
      <c r="B24" s="185">
        <f t="shared" si="21"/>
        <v>0</v>
      </c>
      <c r="C24" s="14">
        <f t="shared" si="3"/>
        <v>0</v>
      </c>
      <c r="D24" s="14">
        <f t="shared" si="34"/>
        <v>0</v>
      </c>
      <c r="E24" s="14">
        <f t="shared" si="4"/>
        <v>0</v>
      </c>
      <c r="I24" s="185">
        <f t="shared" si="35"/>
        <v>0</v>
      </c>
      <c r="J24" s="185">
        <f t="shared" si="36"/>
        <v>0</v>
      </c>
      <c r="K24" s="185">
        <f t="shared" si="37"/>
        <v>0</v>
      </c>
      <c r="L24" s="317">
        <f t="shared" si="5"/>
        <v>0</v>
      </c>
      <c r="M24" s="317">
        <f t="shared" si="22"/>
        <v>8</v>
      </c>
      <c r="N24" s="185">
        <f t="shared" si="23"/>
        <v>985955.51000000013</v>
      </c>
      <c r="O24" s="185">
        <f t="shared" si="24"/>
        <v>19533.41</v>
      </c>
      <c r="P24" s="185">
        <f t="shared" si="38"/>
        <v>19.709999999999127</v>
      </c>
      <c r="Q24" s="185">
        <f t="shared" si="25"/>
        <v>19513.7</v>
      </c>
      <c r="R24" s="185">
        <f t="shared" si="6"/>
        <v>134.16999999999999</v>
      </c>
      <c r="S24" s="185">
        <f t="shared" si="7"/>
        <v>188.55</v>
      </c>
      <c r="T24" s="185">
        <f t="shared" si="8"/>
        <v>19856.129999999997</v>
      </c>
      <c r="U24" s="185">
        <f t="shared" si="39"/>
        <v>164.19999999999709</v>
      </c>
      <c r="V24" s="185">
        <f t="shared" si="40"/>
        <v>175636.49000000002</v>
      </c>
      <c r="W24" s="185">
        <f t="shared" si="41"/>
        <v>985935.80000000016</v>
      </c>
      <c r="X24" s="401" t="str">
        <f t="shared" si="26"/>
        <v xml:space="preserve"> </v>
      </c>
      <c r="Y24" s="185">
        <f t="shared" si="42"/>
        <v>982948.37</v>
      </c>
      <c r="Z24" s="393">
        <f t="shared" si="9"/>
        <v>0.10625</v>
      </c>
      <c r="AA24" s="185">
        <f t="shared" si="10"/>
        <v>9113</v>
      </c>
      <c r="AB24" s="185">
        <f t="shared" si="11"/>
        <v>409.80999999999949</v>
      </c>
      <c r="AC24" s="185">
        <f t="shared" si="12"/>
        <v>8703.19</v>
      </c>
      <c r="AD24" s="185">
        <f t="shared" si="13"/>
        <v>134.16999999999999</v>
      </c>
      <c r="AE24" s="185">
        <f t="shared" si="14"/>
        <v>188.55</v>
      </c>
      <c r="AF24" s="185">
        <f t="shared" si="15"/>
        <v>9435.7199999999993</v>
      </c>
      <c r="AG24" s="185">
        <f t="shared" si="43"/>
        <v>3179.5300000000007</v>
      </c>
      <c r="AH24" s="185">
        <f t="shared" si="44"/>
        <v>69724.469999999987</v>
      </c>
      <c r="AI24" s="411">
        <f t="shared" si="27"/>
        <v>72942.87000000001</v>
      </c>
      <c r="AJ24" s="411">
        <f t="shared" si="16"/>
        <v>3397.2400000002235</v>
      </c>
      <c r="AK24" s="411"/>
      <c r="AL24" s="185">
        <f t="shared" si="45"/>
        <v>982538.55999999994</v>
      </c>
      <c r="AM24" s="317">
        <f t="shared" si="28"/>
        <v>0</v>
      </c>
      <c r="AN24" s="14">
        <f t="shared" si="18"/>
        <v>19533.41</v>
      </c>
      <c r="AO24" s="14">
        <f t="shared" si="29"/>
        <v>985935.8</v>
      </c>
      <c r="AP24" s="14">
        <f t="shared" si="19"/>
        <v>9113</v>
      </c>
      <c r="AS24" s="14">
        <f t="shared" si="20"/>
        <v>19533.41</v>
      </c>
      <c r="AT24" s="14">
        <f t="shared" si="30"/>
        <v>175800.69</v>
      </c>
      <c r="AU24" s="185">
        <f t="shared" si="31"/>
        <v>2514.9885825981664</v>
      </c>
      <c r="AV24" s="185">
        <f t="shared" si="32"/>
        <v>22410.421621864833</v>
      </c>
    </row>
    <row r="25" spans="1:48">
      <c r="A25" s="401" t="str">
        <f t="shared" si="33"/>
        <v xml:space="preserve"> </v>
      </c>
      <c r="B25" s="185">
        <f t="shared" si="21"/>
        <v>0</v>
      </c>
      <c r="C25" s="14">
        <f t="shared" si="3"/>
        <v>0</v>
      </c>
      <c r="D25" s="14">
        <f t="shared" si="34"/>
        <v>0</v>
      </c>
      <c r="E25" s="14">
        <f t="shared" si="4"/>
        <v>0</v>
      </c>
      <c r="I25" s="185">
        <f t="shared" si="35"/>
        <v>0</v>
      </c>
      <c r="J25" s="185">
        <f t="shared" si="36"/>
        <v>0</v>
      </c>
      <c r="K25" s="185">
        <f t="shared" si="37"/>
        <v>0</v>
      </c>
      <c r="L25" s="317">
        <f t="shared" si="5"/>
        <v>0</v>
      </c>
      <c r="M25" s="317">
        <f t="shared" si="22"/>
        <v>9</v>
      </c>
      <c r="N25" s="185">
        <f t="shared" si="23"/>
        <v>985935.80000000016</v>
      </c>
      <c r="O25" s="185">
        <f t="shared" si="24"/>
        <v>19533.41</v>
      </c>
      <c r="P25" s="185">
        <f t="shared" si="38"/>
        <v>20.099999999998545</v>
      </c>
      <c r="Q25" s="185">
        <f t="shared" si="25"/>
        <v>19513.310000000001</v>
      </c>
      <c r="R25" s="185">
        <f t="shared" si="6"/>
        <v>134.16999999999999</v>
      </c>
      <c r="S25" s="185">
        <f t="shared" si="7"/>
        <v>188.55</v>
      </c>
      <c r="T25" s="185">
        <f t="shared" si="8"/>
        <v>19856.129999999997</v>
      </c>
      <c r="U25" s="185">
        <f t="shared" si="39"/>
        <v>184.29999999999563</v>
      </c>
      <c r="V25" s="185">
        <f t="shared" si="40"/>
        <v>195149.80000000002</v>
      </c>
      <c r="W25" s="185">
        <f t="shared" si="41"/>
        <v>985915.70000000019</v>
      </c>
      <c r="X25" s="401" t="str">
        <f t="shared" si="26"/>
        <v xml:space="preserve"> </v>
      </c>
      <c r="Y25" s="185">
        <f t="shared" si="42"/>
        <v>982538.55999999994</v>
      </c>
      <c r="Z25" s="393">
        <f t="shared" si="9"/>
        <v>0.10625</v>
      </c>
      <c r="AA25" s="185">
        <f t="shared" si="10"/>
        <v>9113</v>
      </c>
      <c r="AB25" s="185">
        <f t="shared" si="11"/>
        <v>413.44000000000051</v>
      </c>
      <c r="AC25" s="185">
        <f t="shared" si="12"/>
        <v>8699.56</v>
      </c>
      <c r="AD25" s="185">
        <f t="shared" si="13"/>
        <v>134.16999999999999</v>
      </c>
      <c r="AE25" s="185">
        <f t="shared" si="14"/>
        <v>188.55</v>
      </c>
      <c r="AF25" s="185">
        <f t="shared" si="15"/>
        <v>9435.7199999999993</v>
      </c>
      <c r="AG25" s="185">
        <f t="shared" si="43"/>
        <v>3592.9700000000012</v>
      </c>
      <c r="AH25" s="185">
        <f t="shared" si="44"/>
        <v>78424.029999999984</v>
      </c>
      <c r="AI25" s="411">
        <f t="shared" si="27"/>
        <v>83363.280000000013</v>
      </c>
      <c r="AJ25" s="411">
        <f t="shared" si="16"/>
        <v>3790.5800000001909</v>
      </c>
      <c r="AK25" s="411"/>
      <c r="AL25" s="185">
        <f t="shared" si="45"/>
        <v>982125.12</v>
      </c>
      <c r="AM25" s="317">
        <f t="shared" si="28"/>
        <v>0</v>
      </c>
      <c r="AN25" s="14">
        <f t="shared" si="18"/>
        <v>19533.41</v>
      </c>
      <c r="AO25" s="14">
        <f t="shared" si="29"/>
        <v>985915.7</v>
      </c>
      <c r="AP25" s="14">
        <f t="shared" si="19"/>
        <v>9113</v>
      </c>
      <c r="AS25" s="14">
        <f t="shared" si="20"/>
        <v>19533.41</v>
      </c>
      <c r="AT25" s="14">
        <f t="shared" si="30"/>
        <v>195334.1</v>
      </c>
      <c r="AU25" s="185">
        <f t="shared" si="31"/>
        <v>2521.2760540546619</v>
      </c>
      <c r="AV25" s="185">
        <f t="shared" si="32"/>
        <v>24931.697675919495</v>
      </c>
    </row>
    <row r="26" spans="1:48">
      <c r="A26" s="401" t="str">
        <f t="shared" si="33"/>
        <v xml:space="preserve"> </v>
      </c>
      <c r="B26" s="185">
        <f t="shared" si="21"/>
        <v>0</v>
      </c>
      <c r="C26" s="14">
        <f t="shared" si="3"/>
        <v>0</v>
      </c>
      <c r="D26" s="14">
        <f t="shared" si="34"/>
        <v>0</v>
      </c>
      <c r="E26" s="14">
        <f t="shared" si="4"/>
        <v>0</v>
      </c>
      <c r="I26" s="185">
        <f t="shared" si="35"/>
        <v>0</v>
      </c>
      <c r="J26" s="185">
        <f t="shared" si="36"/>
        <v>0</v>
      </c>
      <c r="K26" s="185">
        <f t="shared" si="37"/>
        <v>0</v>
      </c>
      <c r="L26" s="317">
        <f t="shared" si="5"/>
        <v>0</v>
      </c>
      <c r="M26" s="317">
        <f t="shared" si="22"/>
        <v>10</v>
      </c>
      <c r="N26" s="185">
        <f t="shared" si="23"/>
        <v>985915.70000000019</v>
      </c>
      <c r="O26" s="185">
        <f t="shared" si="24"/>
        <v>19533.41</v>
      </c>
      <c r="P26" s="185">
        <f t="shared" si="38"/>
        <v>20.5</v>
      </c>
      <c r="Q26" s="185">
        <f t="shared" si="25"/>
        <v>19512.91</v>
      </c>
      <c r="R26" s="185">
        <f t="shared" si="6"/>
        <v>134.16999999999999</v>
      </c>
      <c r="S26" s="185">
        <f t="shared" si="7"/>
        <v>188.55</v>
      </c>
      <c r="T26" s="185">
        <f t="shared" si="8"/>
        <v>19856.129999999997</v>
      </c>
      <c r="U26" s="185">
        <f t="shared" si="39"/>
        <v>204.79999999999563</v>
      </c>
      <c r="V26" s="185">
        <f t="shared" si="40"/>
        <v>214662.71000000002</v>
      </c>
      <c r="W26" s="185">
        <f t="shared" si="41"/>
        <v>985895.20000000019</v>
      </c>
      <c r="X26" s="401" t="str">
        <f t="shared" si="26"/>
        <v xml:space="preserve"> </v>
      </c>
      <c r="Y26" s="185">
        <f t="shared" si="42"/>
        <v>982125.12</v>
      </c>
      <c r="Z26" s="393">
        <f t="shared" si="9"/>
        <v>0.10625</v>
      </c>
      <c r="AA26" s="185">
        <f t="shared" si="10"/>
        <v>9113</v>
      </c>
      <c r="AB26" s="185">
        <f t="shared" si="11"/>
        <v>417.10000000000036</v>
      </c>
      <c r="AC26" s="185">
        <f t="shared" si="12"/>
        <v>8695.9</v>
      </c>
      <c r="AD26" s="185">
        <f t="shared" si="13"/>
        <v>134.16999999999999</v>
      </c>
      <c r="AE26" s="185">
        <f t="shared" si="14"/>
        <v>188.55</v>
      </c>
      <c r="AF26" s="185">
        <f t="shared" si="15"/>
        <v>9435.7199999999993</v>
      </c>
      <c r="AG26" s="185">
        <f t="shared" si="43"/>
        <v>4010.0700000000015</v>
      </c>
      <c r="AH26" s="185">
        <f t="shared" si="44"/>
        <v>87119.929999999978</v>
      </c>
      <c r="AI26" s="411">
        <f t="shared" si="27"/>
        <v>93783.690000000017</v>
      </c>
      <c r="AJ26" s="411">
        <f t="shared" si="16"/>
        <v>4187.1800000001676</v>
      </c>
      <c r="AK26" s="411"/>
      <c r="AL26" s="185">
        <f t="shared" si="45"/>
        <v>981708.02</v>
      </c>
      <c r="AM26" s="317">
        <f t="shared" si="28"/>
        <v>0</v>
      </c>
      <c r="AN26" s="14">
        <f t="shared" si="18"/>
        <v>19533.41</v>
      </c>
      <c r="AO26" s="14">
        <f t="shared" si="29"/>
        <v>985895.2</v>
      </c>
      <c r="AP26" s="14">
        <f t="shared" si="19"/>
        <v>9113</v>
      </c>
      <c r="AS26" s="14">
        <f t="shared" si="20"/>
        <v>19533.41</v>
      </c>
      <c r="AT26" s="14">
        <f t="shared" si="30"/>
        <v>214867.51</v>
      </c>
      <c r="AU26" s="185">
        <f t="shared" si="31"/>
        <v>2527.5792441897988</v>
      </c>
      <c r="AV26" s="185">
        <f t="shared" si="32"/>
        <v>27459.276920109292</v>
      </c>
    </row>
    <row r="27" spans="1:48" ht="15.75" thickBot="1">
      <c r="A27" s="404" t="str">
        <f t="shared" si="33"/>
        <v xml:space="preserve"> </v>
      </c>
      <c r="B27" s="237">
        <f t="shared" si="21"/>
        <v>0</v>
      </c>
      <c r="C27" s="21">
        <f t="shared" si="3"/>
        <v>0</v>
      </c>
      <c r="D27" s="21">
        <f t="shared" si="34"/>
        <v>0</v>
      </c>
      <c r="E27" s="21">
        <f t="shared" si="4"/>
        <v>0</v>
      </c>
      <c r="F27" s="21"/>
      <c r="G27" s="21"/>
      <c r="H27" s="21"/>
      <c r="I27" s="237">
        <f t="shared" si="35"/>
        <v>0</v>
      </c>
      <c r="J27" s="237">
        <f t="shared" si="36"/>
        <v>0</v>
      </c>
      <c r="K27" s="237">
        <f t="shared" si="37"/>
        <v>0</v>
      </c>
      <c r="L27" s="318">
        <f t="shared" si="5"/>
        <v>0</v>
      </c>
      <c r="M27" s="318">
        <f t="shared" si="22"/>
        <v>11</v>
      </c>
      <c r="N27" s="237">
        <f t="shared" si="23"/>
        <v>985895.20000000019</v>
      </c>
      <c r="O27" s="237">
        <f t="shared" si="24"/>
        <v>19533.41</v>
      </c>
      <c r="P27" s="237">
        <f t="shared" si="38"/>
        <v>20.900000000001455</v>
      </c>
      <c r="Q27" s="237">
        <f t="shared" si="25"/>
        <v>19512.509999999998</v>
      </c>
      <c r="R27" s="237">
        <f t="shared" si="6"/>
        <v>134.16999999999999</v>
      </c>
      <c r="S27" s="237">
        <f t="shared" si="7"/>
        <v>188.55</v>
      </c>
      <c r="T27" s="237">
        <f t="shared" si="8"/>
        <v>19856.129999999997</v>
      </c>
      <c r="U27" s="237">
        <f t="shared" si="39"/>
        <v>225.69999999999709</v>
      </c>
      <c r="V27" s="237">
        <f t="shared" si="40"/>
        <v>234175.22000000003</v>
      </c>
      <c r="W27" s="237">
        <f t="shared" si="41"/>
        <v>985874.30000000016</v>
      </c>
      <c r="X27" s="404" t="str">
        <f t="shared" si="26"/>
        <v xml:space="preserve"> </v>
      </c>
      <c r="Y27" s="237">
        <f t="shared" si="42"/>
        <v>981708.02</v>
      </c>
      <c r="Z27" s="394">
        <f t="shared" si="9"/>
        <v>0.10625</v>
      </c>
      <c r="AA27" s="237">
        <f t="shared" si="10"/>
        <v>9113</v>
      </c>
      <c r="AB27" s="237">
        <f t="shared" si="11"/>
        <v>420.79000000000087</v>
      </c>
      <c r="AC27" s="237">
        <f t="shared" si="12"/>
        <v>8692.2099999999991</v>
      </c>
      <c r="AD27" s="237">
        <f t="shared" si="13"/>
        <v>134.16999999999999</v>
      </c>
      <c r="AE27" s="237">
        <f t="shared" si="14"/>
        <v>188.55</v>
      </c>
      <c r="AF27" s="237">
        <f t="shared" si="15"/>
        <v>9435.7199999999993</v>
      </c>
      <c r="AG27" s="237">
        <f t="shared" si="43"/>
        <v>4430.8600000000024</v>
      </c>
      <c r="AH27" s="237">
        <f t="shared" si="44"/>
        <v>95812.139999999985</v>
      </c>
      <c r="AI27" s="412">
        <f t="shared" si="27"/>
        <v>104204.10000000002</v>
      </c>
      <c r="AJ27" s="412">
        <f t="shared" si="16"/>
        <v>4587.0700000001816</v>
      </c>
      <c r="AK27" s="412"/>
      <c r="AL27" s="237">
        <f t="shared" si="45"/>
        <v>981287.23</v>
      </c>
      <c r="AM27" s="318">
        <f t="shared" si="28"/>
        <v>0</v>
      </c>
      <c r="AN27" s="21">
        <f t="shared" si="18"/>
        <v>19533.41</v>
      </c>
      <c r="AO27" s="21">
        <f t="shared" si="29"/>
        <v>985874.3</v>
      </c>
      <c r="AP27" s="21">
        <f t="shared" si="19"/>
        <v>9113</v>
      </c>
      <c r="AQ27" s="21"/>
      <c r="AR27" s="23"/>
      <c r="AS27" s="21">
        <f t="shared" si="20"/>
        <v>19533.41</v>
      </c>
      <c r="AT27" s="21">
        <f t="shared" si="30"/>
        <v>234400.92</v>
      </c>
      <c r="AU27" s="237">
        <f t="shared" si="31"/>
        <v>2533.8981923002734</v>
      </c>
      <c r="AV27" s="185">
        <f t="shared" si="32"/>
        <v>29993.175112409564</v>
      </c>
    </row>
    <row r="28" spans="1:48">
      <c r="A28" s="401" t="str">
        <f t="shared" si="33"/>
        <v xml:space="preserve"> </v>
      </c>
      <c r="B28" s="185">
        <f t="shared" si="21"/>
        <v>0</v>
      </c>
      <c r="C28" s="14">
        <f t="shared" si="3"/>
        <v>0</v>
      </c>
      <c r="D28" s="14">
        <f t="shared" si="34"/>
        <v>0</v>
      </c>
      <c r="E28" s="14">
        <f t="shared" si="4"/>
        <v>0</v>
      </c>
      <c r="I28" s="185">
        <f t="shared" si="35"/>
        <v>0</v>
      </c>
      <c r="J28" s="185">
        <f t="shared" si="36"/>
        <v>0</v>
      </c>
      <c r="K28" s="185">
        <f t="shared" si="37"/>
        <v>0</v>
      </c>
      <c r="L28" s="317">
        <f t="shared" si="5"/>
        <v>1</v>
      </c>
      <c r="M28" s="317">
        <f t="shared" si="22"/>
        <v>12</v>
      </c>
      <c r="N28" s="185">
        <f t="shared" si="23"/>
        <v>985874.30000000016</v>
      </c>
      <c r="O28" s="185">
        <f t="shared" si="24"/>
        <v>19533.41</v>
      </c>
      <c r="P28" s="185">
        <f t="shared" si="38"/>
        <v>21.31000000000131</v>
      </c>
      <c r="Q28" s="185">
        <f t="shared" si="25"/>
        <v>19512.099999999999</v>
      </c>
      <c r="R28" s="185">
        <f t="shared" si="6"/>
        <v>134.16999999999999</v>
      </c>
      <c r="S28" s="185">
        <f t="shared" si="7"/>
        <v>188.55</v>
      </c>
      <c r="T28" s="185">
        <f t="shared" si="8"/>
        <v>19856.129999999997</v>
      </c>
      <c r="U28" s="185">
        <f t="shared" si="39"/>
        <v>247.0099999999984</v>
      </c>
      <c r="V28" s="185">
        <f t="shared" si="40"/>
        <v>253687.32000000004</v>
      </c>
      <c r="W28" s="185">
        <f t="shared" si="41"/>
        <v>985852.99000000011</v>
      </c>
      <c r="X28" s="401" t="str">
        <f t="shared" si="26"/>
        <v xml:space="preserve"> </v>
      </c>
      <c r="Y28" s="185">
        <f t="shared" si="42"/>
        <v>981287.23</v>
      </c>
      <c r="Z28" s="393">
        <f t="shared" si="9"/>
        <v>0.10625</v>
      </c>
      <c r="AA28" s="185">
        <f t="shared" si="10"/>
        <v>9113</v>
      </c>
      <c r="AB28" s="185">
        <f t="shared" si="11"/>
        <v>424.52000000000044</v>
      </c>
      <c r="AC28" s="185">
        <f t="shared" si="12"/>
        <v>8688.48</v>
      </c>
      <c r="AD28" s="185">
        <f t="shared" si="13"/>
        <v>134.16999999999999</v>
      </c>
      <c r="AE28" s="185">
        <f t="shared" si="14"/>
        <v>188.55</v>
      </c>
      <c r="AF28" s="185">
        <f t="shared" si="15"/>
        <v>9435.7199999999993</v>
      </c>
      <c r="AG28" s="185">
        <f t="shared" si="43"/>
        <v>4855.3800000000028</v>
      </c>
      <c r="AH28" s="185">
        <f t="shared" si="44"/>
        <v>104500.61999999998</v>
      </c>
      <c r="AI28" s="411">
        <f t="shared" si="27"/>
        <v>114624.51000000002</v>
      </c>
      <c r="AJ28" s="411">
        <f t="shared" si="16"/>
        <v>4990.2800000001444</v>
      </c>
      <c r="AK28" s="411"/>
      <c r="AL28" s="185">
        <f t="shared" si="45"/>
        <v>980862.71</v>
      </c>
      <c r="AM28" s="317">
        <f t="shared" si="28"/>
        <v>1</v>
      </c>
      <c r="AN28" s="14">
        <f>IF(O28=0,0,+O28-C28)</f>
        <v>19533.41</v>
      </c>
      <c r="AO28" s="14">
        <f t="shared" si="29"/>
        <v>985852.99</v>
      </c>
      <c r="AP28" s="14">
        <f t="shared" si="19"/>
        <v>9113</v>
      </c>
      <c r="AS28" s="14">
        <f t="shared" si="20"/>
        <v>19533.41</v>
      </c>
      <c r="AT28" s="14">
        <f t="shared" si="30"/>
        <v>253934.33000000002</v>
      </c>
      <c r="AU28" s="185">
        <f t="shared" si="31"/>
        <v>2540.2329377810238</v>
      </c>
      <c r="AV28" s="185">
        <f t="shared" si="32"/>
        <v>32533.408050190588</v>
      </c>
    </row>
    <row r="29" spans="1:48">
      <c r="A29" s="401" t="str">
        <f t="shared" si="33"/>
        <v xml:space="preserve"> </v>
      </c>
      <c r="B29" s="185">
        <f t="shared" si="21"/>
        <v>0</v>
      </c>
      <c r="C29" s="14">
        <f t="shared" si="3"/>
        <v>0</v>
      </c>
      <c r="D29" s="14">
        <f t="shared" si="34"/>
        <v>0</v>
      </c>
      <c r="E29" s="14">
        <f t="shared" si="4"/>
        <v>0</v>
      </c>
      <c r="I29" s="185">
        <f t="shared" si="35"/>
        <v>0</v>
      </c>
      <c r="J29" s="185">
        <f t="shared" si="36"/>
        <v>0</v>
      </c>
      <c r="K29" s="185">
        <f t="shared" si="37"/>
        <v>0</v>
      </c>
      <c r="L29" s="317">
        <f t="shared" si="5"/>
        <v>1</v>
      </c>
      <c r="M29" s="317">
        <f t="shared" si="22"/>
        <v>13</v>
      </c>
      <c r="N29" s="185">
        <f t="shared" si="23"/>
        <v>985852.99000000011</v>
      </c>
      <c r="O29" s="185">
        <f t="shared" si="24"/>
        <v>19533.41</v>
      </c>
      <c r="P29" s="185">
        <f t="shared" si="38"/>
        <v>21.740000000001601</v>
      </c>
      <c r="Q29" s="185">
        <f t="shared" si="25"/>
        <v>19511.669999999998</v>
      </c>
      <c r="R29" s="185">
        <f t="shared" si="6"/>
        <v>134.16999999999999</v>
      </c>
      <c r="S29" s="185">
        <f t="shared" si="7"/>
        <v>188.55</v>
      </c>
      <c r="T29" s="185">
        <f t="shared" si="8"/>
        <v>19856.129999999997</v>
      </c>
      <c r="U29" s="185">
        <f t="shared" si="39"/>
        <v>268.75</v>
      </c>
      <c r="V29" s="185">
        <f t="shared" si="40"/>
        <v>273198.99000000005</v>
      </c>
      <c r="W29" s="185">
        <f t="shared" si="41"/>
        <v>985831.25000000012</v>
      </c>
      <c r="X29" s="401" t="str">
        <f t="shared" si="26"/>
        <v xml:space="preserve"> </v>
      </c>
      <c r="Y29" s="185">
        <f t="shared" si="42"/>
        <v>980862.71</v>
      </c>
      <c r="Z29" s="393">
        <f t="shared" si="9"/>
        <v>0.10625</v>
      </c>
      <c r="AA29" s="185">
        <f t="shared" si="10"/>
        <v>9113</v>
      </c>
      <c r="AB29" s="185">
        <f t="shared" si="11"/>
        <v>428.28000000000065</v>
      </c>
      <c r="AC29" s="185">
        <f t="shared" si="12"/>
        <v>8684.7199999999993</v>
      </c>
      <c r="AD29" s="185">
        <f t="shared" si="13"/>
        <v>134.16999999999999</v>
      </c>
      <c r="AE29" s="185">
        <f t="shared" si="14"/>
        <v>188.55</v>
      </c>
      <c r="AF29" s="185">
        <f t="shared" si="15"/>
        <v>9435.7199999999993</v>
      </c>
      <c r="AG29" s="185">
        <f t="shared" si="43"/>
        <v>5283.6600000000035</v>
      </c>
      <c r="AH29" s="185">
        <f t="shared" si="44"/>
        <v>113185.33999999998</v>
      </c>
      <c r="AI29" s="411">
        <f t="shared" si="27"/>
        <v>125044.92000000003</v>
      </c>
      <c r="AJ29" s="411">
        <f t="shared" si="16"/>
        <v>5396.8200000001816</v>
      </c>
      <c r="AK29" s="411"/>
      <c r="AL29" s="185">
        <f t="shared" si="45"/>
        <v>980434.42999999993</v>
      </c>
      <c r="AM29" s="317">
        <f t="shared" si="28"/>
        <v>1</v>
      </c>
      <c r="AN29" s="14">
        <f t="shared" si="18"/>
        <v>19533.41</v>
      </c>
      <c r="AO29" s="14">
        <f t="shared" si="29"/>
        <v>985831.25</v>
      </c>
      <c r="AP29" s="14">
        <f t="shared" si="19"/>
        <v>9113</v>
      </c>
      <c r="AS29" s="14">
        <f t="shared" si="20"/>
        <v>19533.41</v>
      </c>
      <c r="AT29" s="14">
        <f t="shared" si="30"/>
        <v>273467.74</v>
      </c>
      <c r="AU29" s="185">
        <f t="shared" si="31"/>
        <v>2546.5835201254763</v>
      </c>
      <c r="AV29" s="185">
        <f t="shared" si="32"/>
        <v>35079.991570316066</v>
      </c>
    </row>
    <row r="30" spans="1:48">
      <c r="A30" s="401" t="str">
        <f t="shared" si="33"/>
        <v xml:space="preserve"> </v>
      </c>
      <c r="B30" s="185">
        <f t="shared" si="21"/>
        <v>0</v>
      </c>
      <c r="C30" s="14">
        <f t="shared" si="3"/>
        <v>0</v>
      </c>
      <c r="D30" s="14">
        <f t="shared" si="34"/>
        <v>0</v>
      </c>
      <c r="E30" s="14">
        <f t="shared" si="4"/>
        <v>0</v>
      </c>
      <c r="I30" s="185">
        <f t="shared" si="35"/>
        <v>0</v>
      </c>
      <c r="J30" s="185">
        <f t="shared" si="36"/>
        <v>0</v>
      </c>
      <c r="K30" s="185">
        <f t="shared" si="37"/>
        <v>0</v>
      </c>
      <c r="L30" s="317">
        <f t="shared" si="5"/>
        <v>1</v>
      </c>
      <c r="M30" s="317">
        <f t="shared" si="22"/>
        <v>14</v>
      </c>
      <c r="N30" s="185">
        <f t="shared" si="23"/>
        <v>985831.25000000012</v>
      </c>
      <c r="O30" s="185">
        <f t="shared" si="24"/>
        <v>19533.41</v>
      </c>
      <c r="P30" s="185">
        <f t="shared" si="38"/>
        <v>22.169999999998254</v>
      </c>
      <c r="Q30" s="185">
        <f t="shared" si="25"/>
        <v>19511.240000000002</v>
      </c>
      <c r="R30" s="185">
        <f t="shared" si="6"/>
        <v>134.16999999999999</v>
      </c>
      <c r="S30" s="185">
        <f t="shared" si="7"/>
        <v>188.55</v>
      </c>
      <c r="T30" s="185">
        <f t="shared" si="8"/>
        <v>19856.129999999997</v>
      </c>
      <c r="U30" s="185">
        <f t="shared" si="39"/>
        <v>290.91999999999825</v>
      </c>
      <c r="V30" s="185">
        <f t="shared" si="40"/>
        <v>292710.23000000004</v>
      </c>
      <c r="W30" s="185">
        <f t="shared" si="41"/>
        <v>985809.08000000007</v>
      </c>
      <c r="X30" s="401" t="str">
        <f t="shared" si="26"/>
        <v xml:space="preserve"> </v>
      </c>
      <c r="Y30" s="185">
        <f t="shared" si="42"/>
        <v>980434.42999999993</v>
      </c>
      <c r="Z30" s="393">
        <f t="shared" si="9"/>
        <v>0.10625</v>
      </c>
      <c r="AA30" s="185">
        <f t="shared" si="10"/>
        <v>9113</v>
      </c>
      <c r="AB30" s="185">
        <f t="shared" si="11"/>
        <v>432.06999999999971</v>
      </c>
      <c r="AC30" s="185">
        <f t="shared" si="12"/>
        <v>8680.93</v>
      </c>
      <c r="AD30" s="185">
        <f t="shared" si="13"/>
        <v>134.16999999999999</v>
      </c>
      <c r="AE30" s="185">
        <f t="shared" si="14"/>
        <v>188.55</v>
      </c>
      <c r="AF30" s="185">
        <f t="shared" si="15"/>
        <v>9435.7199999999993</v>
      </c>
      <c r="AG30" s="185">
        <f t="shared" si="43"/>
        <v>5715.7300000000032</v>
      </c>
      <c r="AH30" s="185">
        <f t="shared" si="44"/>
        <v>121866.26999999999</v>
      </c>
      <c r="AI30" s="411">
        <f t="shared" si="27"/>
        <v>135465.33000000002</v>
      </c>
      <c r="AJ30" s="411">
        <f t="shared" si="16"/>
        <v>5806.7200000000885</v>
      </c>
      <c r="AK30" s="411"/>
      <c r="AL30" s="185">
        <f t="shared" si="45"/>
        <v>980002.36</v>
      </c>
      <c r="AM30" s="317">
        <f t="shared" si="28"/>
        <v>1</v>
      </c>
      <c r="AN30" s="14">
        <f t="shared" si="18"/>
        <v>19533.41</v>
      </c>
      <c r="AO30" s="14">
        <f t="shared" si="29"/>
        <v>985809.08</v>
      </c>
      <c r="AP30" s="14">
        <f t="shared" si="19"/>
        <v>9113</v>
      </c>
      <c r="AS30" s="14">
        <f t="shared" si="20"/>
        <v>19533.41</v>
      </c>
      <c r="AT30" s="14">
        <f t="shared" si="30"/>
        <v>293001.14999999997</v>
      </c>
      <c r="AU30" s="185">
        <f t="shared" si="31"/>
        <v>2552.9499789257902</v>
      </c>
      <c r="AV30" s="185">
        <f t="shared" si="32"/>
        <v>37632.941549241856</v>
      </c>
    </row>
    <row r="31" spans="1:48">
      <c r="A31" s="401" t="str">
        <f t="shared" si="33"/>
        <v xml:space="preserve"> </v>
      </c>
      <c r="B31" s="185">
        <f t="shared" si="21"/>
        <v>0</v>
      </c>
      <c r="C31" s="14">
        <f t="shared" si="3"/>
        <v>0</v>
      </c>
      <c r="D31" s="14">
        <f t="shared" si="34"/>
        <v>0</v>
      </c>
      <c r="E31" s="14">
        <f t="shared" si="4"/>
        <v>0</v>
      </c>
      <c r="I31" s="185">
        <f t="shared" si="35"/>
        <v>0</v>
      </c>
      <c r="J31" s="185">
        <f t="shared" si="36"/>
        <v>0</v>
      </c>
      <c r="K31" s="185">
        <f t="shared" si="37"/>
        <v>0</v>
      </c>
      <c r="L31" s="317">
        <f t="shared" si="5"/>
        <v>1</v>
      </c>
      <c r="M31" s="317">
        <f t="shared" si="22"/>
        <v>15</v>
      </c>
      <c r="N31" s="185">
        <f t="shared" si="23"/>
        <v>985809.08000000007</v>
      </c>
      <c r="O31" s="185">
        <f t="shared" si="24"/>
        <v>19533.41</v>
      </c>
      <c r="P31" s="185">
        <f t="shared" si="38"/>
        <v>22.610000000000582</v>
      </c>
      <c r="Q31" s="185">
        <f t="shared" si="25"/>
        <v>19510.8</v>
      </c>
      <c r="R31" s="185">
        <f t="shared" si="6"/>
        <v>134.16999999999999</v>
      </c>
      <c r="S31" s="185">
        <f t="shared" si="7"/>
        <v>188.55</v>
      </c>
      <c r="T31" s="185">
        <f t="shared" si="8"/>
        <v>19856.129999999997</v>
      </c>
      <c r="U31" s="185">
        <f t="shared" si="39"/>
        <v>313.52999999999884</v>
      </c>
      <c r="V31" s="185">
        <f t="shared" si="40"/>
        <v>312221.03000000003</v>
      </c>
      <c r="W31" s="185">
        <f t="shared" si="41"/>
        <v>985786.47000000009</v>
      </c>
      <c r="X31" s="401" t="str">
        <f t="shared" si="26"/>
        <v xml:space="preserve"> </v>
      </c>
      <c r="Y31" s="185">
        <f t="shared" si="42"/>
        <v>980002.36</v>
      </c>
      <c r="Z31" s="393">
        <f t="shared" si="9"/>
        <v>0.10625</v>
      </c>
      <c r="AA31" s="185">
        <f t="shared" si="10"/>
        <v>9113</v>
      </c>
      <c r="AB31" s="185">
        <f t="shared" si="11"/>
        <v>435.89999999999964</v>
      </c>
      <c r="AC31" s="185">
        <f t="shared" si="12"/>
        <v>8677.1</v>
      </c>
      <c r="AD31" s="185">
        <f t="shared" si="13"/>
        <v>134.16999999999999</v>
      </c>
      <c r="AE31" s="185">
        <f t="shared" si="14"/>
        <v>188.55</v>
      </c>
      <c r="AF31" s="185">
        <f t="shared" si="15"/>
        <v>9435.7199999999993</v>
      </c>
      <c r="AG31" s="185">
        <f t="shared" si="43"/>
        <v>6151.6300000000028</v>
      </c>
      <c r="AH31" s="185">
        <f t="shared" si="44"/>
        <v>130543.37</v>
      </c>
      <c r="AI31" s="411">
        <f t="shared" si="27"/>
        <v>145885.74000000002</v>
      </c>
      <c r="AJ31" s="411">
        <f t="shared" si="16"/>
        <v>6220.0100000001257</v>
      </c>
      <c r="AK31" s="411"/>
      <c r="AL31" s="185">
        <f t="shared" si="45"/>
        <v>979566.46</v>
      </c>
      <c r="AM31" s="317">
        <f t="shared" si="28"/>
        <v>1</v>
      </c>
      <c r="AN31" s="14">
        <f t="shared" si="18"/>
        <v>19533.41</v>
      </c>
      <c r="AO31" s="14">
        <f t="shared" si="29"/>
        <v>985786.47</v>
      </c>
      <c r="AP31" s="14">
        <f t="shared" si="19"/>
        <v>9113</v>
      </c>
      <c r="AS31" s="14">
        <f t="shared" si="20"/>
        <v>19533.41</v>
      </c>
      <c r="AT31" s="14">
        <f t="shared" si="30"/>
        <v>312534.55999999994</v>
      </c>
      <c r="AU31" s="185">
        <f t="shared" si="31"/>
        <v>2559.3323538731047</v>
      </c>
      <c r="AV31" s="185">
        <f t="shared" si="32"/>
        <v>40192.273903114961</v>
      </c>
    </row>
    <row r="32" spans="1:48">
      <c r="A32" s="401" t="str">
        <f t="shared" si="33"/>
        <v xml:space="preserve"> </v>
      </c>
      <c r="B32" s="185">
        <f t="shared" si="21"/>
        <v>0</v>
      </c>
      <c r="C32" s="14">
        <f t="shared" si="3"/>
        <v>0</v>
      </c>
      <c r="D32" s="14">
        <f t="shared" si="34"/>
        <v>0</v>
      </c>
      <c r="E32" s="14">
        <f t="shared" si="4"/>
        <v>0</v>
      </c>
      <c r="I32" s="185">
        <f t="shared" si="35"/>
        <v>0</v>
      </c>
      <c r="J32" s="185">
        <f t="shared" si="36"/>
        <v>0</v>
      </c>
      <c r="K32" s="185">
        <f t="shared" si="37"/>
        <v>0</v>
      </c>
      <c r="L32" s="317">
        <f t="shared" si="5"/>
        <v>1</v>
      </c>
      <c r="M32" s="317">
        <f t="shared" si="22"/>
        <v>16</v>
      </c>
      <c r="N32" s="185">
        <f t="shared" si="23"/>
        <v>985786.47000000009</v>
      </c>
      <c r="O32" s="185">
        <f t="shared" si="24"/>
        <v>19533.41</v>
      </c>
      <c r="P32" s="185">
        <f t="shared" si="38"/>
        <v>23.049999999999272</v>
      </c>
      <c r="Q32" s="185">
        <f t="shared" si="25"/>
        <v>19510.36</v>
      </c>
      <c r="R32" s="185">
        <f t="shared" si="6"/>
        <v>134.16999999999999</v>
      </c>
      <c r="S32" s="185">
        <f t="shared" si="7"/>
        <v>188.55</v>
      </c>
      <c r="T32" s="185">
        <f t="shared" si="8"/>
        <v>19856.129999999997</v>
      </c>
      <c r="U32" s="185">
        <f t="shared" si="39"/>
        <v>336.57999999999811</v>
      </c>
      <c r="V32" s="185">
        <f t="shared" si="40"/>
        <v>331731.39</v>
      </c>
      <c r="W32" s="185">
        <f t="shared" si="41"/>
        <v>985763.42</v>
      </c>
      <c r="X32" s="401" t="str">
        <f t="shared" si="26"/>
        <v xml:space="preserve"> </v>
      </c>
      <c r="Y32" s="185">
        <f t="shared" si="42"/>
        <v>979566.46</v>
      </c>
      <c r="Z32" s="393">
        <f t="shared" si="9"/>
        <v>0.10625</v>
      </c>
      <c r="AA32" s="185">
        <f t="shared" si="10"/>
        <v>9113</v>
      </c>
      <c r="AB32" s="185">
        <f t="shared" si="11"/>
        <v>439.76000000000022</v>
      </c>
      <c r="AC32" s="185">
        <f t="shared" si="12"/>
        <v>8673.24</v>
      </c>
      <c r="AD32" s="185">
        <f t="shared" si="13"/>
        <v>134.16999999999999</v>
      </c>
      <c r="AE32" s="185">
        <f t="shared" si="14"/>
        <v>188.55</v>
      </c>
      <c r="AF32" s="185">
        <f t="shared" si="15"/>
        <v>9435.7199999999993</v>
      </c>
      <c r="AG32" s="185">
        <f t="shared" si="43"/>
        <v>6591.3900000000031</v>
      </c>
      <c r="AH32" s="185">
        <f t="shared" si="44"/>
        <v>139216.60999999999</v>
      </c>
      <c r="AI32" s="411">
        <f t="shared" si="27"/>
        <v>156306.15000000002</v>
      </c>
      <c r="AJ32" s="411">
        <f t="shared" si="16"/>
        <v>6636.7200000000885</v>
      </c>
      <c r="AK32" s="411"/>
      <c r="AL32" s="185">
        <f t="shared" si="45"/>
        <v>979126.7</v>
      </c>
      <c r="AM32" s="317">
        <f t="shared" si="28"/>
        <v>1</v>
      </c>
      <c r="AN32" s="14">
        <f t="shared" si="18"/>
        <v>19533.41</v>
      </c>
      <c r="AO32" s="14">
        <f t="shared" si="29"/>
        <v>985763.42</v>
      </c>
      <c r="AP32" s="14">
        <f t="shared" si="19"/>
        <v>9113</v>
      </c>
      <c r="AS32" s="14">
        <f t="shared" si="20"/>
        <v>19533.41</v>
      </c>
      <c r="AT32" s="14">
        <f t="shared" si="30"/>
        <v>332067.96999999991</v>
      </c>
      <c r="AU32" s="185">
        <f t="shared" si="31"/>
        <v>2565.730684757787</v>
      </c>
      <c r="AV32" s="185">
        <f t="shared" si="32"/>
        <v>42758.004587872747</v>
      </c>
    </row>
    <row r="33" spans="1:48">
      <c r="A33" s="401" t="str">
        <f t="shared" si="33"/>
        <v xml:space="preserve"> </v>
      </c>
      <c r="B33" s="185">
        <f t="shared" si="21"/>
        <v>0</v>
      </c>
      <c r="C33" s="14">
        <f t="shared" si="3"/>
        <v>0</v>
      </c>
      <c r="D33" s="14">
        <f t="shared" si="34"/>
        <v>0</v>
      </c>
      <c r="E33" s="14">
        <f t="shared" si="4"/>
        <v>0</v>
      </c>
      <c r="I33" s="185">
        <f t="shared" si="35"/>
        <v>0</v>
      </c>
      <c r="J33" s="185">
        <f t="shared" si="36"/>
        <v>0</v>
      </c>
      <c r="K33" s="185">
        <f t="shared" si="37"/>
        <v>0</v>
      </c>
      <c r="L33" s="317">
        <f t="shared" si="5"/>
        <v>1</v>
      </c>
      <c r="M33" s="317">
        <f t="shared" si="22"/>
        <v>17</v>
      </c>
      <c r="N33" s="185">
        <f t="shared" si="23"/>
        <v>985763.42</v>
      </c>
      <c r="O33" s="185">
        <f t="shared" si="24"/>
        <v>19533.41</v>
      </c>
      <c r="P33" s="185">
        <f t="shared" si="38"/>
        <v>23.509999999998399</v>
      </c>
      <c r="Q33" s="185">
        <f t="shared" si="25"/>
        <v>19509.900000000001</v>
      </c>
      <c r="R33" s="185">
        <f t="shared" si="6"/>
        <v>134.16999999999999</v>
      </c>
      <c r="S33" s="185">
        <f t="shared" si="7"/>
        <v>188.55</v>
      </c>
      <c r="T33" s="185">
        <f t="shared" si="8"/>
        <v>19856.129999999997</v>
      </c>
      <c r="U33" s="185">
        <f t="shared" si="39"/>
        <v>360.08999999999651</v>
      </c>
      <c r="V33" s="185">
        <f t="shared" si="40"/>
        <v>351241.29000000004</v>
      </c>
      <c r="W33" s="185">
        <f t="shared" si="41"/>
        <v>985739.91</v>
      </c>
      <c r="X33" s="401" t="str">
        <f t="shared" si="26"/>
        <v xml:space="preserve"> </v>
      </c>
      <c r="Y33" s="185">
        <f t="shared" si="42"/>
        <v>979126.7</v>
      </c>
      <c r="Z33" s="393">
        <f t="shared" si="9"/>
        <v>0.10625</v>
      </c>
      <c r="AA33" s="185">
        <f t="shared" si="10"/>
        <v>9113</v>
      </c>
      <c r="AB33" s="185">
        <f t="shared" si="11"/>
        <v>443.64999999999964</v>
      </c>
      <c r="AC33" s="185">
        <f t="shared" si="12"/>
        <v>8669.35</v>
      </c>
      <c r="AD33" s="185">
        <f t="shared" si="13"/>
        <v>134.16999999999999</v>
      </c>
      <c r="AE33" s="185">
        <f t="shared" si="14"/>
        <v>188.55</v>
      </c>
      <c r="AF33" s="185">
        <f t="shared" si="15"/>
        <v>9435.7199999999993</v>
      </c>
      <c r="AG33" s="185">
        <f t="shared" si="43"/>
        <v>7035.0400000000027</v>
      </c>
      <c r="AH33" s="185">
        <f t="shared" si="44"/>
        <v>147885.96</v>
      </c>
      <c r="AI33" s="411">
        <f t="shared" si="27"/>
        <v>166726.56000000003</v>
      </c>
      <c r="AJ33" s="411">
        <f t="shared" si="16"/>
        <v>7056.8600000001024</v>
      </c>
      <c r="AK33" s="411"/>
      <c r="AL33" s="185">
        <f t="shared" si="45"/>
        <v>978683.04999999993</v>
      </c>
      <c r="AM33" s="317">
        <f t="shared" si="28"/>
        <v>1</v>
      </c>
      <c r="AN33" s="14">
        <f t="shared" si="18"/>
        <v>19533.41</v>
      </c>
      <c r="AO33" s="14">
        <f t="shared" si="29"/>
        <v>985739.91</v>
      </c>
      <c r="AP33" s="14">
        <f t="shared" si="19"/>
        <v>9113</v>
      </c>
      <c r="AS33" s="14">
        <f t="shared" si="20"/>
        <v>19533.41</v>
      </c>
      <c r="AT33" s="14">
        <f t="shared" si="30"/>
        <v>351601.37999999989</v>
      </c>
      <c r="AU33" s="185">
        <f t="shared" si="31"/>
        <v>2572.1450114696818</v>
      </c>
      <c r="AV33" s="185">
        <f t="shared" si="32"/>
        <v>45330.149599342432</v>
      </c>
    </row>
    <row r="34" spans="1:48">
      <c r="A34" s="401" t="str">
        <f t="shared" si="33"/>
        <v xml:space="preserve"> </v>
      </c>
      <c r="B34" s="185">
        <f t="shared" si="21"/>
        <v>0</v>
      </c>
      <c r="C34" s="14">
        <f t="shared" si="3"/>
        <v>0</v>
      </c>
      <c r="D34" s="14">
        <f t="shared" si="34"/>
        <v>0</v>
      </c>
      <c r="E34" s="14">
        <f t="shared" si="4"/>
        <v>0</v>
      </c>
      <c r="I34" s="185">
        <f t="shared" si="35"/>
        <v>0</v>
      </c>
      <c r="J34" s="185">
        <f t="shared" si="36"/>
        <v>0</v>
      </c>
      <c r="K34" s="185">
        <f t="shared" si="37"/>
        <v>0</v>
      </c>
      <c r="L34" s="317">
        <f t="shared" si="5"/>
        <v>1</v>
      </c>
      <c r="M34" s="317">
        <f t="shared" si="22"/>
        <v>18</v>
      </c>
      <c r="N34" s="185">
        <f t="shared" si="23"/>
        <v>985739.91</v>
      </c>
      <c r="O34" s="185">
        <f t="shared" si="24"/>
        <v>19533.41</v>
      </c>
      <c r="P34" s="185">
        <f t="shared" si="38"/>
        <v>23.970000000001164</v>
      </c>
      <c r="Q34" s="185">
        <f t="shared" si="25"/>
        <v>19509.439999999999</v>
      </c>
      <c r="R34" s="185">
        <f t="shared" si="6"/>
        <v>134.16999999999999</v>
      </c>
      <c r="S34" s="185">
        <f t="shared" si="7"/>
        <v>188.55</v>
      </c>
      <c r="T34" s="185">
        <f t="shared" si="8"/>
        <v>19856.129999999997</v>
      </c>
      <c r="U34" s="185">
        <f t="shared" si="39"/>
        <v>384.05999999999767</v>
      </c>
      <c r="V34" s="185">
        <f t="shared" si="40"/>
        <v>370750.73000000004</v>
      </c>
      <c r="W34" s="185">
        <f t="shared" si="41"/>
        <v>985715.94000000006</v>
      </c>
      <c r="X34" s="401" t="str">
        <f t="shared" si="26"/>
        <v xml:space="preserve"> </v>
      </c>
      <c r="Y34" s="185">
        <f t="shared" si="42"/>
        <v>978683.04999999993</v>
      </c>
      <c r="Z34" s="393">
        <f t="shared" si="9"/>
        <v>0.10625</v>
      </c>
      <c r="AA34" s="185">
        <f t="shared" si="10"/>
        <v>9113</v>
      </c>
      <c r="AB34" s="185">
        <f t="shared" si="11"/>
        <v>447.57999999999993</v>
      </c>
      <c r="AC34" s="185">
        <f t="shared" si="12"/>
        <v>8665.42</v>
      </c>
      <c r="AD34" s="185">
        <f t="shared" si="13"/>
        <v>134.16999999999999</v>
      </c>
      <c r="AE34" s="185">
        <f t="shared" si="14"/>
        <v>188.55</v>
      </c>
      <c r="AF34" s="185">
        <f t="shared" si="15"/>
        <v>9435.7199999999993</v>
      </c>
      <c r="AG34" s="185">
        <f t="shared" si="43"/>
        <v>7482.6200000000026</v>
      </c>
      <c r="AH34" s="185">
        <f t="shared" si="44"/>
        <v>156551.38</v>
      </c>
      <c r="AI34" s="411">
        <f t="shared" si="27"/>
        <v>177146.97000000003</v>
      </c>
      <c r="AJ34" s="411">
        <f t="shared" si="16"/>
        <v>7480.4700000000885</v>
      </c>
      <c r="AK34" s="411"/>
      <c r="AL34" s="185">
        <f t="shared" si="45"/>
        <v>978235.47</v>
      </c>
      <c r="AM34" s="317">
        <f t="shared" si="28"/>
        <v>1</v>
      </c>
      <c r="AN34" s="14">
        <f t="shared" si="18"/>
        <v>19533.41</v>
      </c>
      <c r="AO34" s="14">
        <f t="shared" si="29"/>
        <v>985715.94</v>
      </c>
      <c r="AP34" s="14">
        <f t="shared" si="19"/>
        <v>9113</v>
      </c>
      <c r="AS34" s="14">
        <f t="shared" si="20"/>
        <v>19533.41</v>
      </c>
      <c r="AT34" s="14">
        <f t="shared" si="30"/>
        <v>371134.78999999986</v>
      </c>
      <c r="AU34" s="185">
        <f t="shared" si="31"/>
        <v>2578.5753739983561</v>
      </c>
      <c r="AV34" s="185">
        <f t="shared" si="32"/>
        <v>47908.724973340788</v>
      </c>
    </row>
    <row r="35" spans="1:48">
      <c r="A35" s="401" t="str">
        <f t="shared" si="33"/>
        <v xml:space="preserve"> </v>
      </c>
      <c r="B35" s="185">
        <f t="shared" si="21"/>
        <v>0</v>
      </c>
      <c r="C35" s="14">
        <f t="shared" si="3"/>
        <v>0</v>
      </c>
      <c r="D35" s="14">
        <f t="shared" si="34"/>
        <v>0</v>
      </c>
      <c r="E35" s="14">
        <f t="shared" si="4"/>
        <v>0</v>
      </c>
      <c r="I35" s="185">
        <f t="shared" si="35"/>
        <v>0</v>
      </c>
      <c r="J35" s="185">
        <f t="shared" si="36"/>
        <v>0</v>
      </c>
      <c r="K35" s="185">
        <f t="shared" si="37"/>
        <v>0</v>
      </c>
      <c r="L35" s="317">
        <f t="shared" si="5"/>
        <v>1</v>
      </c>
      <c r="M35" s="317">
        <f t="shared" si="22"/>
        <v>19</v>
      </c>
      <c r="N35" s="185">
        <f t="shared" si="23"/>
        <v>985715.94000000006</v>
      </c>
      <c r="O35" s="185">
        <f t="shared" si="24"/>
        <v>19533.41</v>
      </c>
      <c r="P35" s="185">
        <f t="shared" si="38"/>
        <v>24.450000000000728</v>
      </c>
      <c r="Q35" s="185">
        <f t="shared" si="25"/>
        <v>19508.96</v>
      </c>
      <c r="R35" s="185">
        <f t="shared" si="6"/>
        <v>134.16999999999999</v>
      </c>
      <c r="S35" s="185">
        <f t="shared" si="7"/>
        <v>188.55</v>
      </c>
      <c r="T35" s="185">
        <f t="shared" si="8"/>
        <v>19856.129999999997</v>
      </c>
      <c r="U35" s="185">
        <f t="shared" si="39"/>
        <v>408.5099999999984</v>
      </c>
      <c r="V35" s="185">
        <f t="shared" si="40"/>
        <v>390259.69000000006</v>
      </c>
      <c r="W35" s="185">
        <f t="shared" si="41"/>
        <v>985691.49000000011</v>
      </c>
      <c r="X35" s="401" t="str">
        <f t="shared" si="26"/>
        <v xml:space="preserve"> </v>
      </c>
      <c r="Y35" s="185">
        <f t="shared" si="42"/>
        <v>978235.47</v>
      </c>
      <c r="Z35" s="393">
        <f t="shared" si="9"/>
        <v>0.10625</v>
      </c>
      <c r="AA35" s="185">
        <f t="shared" si="10"/>
        <v>9113</v>
      </c>
      <c r="AB35" s="185">
        <f t="shared" si="11"/>
        <v>451.54000000000087</v>
      </c>
      <c r="AC35" s="185">
        <f t="shared" si="12"/>
        <v>8661.4599999999991</v>
      </c>
      <c r="AD35" s="185">
        <f t="shared" si="13"/>
        <v>134.16999999999999</v>
      </c>
      <c r="AE35" s="185">
        <f t="shared" si="14"/>
        <v>188.55</v>
      </c>
      <c r="AF35" s="185">
        <f t="shared" si="15"/>
        <v>9435.7199999999993</v>
      </c>
      <c r="AG35" s="185">
        <f t="shared" si="43"/>
        <v>7934.1600000000035</v>
      </c>
      <c r="AH35" s="185">
        <f t="shared" si="44"/>
        <v>165212.84</v>
      </c>
      <c r="AI35" s="411">
        <f t="shared" si="27"/>
        <v>187567.38000000003</v>
      </c>
      <c r="AJ35" s="411">
        <f t="shared" si="16"/>
        <v>7907.5600000001723</v>
      </c>
      <c r="AK35" s="411"/>
      <c r="AL35" s="185">
        <f t="shared" si="45"/>
        <v>977783.92999999993</v>
      </c>
      <c r="AM35" s="317">
        <f t="shared" si="28"/>
        <v>1</v>
      </c>
      <c r="AN35" s="14">
        <f t="shared" si="18"/>
        <v>19533.41</v>
      </c>
      <c r="AO35" s="14">
        <f t="shared" si="29"/>
        <v>985691.49</v>
      </c>
      <c r="AP35" s="14">
        <f t="shared" si="19"/>
        <v>9113</v>
      </c>
      <c r="AS35" s="14">
        <f t="shared" si="20"/>
        <v>19533.41</v>
      </c>
      <c r="AT35" s="14">
        <f t="shared" si="30"/>
        <v>390668.19999999984</v>
      </c>
      <c r="AU35" s="185">
        <f t="shared" si="31"/>
        <v>2585.0218124333519</v>
      </c>
      <c r="AV35" s="185">
        <f t="shared" si="32"/>
        <v>50493.746785774143</v>
      </c>
    </row>
    <row r="36" spans="1:48">
      <c r="A36" s="401" t="str">
        <f t="shared" si="33"/>
        <v xml:space="preserve"> </v>
      </c>
      <c r="B36" s="185">
        <f t="shared" si="21"/>
        <v>0</v>
      </c>
      <c r="C36" s="14">
        <f t="shared" si="3"/>
        <v>0</v>
      </c>
      <c r="D36" s="14">
        <f t="shared" si="34"/>
        <v>0</v>
      </c>
      <c r="E36" s="14">
        <f t="shared" si="4"/>
        <v>0</v>
      </c>
      <c r="I36" s="185">
        <f t="shared" si="35"/>
        <v>0</v>
      </c>
      <c r="J36" s="185">
        <f t="shared" si="36"/>
        <v>0</v>
      </c>
      <c r="K36" s="185">
        <f t="shared" si="37"/>
        <v>0</v>
      </c>
      <c r="L36" s="317">
        <f t="shared" si="5"/>
        <v>1</v>
      </c>
      <c r="M36" s="317">
        <f t="shared" si="22"/>
        <v>20</v>
      </c>
      <c r="N36" s="185">
        <f t="shared" si="23"/>
        <v>985691.49000000011</v>
      </c>
      <c r="O36" s="185">
        <f t="shared" si="24"/>
        <v>19533.41</v>
      </c>
      <c r="P36" s="185">
        <f t="shared" si="38"/>
        <v>24.930000000000291</v>
      </c>
      <c r="Q36" s="185">
        <f t="shared" si="25"/>
        <v>19508.48</v>
      </c>
      <c r="R36" s="185">
        <f t="shared" si="6"/>
        <v>134.16999999999999</v>
      </c>
      <c r="S36" s="185">
        <f t="shared" si="7"/>
        <v>188.55</v>
      </c>
      <c r="T36" s="185">
        <f t="shared" si="8"/>
        <v>19856.129999999997</v>
      </c>
      <c r="U36" s="185">
        <f t="shared" si="39"/>
        <v>433.43999999999869</v>
      </c>
      <c r="V36" s="185">
        <f t="shared" si="40"/>
        <v>409768.17000000004</v>
      </c>
      <c r="W36" s="185">
        <f t="shared" si="41"/>
        <v>985666.56000000006</v>
      </c>
      <c r="X36" s="401" t="str">
        <f t="shared" si="26"/>
        <v xml:space="preserve"> </v>
      </c>
      <c r="Y36" s="185">
        <f t="shared" si="42"/>
        <v>977783.92999999993</v>
      </c>
      <c r="Z36" s="393">
        <f t="shared" si="9"/>
        <v>0.10625</v>
      </c>
      <c r="AA36" s="185">
        <f t="shared" si="10"/>
        <v>9113</v>
      </c>
      <c r="AB36" s="185">
        <f t="shared" si="11"/>
        <v>455.54000000000087</v>
      </c>
      <c r="AC36" s="185">
        <f t="shared" si="12"/>
        <v>8657.4599999999991</v>
      </c>
      <c r="AD36" s="185">
        <f t="shared" si="13"/>
        <v>134.16999999999999</v>
      </c>
      <c r="AE36" s="185">
        <f t="shared" si="14"/>
        <v>188.55</v>
      </c>
      <c r="AF36" s="185">
        <f t="shared" si="15"/>
        <v>9435.7199999999993</v>
      </c>
      <c r="AG36" s="185">
        <f t="shared" si="43"/>
        <v>8389.7000000000044</v>
      </c>
      <c r="AH36" s="185">
        <f t="shared" si="44"/>
        <v>173870.3</v>
      </c>
      <c r="AI36" s="411">
        <f t="shared" si="27"/>
        <v>197987.79000000004</v>
      </c>
      <c r="AJ36" s="411">
        <f t="shared" si="16"/>
        <v>8338.1700000001583</v>
      </c>
      <c r="AK36" s="411"/>
      <c r="AL36" s="185">
        <f t="shared" si="45"/>
        <v>977328.3899999999</v>
      </c>
      <c r="AM36" s="317">
        <f t="shared" si="28"/>
        <v>1</v>
      </c>
      <c r="AN36" s="14">
        <f t="shared" si="18"/>
        <v>19533.41</v>
      </c>
      <c r="AO36" s="14">
        <f t="shared" si="29"/>
        <v>985666.56000000006</v>
      </c>
      <c r="AP36" s="14">
        <f t="shared" si="19"/>
        <v>9113</v>
      </c>
      <c r="AS36" s="14">
        <f t="shared" si="20"/>
        <v>19533.41</v>
      </c>
      <c r="AT36" s="14">
        <f t="shared" si="30"/>
        <v>410201.60999999981</v>
      </c>
      <c r="AU36" s="185">
        <f t="shared" si="31"/>
        <v>2591.4843669644351</v>
      </c>
      <c r="AV36" s="185">
        <f t="shared" si="32"/>
        <v>53085.231152738575</v>
      </c>
    </row>
    <row r="37" spans="1:48">
      <c r="A37" s="401" t="str">
        <f t="shared" si="33"/>
        <v xml:space="preserve"> </v>
      </c>
      <c r="B37" s="185">
        <f t="shared" si="21"/>
        <v>0</v>
      </c>
      <c r="C37" s="14">
        <f t="shared" si="3"/>
        <v>0</v>
      </c>
      <c r="D37" s="14">
        <f t="shared" si="34"/>
        <v>0</v>
      </c>
      <c r="E37" s="14">
        <f t="shared" si="4"/>
        <v>0</v>
      </c>
      <c r="I37" s="185">
        <f t="shared" si="35"/>
        <v>0</v>
      </c>
      <c r="J37" s="185">
        <f t="shared" si="36"/>
        <v>0</v>
      </c>
      <c r="K37" s="185">
        <f t="shared" si="37"/>
        <v>0</v>
      </c>
      <c r="L37" s="317">
        <f t="shared" si="5"/>
        <v>1</v>
      </c>
      <c r="M37" s="317">
        <f t="shared" si="22"/>
        <v>21</v>
      </c>
      <c r="N37" s="185">
        <f t="shared" si="23"/>
        <v>985666.56000000006</v>
      </c>
      <c r="O37" s="185">
        <f t="shared" si="24"/>
        <v>19533.41</v>
      </c>
      <c r="P37" s="185">
        <f t="shared" si="38"/>
        <v>25.430000000000291</v>
      </c>
      <c r="Q37" s="185">
        <f t="shared" si="25"/>
        <v>19507.98</v>
      </c>
      <c r="R37" s="185">
        <f t="shared" si="6"/>
        <v>134.16999999999999</v>
      </c>
      <c r="S37" s="185">
        <f t="shared" si="7"/>
        <v>188.55</v>
      </c>
      <c r="T37" s="185">
        <f t="shared" si="8"/>
        <v>19856.129999999997</v>
      </c>
      <c r="U37" s="185">
        <f t="shared" si="39"/>
        <v>458.86999999999898</v>
      </c>
      <c r="V37" s="185">
        <f t="shared" si="40"/>
        <v>429276.15</v>
      </c>
      <c r="W37" s="185">
        <f t="shared" si="41"/>
        <v>985641.13</v>
      </c>
      <c r="X37" s="401" t="str">
        <f t="shared" si="26"/>
        <v xml:space="preserve"> </v>
      </c>
      <c r="Y37" s="185">
        <f t="shared" si="42"/>
        <v>977328.3899999999</v>
      </c>
      <c r="Z37" s="393">
        <f t="shared" si="9"/>
        <v>0.10625</v>
      </c>
      <c r="AA37" s="185">
        <f t="shared" si="10"/>
        <v>9113</v>
      </c>
      <c r="AB37" s="185">
        <f t="shared" si="11"/>
        <v>459.56999999999971</v>
      </c>
      <c r="AC37" s="185">
        <f t="shared" si="12"/>
        <v>8653.43</v>
      </c>
      <c r="AD37" s="185">
        <f t="shared" si="13"/>
        <v>134.16999999999999</v>
      </c>
      <c r="AE37" s="185">
        <f t="shared" si="14"/>
        <v>188.55</v>
      </c>
      <c r="AF37" s="185">
        <f t="shared" si="15"/>
        <v>9435.7199999999993</v>
      </c>
      <c r="AG37" s="185">
        <f t="shared" si="43"/>
        <v>8849.2700000000041</v>
      </c>
      <c r="AH37" s="185">
        <f t="shared" si="44"/>
        <v>182523.72999999998</v>
      </c>
      <c r="AI37" s="411">
        <f t="shared" si="27"/>
        <v>208408.20000000004</v>
      </c>
      <c r="AJ37" s="411">
        <f t="shared" si="16"/>
        <v>8772.3100000000559</v>
      </c>
      <c r="AK37" s="411"/>
      <c r="AL37" s="185">
        <f t="shared" si="45"/>
        <v>976868.82</v>
      </c>
      <c r="AM37" s="317">
        <f t="shared" si="28"/>
        <v>1</v>
      </c>
      <c r="AN37" s="14">
        <f t="shared" si="18"/>
        <v>19533.41</v>
      </c>
      <c r="AO37" s="14">
        <f t="shared" si="29"/>
        <v>985641.13</v>
      </c>
      <c r="AP37" s="14">
        <f t="shared" si="19"/>
        <v>9113</v>
      </c>
      <c r="AS37" s="14">
        <f t="shared" si="20"/>
        <v>19533.41</v>
      </c>
      <c r="AT37" s="14">
        <f t="shared" si="30"/>
        <v>429735.01999999979</v>
      </c>
      <c r="AU37" s="185">
        <f t="shared" si="31"/>
        <v>2597.9630778818464</v>
      </c>
      <c r="AV37" s="185">
        <f t="shared" si="32"/>
        <v>55683.194230620422</v>
      </c>
    </row>
    <row r="38" spans="1:48">
      <c r="A38" s="401" t="str">
        <f t="shared" si="33"/>
        <v xml:space="preserve"> </v>
      </c>
      <c r="B38" s="185">
        <f t="shared" si="21"/>
        <v>0</v>
      </c>
      <c r="C38" s="14">
        <f t="shared" si="3"/>
        <v>0</v>
      </c>
      <c r="D38" s="14">
        <f t="shared" si="34"/>
        <v>0</v>
      </c>
      <c r="E38" s="14">
        <f t="shared" si="4"/>
        <v>0</v>
      </c>
      <c r="I38" s="185">
        <f t="shared" si="35"/>
        <v>0</v>
      </c>
      <c r="J38" s="185">
        <f t="shared" si="36"/>
        <v>0</v>
      </c>
      <c r="K38" s="185">
        <f t="shared" si="37"/>
        <v>0</v>
      </c>
      <c r="L38" s="317">
        <f t="shared" si="5"/>
        <v>1</v>
      </c>
      <c r="M38" s="317">
        <f t="shared" si="22"/>
        <v>22</v>
      </c>
      <c r="N38" s="185">
        <f t="shared" si="23"/>
        <v>985641.13</v>
      </c>
      <c r="O38" s="185">
        <f t="shared" si="24"/>
        <v>19533.41</v>
      </c>
      <c r="P38" s="185">
        <f t="shared" si="38"/>
        <v>25.930000000000291</v>
      </c>
      <c r="Q38" s="185">
        <f t="shared" si="25"/>
        <v>19507.48</v>
      </c>
      <c r="R38" s="185">
        <f t="shared" si="6"/>
        <v>134.16999999999999</v>
      </c>
      <c r="S38" s="185">
        <f t="shared" si="7"/>
        <v>188.55</v>
      </c>
      <c r="T38" s="185">
        <f t="shared" si="8"/>
        <v>19856.129999999997</v>
      </c>
      <c r="U38" s="185">
        <f t="shared" si="39"/>
        <v>484.79999999999927</v>
      </c>
      <c r="V38" s="185">
        <f t="shared" si="40"/>
        <v>448783.63</v>
      </c>
      <c r="W38" s="185">
        <f t="shared" si="41"/>
        <v>985615.2</v>
      </c>
      <c r="X38" s="401" t="str">
        <f t="shared" si="26"/>
        <v xml:space="preserve"> </v>
      </c>
      <c r="Y38" s="185">
        <f t="shared" si="42"/>
        <v>976868.82</v>
      </c>
      <c r="Z38" s="393">
        <f t="shared" si="9"/>
        <v>0.10625</v>
      </c>
      <c r="AA38" s="185">
        <f t="shared" si="10"/>
        <v>9113</v>
      </c>
      <c r="AB38" s="185">
        <f t="shared" si="11"/>
        <v>463.63999999999942</v>
      </c>
      <c r="AC38" s="185">
        <f t="shared" si="12"/>
        <v>8649.36</v>
      </c>
      <c r="AD38" s="185">
        <f t="shared" si="13"/>
        <v>134.16999999999999</v>
      </c>
      <c r="AE38" s="185">
        <f t="shared" si="14"/>
        <v>188.55</v>
      </c>
      <c r="AF38" s="185">
        <f t="shared" si="15"/>
        <v>9435.7199999999993</v>
      </c>
      <c r="AG38" s="185">
        <f t="shared" si="43"/>
        <v>9312.9100000000035</v>
      </c>
      <c r="AH38" s="185">
        <f t="shared" si="44"/>
        <v>191173.08999999997</v>
      </c>
      <c r="AI38" s="411">
        <f t="shared" si="27"/>
        <v>218828.61000000004</v>
      </c>
      <c r="AJ38" s="411">
        <f t="shared" si="16"/>
        <v>9210.0200000000186</v>
      </c>
      <c r="AK38" s="411"/>
      <c r="AL38" s="185">
        <f t="shared" si="45"/>
        <v>976405.17999999993</v>
      </c>
      <c r="AM38" s="317">
        <f t="shared" si="28"/>
        <v>1</v>
      </c>
      <c r="AN38" s="14">
        <f t="shared" si="18"/>
        <v>19533.41</v>
      </c>
      <c r="AO38" s="14">
        <f t="shared" si="29"/>
        <v>985615.2</v>
      </c>
      <c r="AP38" s="14">
        <f t="shared" si="19"/>
        <v>9113</v>
      </c>
      <c r="AS38" s="14">
        <f t="shared" si="20"/>
        <v>19533.41</v>
      </c>
      <c r="AT38" s="14">
        <f t="shared" si="30"/>
        <v>449268.42999999976</v>
      </c>
      <c r="AU38" s="185">
        <f t="shared" si="31"/>
        <v>2604.457985576551</v>
      </c>
      <c r="AV38" s="185">
        <f t="shared" si="32"/>
        <v>58287.65221619697</v>
      </c>
    </row>
    <row r="39" spans="1:48" ht="15.75" thickBot="1">
      <c r="A39" s="404" t="str">
        <f t="shared" si="33"/>
        <v xml:space="preserve"> </v>
      </c>
      <c r="B39" s="237">
        <f t="shared" si="21"/>
        <v>0</v>
      </c>
      <c r="C39" s="21">
        <f t="shared" si="3"/>
        <v>0</v>
      </c>
      <c r="D39" s="21">
        <f t="shared" si="34"/>
        <v>0</v>
      </c>
      <c r="E39" s="21">
        <f t="shared" si="4"/>
        <v>0</v>
      </c>
      <c r="F39" s="21"/>
      <c r="G39" s="21"/>
      <c r="H39" s="21"/>
      <c r="I39" s="237">
        <f t="shared" si="35"/>
        <v>0</v>
      </c>
      <c r="J39" s="237">
        <f t="shared" si="36"/>
        <v>0</v>
      </c>
      <c r="K39" s="237">
        <f t="shared" si="37"/>
        <v>0</v>
      </c>
      <c r="L39" s="318">
        <f t="shared" si="5"/>
        <v>1</v>
      </c>
      <c r="M39" s="318">
        <f t="shared" si="22"/>
        <v>23</v>
      </c>
      <c r="N39" s="237">
        <f t="shared" si="23"/>
        <v>985615.2</v>
      </c>
      <c r="O39" s="237">
        <f t="shared" si="24"/>
        <v>19533.41</v>
      </c>
      <c r="P39" s="237">
        <f t="shared" si="38"/>
        <v>26.43999999999869</v>
      </c>
      <c r="Q39" s="237">
        <f t="shared" si="25"/>
        <v>19506.97</v>
      </c>
      <c r="R39" s="237">
        <f t="shared" si="6"/>
        <v>134.16999999999999</v>
      </c>
      <c r="S39" s="237">
        <f t="shared" si="7"/>
        <v>188.55</v>
      </c>
      <c r="T39" s="237">
        <f t="shared" si="8"/>
        <v>19856.129999999997</v>
      </c>
      <c r="U39" s="237">
        <f t="shared" si="39"/>
        <v>511.23999999999796</v>
      </c>
      <c r="V39" s="237">
        <f t="shared" si="40"/>
        <v>468290.6</v>
      </c>
      <c r="W39" s="237">
        <f t="shared" si="41"/>
        <v>985588.76</v>
      </c>
      <c r="X39" s="404" t="str">
        <f t="shared" si="26"/>
        <v xml:space="preserve"> </v>
      </c>
      <c r="Y39" s="237">
        <f t="shared" si="42"/>
        <v>976405.17999999993</v>
      </c>
      <c r="Z39" s="394">
        <f t="shared" si="9"/>
        <v>0.10625</v>
      </c>
      <c r="AA39" s="237">
        <f t="shared" si="10"/>
        <v>9113</v>
      </c>
      <c r="AB39" s="237">
        <f t="shared" si="11"/>
        <v>467.75</v>
      </c>
      <c r="AC39" s="237">
        <f t="shared" si="12"/>
        <v>8645.25</v>
      </c>
      <c r="AD39" s="237">
        <f t="shared" si="13"/>
        <v>134.16999999999999</v>
      </c>
      <c r="AE39" s="237">
        <f t="shared" si="14"/>
        <v>188.55</v>
      </c>
      <c r="AF39" s="237">
        <f t="shared" si="15"/>
        <v>9435.7199999999993</v>
      </c>
      <c r="AG39" s="237">
        <f t="shared" si="43"/>
        <v>9780.6600000000035</v>
      </c>
      <c r="AH39" s="237">
        <f t="shared" si="44"/>
        <v>199818.33999999997</v>
      </c>
      <c r="AI39" s="412">
        <f t="shared" si="27"/>
        <v>229249.02000000005</v>
      </c>
      <c r="AJ39" s="412">
        <f t="shared" si="16"/>
        <v>9651.3300000000745</v>
      </c>
      <c r="AK39" s="412"/>
      <c r="AL39" s="237">
        <f t="shared" si="45"/>
        <v>975937.42999999993</v>
      </c>
      <c r="AM39" s="318">
        <f t="shared" si="28"/>
        <v>1</v>
      </c>
      <c r="AN39" s="21">
        <f t="shared" si="18"/>
        <v>19533.41</v>
      </c>
      <c r="AO39" s="21">
        <f t="shared" si="29"/>
        <v>985588.76</v>
      </c>
      <c r="AP39" s="21">
        <f t="shared" si="19"/>
        <v>9113</v>
      </c>
      <c r="AQ39" s="21"/>
      <c r="AR39" s="23"/>
      <c r="AS39" s="21">
        <f t="shared" si="20"/>
        <v>19533.41</v>
      </c>
      <c r="AT39" s="21">
        <f t="shared" si="30"/>
        <v>468801.83999999973</v>
      </c>
      <c r="AU39" s="237">
        <f t="shared" si="31"/>
        <v>2610.9691305404926</v>
      </c>
      <c r="AV39" s="237">
        <f t="shared" si="32"/>
        <v>60898.621346737462</v>
      </c>
    </row>
    <row r="40" spans="1:48">
      <c r="A40" s="401" t="str">
        <f t="shared" si="33"/>
        <v xml:space="preserve"> </v>
      </c>
      <c r="B40" s="185">
        <f t="shared" si="21"/>
        <v>0</v>
      </c>
      <c r="C40" s="14">
        <f t="shared" si="3"/>
        <v>0</v>
      </c>
      <c r="D40" s="14">
        <f t="shared" si="34"/>
        <v>0</v>
      </c>
      <c r="E40" s="14">
        <f t="shared" si="4"/>
        <v>0</v>
      </c>
      <c r="I40" s="185">
        <f t="shared" si="35"/>
        <v>0</v>
      </c>
      <c r="J40" s="185">
        <f t="shared" si="36"/>
        <v>0</v>
      </c>
      <c r="K40" s="185">
        <f t="shared" si="37"/>
        <v>0</v>
      </c>
      <c r="L40" s="317">
        <f t="shared" si="5"/>
        <v>2</v>
      </c>
      <c r="M40" s="317">
        <f t="shared" si="22"/>
        <v>24</v>
      </c>
      <c r="N40" s="185">
        <f t="shared" si="23"/>
        <v>985588.76</v>
      </c>
      <c r="O40" s="185">
        <f t="shared" si="24"/>
        <v>19533.41</v>
      </c>
      <c r="P40" s="185">
        <f t="shared" si="38"/>
        <v>26.970000000001164</v>
      </c>
      <c r="Q40" s="185">
        <f t="shared" si="25"/>
        <v>19506.439999999999</v>
      </c>
      <c r="R40" s="185">
        <f t="shared" si="6"/>
        <v>134.16999999999999</v>
      </c>
      <c r="S40" s="185">
        <f t="shared" si="7"/>
        <v>188.55</v>
      </c>
      <c r="T40" s="185">
        <f t="shared" si="8"/>
        <v>19856.129999999997</v>
      </c>
      <c r="U40" s="185">
        <f t="shared" si="39"/>
        <v>538.20999999999913</v>
      </c>
      <c r="V40" s="185">
        <f t="shared" si="40"/>
        <v>487797.04</v>
      </c>
      <c r="W40" s="185">
        <f t="shared" si="41"/>
        <v>985561.79</v>
      </c>
      <c r="X40" s="401" t="str">
        <f t="shared" si="26"/>
        <v xml:space="preserve"> </v>
      </c>
      <c r="Y40" s="185">
        <f t="shared" si="42"/>
        <v>975937.42999999993</v>
      </c>
      <c r="Z40" s="393">
        <f t="shared" si="9"/>
        <v>0.10625</v>
      </c>
      <c r="AA40" s="185">
        <f t="shared" si="10"/>
        <v>9113</v>
      </c>
      <c r="AB40" s="185">
        <f t="shared" si="11"/>
        <v>471.88999999999942</v>
      </c>
      <c r="AC40" s="185">
        <f t="shared" si="12"/>
        <v>8641.11</v>
      </c>
      <c r="AD40" s="185">
        <f t="shared" si="13"/>
        <v>134.16999999999999</v>
      </c>
      <c r="AE40" s="185">
        <f t="shared" si="14"/>
        <v>188.55</v>
      </c>
      <c r="AF40" s="185">
        <f t="shared" si="15"/>
        <v>9435.7199999999993</v>
      </c>
      <c r="AG40" s="185">
        <f t="shared" si="43"/>
        <v>10252.550000000003</v>
      </c>
      <c r="AH40" s="185">
        <f t="shared" si="44"/>
        <v>208459.44999999995</v>
      </c>
      <c r="AI40" s="411">
        <f t="shared" si="27"/>
        <v>239669.43000000005</v>
      </c>
      <c r="AJ40" s="411">
        <f t="shared" si="16"/>
        <v>10096.250000000116</v>
      </c>
      <c r="AK40" s="411"/>
      <c r="AL40" s="185">
        <f t="shared" si="45"/>
        <v>975465.53999999992</v>
      </c>
      <c r="AM40" s="317">
        <f t="shared" si="28"/>
        <v>2</v>
      </c>
      <c r="AN40" s="14">
        <f t="shared" si="18"/>
        <v>19533.41</v>
      </c>
      <c r="AO40" s="14">
        <f t="shared" si="29"/>
        <v>985561.79</v>
      </c>
      <c r="AP40" s="14">
        <f t="shared" si="19"/>
        <v>9113</v>
      </c>
      <c r="AS40" s="14">
        <f t="shared" si="20"/>
        <v>19533.41</v>
      </c>
      <c r="AT40" s="14">
        <f t="shared" si="30"/>
        <v>488335.24999999971</v>
      </c>
      <c r="AU40" s="185">
        <f t="shared" si="31"/>
        <v>2617.4965533668437</v>
      </c>
      <c r="AV40" s="185">
        <f t="shared" si="32"/>
        <v>63516.117900104306</v>
      </c>
    </row>
    <row r="41" spans="1:48">
      <c r="A41" s="401" t="str">
        <f t="shared" si="33"/>
        <v xml:space="preserve"> </v>
      </c>
      <c r="B41" s="185">
        <f t="shared" si="21"/>
        <v>0</v>
      </c>
      <c r="C41" s="14">
        <f t="shared" si="3"/>
        <v>0</v>
      </c>
      <c r="D41" s="14">
        <f t="shared" si="34"/>
        <v>0</v>
      </c>
      <c r="E41" s="14">
        <f t="shared" si="4"/>
        <v>0</v>
      </c>
      <c r="I41" s="185">
        <f t="shared" si="35"/>
        <v>0</v>
      </c>
      <c r="J41" s="185">
        <f t="shared" si="36"/>
        <v>0</v>
      </c>
      <c r="K41" s="185">
        <f t="shared" si="37"/>
        <v>0</v>
      </c>
      <c r="L41" s="317">
        <f t="shared" si="5"/>
        <v>2</v>
      </c>
      <c r="M41" s="317">
        <f t="shared" si="22"/>
        <v>25</v>
      </c>
      <c r="N41" s="185">
        <f t="shared" si="23"/>
        <v>985561.79</v>
      </c>
      <c r="O41" s="185">
        <f t="shared" si="24"/>
        <v>19533.41</v>
      </c>
      <c r="P41" s="185">
        <f t="shared" si="38"/>
        <v>27.5</v>
      </c>
      <c r="Q41" s="185">
        <f t="shared" si="25"/>
        <v>19505.91</v>
      </c>
      <c r="R41" s="185">
        <f t="shared" si="6"/>
        <v>134.16999999999999</v>
      </c>
      <c r="S41" s="185">
        <f t="shared" si="7"/>
        <v>188.55</v>
      </c>
      <c r="T41" s="185">
        <f t="shared" si="8"/>
        <v>19856.129999999997</v>
      </c>
      <c r="U41" s="185">
        <f t="shared" si="39"/>
        <v>565.70999999999913</v>
      </c>
      <c r="V41" s="185">
        <f t="shared" si="40"/>
        <v>507302.94999999995</v>
      </c>
      <c r="W41" s="185">
        <f t="shared" si="41"/>
        <v>985534.29</v>
      </c>
      <c r="X41" s="401" t="str">
        <f t="shared" si="26"/>
        <v xml:space="preserve"> </v>
      </c>
      <c r="Y41" s="185">
        <f t="shared" si="42"/>
        <v>975465.53999999992</v>
      </c>
      <c r="Z41" s="393">
        <f t="shared" si="9"/>
        <v>0.10625</v>
      </c>
      <c r="AA41" s="185">
        <f t="shared" si="10"/>
        <v>9113</v>
      </c>
      <c r="AB41" s="185">
        <f t="shared" si="11"/>
        <v>476.06999999999971</v>
      </c>
      <c r="AC41" s="185">
        <f t="shared" si="12"/>
        <v>8636.93</v>
      </c>
      <c r="AD41" s="185">
        <f t="shared" si="13"/>
        <v>134.16999999999999</v>
      </c>
      <c r="AE41" s="185">
        <f t="shared" si="14"/>
        <v>188.55</v>
      </c>
      <c r="AF41" s="185">
        <f t="shared" si="15"/>
        <v>9435.7199999999993</v>
      </c>
      <c r="AG41" s="185">
        <f t="shared" si="43"/>
        <v>10728.620000000003</v>
      </c>
      <c r="AH41" s="185">
        <f t="shared" si="44"/>
        <v>217096.37999999995</v>
      </c>
      <c r="AI41" s="411">
        <f t="shared" si="27"/>
        <v>250089.84000000005</v>
      </c>
      <c r="AJ41" s="411">
        <f t="shared" si="16"/>
        <v>10544.820000000065</v>
      </c>
      <c r="AK41" s="411"/>
      <c r="AL41" s="185">
        <f t="shared" si="45"/>
        <v>974989.47</v>
      </c>
      <c r="AM41" s="317">
        <f t="shared" si="28"/>
        <v>2</v>
      </c>
      <c r="AN41" s="14">
        <f t="shared" si="18"/>
        <v>19533.41</v>
      </c>
      <c r="AO41" s="14">
        <f t="shared" si="29"/>
        <v>985534.29</v>
      </c>
      <c r="AP41" s="14">
        <f t="shared" si="19"/>
        <v>9113</v>
      </c>
      <c r="AS41" s="14">
        <f t="shared" si="20"/>
        <v>19533.41</v>
      </c>
      <c r="AT41" s="14">
        <f t="shared" si="30"/>
        <v>507868.65999999968</v>
      </c>
      <c r="AU41" s="185">
        <f t="shared" si="31"/>
        <v>2624.0402947502603</v>
      </c>
      <c r="AV41" s="185">
        <f t="shared" si="32"/>
        <v>66140.158194854564</v>
      </c>
    </row>
    <row r="42" spans="1:48">
      <c r="A42" s="401" t="str">
        <f t="shared" si="33"/>
        <v xml:space="preserve"> </v>
      </c>
      <c r="B42" s="185">
        <f t="shared" si="21"/>
        <v>0</v>
      </c>
      <c r="C42" s="14">
        <f t="shared" si="3"/>
        <v>0</v>
      </c>
      <c r="D42" s="14">
        <f t="shared" si="34"/>
        <v>0</v>
      </c>
      <c r="E42" s="14">
        <f t="shared" si="4"/>
        <v>0</v>
      </c>
      <c r="I42" s="185">
        <f t="shared" si="35"/>
        <v>0</v>
      </c>
      <c r="J42" s="185">
        <f t="shared" si="36"/>
        <v>0</v>
      </c>
      <c r="K42" s="185">
        <f t="shared" si="37"/>
        <v>0</v>
      </c>
      <c r="L42" s="317">
        <f t="shared" si="5"/>
        <v>2</v>
      </c>
      <c r="M42" s="317">
        <f t="shared" si="22"/>
        <v>26</v>
      </c>
      <c r="N42" s="185">
        <f t="shared" si="23"/>
        <v>985534.29</v>
      </c>
      <c r="O42" s="185">
        <f t="shared" si="24"/>
        <v>19533.41</v>
      </c>
      <c r="P42" s="185">
        <f t="shared" si="38"/>
        <v>28.040000000000873</v>
      </c>
      <c r="Q42" s="185">
        <f t="shared" si="25"/>
        <v>19505.37</v>
      </c>
      <c r="R42" s="185">
        <f t="shared" si="6"/>
        <v>134.16999999999999</v>
      </c>
      <c r="S42" s="185">
        <f t="shared" si="7"/>
        <v>188.55</v>
      </c>
      <c r="T42" s="185">
        <f t="shared" si="8"/>
        <v>19856.129999999997</v>
      </c>
      <c r="U42" s="185">
        <f t="shared" si="39"/>
        <v>593.75</v>
      </c>
      <c r="V42" s="185">
        <f t="shared" si="40"/>
        <v>526808.31999999995</v>
      </c>
      <c r="W42" s="185">
        <f t="shared" si="41"/>
        <v>985506.25</v>
      </c>
      <c r="X42" s="401" t="str">
        <f t="shared" si="26"/>
        <v xml:space="preserve"> </v>
      </c>
      <c r="Y42" s="185">
        <f t="shared" si="42"/>
        <v>974989.47</v>
      </c>
      <c r="Z42" s="393">
        <f t="shared" si="9"/>
        <v>0.10625</v>
      </c>
      <c r="AA42" s="185">
        <f t="shared" si="10"/>
        <v>9113</v>
      </c>
      <c r="AB42" s="185">
        <f t="shared" si="11"/>
        <v>480.28000000000065</v>
      </c>
      <c r="AC42" s="185">
        <f t="shared" si="12"/>
        <v>8632.7199999999993</v>
      </c>
      <c r="AD42" s="185">
        <f t="shared" si="13"/>
        <v>134.16999999999999</v>
      </c>
      <c r="AE42" s="185">
        <f t="shared" si="14"/>
        <v>188.55</v>
      </c>
      <c r="AF42" s="185">
        <f t="shared" si="15"/>
        <v>9435.7199999999993</v>
      </c>
      <c r="AG42" s="185">
        <f t="shared" si="43"/>
        <v>11208.900000000003</v>
      </c>
      <c r="AH42" s="185">
        <f t="shared" si="44"/>
        <v>225729.09999999995</v>
      </c>
      <c r="AI42" s="411">
        <f t="shared" si="27"/>
        <v>260510.25000000006</v>
      </c>
      <c r="AJ42" s="411">
        <f t="shared" si="16"/>
        <v>10997.060000000056</v>
      </c>
      <c r="AK42" s="411"/>
      <c r="AL42" s="185">
        <f t="shared" si="45"/>
        <v>974509.19</v>
      </c>
      <c r="AM42" s="317">
        <f t="shared" si="28"/>
        <v>2</v>
      </c>
      <c r="AN42" s="14">
        <f t="shared" si="18"/>
        <v>19533.41</v>
      </c>
      <c r="AO42" s="14">
        <f t="shared" si="29"/>
        <v>985506.25</v>
      </c>
      <c r="AP42" s="14">
        <f t="shared" si="19"/>
        <v>9113</v>
      </c>
      <c r="AS42" s="14">
        <f t="shared" si="20"/>
        <v>19533.41</v>
      </c>
      <c r="AT42" s="14">
        <f t="shared" si="30"/>
        <v>527402.06999999972</v>
      </c>
      <c r="AU42" s="185">
        <f t="shared" si="31"/>
        <v>2630.6003954871362</v>
      </c>
      <c r="AV42" s="185">
        <f t="shared" si="32"/>
        <v>68770.758590341706</v>
      </c>
    </row>
    <row r="43" spans="1:48">
      <c r="A43" s="401" t="str">
        <f t="shared" si="33"/>
        <v xml:space="preserve"> </v>
      </c>
      <c r="B43" s="185">
        <f t="shared" si="21"/>
        <v>0</v>
      </c>
      <c r="C43" s="14">
        <f t="shared" si="3"/>
        <v>0</v>
      </c>
      <c r="D43" s="14">
        <f t="shared" si="34"/>
        <v>0</v>
      </c>
      <c r="E43" s="14">
        <f t="shared" si="4"/>
        <v>0</v>
      </c>
      <c r="I43" s="185">
        <f t="shared" si="35"/>
        <v>0</v>
      </c>
      <c r="J43" s="185">
        <f t="shared" si="36"/>
        <v>0</v>
      </c>
      <c r="K43" s="185">
        <f t="shared" si="37"/>
        <v>0</v>
      </c>
      <c r="L43" s="317">
        <f t="shared" si="5"/>
        <v>2</v>
      </c>
      <c r="M43" s="317">
        <f t="shared" si="22"/>
        <v>27</v>
      </c>
      <c r="N43" s="185">
        <f t="shared" si="23"/>
        <v>985506.25</v>
      </c>
      <c r="O43" s="185">
        <f t="shared" si="24"/>
        <v>19533.41</v>
      </c>
      <c r="P43" s="185">
        <f t="shared" si="38"/>
        <v>28.599999999998545</v>
      </c>
      <c r="Q43" s="185">
        <f t="shared" si="25"/>
        <v>19504.810000000001</v>
      </c>
      <c r="R43" s="185">
        <f t="shared" si="6"/>
        <v>134.16999999999999</v>
      </c>
      <c r="S43" s="185">
        <f t="shared" si="7"/>
        <v>188.55</v>
      </c>
      <c r="T43" s="185">
        <f t="shared" si="8"/>
        <v>19856.129999999997</v>
      </c>
      <c r="U43" s="185">
        <f t="shared" si="39"/>
        <v>622.34999999999854</v>
      </c>
      <c r="V43" s="185">
        <f t="shared" si="40"/>
        <v>546313.13</v>
      </c>
      <c r="W43" s="185">
        <f t="shared" si="41"/>
        <v>985477.65</v>
      </c>
      <c r="X43" s="401" t="str">
        <f t="shared" si="26"/>
        <v xml:space="preserve"> </v>
      </c>
      <c r="Y43" s="185">
        <f t="shared" si="42"/>
        <v>974509.19</v>
      </c>
      <c r="Z43" s="393">
        <f t="shared" si="9"/>
        <v>0.10625</v>
      </c>
      <c r="AA43" s="185">
        <f t="shared" si="10"/>
        <v>9113</v>
      </c>
      <c r="AB43" s="185">
        <f t="shared" si="11"/>
        <v>484.53000000000065</v>
      </c>
      <c r="AC43" s="185">
        <f t="shared" si="12"/>
        <v>8628.4699999999993</v>
      </c>
      <c r="AD43" s="185">
        <f t="shared" si="13"/>
        <v>134.16999999999999</v>
      </c>
      <c r="AE43" s="185">
        <f t="shared" si="14"/>
        <v>188.55</v>
      </c>
      <c r="AF43" s="185">
        <f t="shared" si="15"/>
        <v>9435.7199999999993</v>
      </c>
      <c r="AG43" s="185">
        <f t="shared" si="43"/>
        <v>11693.430000000004</v>
      </c>
      <c r="AH43" s="185">
        <f t="shared" si="44"/>
        <v>234357.56999999995</v>
      </c>
      <c r="AI43" s="411">
        <f t="shared" si="27"/>
        <v>270930.66000000003</v>
      </c>
      <c r="AJ43" s="411">
        <f t="shared" si="16"/>
        <v>11452.990000000107</v>
      </c>
      <c r="AK43" s="411"/>
      <c r="AL43" s="185">
        <f t="shared" si="45"/>
        <v>974024.65999999992</v>
      </c>
      <c r="AM43" s="317">
        <f t="shared" si="28"/>
        <v>2</v>
      </c>
      <c r="AN43" s="14">
        <f t="shared" si="18"/>
        <v>19533.41</v>
      </c>
      <c r="AO43" s="14">
        <f t="shared" si="29"/>
        <v>985477.65</v>
      </c>
      <c r="AP43" s="14">
        <f t="shared" si="19"/>
        <v>9113</v>
      </c>
      <c r="AS43" s="14">
        <f t="shared" si="20"/>
        <v>19533.41</v>
      </c>
      <c r="AT43" s="14">
        <f t="shared" si="30"/>
        <v>546935.47999999975</v>
      </c>
      <c r="AU43" s="185">
        <f t="shared" si="31"/>
        <v>2637.1768964758544</v>
      </c>
      <c r="AV43" s="185">
        <f t="shared" si="32"/>
        <v>71407.935486817558</v>
      </c>
    </row>
    <row r="44" spans="1:48">
      <c r="A44" s="401" t="str">
        <f t="shared" si="33"/>
        <v xml:space="preserve"> </v>
      </c>
      <c r="B44" s="185">
        <f t="shared" si="21"/>
        <v>0</v>
      </c>
      <c r="C44" s="14">
        <f t="shared" si="3"/>
        <v>0</v>
      </c>
      <c r="D44" s="14">
        <f t="shared" si="34"/>
        <v>0</v>
      </c>
      <c r="E44" s="14">
        <f t="shared" si="4"/>
        <v>0</v>
      </c>
      <c r="I44" s="185">
        <f t="shared" si="35"/>
        <v>0</v>
      </c>
      <c r="J44" s="185">
        <f t="shared" si="36"/>
        <v>0</v>
      </c>
      <c r="K44" s="185">
        <f t="shared" si="37"/>
        <v>0</v>
      </c>
      <c r="L44" s="317">
        <f t="shared" si="5"/>
        <v>2</v>
      </c>
      <c r="M44" s="317">
        <f t="shared" si="22"/>
        <v>28</v>
      </c>
      <c r="N44" s="185">
        <f t="shared" si="23"/>
        <v>985477.65</v>
      </c>
      <c r="O44" s="185">
        <f t="shared" si="24"/>
        <v>19533.41</v>
      </c>
      <c r="P44" s="185">
        <f t="shared" si="38"/>
        <v>29.159999999999854</v>
      </c>
      <c r="Q44" s="185">
        <f t="shared" si="25"/>
        <v>19504.25</v>
      </c>
      <c r="R44" s="185">
        <f t="shared" si="6"/>
        <v>134.16999999999999</v>
      </c>
      <c r="S44" s="185">
        <f t="shared" si="7"/>
        <v>188.55</v>
      </c>
      <c r="T44" s="185">
        <f t="shared" si="8"/>
        <v>19856.129999999997</v>
      </c>
      <c r="U44" s="185">
        <f t="shared" si="39"/>
        <v>651.5099999999984</v>
      </c>
      <c r="V44" s="185">
        <f t="shared" si="40"/>
        <v>565817.38</v>
      </c>
      <c r="W44" s="185">
        <f t="shared" si="41"/>
        <v>985448.49</v>
      </c>
      <c r="X44" s="401" t="str">
        <f t="shared" si="26"/>
        <v xml:space="preserve"> </v>
      </c>
      <c r="Y44" s="185">
        <f t="shared" si="42"/>
        <v>974024.65999999992</v>
      </c>
      <c r="Z44" s="393">
        <f t="shared" si="9"/>
        <v>0.10625</v>
      </c>
      <c r="AA44" s="185">
        <f t="shared" si="10"/>
        <v>9113</v>
      </c>
      <c r="AB44" s="185">
        <f t="shared" si="11"/>
        <v>488.81999999999971</v>
      </c>
      <c r="AC44" s="185">
        <f t="shared" si="12"/>
        <v>8624.18</v>
      </c>
      <c r="AD44" s="185">
        <f t="shared" si="13"/>
        <v>134.16999999999999</v>
      </c>
      <c r="AE44" s="185">
        <f t="shared" si="14"/>
        <v>188.55</v>
      </c>
      <c r="AF44" s="185">
        <f t="shared" si="15"/>
        <v>9435.7199999999993</v>
      </c>
      <c r="AG44" s="185">
        <f t="shared" si="43"/>
        <v>12182.250000000004</v>
      </c>
      <c r="AH44" s="185">
        <f t="shared" si="44"/>
        <v>242981.74999999994</v>
      </c>
      <c r="AI44" s="411">
        <f t="shared" si="27"/>
        <v>281351.07</v>
      </c>
      <c r="AJ44" s="411">
        <f t="shared" si="16"/>
        <v>11912.650000000023</v>
      </c>
      <c r="AK44" s="411"/>
      <c r="AL44" s="185">
        <f t="shared" si="45"/>
        <v>973535.84</v>
      </c>
      <c r="AM44" s="317">
        <f t="shared" si="28"/>
        <v>2</v>
      </c>
      <c r="AN44" s="14">
        <f t="shared" si="18"/>
        <v>19533.41</v>
      </c>
      <c r="AO44" s="14">
        <f t="shared" si="29"/>
        <v>985448.49</v>
      </c>
      <c r="AP44" s="14">
        <f t="shared" si="19"/>
        <v>9113</v>
      </c>
      <c r="AS44" s="14">
        <f t="shared" si="20"/>
        <v>19533.41</v>
      </c>
      <c r="AT44" s="14">
        <f t="shared" si="30"/>
        <v>566468.88999999978</v>
      </c>
      <c r="AU44" s="185">
        <f t="shared" si="31"/>
        <v>2643.7698387170435</v>
      </c>
      <c r="AV44" s="185">
        <f t="shared" si="32"/>
        <v>74051.705325534596</v>
      </c>
    </row>
    <row r="45" spans="1:48">
      <c r="A45" s="401" t="str">
        <f t="shared" si="33"/>
        <v xml:space="preserve"> </v>
      </c>
      <c r="B45" s="185">
        <f t="shared" si="21"/>
        <v>0</v>
      </c>
      <c r="C45" s="14">
        <f t="shared" si="3"/>
        <v>0</v>
      </c>
      <c r="D45" s="14">
        <f t="shared" si="34"/>
        <v>0</v>
      </c>
      <c r="E45" s="14">
        <f t="shared" si="4"/>
        <v>0</v>
      </c>
      <c r="I45" s="185">
        <f t="shared" si="35"/>
        <v>0</v>
      </c>
      <c r="J45" s="185">
        <f t="shared" si="36"/>
        <v>0</v>
      </c>
      <c r="K45" s="185">
        <f t="shared" si="37"/>
        <v>0</v>
      </c>
      <c r="L45" s="317">
        <f t="shared" si="5"/>
        <v>2</v>
      </c>
      <c r="M45" s="317">
        <f t="shared" si="22"/>
        <v>29</v>
      </c>
      <c r="N45" s="185">
        <f t="shared" si="23"/>
        <v>985448.49</v>
      </c>
      <c r="O45" s="185">
        <f t="shared" si="24"/>
        <v>19533.41</v>
      </c>
      <c r="P45" s="185">
        <f t="shared" si="38"/>
        <v>29.740000000001601</v>
      </c>
      <c r="Q45" s="185">
        <f t="shared" si="25"/>
        <v>19503.669999999998</v>
      </c>
      <c r="R45" s="185">
        <f t="shared" si="6"/>
        <v>134.16999999999999</v>
      </c>
      <c r="S45" s="185">
        <f t="shared" si="7"/>
        <v>188.55</v>
      </c>
      <c r="T45" s="185">
        <f t="shared" si="8"/>
        <v>19856.129999999997</v>
      </c>
      <c r="U45" s="185">
        <f t="shared" si="39"/>
        <v>681.25</v>
      </c>
      <c r="V45" s="185">
        <f t="shared" si="40"/>
        <v>585321.05000000005</v>
      </c>
      <c r="W45" s="185">
        <f t="shared" si="41"/>
        <v>985418.75</v>
      </c>
      <c r="X45" s="401" t="str">
        <f t="shared" si="26"/>
        <v xml:space="preserve"> </v>
      </c>
      <c r="Y45" s="185">
        <f t="shared" si="42"/>
        <v>973535.84</v>
      </c>
      <c r="Z45" s="393">
        <f t="shared" si="9"/>
        <v>0.10625</v>
      </c>
      <c r="AA45" s="185">
        <f t="shared" si="10"/>
        <v>9113</v>
      </c>
      <c r="AB45" s="185">
        <f t="shared" si="11"/>
        <v>493.14999999999964</v>
      </c>
      <c r="AC45" s="185">
        <f t="shared" si="12"/>
        <v>8619.85</v>
      </c>
      <c r="AD45" s="185">
        <f t="shared" si="13"/>
        <v>134.16999999999999</v>
      </c>
      <c r="AE45" s="185">
        <f t="shared" si="14"/>
        <v>188.55</v>
      </c>
      <c r="AF45" s="185">
        <f t="shared" si="15"/>
        <v>9435.7199999999993</v>
      </c>
      <c r="AG45" s="185">
        <f t="shared" si="43"/>
        <v>12675.400000000003</v>
      </c>
      <c r="AH45" s="185">
        <f t="shared" si="44"/>
        <v>251601.59999999995</v>
      </c>
      <c r="AI45" s="411">
        <f t="shared" si="27"/>
        <v>291771.48</v>
      </c>
      <c r="AJ45" s="411">
        <f t="shared" si="16"/>
        <v>12376.060000000056</v>
      </c>
      <c r="AK45" s="411"/>
      <c r="AL45" s="185">
        <f t="shared" si="45"/>
        <v>973042.69</v>
      </c>
      <c r="AM45" s="317">
        <f t="shared" si="28"/>
        <v>2</v>
      </c>
      <c r="AN45" s="14">
        <f t="shared" si="18"/>
        <v>19533.41</v>
      </c>
      <c r="AO45" s="14">
        <f t="shared" si="29"/>
        <v>985418.75</v>
      </c>
      <c r="AP45" s="14">
        <f t="shared" si="19"/>
        <v>9113</v>
      </c>
      <c r="AS45" s="14">
        <f t="shared" si="20"/>
        <v>19533.41</v>
      </c>
      <c r="AT45" s="14">
        <f t="shared" si="30"/>
        <v>586002.29999999981</v>
      </c>
      <c r="AU45" s="185">
        <f t="shared" si="31"/>
        <v>2650.3792633138364</v>
      </c>
      <c r="AV45" s="185">
        <f t="shared" si="32"/>
        <v>76702.084588848433</v>
      </c>
    </row>
    <row r="46" spans="1:48">
      <c r="A46" s="401" t="str">
        <f t="shared" si="33"/>
        <v xml:space="preserve"> </v>
      </c>
      <c r="B46" s="185">
        <f t="shared" si="21"/>
        <v>0</v>
      </c>
      <c r="C46" s="14">
        <f t="shared" si="3"/>
        <v>0</v>
      </c>
      <c r="D46" s="14">
        <f t="shared" si="34"/>
        <v>0</v>
      </c>
      <c r="E46" s="14">
        <f t="shared" si="4"/>
        <v>0</v>
      </c>
      <c r="I46" s="185">
        <f t="shared" si="35"/>
        <v>0</v>
      </c>
      <c r="J46" s="185">
        <f t="shared" si="36"/>
        <v>0</v>
      </c>
      <c r="K46" s="185">
        <f t="shared" si="37"/>
        <v>0</v>
      </c>
      <c r="L46" s="317">
        <f t="shared" si="5"/>
        <v>2</v>
      </c>
      <c r="M46" s="317">
        <f t="shared" si="22"/>
        <v>30</v>
      </c>
      <c r="N46" s="185">
        <f t="shared" si="23"/>
        <v>985418.75</v>
      </c>
      <c r="O46" s="185">
        <f t="shared" si="24"/>
        <v>19533.41</v>
      </c>
      <c r="P46" s="185">
        <f t="shared" si="38"/>
        <v>30.329999999998108</v>
      </c>
      <c r="Q46" s="185">
        <f t="shared" si="25"/>
        <v>19503.080000000002</v>
      </c>
      <c r="R46" s="185">
        <f t="shared" si="6"/>
        <v>134.16999999999999</v>
      </c>
      <c r="S46" s="185">
        <f t="shared" si="7"/>
        <v>188.55</v>
      </c>
      <c r="T46" s="185">
        <f t="shared" si="8"/>
        <v>19856.129999999997</v>
      </c>
      <c r="U46" s="185">
        <f t="shared" si="39"/>
        <v>711.57999999999811</v>
      </c>
      <c r="V46" s="185">
        <f t="shared" si="40"/>
        <v>604824.13</v>
      </c>
      <c r="W46" s="185">
        <f t="shared" si="41"/>
        <v>985388.42</v>
      </c>
      <c r="X46" s="401" t="str">
        <f t="shared" si="26"/>
        <v xml:space="preserve"> </v>
      </c>
      <c r="Y46" s="185">
        <f t="shared" si="42"/>
        <v>973042.69</v>
      </c>
      <c r="Z46" s="393">
        <f t="shared" si="9"/>
        <v>0.10625</v>
      </c>
      <c r="AA46" s="185">
        <f t="shared" si="10"/>
        <v>9113</v>
      </c>
      <c r="AB46" s="185">
        <f t="shared" si="11"/>
        <v>497.52000000000044</v>
      </c>
      <c r="AC46" s="185">
        <f t="shared" si="12"/>
        <v>8615.48</v>
      </c>
      <c r="AD46" s="185">
        <f t="shared" si="13"/>
        <v>134.16999999999999</v>
      </c>
      <c r="AE46" s="185">
        <f t="shared" si="14"/>
        <v>188.55</v>
      </c>
      <c r="AF46" s="185">
        <f t="shared" si="15"/>
        <v>9435.7199999999993</v>
      </c>
      <c r="AG46" s="185">
        <f t="shared" si="43"/>
        <v>13172.920000000004</v>
      </c>
      <c r="AH46" s="185">
        <f t="shared" si="44"/>
        <v>260217.07999999996</v>
      </c>
      <c r="AI46" s="411">
        <f t="shared" si="27"/>
        <v>302191.88999999996</v>
      </c>
      <c r="AJ46" s="411">
        <f t="shared" si="16"/>
        <v>12843.250000000116</v>
      </c>
      <c r="AK46" s="411"/>
      <c r="AL46" s="185">
        <f t="shared" si="45"/>
        <v>972545.16999999993</v>
      </c>
      <c r="AM46" s="317">
        <f t="shared" si="28"/>
        <v>2</v>
      </c>
      <c r="AN46" s="14">
        <f t="shared" si="18"/>
        <v>19533.41</v>
      </c>
      <c r="AO46" s="14">
        <f t="shared" ref="AO46:AO109" si="46">IF(W46&lt;=0,0,+$AA$6-$C$2+I46-U46)</f>
        <v>985388.42</v>
      </c>
      <c r="AP46" s="14">
        <f t="shared" si="19"/>
        <v>9113</v>
      </c>
      <c r="AS46" s="14">
        <f t="shared" si="20"/>
        <v>19533.41</v>
      </c>
      <c r="AT46" s="14">
        <f t="shared" si="30"/>
        <v>605535.70999999985</v>
      </c>
      <c r="AU46" s="185">
        <f t="shared" si="31"/>
        <v>2657.0052114721211</v>
      </c>
      <c r="AV46" s="185">
        <f t="shared" si="32"/>
        <v>79359.089800320551</v>
      </c>
    </row>
    <row r="47" spans="1:48">
      <c r="A47" s="401" t="str">
        <f t="shared" si="33"/>
        <v xml:space="preserve"> </v>
      </c>
      <c r="B47" s="185">
        <f t="shared" si="21"/>
        <v>0</v>
      </c>
      <c r="C47" s="14">
        <f t="shared" si="3"/>
        <v>0</v>
      </c>
      <c r="D47" s="14">
        <f t="shared" si="34"/>
        <v>0</v>
      </c>
      <c r="E47" s="14">
        <f t="shared" si="4"/>
        <v>0</v>
      </c>
      <c r="I47" s="185">
        <f t="shared" si="35"/>
        <v>0</v>
      </c>
      <c r="J47" s="185">
        <f t="shared" si="36"/>
        <v>0</v>
      </c>
      <c r="K47" s="185">
        <f t="shared" si="37"/>
        <v>0</v>
      </c>
      <c r="L47" s="317">
        <f t="shared" si="5"/>
        <v>2</v>
      </c>
      <c r="M47" s="317">
        <f t="shared" si="22"/>
        <v>31</v>
      </c>
      <c r="N47" s="185">
        <f t="shared" si="23"/>
        <v>985388.42</v>
      </c>
      <c r="O47" s="185">
        <f t="shared" si="24"/>
        <v>19533.41</v>
      </c>
      <c r="P47" s="185">
        <f t="shared" si="38"/>
        <v>30.930000000000291</v>
      </c>
      <c r="Q47" s="185">
        <f t="shared" si="25"/>
        <v>19502.48</v>
      </c>
      <c r="R47" s="185">
        <f t="shared" si="6"/>
        <v>134.16999999999999</v>
      </c>
      <c r="S47" s="185">
        <f t="shared" si="7"/>
        <v>188.55</v>
      </c>
      <c r="T47" s="185">
        <f t="shared" si="8"/>
        <v>19856.129999999997</v>
      </c>
      <c r="U47" s="185">
        <f t="shared" si="39"/>
        <v>742.5099999999984</v>
      </c>
      <c r="V47" s="185">
        <f t="shared" si="40"/>
        <v>624326.61</v>
      </c>
      <c r="W47" s="185">
        <f t="shared" si="41"/>
        <v>985357.49</v>
      </c>
      <c r="X47" s="401" t="str">
        <f t="shared" si="26"/>
        <v xml:space="preserve"> </v>
      </c>
      <c r="Y47" s="185">
        <f t="shared" si="42"/>
        <v>972545.16999999993</v>
      </c>
      <c r="Z47" s="393">
        <f t="shared" si="9"/>
        <v>0.10625</v>
      </c>
      <c r="AA47" s="185">
        <f t="shared" si="10"/>
        <v>9113</v>
      </c>
      <c r="AB47" s="185">
        <f t="shared" si="11"/>
        <v>501.92000000000007</v>
      </c>
      <c r="AC47" s="185">
        <f t="shared" si="12"/>
        <v>8611.08</v>
      </c>
      <c r="AD47" s="185">
        <f t="shared" si="13"/>
        <v>134.16999999999999</v>
      </c>
      <c r="AE47" s="185">
        <f t="shared" si="14"/>
        <v>188.55</v>
      </c>
      <c r="AF47" s="185">
        <f t="shared" si="15"/>
        <v>9435.7199999999993</v>
      </c>
      <c r="AG47" s="185">
        <f t="shared" si="43"/>
        <v>13674.840000000004</v>
      </c>
      <c r="AH47" s="185">
        <f t="shared" si="44"/>
        <v>268828.15999999997</v>
      </c>
      <c r="AI47" s="411">
        <f t="shared" si="27"/>
        <v>312612.29999999993</v>
      </c>
      <c r="AJ47" s="411">
        <f t="shared" si="16"/>
        <v>13314.240000000107</v>
      </c>
      <c r="AK47" s="411"/>
      <c r="AL47" s="185">
        <f t="shared" si="45"/>
        <v>972043.24999999988</v>
      </c>
      <c r="AM47" s="317">
        <f t="shared" si="28"/>
        <v>2</v>
      </c>
      <c r="AN47" s="14">
        <f t="shared" si="18"/>
        <v>19533.41</v>
      </c>
      <c r="AO47" s="14">
        <f t="shared" si="46"/>
        <v>985357.49</v>
      </c>
      <c r="AP47" s="14">
        <f t="shared" si="19"/>
        <v>9113</v>
      </c>
      <c r="AS47" s="14">
        <f t="shared" si="20"/>
        <v>19533.41</v>
      </c>
      <c r="AT47" s="14">
        <f t="shared" si="30"/>
        <v>625069.11999999988</v>
      </c>
      <c r="AU47" s="185">
        <f t="shared" si="31"/>
        <v>2663.6477245008014</v>
      </c>
      <c r="AV47" s="185">
        <f t="shared" si="32"/>
        <v>82022.73752482135</v>
      </c>
    </row>
    <row r="48" spans="1:48">
      <c r="A48" s="401" t="str">
        <f t="shared" si="33"/>
        <v xml:space="preserve"> </v>
      </c>
      <c r="B48" s="185">
        <f t="shared" si="21"/>
        <v>0</v>
      </c>
      <c r="C48" s="14">
        <f t="shared" si="3"/>
        <v>0</v>
      </c>
      <c r="D48" s="14">
        <f t="shared" si="34"/>
        <v>0</v>
      </c>
      <c r="E48" s="14">
        <f t="shared" si="4"/>
        <v>0</v>
      </c>
      <c r="I48" s="185">
        <f t="shared" si="35"/>
        <v>0</v>
      </c>
      <c r="J48" s="185">
        <f t="shared" si="36"/>
        <v>0</v>
      </c>
      <c r="K48" s="185">
        <f t="shared" si="37"/>
        <v>0</v>
      </c>
      <c r="L48" s="317">
        <f t="shared" si="5"/>
        <v>2</v>
      </c>
      <c r="M48" s="317">
        <f t="shared" si="22"/>
        <v>32</v>
      </c>
      <c r="N48" s="185">
        <f t="shared" si="23"/>
        <v>985357.49</v>
      </c>
      <c r="O48" s="185">
        <f t="shared" si="24"/>
        <v>19533.41</v>
      </c>
      <c r="P48" s="185">
        <f t="shared" si="38"/>
        <v>31.540000000000873</v>
      </c>
      <c r="Q48" s="185">
        <f t="shared" si="25"/>
        <v>19501.87</v>
      </c>
      <c r="R48" s="185">
        <f t="shared" si="6"/>
        <v>134.16999999999999</v>
      </c>
      <c r="S48" s="185">
        <f t="shared" si="7"/>
        <v>188.55</v>
      </c>
      <c r="T48" s="185">
        <f t="shared" si="8"/>
        <v>19856.129999999997</v>
      </c>
      <c r="U48" s="185">
        <f t="shared" si="39"/>
        <v>774.04999999999927</v>
      </c>
      <c r="V48" s="185">
        <f t="shared" si="40"/>
        <v>643828.47999999998</v>
      </c>
      <c r="W48" s="185">
        <f t="shared" si="41"/>
        <v>985325.95</v>
      </c>
      <c r="X48" s="401" t="str">
        <f t="shared" si="26"/>
        <v xml:space="preserve"> </v>
      </c>
      <c r="Y48" s="185">
        <f t="shared" si="42"/>
        <v>972043.24999999988</v>
      </c>
      <c r="Z48" s="393">
        <f t="shared" si="9"/>
        <v>0.10625</v>
      </c>
      <c r="AA48" s="185">
        <f t="shared" si="10"/>
        <v>9113</v>
      </c>
      <c r="AB48" s="185">
        <f t="shared" si="11"/>
        <v>506.3700000000008</v>
      </c>
      <c r="AC48" s="185">
        <f t="shared" si="12"/>
        <v>8606.6299999999992</v>
      </c>
      <c r="AD48" s="185">
        <f t="shared" si="13"/>
        <v>134.16999999999999</v>
      </c>
      <c r="AE48" s="185">
        <f t="shared" si="14"/>
        <v>188.55</v>
      </c>
      <c r="AF48" s="185">
        <f t="shared" si="15"/>
        <v>9435.7199999999993</v>
      </c>
      <c r="AG48" s="185">
        <f t="shared" si="43"/>
        <v>14181.210000000005</v>
      </c>
      <c r="AH48" s="185">
        <f t="shared" si="44"/>
        <v>277434.78999999998</v>
      </c>
      <c r="AI48" s="411">
        <f t="shared" si="27"/>
        <v>323032.7099999999</v>
      </c>
      <c r="AJ48" s="411">
        <f t="shared" si="16"/>
        <v>13789.070000000065</v>
      </c>
      <c r="AK48" s="411"/>
      <c r="AL48" s="185">
        <f t="shared" si="45"/>
        <v>971536.87999999989</v>
      </c>
      <c r="AM48" s="317">
        <f t="shared" si="28"/>
        <v>2</v>
      </c>
      <c r="AN48" s="14">
        <f t="shared" si="18"/>
        <v>19533.41</v>
      </c>
      <c r="AO48" s="14">
        <f t="shared" si="46"/>
        <v>985325.95</v>
      </c>
      <c r="AP48" s="14">
        <f t="shared" si="19"/>
        <v>9113</v>
      </c>
      <c r="AS48" s="14">
        <f t="shared" si="20"/>
        <v>19533.41</v>
      </c>
      <c r="AT48" s="14">
        <f t="shared" si="30"/>
        <v>644602.52999999991</v>
      </c>
      <c r="AU48" s="185">
        <f t="shared" si="31"/>
        <v>2670.3068438120536</v>
      </c>
      <c r="AV48" s="185">
        <f t="shared" si="32"/>
        <v>84693.044368633404</v>
      </c>
    </row>
    <row r="49" spans="1:50">
      <c r="A49" s="401" t="str">
        <f t="shared" si="33"/>
        <v xml:space="preserve"> </v>
      </c>
      <c r="B49" s="185">
        <f t="shared" si="21"/>
        <v>0</v>
      </c>
      <c r="C49" s="14">
        <f t="shared" si="3"/>
        <v>0</v>
      </c>
      <c r="D49" s="14">
        <f t="shared" si="34"/>
        <v>0</v>
      </c>
      <c r="E49" s="14">
        <f t="shared" si="4"/>
        <v>0</v>
      </c>
      <c r="I49" s="185">
        <f t="shared" si="35"/>
        <v>0</v>
      </c>
      <c r="J49" s="185">
        <f t="shared" si="36"/>
        <v>0</v>
      </c>
      <c r="K49" s="185">
        <f t="shared" si="37"/>
        <v>0</v>
      </c>
      <c r="L49" s="317">
        <f t="shared" si="5"/>
        <v>2</v>
      </c>
      <c r="M49" s="317">
        <f t="shared" si="22"/>
        <v>33</v>
      </c>
      <c r="N49" s="185">
        <f t="shared" si="23"/>
        <v>985325.95</v>
      </c>
      <c r="O49" s="185">
        <f t="shared" si="24"/>
        <v>19533.41</v>
      </c>
      <c r="P49" s="185">
        <f t="shared" si="38"/>
        <v>32.169999999998254</v>
      </c>
      <c r="Q49" s="185">
        <f t="shared" si="25"/>
        <v>19501.240000000002</v>
      </c>
      <c r="R49" s="185">
        <f t="shared" si="6"/>
        <v>134.16999999999999</v>
      </c>
      <c r="S49" s="185">
        <f t="shared" si="7"/>
        <v>188.55</v>
      </c>
      <c r="T49" s="185">
        <f t="shared" si="8"/>
        <v>19856.129999999997</v>
      </c>
      <c r="U49" s="185">
        <f t="shared" si="39"/>
        <v>806.21999999999753</v>
      </c>
      <c r="V49" s="185">
        <f t="shared" si="40"/>
        <v>663329.72</v>
      </c>
      <c r="W49" s="185">
        <f t="shared" si="41"/>
        <v>985293.77999999991</v>
      </c>
      <c r="X49" s="401" t="str">
        <f t="shared" si="26"/>
        <v xml:space="preserve"> </v>
      </c>
      <c r="Y49" s="185">
        <f t="shared" si="42"/>
        <v>971536.87999999989</v>
      </c>
      <c r="Z49" s="393">
        <f t="shared" si="9"/>
        <v>0.10625</v>
      </c>
      <c r="AA49" s="185">
        <f t="shared" si="10"/>
        <v>9113</v>
      </c>
      <c r="AB49" s="185">
        <f t="shared" si="11"/>
        <v>510.85000000000036</v>
      </c>
      <c r="AC49" s="185">
        <f t="shared" si="12"/>
        <v>8602.15</v>
      </c>
      <c r="AD49" s="185">
        <f t="shared" si="13"/>
        <v>134.16999999999999</v>
      </c>
      <c r="AE49" s="185">
        <f t="shared" si="14"/>
        <v>188.55</v>
      </c>
      <c r="AF49" s="185">
        <f t="shared" si="15"/>
        <v>9435.7199999999993</v>
      </c>
      <c r="AG49" s="185">
        <f t="shared" si="43"/>
        <v>14692.060000000005</v>
      </c>
      <c r="AH49" s="185">
        <f t="shared" si="44"/>
        <v>286036.94</v>
      </c>
      <c r="AI49" s="411">
        <f t="shared" si="27"/>
        <v>333453.11999999988</v>
      </c>
      <c r="AJ49" s="411">
        <f t="shared" si="16"/>
        <v>14267.75</v>
      </c>
      <c r="AK49" s="411"/>
      <c r="AL49" s="185">
        <f t="shared" si="45"/>
        <v>971026.02999999991</v>
      </c>
      <c r="AM49" s="317">
        <f t="shared" si="28"/>
        <v>2</v>
      </c>
      <c r="AN49" s="14">
        <f t="shared" si="18"/>
        <v>19533.41</v>
      </c>
      <c r="AO49" s="14">
        <f t="shared" si="46"/>
        <v>985293.78</v>
      </c>
      <c r="AP49" s="14">
        <f t="shared" si="19"/>
        <v>9113</v>
      </c>
      <c r="AS49" s="14">
        <f t="shared" si="20"/>
        <v>19533.41</v>
      </c>
      <c r="AT49" s="14">
        <f t="shared" si="30"/>
        <v>664135.93999999994</v>
      </c>
      <c r="AU49" s="185">
        <f t="shared" si="31"/>
        <v>2676.9826109215833</v>
      </c>
      <c r="AV49" s="185">
        <f t="shared" si="32"/>
        <v>87370.026979554983</v>
      </c>
    </row>
    <row r="50" spans="1:50">
      <c r="A50" s="401" t="str">
        <f t="shared" si="33"/>
        <v xml:space="preserve"> </v>
      </c>
      <c r="B50" s="185">
        <f t="shared" si="21"/>
        <v>0</v>
      </c>
      <c r="C50" s="14">
        <f t="shared" si="3"/>
        <v>0</v>
      </c>
      <c r="D50" s="14">
        <f t="shared" si="34"/>
        <v>0</v>
      </c>
      <c r="E50" s="14">
        <f t="shared" si="4"/>
        <v>0</v>
      </c>
      <c r="I50" s="185">
        <f t="shared" si="35"/>
        <v>0</v>
      </c>
      <c r="J50" s="185">
        <f t="shared" si="36"/>
        <v>0</v>
      </c>
      <c r="K50" s="185">
        <f t="shared" si="37"/>
        <v>0</v>
      </c>
      <c r="L50" s="317">
        <f t="shared" si="5"/>
        <v>2</v>
      </c>
      <c r="M50" s="317">
        <f t="shared" si="22"/>
        <v>34</v>
      </c>
      <c r="N50" s="185">
        <f t="shared" si="23"/>
        <v>985293.77999999991</v>
      </c>
      <c r="O50" s="185">
        <f t="shared" si="24"/>
        <v>19533.41</v>
      </c>
      <c r="P50" s="185">
        <f t="shared" si="38"/>
        <v>32.799999999999272</v>
      </c>
      <c r="Q50" s="185">
        <f t="shared" si="25"/>
        <v>19500.61</v>
      </c>
      <c r="R50" s="185">
        <f t="shared" si="6"/>
        <v>134.16999999999999</v>
      </c>
      <c r="S50" s="185">
        <f t="shared" si="7"/>
        <v>188.55</v>
      </c>
      <c r="T50" s="185">
        <f t="shared" si="8"/>
        <v>19856.129999999997</v>
      </c>
      <c r="U50" s="185">
        <f t="shared" si="39"/>
        <v>839.0199999999968</v>
      </c>
      <c r="V50" s="185">
        <f t="shared" si="40"/>
        <v>682830.33</v>
      </c>
      <c r="W50" s="185">
        <f t="shared" si="41"/>
        <v>985260.97999999986</v>
      </c>
      <c r="X50" s="401" t="str">
        <f t="shared" si="26"/>
        <v xml:space="preserve"> </v>
      </c>
      <c r="Y50" s="185">
        <f t="shared" si="42"/>
        <v>971026.02999999991</v>
      </c>
      <c r="Z50" s="393">
        <f t="shared" si="9"/>
        <v>0.10625</v>
      </c>
      <c r="AA50" s="185">
        <f t="shared" si="10"/>
        <v>9113</v>
      </c>
      <c r="AB50" s="185">
        <f t="shared" si="11"/>
        <v>515.3700000000008</v>
      </c>
      <c r="AC50" s="185">
        <f t="shared" si="12"/>
        <v>8597.6299999999992</v>
      </c>
      <c r="AD50" s="185">
        <f t="shared" si="13"/>
        <v>134.16999999999999</v>
      </c>
      <c r="AE50" s="185">
        <f t="shared" si="14"/>
        <v>188.55</v>
      </c>
      <c r="AF50" s="185">
        <f t="shared" si="15"/>
        <v>9435.7199999999993</v>
      </c>
      <c r="AG50" s="185">
        <f t="shared" si="43"/>
        <v>15207.430000000006</v>
      </c>
      <c r="AH50" s="185">
        <f t="shared" si="44"/>
        <v>294634.57</v>
      </c>
      <c r="AI50" s="411">
        <f t="shared" si="27"/>
        <v>343873.52999999985</v>
      </c>
      <c r="AJ50" s="411">
        <f t="shared" si="16"/>
        <v>14750.319999999949</v>
      </c>
      <c r="AK50" s="411"/>
      <c r="AL50" s="185">
        <f t="shared" si="45"/>
        <v>970510.65999999992</v>
      </c>
      <c r="AM50" s="317">
        <f t="shared" si="28"/>
        <v>2</v>
      </c>
      <c r="AN50" s="14">
        <f t="shared" si="18"/>
        <v>19533.41</v>
      </c>
      <c r="AO50" s="14">
        <f t="shared" si="46"/>
        <v>985260.98</v>
      </c>
      <c r="AP50" s="14">
        <f t="shared" si="19"/>
        <v>9113</v>
      </c>
      <c r="AS50" s="14">
        <f t="shared" si="20"/>
        <v>19533.41</v>
      </c>
      <c r="AT50" s="14">
        <f t="shared" si="30"/>
        <v>683669.35</v>
      </c>
      <c r="AU50" s="185">
        <f t="shared" si="31"/>
        <v>2683.6750674488871</v>
      </c>
      <c r="AV50" s="185">
        <f t="shared" si="32"/>
        <v>90053.70204700387</v>
      </c>
    </row>
    <row r="51" spans="1:50" ht="15.75" thickBot="1">
      <c r="A51" s="404" t="str">
        <f t="shared" si="33"/>
        <v xml:space="preserve"> </v>
      </c>
      <c r="B51" s="237">
        <f t="shared" si="21"/>
        <v>0</v>
      </c>
      <c r="C51" s="21">
        <f t="shared" si="3"/>
        <v>0</v>
      </c>
      <c r="D51" s="21">
        <f t="shared" si="34"/>
        <v>0</v>
      </c>
      <c r="E51" s="21">
        <f t="shared" si="4"/>
        <v>0</v>
      </c>
      <c r="F51" s="21"/>
      <c r="G51" s="21"/>
      <c r="H51" s="21"/>
      <c r="I51" s="237">
        <f t="shared" si="35"/>
        <v>0</v>
      </c>
      <c r="J51" s="237">
        <f t="shared" si="36"/>
        <v>0</v>
      </c>
      <c r="K51" s="237">
        <f t="shared" si="37"/>
        <v>0</v>
      </c>
      <c r="L51" s="318">
        <f t="shared" si="5"/>
        <v>2</v>
      </c>
      <c r="M51" s="318">
        <f t="shared" si="22"/>
        <v>35</v>
      </c>
      <c r="N51" s="237">
        <f t="shared" si="23"/>
        <v>985260.97999999986</v>
      </c>
      <c r="O51" s="237">
        <f t="shared" si="24"/>
        <v>19533.41</v>
      </c>
      <c r="P51" s="237">
        <f t="shared" si="38"/>
        <v>33.450000000000728</v>
      </c>
      <c r="Q51" s="237">
        <f t="shared" si="25"/>
        <v>19499.96</v>
      </c>
      <c r="R51" s="237">
        <f t="shared" si="6"/>
        <v>134.16999999999999</v>
      </c>
      <c r="S51" s="237">
        <f t="shared" si="7"/>
        <v>188.55</v>
      </c>
      <c r="T51" s="237">
        <f t="shared" si="8"/>
        <v>19856.129999999997</v>
      </c>
      <c r="U51" s="237">
        <f t="shared" si="39"/>
        <v>872.46999999999753</v>
      </c>
      <c r="V51" s="237">
        <f t="shared" si="40"/>
        <v>702330.28999999992</v>
      </c>
      <c r="W51" s="237">
        <f t="shared" si="41"/>
        <v>985227.52999999991</v>
      </c>
      <c r="X51" s="404" t="str">
        <f t="shared" si="26"/>
        <v xml:space="preserve"> </v>
      </c>
      <c r="Y51" s="237">
        <f t="shared" si="42"/>
        <v>970510.65999999992</v>
      </c>
      <c r="Z51" s="394">
        <f t="shared" si="9"/>
        <v>0.10625</v>
      </c>
      <c r="AA51" s="237">
        <f t="shared" si="10"/>
        <v>9113</v>
      </c>
      <c r="AB51" s="237">
        <f t="shared" si="11"/>
        <v>519.94000000000051</v>
      </c>
      <c r="AC51" s="237">
        <f t="shared" si="12"/>
        <v>8593.06</v>
      </c>
      <c r="AD51" s="237">
        <f t="shared" si="13"/>
        <v>134.16999999999999</v>
      </c>
      <c r="AE51" s="237">
        <f t="shared" si="14"/>
        <v>188.55</v>
      </c>
      <c r="AF51" s="237">
        <f t="shared" si="15"/>
        <v>9435.7199999999993</v>
      </c>
      <c r="AG51" s="237">
        <f t="shared" si="43"/>
        <v>15727.370000000006</v>
      </c>
      <c r="AH51" s="237">
        <f t="shared" si="44"/>
        <v>303227.63</v>
      </c>
      <c r="AI51" s="412">
        <f t="shared" si="27"/>
        <v>354293.93999999983</v>
      </c>
      <c r="AJ51" s="412">
        <f t="shared" si="16"/>
        <v>15236.809999999939</v>
      </c>
      <c r="AK51" s="412"/>
      <c r="AL51" s="237">
        <f t="shared" si="45"/>
        <v>969990.72</v>
      </c>
      <c r="AM51" s="318">
        <f t="shared" si="28"/>
        <v>2</v>
      </c>
      <c r="AN51" s="21">
        <f t="shared" si="18"/>
        <v>19533.41</v>
      </c>
      <c r="AO51" s="21">
        <f t="shared" si="46"/>
        <v>985227.53</v>
      </c>
      <c r="AP51" s="21">
        <f t="shared" si="19"/>
        <v>9113</v>
      </c>
      <c r="AQ51" s="21"/>
      <c r="AR51" s="23"/>
      <c r="AS51" s="21">
        <f t="shared" si="20"/>
        <v>19533.41</v>
      </c>
      <c r="AT51" s="21">
        <f t="shared" si="30"/>
        <v>703202.76</v>
      </c>
      <c r="AU51" s="237">
        <f t="shared" si="31"/>
        <v>2690.3842551175098</v>
      </c>
      <c r="AV51" s="237">
        <f t="shared" si="32"/>
        <v>92744.086302121374</v>
      </c>
    </row>
    <row r="52" spans="1:50">
      <c r="A52" s="401" t="str">
        <f t="shared" si="33"/>
        <v xml:space="preserve"> </v>
      </c>
      <c r="B52" s="185">
        <f t="shared" si="21"/>
        <v>0</v>
      </c>
      <c r="C52" s="14">
        <f t="shared" si="3"/>
        <v>0</v>
      </c>
      <c r="D52" s="14">
        <f t="shared" si="34"/>
        <v>0</v>
      </c>
      <c r="E52" s="14">
        <f t="shared" si="4"/>
        <v>0</v>
      </c>
      <c r="I52" s="185">
        <f t="shared" si="35"/>
        <v>0</v>
      </c>
      <c r="J52" s="185">
        <f t="shared" si="36"/>
        <v>0</v>
      </c>
      <c r="K52" s="185">
        <f t="shared" si="37"/>
        <v>0</v>
      </c>
      <c r="L52" s="317">
        <f t="shared" si="5"/>
        <v>3</v>
      </c>
      <c r="M52" s="317">
        <f t="shared" si="22"/>
        <v>36</v>
      </c>
      <c r="N52" s="185">
        <f t="shared" si="23"/>
        <v>985227.52999999991</v>
      </c>
      <c r="O52" s="185">
        <f t="shared" si="24"/>
        <v>19533.41</v>
      </c>
      <c r="P52" s="185">
        <f t="shared" si="38"/>
        <v>34.119999999998981</v>
      </c>
      <c r="Q52" s="185">
        <f t="shared" si="25"/>
        <v>19499.29</v>
      </c>
      <c r="R52" s="185">
        <f t="shared" si="6"/>
        <v>134.16999999999999</v>
      </c>
      <c r="S52" s="185">
        <f t="shared" si="7"/>
        <v>188.55</v>
      </c>
      <c r="T52" s="185">
        <f t="shared" si="8"/>
        <v>19856.129999999997</v>
      </c>
      <c r="U52" s="185">
        <f t="shared" si="39"/>
        <v>906.58999999999651</v>
      </c>
      <c r="V52" s="185">
        <f t="shared" si="40"/>
        <v>721829.58</v>
      </c>
      <c r="W52" s="185">
        <f t="shared" si="41"/>
        <v>985193.40999999992</v>
      </c>
      <c r="X52" s="401" t="str">
        <f t="shared" si="26"/>
        <v xml:space="preserve"> </v>
      </c>
      <c r="Y52" s="185">
        <f t="shared" si="42"/>
        <v>969990.72</v>
      </c>
      <c r="Z52" s="393">
        <f t="shared" si="9"/>
        <v>0.10625</v>
      </c>
      <c r="AA52" s="185">
        <f t="shared" si="10"/>
        <v>9113</v>
      </c>
      <c r="AB52" s="185">
        <f t="shared" si="11"/>
        <v>524.54000000000087</v>
      </c>
      <c r="AC52" s="185">
        <f t="shared" si="12"/>
        <v>8588.4599999999991</v>
      </c>
      <c r="AD52" s="185">
        <f t="shared" si="13"/>
        <v>134.16999999999999</v>
      </c>
      <c r="AE52" s="185">
        <f t="shared" si="14"/>
        <v>188.55</v>
      </c>
      <c r="AF52" s="185">
        <f t="shared" si="15"/>
        <v>9435.7199999999993</v>
      </c>
      <c r="AG52" s="185">
        <f t="shared" si="43"/>
        <v>16251.910000000007</v>
      </c>
      <c r="AH52" s="185">
        <f t="shared" si="44"/>
        <v>311816.09000000003</v>
      </c>
      <c r="AI52" s="411">
        <f t="shared" si="27"/>
        <v>364714.3499999998</v>
      </c>
      <c r="AJ52" s="411">
        <f t="shared" si="16"/>
        <v>15727.229999999981</v>
      </c>
      <c r="AK52" s="411"/>
      <c r="AL52" s="185">
        <f t="shared" si="45"/>
        <v>969466.17999999993</v>
      </c>
      <c r="AM52" s="317">
        <f t="shared" si="28"/>
        <v>3</v>
      </c>
      <c r="AN52" s="14">
        <f t="shared" si="18"/>
        <v>19533.41</v>
      </c>
      <c r="AO52" s="14">
        <f t="shared" si="46"/>
        <v>985193.41</v>
      </c>
      <c r="AP52" s="14">
        <f t="shared" si="19"/>
        <v>9113</v>
      </c>
      <c r="AS52" s="14">
        <f t="shared" si="20"/>
        <v>19533.41</v>
      </c>
      <c r="AT52" s="14">
        <f t="shared" si="30"/>
        <v>722736.17</v>
      </c>
      <c r="AU52" s="185">
        <f t="shared" si="31"/>
        <v>2697.1102157553037</v>
      </c>
      <c r="AV52" s="185">
        <f t="shared" si="32"/>
        <v>95441.196517876684</v>
      </c>
    </row>
    <row r="53" spans="1:50">
      <c r="A53" s="401" t="str">
        <f t="shared" si="33"/>
        <v xml:space="preserve"> </v>
      </c>
      <c r="B53" s="185">
        <f t="shared" si="21"/>
        <v>0</v>
      </c>
      <c r="C53" s="14">
        <f t="shared" si="3"/>
        <v>0</v>
      </c>
      <c r="D53" s="14">
        <f t="shared" si="34"/>
        <v>0</v>
      </c>
      <c r="E53" s="14">
        <f t="shared" si="4"/>
        <v>0</v>
      </c>
      <c r="I53" s="185">
        <f t="shared" si="35"/>
        <v>0</v>
      </c>
      <c r="J53" s="185">
        <f t="shared" si="36"/>
        <v>0</v>
      </c>
      <c r="K53" s="185">
        <f t="shared" si="37"/>
        <v>0</v>
      </c>
      <c r="L53" s="317">
        <f t="shared" si="5"/>
        <v>3</v>
      </c>
      <c r="M53" s="317">
        <f t="shared" si="22"/>
        <v>37</v>
      </c>
      <c r="N53" s="185">
        <f t="shared" si="23"/>
        <v>985193.40999999992</v>
      </c>
      <c r="O53" s="185">
        <f t="shared" si="24"/>
        <v>19533.41</v>
      </c>
      <c r="P53" s="185">
        <f t="shared" si="38"/>
        <v>34.790000000000873</v>
      </c>
      <c r="Q53" s="185">
        <f t="shared" si="25"/>
        <v>19498.62</v>
      </c>
      <c r="R53" s="185">
        <f t="shared" si="6"/>
        <v>134.16999999999999</v>
      </c>
      <c r="S53" s="185">
        <f t="shared" si="7"/>
        <v>188.55</v>
      </c>
      <c r="T53" s="185">
        <f t="shared" si="8"/>
        <v>19856.129999999997</v>
      </c>
      <c r="U53" s="185">
        <f t="shared" si="39"/>
        <v>941.37999999999738</v>
      </c>
      <c r="V53" s="185">
        <f t="shared" si="40"/>
        <v>741328.2</v>
      </c>
      <c r="W53" s="185">
        <f t="shared" si="41"/>
        <v>985158.61999999988</v>
      </c>
      <c r="X53" s="401" t="str">
        <f t="shared" si="26"/>
        <v xml:space="preserve"> </v>
      </c>
      <c r="Y53" s="185">
        <f t="shared" si="42"/>
        <v>969466.17999999993</v>
      </c>
      <c r="Z53" s="393">
        <f t="shared" si="9"/>
        <v>0.10625</v>
      </c>
      <c r="AA53" s="185">
        <f t="shared" si="10"/>
        <v>9113</v>
      </c>
      <c r="AB53" s="185">
        <f t="shared" si="11"/>
        <v>529.18000000000029</v>
      </c>
      <c r="AC53" s="185">
        <f t="shared" si="12"/>
        <v>8583.82</v>
      </c>
      <c r="AD53" s="185">
        <f t="shared" si="13"/>
        <v>134.16999999999999</v>
      </c>
      <c r="AE53" s="185">
        <f t="shared" si="14"/>
        <v>188.55</v>
      </c>
      <c r="AF53" s="185">
        <f t="shared" si="15"/>
        <v>9435.7199999999993</v>
      </c>
      <c r="AG53" s="185">
        <f t="shared" si="43"/>
        <v>16781.090000000007</v>
      </c>
      <c r="AH53" s="185">
        <f t="shared" si="44"/>
        <v>320399.91000000003</v>
      </c>
      <c r="AI53" s="411">
        <f t="shared" si="27"/>
        <v>375134.75999999978</v>
      </c>
      <c r="AJ53" s="411">
        <f t="shared" si="16"/>
        <v>16221.619999999995</v>
      </c>
      <c r="AK53" s="411"/>
      <c r="AL53" s="185">
        <f t="shared" si="45"/>
        <v>968936.99999999988</v>
      </c>
      <c r="AM53" s="317">
        <f t="shared" si="28"/>
        <v>3</v>
      </c>
      <c r="AN53" s="14">
        <f t="shared" si="18"/>
        <v>19533.41</v>
      </c>
      <c r="AO53" s="14">
        <f t="shared" si="46"/>
        <v>985158.62</v>
      </c>
      <c r="AP53" s="14">
        <f t="shared" si="19"/>
        <v>9113</v>
      </c>
      <c r="AS53" s="14">
        <f t="shared" si="20"/>
        <v>19533.41</v>
      </c>
      <c r="AT53" s="14">
        <f t="shared" si="30"/>
        <v>742269.58000000007</v>
      </c>
      <c r="AU53" s="185">
        <f t="shared" si="31"/>
        <v>2703.8529912946915</v>
      </c>
      <c r="AV53" s="185">
        <f t="shared" si="32"/>
        <v>98145.049509171382</v>
      </c>
    </row>
    <row r="54" spans="1:50">
      <c r="A54" s="401" t="str">
        <f t="shared" si="33"/>
        <v xml:space="preserve"> </v>
      </c>
      <c r="B54" s="185">
        <f t="shared" si="21"/>
        <v>0</v>
      </c>
      <c r="C54" s="14">
        <f t="shared" si="3"/>
        <v>0</v>
      </c>
      <c r="D54" s="14">
        <f t="shared" si="34"/>
        <v>0</v>
      </c>
      <c r="E54" s="14">
        <f t="shared" si="4"/>
        <v>0</v>
      </c>
      <c r="I54" s="185">
        <f t="shared" si="35"/>
        <v>0</v>
      </c>
      <c r="J54" s="185">
        <f t="shared" si="36"/>
        <v>0</v>
      </c>
      <c r="K54" s="185">
        <f t="shared" si="37"/>
        <v>0</v>
      </c>
      <c r="L54" s="317">
        <f t="shared" si="5"/>
        <v>3</v>
      </c>
      <c r="M54" s="317">
        <f t="shared" si="22"/>
        <v>38</v>
      </c>
      <c r="N54" s="185">
        <f t="shared" si="23"/>
        <v>985158.61999999988</v>
      </c>
      <c r="O54" s="185">
        <f t="shared" si="24"/>
        <v>19533.41</v>
      </c>
      <c r="P54" s="185">
        <f t="shared" si="38"/>
        <v>35.479999999999563</v>
      </c>
      <c r="Q54" s="185">
        <f t="shared" si="25"/>
        <v>19497.93</v>
      </c>
      <c r="R54" s="185">
        <f t="shared" si="6"/>
        <v>134.16999999999999</v>
      </c>
      <c r="S54" s="185">
        <f t="shared" si="7"/>
        <v>188.55</v>
      </c>
      <c r="T54" s="185">
        <f t="shared" si="8"/>
        <v>19856.129999999997</v>
      </c>
      <c r="U54" s="185">
        <f t="shared" si="39"/>
        <v>976.85999999999694</v>
      </c>
      <c r="V54" s="185">
        <f t="shared" si="40"/>
        <v>760826.13</v>
      </c>
      <c r="W54" s="185">
        <f t="shared" si="41"/>
        <v>985123.1399999999</v>
      </c>
      <c r="X54" s="401" t="str">
        <f t="shared" si="26"/>
        <v xml:space="preserve"> </v>
      </c>
      <c r="Y54" s="185">
        <f t="shared" si="42"/>
        <v>968936.99999999988</v>
      </c>
      <c r="Z54" s="393">
        <f t="shared" si="9"/>
        <v>0.10625</v>
      </c>
      <c r="AA54" s="185">
        <f t="shared" si="10"/>
        <v>9113</v>
      </c>
      <c r="AB54" s="185">
        <f t="shared" si="11"/>
        <v>533.8700000000008</v>
      </c>
      <c r="AC54" s="185">
        <f t="shared" si="12"/>
        <v>8579.1299999999992</v>
      </c>
      <c r="AD54" s="185">
        <f t="shared" si="13"/>
        <v>134.16999999999999</v>
      </c>
      <c r="AE54" s="185">
        <f t="shared" si="14"/>
        <v>188.55</v>
      </c>
      <c r="AF54" s="185">
        <f t="shared" si="15"/>
        <v>9435.7199999999993</v>
      </c>
      <c r="AG54" s="185">
        <f t="shared" si="43"/>
        <v>17314.960000000006</v>
      </c>
      <c r="AH54" s="185">
        <f t="shared" si="44"/>
        <v>328979.04000000004</v>
      </c>
      <c r="AI54" s="411">
        <f t="shared" si="27"/>
        <v>385555.16999999975</v>
      </c>
      <c r="AJ54" s="411">
        <f t="shared" si="16"/>
        <v>16720.010000000009</v>
      </c>
      <c r="AK54" s="411"/>
      <c r="AL54" s="185">
        <f t="shared" si="45"/>
        <v>968403.12999999989</v>
      </c>
      <c r="AM54" s="317">
        <f t="shared" si="28"/>
        <v>3</v>
      </c>
      <c r="AN54" s="14">
        <f t="shared" si="18"/>
        <v>19533.41</v>
      </c>
      <c r="AO54" s="14">
        <f t="shared" si="46"/>
        <v>985123.14</v>
      </c>
      <c r="AP54" s="14">
        <f t="shared" si="19"/>
        <v>9113</v>
      </c>
      <c r="AS54" s="14">
        <f t="shared" si="20"/>
        <v>19533.41</v>
      </c>
      <c r="AT54" s="14">
        <f t="shared" si="30"/>
        <v>761802.99000000011</v>
      </c>
      <c r="AU54" s="185">
        <f t="shared" si="31"/>
        <v>2710.6126237729281</v>
      </c>
      <c r="AV54" s="185">
        <f t="shared" si="32"/>
        <v>100855.66213294432</v>
      </c>
    </row>
    <row r="55" spans="1:50">
      <c r="A55" s="401" t="str">
        <f t="shared" si="33"/>
        <v xml:space="preserve"> </v>
      </c>
      <c r="B55" s="185">
        <f t="shared" si="21"/>
        <v>0</v>
      </c>
      <c r="C55" s="14">
        <f t="shared" si="3"/>
        <v>0</v>
      </c>
      <c r="D55" s="14">
        <f t="shared" si="34"/>
        <v>0</v>
      </c>
      <c r="E55" s="14">
        <f t="shared" si="4"/>
        <v>0</v>
      </c>
      <c r="I55" s="185">
        <f t="shared" si="35"/>
        <v>0</v>
      </c>
      <c r="J55" s="185">
        <f t="shared" si="36"/>
        <v>0</v>
      </c>
      <c r="K55" s="185">
        <f t="shared" si="37"/>
        <v>0</v>
      </c>
      <c r="L55" s="317">
        <f t="shared" si="5"/>
        <v>3</v>
      </c>
      <c r="M55" s="317">
        <f t="shared" si="22"/>
        <v>39</v>
      </c>
      <c r="N55" s="185">
        <f t="shared" si="23"/>
        <v>985123.1399999999</v>
      </c>
      <c r="O55" s="185">
        <f t="shared" si="24"/>
        <v>19533.41</v>
      </c>
      <c r="P55" s="185">
        <f t="shared" si="38"/>
        <v>36.180000000000291</v>
      </c>
      <c r="Q55" s="185">
        <f t="shared" si="25"/>
        <v>19497.23</v>
      </c>
      <c r="R55" s="185">
        <f t="shared" si="6"/>
        <v>134.16999999999999</v>
      </c>
      <c r="S55" s="185">
        <f t="shared" si="7"/>
        <v>188.55</v>
      </c>
      <c r="T55" s="185">
        <f t="shared" si="8"/>
        <v>19856.129999999997</v>
      </c>
      <c r="U55" s="185">
        <f t="shared" si="39"/>
        <v>1013.0399999999972</v>
      </c>
      <c r="V55" s="185">
        <f t="shared" si="40"/>
        <v>780323.36</v>
      </c>
      <c r="W55" s="185">
        <f t="shared" si="41"/>
        <v>985086.95999999985</v>
      </c>
      <c r="X55" s="401" t="str">
        <f t="shared" si="26"/>
        <v xml:space="preserve"> </v>
      </c>
      <c r="Y55" s="185">
        <f t="shared" si="42"/>
        <v>968403.12999999989</v>
      </c>
      <c r="Z55" s="393">
        <f t="shared" si="9"/>
        <v>0.10625</v>
      </c>
      <c r="AA55" s="185">
        <f t="shared" si="10"/>
        <v>9113</v>
      </c>
      <c r="AB55" s="185">
        <f t="shared" si="11"/>
        <v>538.60000000000036</v>
      </c>
      <c r="AC55" s="185">
        <f t="shared" si="12"/>
        <v>8574.4</v>
      </c>
      <c r="AD55" s="185">
        <f t="shared" si="13"/>
        <v>134.16999999999999</v>
      </c>
      <c r="AE55" s="185">
        <f t="shared" si="14"/>
        <v>188.55</v>
      </c>
      <c r="AF55" s="185">
        <f t="shared" si="15"/>
        <v>9435.7199999999993</v>
      </c>
      <c r="AG55" s="185">
        <f t="shared" si="43"/>
        <v>17853.560000000005</v>
      </c>
      <c r="AH55" s="185">
        <f t="shared" si="44"/>
        <v>337553.44000000006</v>
      </c>
      <c r="AI55" s="411">
        <f t="shared" si="27"/>
        <v>395975.57999999973</v>
      </c>
      <c r="AJ55" s="411">
        <f t="shared" si="16"/>
        <v>17222.429999999935</v>
      </c>
      <c r="AK55" s="411"/>
      <c r="AL55" s="185">
        <f t="shared" si="45"/>
        <v>967864.52999999991</v>
      </c>
      <c r="AM55" s="317">
        <f t="shared" si="28"/>
        <v>3</v>
      </c>
      <c r="AN55" s="14">
        <f t="shared" si="18"/>
        <v>19533.41</v>
      </c>
      <c r="AO55" s="14">
        <f t="shared" si="46"/>
        <v>985086.96</v>
      </c>
      <c r="AP55" s="14">
        <f t="shared" si="19"/>
        <v>9113</v>
      </c>
      <c r="AS55" s="14">
        <f t="shared" si="20"/>
        <v>19533.41</v>
      </c>
      <c r="AT55" s="14">
        <f t="shared" si="30"/>
        <v>781336.40000000014</v>
      </c>
      <c r="AU55" s="185">
        <f t="shared" si="31"/>
        <v>2717.3891553323606</v>
      </c>
      <c r="AV55" s="185">
        <f t="shared" si="32"/>
        <v>103573.05128827668</v>
      </c>
    </row>
    <row r="56" spans="1:50">
      <c r="A56" s="401" t="str">
        <f t="shared" si="33"/>
        <v xml:space="preserve"> </v>
      </c>
      <c r="B56" s="185">
        <f t="shared" si="21"/>
        <v>0</v>
      </c>
      <c r="C56" s="14">
        <f t="shared" si="3"/>
        <v>0</v>
      </c>
      <c r="D56" s="14">
        <f t="shared" si="34"/>
        <v>0</v>
      </c>
      <c r="E56" s="14">
        <f t="shared" si="4"/>
        <v>0</v>
      </c>
      <c r="I56" s="185">
        <f t="shared" si="35"/>
        <v>0</v>
      </c>
      <c r="J56" s="185">
        <f t="shared" si="36"/>
        <v>0</v>
      </c>
      <c r="K56" s="185">
        <f t="shared" si="37"/>
        <v>0</v>
      </c>
      <c r="L56" s="317">
        <f t="shared" si="5"/>
        <v>3</v>
      </c>
      <c r="M56" s="317">
        <f t="shared" si="22"/>
        <v>40</v>
      </c>
      <c r="N56" s="185">
        <f t="shared" si="23"/>
        <v>985086.95999999985</v>
      </c>
      <c r="O56" s="185">
        <f t="shared" si="24"/>
        <v>19533.41</v>
      </c>
      <c r="P56" s="185">
        <f t="shared" si="38"/>
        <v>36.900000000001455</v>
      </c>
      <c r="Q56" s="185">
        <f t="shared" si="25"/>
        <v>19496.509999999998</v>
      </c>
      <c r="R56" s="185">
        <f t="shared" si="6"/>
        <v>134.16999999999999</v>
      </c>
      <c r="S56" s="185">
        <f t="shared" si="7"/>
        <v>188.55</v>
      </c>
      <c r="T56" s="185">
        <f t="shared" si="8"/>
        <v>19856.129999999997</v>
      </c>
      <c r="U56" s="185">
        <f t="shared" si="39"/>
        <v>1049.9399999999987</v>
      </c>
      <c r="V56" s="185">
        <f t="shared" si="40"/>
        <v>799819.87</v>
      </c>
      <c r="W56" s="185">
        <f t="shared" si="41"/>
        <v>985050.05999999982</v>
      </c>
      <c r="X56" s="401" t="str">
        <f t="shared" si="26"/>
        <v xml:space="preserve"> </v>
      </c>
      <c r="Y56" s="185">
        <f t="shared" si="42"/>
        <v>967864.52999999991</v>
      </c>
      <c r="Z56" s="393">
        <f t="shared" si="9"/>
        <v>0.10625</v>
      </c>
      <c r="AA56" s="185">
        <f t="shared" si="10"/>
        <v>9113</v>
      </c>
      <c r="AB56" s="185">
        <f t="shared" si="11"/>
        <v>543.3700000000008</v>
      </c>
      <c r="AC56" s="185">
        <f t="shared" si="12"/>
        <v>8569.6299999999992</v>
      </c>
      <c r="AD56" s="185">
        <f t="shared" si="13"/>
        <v>134.16999999999999</v>
      </c>
      <c r="AE56" s="185">
        <f t="shared" si="14"/>
        <v>188.55</v>
      </c>
      <c r="AF56" s="185">
        <f t="shared" si="15"/>
        <v>9435.7199999999993</v>
      </c>
      <c r="AG56" s="185">
        <f t="shared" si="43"/>
        <v>18396.930000000008</v>
      </c>
      <c r="AH56" s="185">
        <f t="shared" si="44"/>
        <v>346123.07000000007</v>
      </c>
      <c r="AI56" s="411">
        <f t="shared" si="27"/>
        <v>406395.9899999997</v>
      </c>
      <c r="AJ56" s="411">
        <f t="shared" si="16"/>
        <v>17728.899999999907</v>
      </c>
      <c r="AK56" s="411"/>
      <c r="AL56" s="185">
        <f t="shared" si="45"/>
        <v>967321.15999999992</v>
      </c>
      <c r="AM56" s="317">
        <f t="shared" si="28"/>
        <v>3</v>
      </c>
      <c r="AN56" s="14">
        <f t="shared" si="18"/>
        <v>19533.41</v>
      </c>
      <c r="AO56" s="14">
        <f t="shared" si="46"/>
        <v>985050.06</v>
      </c>
      <c r="AP56" s="14">
        <f t="shared" si="19"/>
        <v>9113</v>
      </c>
      <c r="AS56" s="14">
        <f t="shared" si="20"/>
        <v>19533.41</v>
      </c>
      <c r="AT56" s="14">
        <f t="shared" si="30"/>
        <v>800869.81000000017</v>
      </c>
      <c r="AU56" s="185">
        <f t="shared" si="31"/>
        <v>2724.1826282206916</v>
      </c>
      <c r="AV56" s="185">
        <f t="shared" si="32"/>
        <v>106297.23391649737</v>
      </c>
    </row>
    <row r="57" spans="1:50">
      <c r="A57" s="401" t="str">
        <f t="shared" si="33"/>
        <v xml:space="preserve"> </v>
      </c>
      <c r="B57" s="185">
        <f t="shared" si="21"/>
        <v>0</v>
      </c>
      <c r="C57" s="14">
        <f t="shared" si="3"/>
        <v>0</v>
      </c>
      <c r="D57" s="14">
        <f t="shared" si="34"/>
        <v>0</v>
      </c>
      <c r="E57" s="14">
        <f t="shared" si="4"/>
        <v>0</v>
      </c>
      <c r="I57" s="185">
        <f t="shared" si="35"/>
        <v>0</v>
      </c>
      <c r="J57" s="185">
        <f t="shared" si="36"/>
        <v>0</v>
      </c>
      <c r="K57" s="185">
        <f t="shared" si="37"/>
        <v>0</v>
      </c>
      <c r="L57" s="317">
        <f t="shared" si="5"/>
        <v>3</v>
      </c>
      <c r="M57" s="317">
        <f t="shared" si="22"/>
        <v>41</v>
      </c>
      <c r="N57" s="185">
        <f t="shared" si="23"/>
        <v>985050.05999999982</v>
      </c>
      <c r="O57" s="185">
        <f t="shared" si="24"/>
        <v>19533.41</v>
      </c>
      <c r="P57" s="185">
        <f t="shared" si="38"/>
        <v>37.630000000001019</v>
      </c>
      <c r="Q57" s="185">
        <f t="shared" si="25"/>
        <v>19495.78</v>
      </c>
      <c r="R57" s="185">
        <f t="shared" si="6"/>
        <v>134.16999999999999</v>
      </c>
      <c r="S57" s="185">
        <f t="shared" si="7"/>
        <v>188.55</v>
      </c>
      <c r="T57" s="185">
        <f t="shared" si="8"/>
        <v>19856.129999999997</v>
      </c>
      <c r="U57" s="185">
        <f t="shared" si="39"/>
        <v>1087.5699999999997</v>
      </c>
      <c r="V57" s="185">
        <f t="shared" si="40"/>
        <v>819315.65</v>
      </c>
      <c r="W57" s="185">
        <f t="shared" si="41"/>
        <v>985012.42999999982</v>
      </c>
      <c r="X57" s="401" t="str">
        <f t="shared" si="26"/>
        <v xml:space="preserve"> </v>
      </c>
      <c r="Y57" s="185">
        <f t="shared" si="42"/>
        <v>967321.15999999992</v>
      </c>
      <c r="Z57" s="393">
        <f t="shared" si="9"/>
        <v>0.10625</v>
      </c>
      <c r="AA57" s="185">
        <f t="shared" si="10"/>
        <v>9113</v>
      </c>
      <c r="AB57" s="185">
        <f t="shared" si="11"/>
        <v>548.18000000000029</v>
      </c>
      <c r="AC57" s="185">
        <f t="shared" si="12"/>
        <v>8564.82</v>
      </c>
      <c r="AD57" s="185">
        <f t="shared" si="13"/>
        <v>134.16999999999999</v>
      </c>
      <c r="AE57" s="185">
        <f t="shared" si="14"/>
        <v>188.55</v>
      </c>
      <c r="AF57" s="185">
        <f t="shared" si="15"/>
        <v>9435.7199999999993</v>
      </c>
      <c r="AG57" s="185">
        <f t="shared" si="43"/>
        <v>18945.110000000008</v>
      </c>
      <c r="AH57" s="185">
        <f t="shared" si="44"/>
        <v>354687.89000000007</v>
      </c>
      <c r="AI57" s="411">
        <f t="shared" si="27"/>
        <v>416816.39999999967</v>
      </c>
      <c r="AJ57" s="411">
        <f t="shared" si="16"/>
        <v>18239.449999999953</v>
      </c>
      <c r="AK57" s="411"/>
      <c r="AL57" s="185">
        <f t="shared" si="45"/>
        <v>966772.97999999986</v>
      </c>
      <c r="AM57" s="317">
        <f t="shared" si="28"/>
        <v>3</v>
      </c>
      <c r="AN57" s="14">
        <f t="shared" si="18"/>
        <v>19533.41</v>
      </c>
      <c r="AO57" s="14">
        <f t="shared" si="46"/>
        <v>985012.43</v>
      </c>
      <c r="AP57" s="14">
        <f t="shared" si="19"/>
        <v>9113</v>
      </c>
      <c r="AS57" s="14">
        <f t="shared" si="20"/>
        <v>19533.41</v>
      </c>
      <c r="AT57" s="14">
        <f t="shared" si="30"/>
        <v>820403.2200000002</v>
      </c>
      <c r="AU57" s="185">
        <f t="shared" si="31"/>
        <v>2730.9930847912433</v>
      </c>
      <c r="AV57" s="185">
        <f t="shared" si="32"/>
        <v>109028.22700128861</v>
      </c>
    </row>
    <row r="58" spans="1:50">
      <c r="A58" s="401" t="str">
        <f t="shared" si="33"/>
        <v xml:space="preserve"> </v>
      </c>
      <c r="B58" s="185">
        <f t="shared" si="21"/>
        <v>0</v>
      </c>
      <c r="C58" s="14">
        <f t="shared" si="3"/>
        <v>0</v>
      </c>
      <c r="D58" s="14">
        <f t="shared" si="34"/>
        <v>0</v>
      </c>
      <c r="E58" s="14">
        <f t="shared" si="4"/>
        <v>0</v>
      </c>
      <c r="F58" s="14">
        <f>IF(C58=0,0,$T$9)</f>
        <v>0</v>
      </c>
      <c r="G58" s="14">
        <f>IF(D58=0,0,$T$10)</f>
        <v>0</v>
      </c>
      <c r="H58" s="14">
        <f>SUM(D58:G58)</f>
        <v>0</v>
      </c>
      <c r="I58" s="185">
        <f t="shared" si="35"/>
        <v>0</v>
      </c>
      <c r="J58" s="185">
        <f t="shared" si="36"/>
        <v>0</v>
      </c>
      <c r="K58" s="185">
        <f t="shared" si="37"/>
        <v>0</v>
      </c>
      <c r="L58" s="317">
        <f t="shared" si="5"/>
        <v>3</v>
      </c>
      <c r="M58" s="317">
        <f t="shared" si="22"/>
        <v>42</v>
      </c>
      <c r="N58" s="185">
        <f t="shared" si="23"/>
        <v>985012.42999999982</v>
      </c>
      <c r="O58" s="185">
        <f t="shared" si="24"/>
        <v>19533.41</v>
      </c>
      <c r="P58" s="185">
        <f t="shared" si="38"/>
        <v>38.369999999998981</v>
      </c>
      <c r="Q58" s="185">
        <f t="shared" si="25"/>
        <v>19495.04</v>
      </c>
      <c r="R58" s="185">
        <f t="shared" si="6"/>
        <v>134.16999999999999</v>
      </c>
      <c r="S58" s="185">
        <f t="shared" si="7"/>
        <v>188.55</v>
      </c>
      <c r="T58" s="185">
        <f t="shared" si="8"/>
        <v>19856.129999999997</v>
      </c>
      <c r="U58" s="185">
        <f t="shared" si="39"/>
        <v>1125.9399999999987</v>
      </c>
      <c r="V58" s="185">
        <f t="shared" si="40"/>
        <v>838810.69000000006</v>
      </c>
      <c r="W58" s="185">
        <f t="shared" si="41"/>
        <v>984974.05999999982</v>
      </c>
      <c r="X58" s="401" t="str">
        <f t="shared" si="26"/>
        <v xml:space="preserve"> </v>
      </c>
      <c r="Y58" s="185">
        <f t="shared" si="42"/>
        <v>966772.97999999986</v>
      </c>
      <c r="Z58" s="393">
        <f t="shared" si="9"/>
        <v>0.10625</v>
      </c>
      <c r="AA58" s="185">
        <f t="shared" si="10"/>
        <v>9113</v>
      </c>
      <c r="AB58" s="185">
        <f t="shared" si="11"/>
        <v>553.03000000000065</v>
      </c>
      <c r="AC58" s="185">
        <f t="shared" si="12"/>
        <v>8559.9699999999993</v>
      </c>
      <c r="AD58" s="185">
        <f t="shared" si="13"/>
        <v>134.16999999999999</v>
      </c>
      <c r="AE58" s="185">
        <f t="shared" si="14"/>
        <v>188.55</v>
      </c>
      <c r="AF58" s="185">
        <f t="shared" si="15"/>
        <v>9435.7199999999993</v>
      </c>
      <c r="AG58" s="185">
        <f t="shared" si="43"/>
        <v>19498.140000000007</v>
      </c>
      <c r="AH58" s="185">
        <f t="shared" si="44"/>
        <v>363247.86000000004</v>
      </c>
      <c r="AI58" s="411">
        <f t="shared" si="27"/>
        <v>427236.80999999965</v>
      </c>
      <c r="AJ58" s="411">
        <f t="shared" si="16"/>
        <v>18754.109999999986</v>
      </c>
      <c r="AK58" s="411"/>
      <c r="AL58" s="185">
        <f t="shared" si="45"/>
        <v>966219.94999999984</v>
      </c>
      <c r="AM58" s="317">
        <f t="shared" si="28"/>
        <v>3</v>
      </c>
      <c r="AN58" s="14">
        <f t="shared" si="18"/>
        <v>19533.41</v>
      </c>
      <c r="AO58" s="14">
        <f t="shared" si="46"/>
        <v>984974.06</v>
      </c>
      <c r="AP58" s="14">
        <f t="shared" si="19"/>
        <v>9113</v>
      </c>
      <c r="AS58" s="14">
        <f t="shared" si="20"/>
        <v>19533.41</v>
      </c>
      <c r="AT58" s="14">
        <f t="shared" si="30"/>
        <v>839936.63000000024</v>
      </c>
      <c r="AU58" s="185">
        <f t="shared" si="31"/>
        <v>2737.8205675032218</v>
      </c>
      <c r="AV58" s="185">
        <f t="shared" si="32"/>
        <v>111766.04756879184</v>
      </c>
    </row>
    <row r="59" spans="1:50">
      <c r="A59" s="401" t="str">
        <f t="shared" si="33"/>
        <v xml:space="preserve"> </v>
      </c>
      <c r="B59" s="185">
        <f t="shared" si="21"/>
        <v>0</v>
      </c>
      <c r="C59" s="14">
        <f t="shared" si="3"/>
        <v>0</v>
      </c>
      <c r="D59" s="14">
        <f t="shared" si="34"/>
        <v>0</v>
      </c>
      <c r="E59" s="14">
        <f t="shared" si="4"/>
        <v>0</v>
      </c>
      <c r="F59" s="14">
        <f t="shared" ref="F59:H74" si="47">+F58</f>
        <v>0</v>
      </c>
      <c r="G59" s="14">
        <f t="shared" si="47"/>
        <v>0</v>
      </c>
      <c r="H59" s="14">
        <f t="shared" si="47"/>
        <v>0</v>
      </c>
      <c r="I59" s="185">
        <f t="shared" si="35"/>
        <v>0</v>
      </c>
      <c r="J59" s="185">
        <f t="shared" si="36"/>
        <v>0</v>
      </c>
      <c r="K59" s="185">
        <f t="shared" si="37"/>
        <v>0</v>
      </c>
      <c r="L59" s="317">
        <f t="shared" si="5"/>
        <v>3</v>
      </c>
      <c r="M59" s="317">
        <f t="shared" si="22"/>
        <v>43</v>
      </c>
      <c r="N59" s="185">
        <f t="shared" si="23"/>
        <v>984974.05999999982</v>
      </c>
      <c r="O59" s="185">
        <f>IF($O$11&lt;=$A59,IF(+$W58&lt;=0,0,$O$8),0)</f>
        <v>19533.41</v>
      </c>
      <c r="P59" s="185">
        <f t="shared" si="38"/>
        <v>39.130000000001019</v>
      </c>
      <c r="Q59" s="185">
        <f t="shared" si="25"/>
        <v>19494.28</v>
      </c>
      <c r="R59" s="185">
        <f t="shared" si="6"/>
        <v>134.16999999999999</v>
      </c>
      <c r="S59" s="185">
        <f t="shared" si="7"/>
        <v>188.55</v>
      </c>
      <c r="T59" s="185">
        <f>SUM(P59:S59)</f>
        <v>19856.129999999997</v>
      </c>
      <c r="U59" s="185">
        <f t="shared" si="39"/>
        <v>1165.0699999999997</v>
      </c>
      <c r="V59" s="185">
        <f t="shared" si="40"/>
        <v>858304.97000000009</v>
      </c>
      <c r="W59" s="185">
        <f t="shared" si="41"/>
        <v>984934.92999999982</v>
      </c>
      <c r="X59" s="401" t="str">
        <f t="shared" si="26"/>
        <v xml:space="preserve"> </v>
      </c>
      <c r="Y59" s="185">
        <f t="shared" si="42"/>
        <v>966219.94999999984</v>
      </c>
      <c r="Z59" s="393">
        <f t="shared" si="9"/>
        <v>0.10625</v>
      </c>
      <c r="AA59" s="185">
        <f t="shared" si="10"/>
        <v>9113</v>
      </c>
      <c r="AB59" s="185">
        <f t="shared" si="11"/>
        <v>557.93000000000029</v>
      </c>
      <c r="AC59" s="185">
        <f t="shared" si="12"/>
        <v>8555.07</v>
      </c>
      <c r="AD59" s="185">
        <f t="shared" si="13"/>
        <v>134.16999999999999</v>
      </c>
      <c r="AE59" s="185">
        <f t="shared" si="14"/>
        <v>188.55</v>
      </c>
      <c r="AF59" s="185">
        <f t="shared" si="15"/>
        <v>9435.7199999999993</v>
      </c>
      <c r="AG59" s="185">
        <f t="shared" si="43"/>
        <v>20056.070000000007</v>
      </c>
      <c r="AH59" s="185">
        <f t="shared" si="44"/>
        <v>371802.93000000005</v>
      </c>
      <c r="AI59" s="411">
        <f t="shared" si="27"/>
        <v>437657.21999999962</v>
      </c>
      <c r="AJ59" s="411">
        <f t="shared" si="16"/>
        <v>19272.910000000033</v>
      </c>
      <c r="AK59" s="411"/>
      <c r="AL59" s="185">
        <f t="shared" si="45"/>
        <v>965662.01999999979</v>
      </c>
      <c r="AM59" s="317">
        <f t="shared" si="28"/>
        <v>3</v>
      </c>
      <c r="AN59" s="14">
        <f t="shared" si="18"/>
        <v>19533.41</v>
      </c>
      <c r="AO59" s="14">
        <f t="shared" si="46"/>
        <v>984934.93</v>
      </c>
      <c r="AP59" s="14">
        <f t="shared" si="19"/>
        <v>9113</v>
      </c>
      <c r="AS59" s="14">
        <f t="shared" si="20"/>
        <v>19533.41</v>
      </c>
      <c r="AT59" s="14">
        <f t="shared" si="30"/>
        <v>859470.04000000027</v>
      </c>
      <c r="AU59" s="185">
        <f t="shared" si="31"/>
        <v>2744.6651189219792</v>
      </c>
      <c r="AV59" s="185">
        <f t="shared" si="32"/>
        <v>114510.71268771382</v>
      </c>
    </row>
    <row r="60" spans="1:50">
      <c r="A60" s="401" t="str">
        <f t="shared" si="33"/>
        <v xml:space="preserve"> </v>
      </c>
      <c r="B60" s="185">
        <f t="shared" si="21"/>
        <v>0</v>
      </c>
      <c r="C60" s="14">
        <f t="shared" si="3"/>
        <v>0</v>
      </c>
      <c r="D60" s="14">
        <f t="shared" si="34"/>
        <v>0</v>
      </c>
      <c r="E60" s="14">
        <f t="shared" si="4"/>
        <v>0</v>
      </c>
      <c r="F60" s="14">
        <f t="shared" si="47"/>
        <v>0</v>
      </c>
      <c r="G60" s="14">
        <f t="shared" si="47"/>
        <v>0</v>
      </c>
      <c r="H60" s="14">
        <f t="shared" ref="H60:H123" si="48">SUM(D60:G60)</f>
        <v>0</v>
      </c>
      <c r="I60" s="185">
        <f t="shared" si="35"/>
        <v>0</v>
      </c>
      <c r="J60" s="185">
        <f t="shared" si="36"/>
        <v>0</v>
      </c>
      <c r="K60" s="185">
        <f t="shared" si="37"/>
        <v>0</v>
      </c>
      <c r="L60" s="317">
        <f t="shared" si="5"/>
        <v>3</v>
      </c>
      <c r="M60" s="317">
        <f t="shared" si="22"/>
        <v>44</v>
      </c>
      <c r="N60" s="185">
        <f t="shared" si="23"/>
        <v>984934.92999999982</v>
      </c>
      <c r="O60" s="185">
        <f>IF($O$11&lt;=A60,IF(+$W59&lt;=0,0,$O$8),0)</f>
        <v>19533.41</v>
      </c>
      <c r="P60" s="185">
        <f t="shared" si="38"/>
        <v>39.909999999999854</v>
      </c>
      <c r="Q60" s="185">
        <f t="shared" si="25"/>
        <v>19493.5</v>
      </c>
      <c r="R60" s="185">
        <f t="shared" si="6"/>
        <v>134.16999999999999</v>
      </c>
      <c r="S60" s="185">
        <f t="shared" si="7"/>
        <v>188.55</v>
      </c>
      <c r="T60" s="185">
        <f t="shared" ref="T60:T123" si="49">SUM(P60:S60)</f>
        <v>19856.129999999997</v>
      </c>
      <c r="U60" s="185">
        <f t="shared" si="39"/>
        <v>1204.9799999999996</v>
      </c>
      <c r="V60" s="185">
        <f t="shared" si="40"/>
        <v>877798.47000000009</v>
      </c>
      <c r="W60" s="185">
        <f t="shared" si="41"/>
        <v>984895.01999999979</v>
      </c>
      <c r="X60" s="401" t="str">
        <f t="shared" si="26"/>
        <v xml:space="preserve"> </v>
      </c>
      <c r="Y60" s="185">
        <f>IF(+AL59&lt;0,0,+AL59)</f>
        <v>965662.01999999979</v>
      </c>
      <c r="Z60" s="393">
        <f t="shared" si="9"/>
        <v>0.10625</v>
      </c>
      <c r="AA60" s="185">
        <f t="shared" si="10"/>
        <v>9113</v>
      </c>
      <c r="AB60" s="185">
        <f t="shared" si="11"/>
        <v>562.8700000000008</v>
      </c>
      <c r="AC60" s="185">
        <f t="shared" si="12"/>
        <v>8550.1299999999992</v>
      </c>
      <c r="AD60" s="185">
        <f t="shared" si="13"/>
        <v>134.16999999999999</v>
      </c>
      <c r="AE60" s="185">
        <f t="shared" si="14"/>
        <v>188.55</v>
      </c>
      <c r="AF60" s="185">
        <f t="shared" si="15"/>
        <v>9435.7199999999993</v>
      </c>
      <c r="AG60" s="185">
        <f t="shared" si="43"/>
        <v>20618.94000000001</v>
      </c>
      <c r="AH60" s="185">
        <f t="shared" si="44"/>
        <v>380353.06000000006</v>
      </c>
      <c r="AI60" s="411">
        <f>O60-AA60+AI59</f>
        <v>448077.6299999996</v>
      </c>
      <c r="AJ60" s="411">
        <f t="shared" si="16"/>
        <v>19795.869999999995</v>
      </c>
      <c r="AK60" s="411">
        <f>SUM(AI60:AJ60)</f>
        <v>467873.49999999959</v>
      </c>
      <c r="AL60" s="185">
        <f>+Y60-AB60</f>
        <v>965099.14999999979</v>
      </c>
      <c r="AM60" s="317">
        <f t="shared" si="28"/>
        <v>3</v>
      </c>
      <c r="AN60" s="14">
        <f>IF($O60=0,0,+$O60-$C60)</f>
        <v>19533.41</v>
      </c>
      <c r="AO60" s="14">
        <f t="shared" si="46"/>
        <v>984895.02</v>
      </c>
      <c r="AP60" s="14">
        <f>IF($O60=0,0,+AA60-$C60)</f>
        <v>9113</v>
      </c>
      <c r="AR60">
        <v>120.14</v>
      </c>
      <c r="AS60" s="14">
        <f t="shared" si="20"/>
        <v>19413.27</v>
      </c>
      <c r="AT60" s="14">
        <f t="shared" si="30"/>
        <v>878883.31000000029</v>
      </c>
      <c r="AU60" s="185">
        <f t="shared" si="31"/>
        <v>2751.5267817192848</v>
      </c>
      <c r="AV60" s="185">
        <f t="shared" si="32"/>
        <v>117262.2394694331</v>
      </c>
      <c r="AX60" s="373"/>
    </row>
    <row r="61" spans="1:50">
      <c r="A61" s="401" t="str">
        <f t="shared" si="33"/>
        <v xml:space="preserve"> </v>
      </c>
      <c r="B61" s="185">
        <f t="shared" si="21"/>
        <v>0</v>
      </c>
      <c r="C61" s="14">
        <f t="shared" si="3"/>
        <v>0</v>
      </c>
      <c r="D61" s="14">
        <f t="shared" si="34"/>
        <v>0</v>
      </c>
      <c r="E61" s="14">
        <f t="shared" si="4"/>
        <v>0</v>
      </c>
      <c r="F61" s="14">
        <f t="shared" si="47"/>
        <v>0</v>
      </c>
      <c r="G61" s="14">
        <f t="shared" si="47"/>
        <v>0</v>
      </c>
      <c r="H61" s="14">
        <f t="shared" si="48"/>
        <v>0</v>
      </c>
      <c r="I61" s="185">
        <f t="shared" si="35"/>
        <v>0</v>
      </c>
      <c r="J61" s="185">
        <f t="shared" si="36"/>
        <v>0</v>
      </c>
      <c r="K61" s="185">
        <f t="shared" si="37"/>
        <v>0</v>
      </c>
      <c r="L61" s="317">
        <f t="shared" si="5"/>
        <v>3</v>
      </c>
      <c r="M61" s="317">
        <f t="shared" si="22"/>
        <v>45</v>
      </c>
      <c r="N61" s="185">
        <f t="shared" si="23"/>
        <v>984895.01999999979</v>
      </c>
      <c r="O61" s="185">
        <f>IF($O$11&lt;=A61,IF(+$W60&lt;=0,0,$O$8),0)</f>
        <v>19533.41</v>
      </c>
      <c r="P61" s="185">
        <f t="shared" si="38"/>
        <v>40.700000000000728</v>
      </c>
      <c r="Q61" s="185">
        <f t="shared" si="25"/>
        <v>19492.71</v>
      </c>
      <c r="R61" s="185">
        <f t="shared" si="6"/>
        <v>134.16999999999999</v>
      </c>
      <c r="S61" s="185">
        <f t="shared" si="7"/>
        <v>188.55</v>
      </c>
      <c r="T61" s="185">
        <f t="shared" si="49"/>
        <v>19856.129999999997</v>
      </c>
      <c r="U61" s="185">
        <f t="shared" si="39"/>
        <v>1245.6800000000003</v>
      </c>
      <c r="V61" s="185">
        <f t="shared" si="40"/>
        <v>897291.18</v>
      </c>
      <c r="W61" s="185">
        <f t="shared" si="41"/>
        <v>984854.31999999983</v>
      </c>
      <c r="X61" s="401" t="str">
        <f t="shared" si="26"/>
        <v xml:space="preserve"> </v>
      </c>
      <c r="Y61" s="185">
        <f>IF(+AL60&lt;0,0,+AL60)</f>
        <v>965099.14999999979</v>
      </c>
      <c r="Z61" s="393">
        <f t="shared" si="9"/>
        <v>0.10625</v>
      </c>
      <c r="AA61" s="185">
        <f t="shared" si="10"/>
        <v>9113</v>
      </c>
      <c r="AB61" s="185">
        <f t="shared" si="11"/>
        <v>567.85000000000036</v>
      </c>
      <c r="AC61" s="185">
        <f t="shared" si="12"/>
        <v>8545.15</v>
      </c>
      <c r="AD61" s="185">
        <f t="shared" ref="AD61:AE76" si="50">+AD60</f>
        <v>134.16999999999999</v>
      </c>
      <c r="AE61" s="185">
        <f t="shared" si="50"/>
        <v>188.55</v>
      </c>
      <c r="AF61" s="185">
        <f t="shared" si="15"/>
        <v>9435.7199999999993</v>
      </c>
      <c r="AG61" s="185">
        <f t="shared" si="43"/>
        <v>21186.790000000008</v>
      </c>
      <c r="AH61" s="185">
        <f t="shared" si="44"/>
        <v>388898.21000000008</v>
      </c>
      <c r="AI61" s="411">
        <f t="shared" ref="AI61:AI124" si="51">O61-AA61+AI60</f>
        <v>458498.03999999957</v>
      </c>
      <c r="AJ61" s="411">
        <f t="shared" si="16"/>
        <v>20323.020000000019</v>
      </c>
      <c r="AK61" s="411">
        <f t="shared" ref="AK61:AK124" si="52">SUM(AI61:AJ61)</f>
        <v>478821.05999999959</v>
      </c>
      <c r="AL61" s="185">
        <f>+Y61-AB61</f>
        <v>964531.29999999981</v>
      </c>
      <c r="AM61" s="317">
        <f t="shared" si="28"/>
        <v>3</v>
      </c>
      <c r="AN61" s="14">
        <f t="shared" ref="AN61:AN124" si="53">IF(O61=0,0,+O61-C61)</f>
        <v>19533.41</v>
      </c>
      <c r="AO61" s="14">
        <f t="shared" si="46"/>
        <v>984854.32</v>
      </c>
      <c r="AP61" s="14">
        <f t="shared" ref="AP61:AP124" si="54">IF($O61=0,0,+AA61-$C61)</f>
        <v>9113</v>
      </c>
      <c r="AR61">
        <v>120.14</v>
      </c>
      <c r="AS61" s="14">
        <f t="shared" si="20"/>
        <v>19413.27</v>
      </c>
      <c r="AT61" s="14">
        <f t="shared" si="30"/>
        <v>898296.58000000031</v>
      </c>
      <c r="AU61" s="185">
        <f t="shared" si="31"/>
        <v>2758.4055986735825</v>
      </c>
      <c r="AV61" s="185">
        <f t="shared" si="32"/>
        <v>120020.64506810668</v>
      </c>
    </row>
    <row r="62" spans="1:50">
      <c r="A62" s="401" t="str">
        <f t="shared" si="33"/>
        <v xml:space="preserve"> </v>
      </c>
      <c r="B62" s="185">
        <f t="shared" si="21"/>
        <v>0</v>
      </c>
      <c r="C62" s="14">
        <f t="shared" si="3"/>
        <v>0</v>
      </c>
      <c r="D62" s="14">
        <f t="shared" si="34"/>
        <v>0</v>
      </c>
      <c r="E62" s="14">
        <f t="shared" si="4"/>
        <v>0</v>
      </c>
      <c r="F62" s="14">
        <f t="shared" si="47"/>
        <v>0</v>
      </c>
      <c r="G62" s="14">
        <f t="shared" si="47"/>
        <v>0</v>
      </c>
      <c r="H62" s="14">
        <f t="shared" si="48"/>
        <v>0</v>
      </c>
      <c r="I62" s="185">
        <f t="shared" si="35"/>
        <v>0</v>
      </c>
      <c r="J62" s="185">
        <f t="shared" si="36"/>
        <v>0</v>
      </c>
      <c r="K62" s="185">
        <f t="shared" si="37"/>
        <v>0</v>
      </c>
      <c r="L62" s="317">
        <f t="shared" si="5"/>
        <v>3</v>
      </c>
      <c r="M62" s="317">
        <f t="shared" si="22"/>
        <v>46</v>
      </c>
      <c r="N62" s="185">
        <f t="shared" si="23"/>
        <v>984854.31999999983</v>
      </c>
      <c r="O62" s="185">
        <f>IF($O11&lt;=$A62,IF(+W61&lt;=0,0,O$8),0)</f>
        <v>19533.41</v>
      </c>
      <c r="P62" s="185">
        <f t="shared" si="38"/>
        <v>41.5</v>
      </c>
      <c r="Q62" s="185">
        <f>IF($O$11&lt;=$A62,ROUND(N62*(O$7/12),2),0)</f>
        <v>19491.91</v>
      </c>
      <c r="R62" s="185">
        <f t="shared" si="6"/>
        <v>134.16999999999999</v>
      </c>
      <c r="S62" s="185">
        <f t="shared" si="7"/>
        <v>188.55</v>
      </c>
      <c r="T62" s="185">
        <f t="shared" si="49"/>
        <v>19856.129999999997</v>
      </c>
      <c r="U62" s="185">
        <f t="shared" si="39"/>
        <v>1287.1800000000003</v>
      </c>
      <c r="V62" s="185">
        <f t="shared" si="40"/>
        <v>916783.09000000008</v>
      </c>
      <c r="W62" s="185">
        <f t="shared" si="41"/>
        <v>984812.81999999983</v>
      </c>
      <c r="X62" s="401" t="str">
        <f t="shared" si="26"/>
        <v xml:space="preserve"> </v>
      </c>
      <c r="Y62" s="185">
        <f>IF(+AL61&lt;0,0,+AL61)</f>
        <v>964531.29999999981</v>
      </c>
      <c r="Z62" s="393">
        <f t="shared" si="9"/>
        <v>0.10625</v>
      </c>
      <c r="AA62" s="185">
        <f t="shared" si="10"/>
        <v>9113</v>
      </c>
      <c r="AB62" s="185">
        <f t="shared" si="11"/>
        <v>572.8799999999992</v>
      </c>
      <c r="AC62" s="185">
        <f t="shared" si="12"/>
        <v>8540.1200000000008</v>
      </c>
      <c r="AD62" s="185">
        <f t="shared" si="50"/>
        <v>134.16999999999999</v>
      </c>
      <c r="AE62" s="185">
        <f t="shared" si="50"/>
        <v>188.55</v>
      </c>
      <c r="AF62" s="185">
        <f t="shared" si="15"/>
        <v>9435.7199999999993</v>
      </c>
      <c r="AG62" s="185">
        <f t="shared" si="43"/>
        <v>21759.670000000006</v>
      </c>
      <c r="AH62" s="185">
        <f t="shared" si="44"/>
        <v>397438.33000000007</v>
      </c>
      <c r="AI62" s="411">
        <f t="shared" si="51"/>
        <v>468918.44999999955</v>
      </c>
      <c r="AJ62" s="411">
        <f t="shared" si="16"/>
        <v>20854.400000000023</v>
      </c>
      <c r="AK62" s="411">
        <f t="shared" si="52"/>
        <v>489772.84999999957</v>
      </c>
      <c r="AL62" s="185">
        <f>+Y62-AB62</f>
        <v>963958.41999999981</v>
      </c>
      <c r="AM62" s="317">
        <f t="shared" si="28"/>
        <v>3</v>
      </c>
      <c r="AN62" s="14">
        <f>IF(O62=0,0,+O62-C62)</f>
        <v>19533.41</v>
      </c>
      <c r="AO62" s="14">
        <f t="shared" si="46"/>
        <v>984812.82</v>
      </c>
      <c r="AP62" s="14">
        <f t="shared" si="54"/>
        <v>9113</v>
      </c>
      <c r="AR62">
        <v>120.14</v>
      </c>
      <c r="AS62" s="14">
        <f t="shared" si="20"/>
        <v>19413.27</v>
      </c>
      <c r="AT62" s="14">
        <f t="shared" si="30"/>
        <v>917709.85000000033</v>
      </c>
      <c r="AU62" s="185">
        <f t="shared" si="31"/>
        <v>2765.3016126702664</v>
      </c>
      <c r="AV62" s="185">
        <f t="shared" si="32"/>
        <v>122785.94668077695</v>
      </c>
    </row>
    <row r="63" spans="1:50" ht="15.75" thickBot="1">
      <c r="A63" s="404" t="str">
        <f t="shared" si="33"/>
        <v xml:space="preserve"> </v>
      </c>
      <c r="B63" s="237">
        <f t="shared" si="21"/>
        <v>0</v>
      </c>
      <c r="C63" s="21">
        <f t="shared" si="3"/>
        <v>0</v>
      </c>
      <c r="D63" s="21">
        <f t="shared" si="34"/>
        <v>0</v>
      </c>
      <c r="E63" s="21">
        <f t="shared" si="4"/>
        <v>0</v>
      </c>
      <c r="F63" s="21">
        <f t="shared" si="47"/>
        <v>0</v>
      </c>
      <c r="G63" s="21">
        <f t="shared" si="47"/>
        <v>0</v>
      </c>
      <c r="H63" s="21">
        <f t="shared" si="48"/>
        <v>0</v>
      </c>
      <c r="I63" s="237">
        <f t="shared" si="35"/>
        <v>0</v>
      </c>
      <c r="J63" s="237">
        <f t="shared" si="36"/>
        <v>0</v>
      </c>
      <c r="K63" s="237">
        <f t="shared" si="37"/>
        <v>0</v>
      </c>
      <c r="L63" s="318">
        <f t="shared" si="5"/>
        <v>3</v>
      </c>
      <c r="M63" s="318">
        <f t="shared" si="22"/>
        <v>47</v>
      </c>
      <c r="N63" s="237">
        <f t="shared" si="23"/>
        <v>984812.81999999983</v>
      </c>
      <c r="O63" s="237">
        <f t="shared" ref="O63:O126" si="55">IF($O$11&lt;=A63,IF(+$W62&lt;=0,0,$O$8),0)</f>
        <v>19533.41</v>
      </c>
      <c r="P63" s="237">
        <f t="shared" si="38"/>
        <v>42.319999999999709</v>
      </c>
      <c r="Q63" s="237">
        <f t="shared" ref="Q63:Q126" si="56">IF($O$11&lt;=A63,ROUND(N63*($O$7/12),2),0)</f>
        <v>19491.09</v>
      </c>
      <c r="R63" s="237">
        <f t="shared" si="6"/>
        <v>134.16999999999999</v>
      </c>
      <c r="S63" s="237">
        <f t="shared" ref="S63:S126" si="57">+S62</f>
        <v>188.55</v>
      </c>
      <c r="T63" s="237">
        <f t="shared" si="49"/>
        <v>19856.129999999997</v>
      </c>
      <c r="U63" s="237">
        <f t="shared" si="39"/>
        <v>1329.5</v>
      </c>
      <c r="V63" s="237">
        <f t="shared" si="40"/>
        <v>936274.18</v>
      </c>
      <c r="W63" s="237">
        <f t="shared" si="41"/>
        <v>984770.49999999988</v>
      </c>
      <c r="X63" s="404" t="str">
        <f t="shared" si="26"/>
        <v xml:space="preserve"> </v>
      </c>
      <c r="Y63" s="237">
        <f t="shared" ref="Y63:Y126" si="58">IF(+AL62&lt;0,0,+AL62)</f>
        <v>963958.41999999981</v>
      </c>
      <c r="Z63" s="394">
        <f t="shared" si="9"/>
        <v>0.10625</v>
      </c>
      <c r="AA63" s="237">
        <f t="shared" si="10"/>
        <v>9113</v>
      </c>
      <c r="AB63" s="237">
        <f t="shared" si="11"/>
        <v>577.95000000000073</v>
      </c>
      <c r="AC63" s="237">
        <f t="shared" si="12"/>
        <v>8535.0499999999993</v>
      </c>
      <c r="AD63" s="237">
        <f t="shared" si="50"/>
        <v>134.16999999999999</v>
      </c>
      <c r="AE63" s="237">
        <f t="shared" si="50"/>
        <v>188.55</v>
      </c>
      <c r="AF63" s="237">
        <f t="shared" si="15"/>
        <v>9435.7199999999993</v>
      </c>
      <c r="AG63" s="237">
        <f t="shared" si="43"/>
        <v>22337.620000000006</v>
      </c>
      <c r="AH63" s="237">
        <f t="shared" si="44"/>
        <v>405973.38000000006</v>
      </c>
      <c r="AI63" s="412">
        <f t="shared" si="51"/>
        <v>479338.85999999952</v>
      </c>
      <c r="AJ63" s="412">
        <f t="shared" si="16"/>
        <v>21390.030000000028</v>
      </c>
      <c r="AK63" s="412">
        <f t="shared" si="52"/>
        <v>500728.88999999955</v>
      </c>
      <c r="AL63" s="237">
        <f t="shared" ref="AL63:AL126" si="59">+Y63-AB63</f>
        <v>963380.46999999986</v>
      </c>
      <c r="AM63" s="318">
        <f t="shared" si="28"/>
        <v>3</v>
      </c>
      <c r="AN63" s="21">
        <f t="shared" si="53"/>
        <v>19533.41</v>
      </c>
      <c r="AO63" s="21">
        <f t="shared" si="46"/>
        <v>984770.5</v>
      </c>
      <c r="AP63" s="21">
        <f t="shared" si="54"/>
        <v>9113</v>
      </c>
      <c r="AR63">
        <v>120.14</v>
      </c>
      <c r="AS63" s="21">
        <f t="shared" si="20"/>
        <v>19413.27</v>
      </c>
      <c r="AT63" s="21">
        <f t="shared" si="30"/>
        <v>937123.12000000034</v>
      </c>
      <c r="AU63" s="237">
        <f t="shared" si="31"/>
        <v>2772.2148667019424</v>
      </c>
      <c r="AV63" s="237">
        <f t="shared" si="32"/>
        <v>125558.16154747889</v>
      </c>
    </row>
    <row r="64" spans="1:50">
      <c r="A64" s="401" t="str">
        <f t="shared" si="33"/>
        <v xml:space="preserve"> </v>
      </c>
      <c r="B64" s="185">
        <f t="shared" si="21"/>
        <v>0</v>
      </c>
      <c r="C64" s="14">
        <f t="shared" si="3"/>
        <v>0</v>
      </c>
      <c r="D64" s="14">
        <f t="shared" si="34"/>
        <v>0</v>
      </c>
      <c r="E64" s="14">
        <f t="shared" si="4"/>
        <v>0</v>
      </c>
      <c r="F64" s="14">
        <f t="shared" si="47"/>
        <v>0</v>
      </c>
      <c r="G64" s="14">
        <f t="shared" si="47"/>
        <v>0</v>
      </c>
      <c r="H64" s="14">
        <f t="shared" si="48"/>
        <v>0</v>
      </c>
      <c r="I64" s="185">
        <f t="shared" si="35"/>
        <v>0</v>
      </c>
      <c r="J64" s="185">
        <f t="shared" si="36"/>
        <v>0</v>
      </c>
      <c r="K64" s="185">
        <f t="shared" si="37"/>
        <v>0</v>
      </c>
      <c r="L64" s="317">
        <f t="shared" si="5"/>
        <v>4</v>
      </c>
      <c r="M64" s="317">
        <f t="shared" si="22"/>
        <v>48</v>
      </c>
      <c r="N64" s="185">
        <f t="shared" si="23"/>
        <v>984770.49999999988</v>
      </c>
      <c r="O64" s="185">
        <f t="shared" si="55"/>
        <v>19533.41</v>
      </c>
      <c r="P64" s="185">
        <f t="shared" si="38"/>
        <v>43.159999999999854</v>
      </c>
      <c r="Q64" s="185">
        <f t="shared" si="56"/>
        <v>19490.25</v>
      </c>
      <c r="R64" s="185">
        <f t="shared" ref="R64:S127" si="60">+R63</f>
        <v>134.16999999999999</v>
      </c>
      <c r="S64" s="185">
        <f t="shared" si="57"/>
        <v>188.55</v>
      </c>
      <c r="T64" s="185">
        <f t="shared" si="49"/>
        <v>19856.129999999997</v>
      </c>
      <c r="U64" s="185">
        <f t="shared" si="39"/>
        <v>1372.6599999999999</v>
      </c>
      <c r="V64" s="185">
        <f t="shared" si="40"/>
        <v>955764.43</v>
      </c>
      <c r="W64" s="185">
        <f t="shared" si="41"/>
        <v>984727.33999999985</v>
      </c>
      <c r="X64" s="401" t="str">
        <f t="shared" si="26"/>
        <v xml:space="preserve"> </v>
      </c>
      <c r="Y64" s="185">
        <f t="shared" si="58"/>
        <v>963380.46999999986</v>
      </c>
      <c r="Z64" s="393">
        <f t="shared" si="9"/>
        <v>0.10625</v>
      </c>
      <c r="AA64" s="185">
        <f t="shared" si="10"/>
        <v>9113</v>
      </c>
      <c r="AB64" s="185">
        <f t="shared" si="11"/>
        <v>583.06999999999971</v>
      </c>
      <c r="AC64" s="185">
        <f t="shared" si="12"/>
        <v>8529.93</v>
      </c>
      <c r="AD64" s="185">
        <f t="shared" si="50"/>
        <v>134.16999999999999</v>
      </c>
      <c r="AE64" s="185">
        <f t="shared" si="50"/>
        <v>188.55</v>
      </c>
      <c r="AF64" s="185">
        <f t="shared" si="15"/>
        <v>9435.7199999999993</v>
      </c>
      <c r="AG64" s="185">
        <f t="shared" si="43"/>
        <v>22920.690000000006</v>
      </c>
      <c r="AH64" s="185">
        <f t="shared" si="44"/>
        <v>414503.31000000006</v>
      </c>
      <c r="AI64" s="411">
        <f t="shared" si="51"/>
        <v>489759.26999999949</v>
      </c>
      <c r="AJ64" s="411">
        <f t="shared" si="16"/>
        <v>21929.939999999944</v>
      </c>
      <c r="AK64" s="411">
        <f t="shared" si="52"/>
        <v>511689.20999999944</v>
      </c>
      <c r="AL64" s="185">
        <f t="shared" si="59"/>
        <v>962797.39999999991</v>
      </c>
      <c r="AM64" s="317">
        <f t="shared" si="28"/>
        <v>4</v>
      </c>
      <c r="AN64" s="14">
        <f t="shared" si="53"/>
        <v>19533.41</v>
      </c>
      <c r="AO64" s="14">
        <f t="shared" si="46"/>
        <v>984727.34</v>
      </c>
      <c r="AP64" s="14">
        <f t="shared" si="54"/>
        <v>9113</v>
      </c>
      <c r="AS64" s="14">
        <f t="shared" si="20"/>
        <v>19533.41</v>
      </c>
      <c r="AT64" s="14">
        <f t="shared" si="30"/>
        <v>956656.53000000038</v>
      </c>
      <c r="AU64" s="185">
        <f t="shared" si="31"/>
        <v>2779.1454038686975</v>
      </c>
      <c r="AV64" s="185">
        <f t="shared" si="32"/>
        <v>128337.30695134758</v>
      </c>
    </row>
    <row r="65" spans="1:50">
      <c r="A65" s="401" t="str">
        <f t="shared" si="33"/>
        <v xml:space="preserve"> </v>
      </c>
      <c r="B65" s="185">
        <f t="shared" si="21"/>
        <v>0</v>
      </c>
      <c r="C65" s="14">
        <f t="shared" si="3"/>
        <v>0</v>
      </c>
      <c r="D65" s="14">
        <f t="shared" si="34"/>
        <v>0</v>
      </c>
      <c r="E65" s="14">
        <f t="shared" si="4"/>
        <v>0</v>
      </c>
      <c r="F65" s="14">
        <f t="shared" si="47"/>
        <v>0</v>
      </c>
      <c r="G65" s="14">
        <f t="shared" si="47"/>
        <v>0</v>
      </c>
      <c r="H65" s="14">
        <f t="shared" si="48"/>
        <v>0</v>
      </c>
      <c r="I65" s="185">
        <f t="shared" si="35"/>
        <v>0</v>
      </c>
      <c r="J65" s="185">
        <f t="shared" si="36"/>
        <v>0</v>
      </c>
      <c r="K65" s="185">
        <f t="shared" si="37"/>
        <v>0</v>
      </c>
      <c r="L65" s="317">
        <f t="shared" si="5"/>
        <v>4</v>
      </c>
      <c r="M65" s="317">
        <f t="shared" si="22"/>
        <v>49</v>
      </c>
      <c r="N65" s="185">
        <f t="shared" si="23"/>
        <v>984727.33999999985</v>
      </c>
      <c r="O65" s="185">
        <f t="shared" si="55"/>
        <v>19533.41</v>
      </c>
      <c r="P65" s="185">
        <f t="shared" si="38"/>
        <v>44.009999999998399</v>
      </c>
      <c r="Q65" s="185">
        <f t="shared" si="56"/>
        <v>19489.400000000001</v>
      </c>
      <c r="R65" s="185">
        <f t="shared" si="60"/>
        <v>134.16999999999999</v>
      </c>
      <c r="S65" s="185">
        <f t="shared" si="57"/>
        <v>188.55</v>
      </c>
      <c r="T65" s="185">
        <f t="shared" si="49"/>
        <v>19856.129999999997</v>
      </c>
      <c r="U65" s="185">
        <f t="shared" si="39"/>
        <v>1416.6699999999983</v>
      </c>
      <c r="V65" s="185">
        <f t="shared" si="40"/>
        <v>975253.83000000007</v>
      </c>
      <c r="W65" s="185">
        <f t="shared" si="41"/>
        <v>984683.32999999984</v>
      </c>
      <c r="X65" s="401" t="str">
        <f t="shared" si="26"/>
        <v xml:space="preserve"> </v>
      </c>
      <c r="Y65" s="185">
        <f t="shared" si="58"/>
        <v>962797.39999999991</v>
      </c>
      <c r="Z65" s="393">
        <f t="shared" si="9"/>
        <v>0.10625</v>
      </c>
      <c r="AA65" s="185">
        <f t="shared" si="10"/>
        <v>9113</v>
      </c>
      <c r="AB65" s="185">
        <f t="shared" si="11"/>
        <v>588.22999999999956</v>
      </c>
      <c r="AC65" s="185">
        <f t="shared" si="12"/>
        <v>8524.77</v>
      </c>
      <c r="AD65" s="185">
        <f t="shared" si="50"/>
        <v>134.16999999999999</v>
      </c>
      <c r="AE65" s="185">
        <f t="shared" si="50"/>
        <v>188.55</v>
      </c>
      <c r="AF65" s="185">
        <f t="shared" si="15"/>
        <v>9435.7199999999993</v>
      </c>
      <c r="AG65" s="185">
        <f t="shared" si="43"/>
        <v>23508.920000000006</v>
      </c>
      <c r="AH65" s="185">
        <f t="shared" si="44"/>
        <v>423028.08000000007</v>
      </c>
      <c r="AI65" s="411">
        <f t="shared" si="51"/>
        <v>500179.67999999947</v>
      </c>
      <c r="AJ65" s="411">
        <f t="shared" si="16"/>
        <v>22474.159999999916</v>
      </c>
      <c r="AK65" s="411">
        <f t="shared" si="52"/>
        <v>522653.83999999939</v>
      </c>
      <c r="AL65" s="185">
        <f t="shared" si="59"/>
        <v>962209.16999999993</v>
      </c>
      <c r="AM65" s="317">
        <f t="shared" si="28"/>
        <v>4</v>
      </c>
      <c r="AN65" s="14">
        <f t="shared" si="53"/>
        <v>19533.41</v>
      </c>
      <c r="AO65" s="14">
        <f t="shared" si="46"/>
        <v>984683.33</v>
      </c>
      <c r="AP65" s="14">
        <f t="shared" si="54"/>
        <v>9113</v>
      </c>
      <c r="AS65" s="14">
        <f t="shared" si="20"/>
        <v>19533.41</v>
      </c>
      <c r="AT65" s="14">
        <f t="shared" si="30"/>
        <v>976189.94000000041</v>
      </c>
      <c r="AU65" s="185">
        <f t="shared" si="31"/>
        <v>2786.0932673783686</v>
      </c>
      <c r="AV65" s="185">
        <f t="shared" si="32"/>
        <v>131123.40021872596</v>
      </c>
    </row>
    <row r="66" spans="1:50">
      <c r="A66" s="401" t="str">
        <f t="shared" si="33"/>
        <v xml:space="preserve"> </v>
      </c>
      <c r="B66" s="185">
        <f t="shared" si="21"/>
        <v>0</v>
      </c>
      <c r="C66" s="14">
        <f t="shared" si="3"/>
        <v>0</v>
      </c>
      <c r="D66" s="14">
        <f t="shared" si="34"/>
        <v>0</v>
      </c>
      <c r="E66" s="14">
        <f t="shared" si="4"/>
        <v>0</v>
      </c>
      <c r="F66" s="14">
        <f t="shared" si="47"/>
        <v>0</v>
      </c>
      <c r="G66" s="14">
        <f t="shared" si="47"/>
        <v>0</v>
      </c>
      <c r="H66" s="14">
        <f t="shared" si="48"/>
        <v>0</v>
      </c>
      <c r="I66" s="185">
        <f t="shared" si="35"/>
        <v>0</v>
      </c>
      <c r="J66" s="185">
        <f t="shared" si="36"/>
        <v>0</v>
      </c>
      <c r="K66" s="185">
        <f t="shared" si="37"/>
        <v>0</v>
      </c>
      <c r="L66" s="317">
        <f t="shared" si="5"/>
        <v>4</v>
      </c>
      <c r="M66" s="317">
        <f t="shared" si="22"/>
        <v>50</v>
      </c>
      <c r="N66" s="185">
        <f t="shared" si="23"/>
        <v>984683.32999999984</v>
      </c>
      <c r="O66" s="185">
        <f t="shared" si="55"/>
        <v>19533.41</v>
      </c>
      <c r="P66" s="185">
        <f t="shared" si="38"/>
        <v>44.889999999999418</v>
      </c>
      <c r="Q66" s="185">
        <f t="shared" si="56"/>
        <v>19488.52</v>
      </c>
      <c r="R66" s="185">
        <f t="shared" si="60"/>
        <v>134.16999999999999</v>
      </c>
      <c r="S66" s="185">
        <f t="shared" si="57"/>
        <v>188.55</v>
      </c>
      <c r="T66" s="185">
        <f t="shared" si="49"/>
        <v>19856.129999999997</v>
      </c>
      <c r="U66" s="185">
        <f t="shared" si="39"/>
        <v>1461.5599999999977</v>
      </c>
      <c r="V66" s="185">
        <f t="shared" si="40"/>
        <v>994742.35000000009</v>
      </c>
      <c r="W66" s="185">
        <f t="shared" si="41"/>
        <v>984638.43999999983</v>
      </c>
      <c r="X66" s="401" t="str">
        <f t="shared" si="26"/>
        <v xml:space="preserve"> </v>
      </c>
      <c r="Y66" s="185">
        <f t="shared" si="58"/>
        <v>962209.16999999993</v>
      </c>
      <c r="Z66" s="393">
        <f t="shared" si="9"/>
        <v>0.10625</v>
      </c>
      <c r="AA66" s="185">
        <f t="shared" si="10"/>
        <v>9113</v>
      </c>
      <c r="AB66" s="185">
        <f t="shared" si="11"/>
        <v>593.44000000000051</v>
      </c>
      <c r="AC66" s="185">
        <f t="shared" si="12"/>
        <v>8519.56</v>
      </c>
      <c r="AD66" s="185">
        <f t="shared" si="50"/>
        <v>134.16999999999999</v>
      </c>
      <c r="AE66" s="185">
        <f t="shared" si="50"/>
        <v>188.55</v>
      </c>
      <c r="AF66" s="185">
        <f t="shared" si="15"/>
        <v>9435.7199999999993</v>
      </c>
      <c r="AG66" s="185">
        <f t="shared" si="43"/>
        <v>24102.360000000008</v>
      </c>
      <c r="AH66" s="185">
        <f t="shared" si="44"/>
        <v>431547.64000000007</v>
      </c>
      <c r="AI66" s="411">
        <f t="shared" si="51"/>
        <v>510600.08999999944</v>
      </c>
      <c r="AJ66" s="411">
        <f t="shared" si="16"/>
        <v>23022.709999999846</v>
      </c>
      <c r="AK66" s="411">
        <f t="shared" si="52"/>
        <v>533622.79999999935</v>
      </c>
      <c r="AL66" s="185">
        <f t="shared" si="59"/>
        <v>961615.73</v>
      </c>
      <c r="AM66" s="317">
        <f t="shared" si="28"/>
        <v>4</v>
      </c>
      <c r="AN66" s="14">
        <f t="shared" si="53"/>
        <v>19533.41</v>
      </c>
      <c r="AO66" s="14">
        <f t="shared" si="46"/>
        <v>984638.44</v>
      </c>
      <c r="AP66" s="14">
        <f t="shared" si="54"/>
        <v>9113</v>
      </c>
      <c r="AS66" s="14">
        <f t="shared" si="20"/>
        <v>19533.41</v>
      </c>
      <c r="AT66" s="14">
        <f t="shared" si="30"/>
        <v>995723.35000000044</v>
      </c>
      <c r="AU66" s="185">
        <f t="shared" si="31"/>
        <v>2793.0585005468147</v>
      </c>
      <c r="AV66" s="185">
        <f t="shared" si="32"/>
        <v>133916.45871927278</v>
      </c>
    </row>
    <row r="67" spans="1:50">
      <c r="A67" s="401" t="str">
        <f t="shared" si="33"/>
        <v xml:space="preserve"> </v>
      </c>
      <c r="B67" s="185">
        <f t="shared" si="21"/>
        <v>0</v>
      </c>
      <c r="C67" s="14">
        <f t="shared" si="3"/>
        <v>0</v>
      </c>
      <c r="D67" s="14">
        <f t="shared" si="34"/>
        <v>0</v>
      </c>
      <c r="E67" s="14">
        <f t="shared" si="4"/>
        <v>0</v>
      </c>
      <c r="F67" s="14">
        <f t="shared" si="47"/>
        <v>0</v>
      </c>
      <c r="G67" s="14">
        <f t="shared" si="47"/>
        <v>0</v>
      </c>
      <c r="H67" s="14">
        <f t="shared" si="48"/>
        <v>0</v>
      </c>
      <c r="I67" s="185">
        <f t="shared" si="35"/>
        <v>0</v>
      </c>
      <c r="J67" s="185">
        <f t="shared" si="36"/>
        <v>0</v>
      </c>
      <c r="K67" s="185">
        <f t="shared" si="37"/>
        <v>0</v>
      </c>
      <c r="L67" s="317">
        <f t="shared" si="5"/>
        <v>4</v>
      </c>
      <c r="M67" s="317">
        <f t="shared" si="22"/>
        <v>51</v>
      </c>
      <c r="N67" s="185">
        <f t="shared" si="23"/>
        <v>984638.43999999983</v>
      </c>
      <c r="O67" s="185">
        <f t="shared" si="55"/>
        <v>19533.41</v>
      </c>
      <c r="P67" s="185">
        <f t="shared" si="38"/>
        <v>45.770000000000437</v>
      </c>
      <c r="Q67" s="185">
        <f t="shared" si="56"/>
        <v>19487.64</v>
      </c>
      <c r="R67" s="185">
        <f t="shared" si="60"/>
        <v>134.16999999999999</v>
      </c>
      <c r="S67" s="185">
        <f t="shared" si="57"/>
        <v>188.55</v>
      </c>
      <c r="T67" s="185">
        <f t="shared" si="49"/>
        <v>19856.129999999997</v>
      </c>
      <c r="U67" s="185">
        <f t="shared" si="39"/>
        <v>1507.3299999999981</v>
      </c>
      <c r="V67" s="185">
        <f t="shared" si="40"/>
        <v>1014229.9900000001</v>
      </c>
      <c r="W67" s="185">
        <f t="shared" si="41"/>
        <v>984592.66999999981</v>
      </c>
      <c r="X67" s="401" t="str">
        <f t="shared" si="26"/>
        <v xml:space="preserve"> </v>
      </c>
      <c r="Y67" s="185">
        <f t="shared" si="58"/>
        <v>961615.73</v>
      </c>
      <c r="Z67" s="393">
        <f t="shared" si="9"/>
        <v>0.10625</v>
      </c>
      <c r="AA67" s="185">
        <f t="shared" si="10"/>
        <v>9113</v>
      </c>
      <c r="AB67" s="185">
        <f t="shared" si="11"/>
        <v>598.69000000000051</v>
      </c>
      <c r="AC67" s="185">
        <f t="shared" si="12"/>
        <v>8514.31</v>
      </c>
      <c r="AD67" s="185">
        <f t="shared" si="50"/>
        <v>134.16999999999999</v>
      </c>
      <c r="AE67" s="185">
        <f t="shared" si="50"/>
        <v>188.55</v>
      </c>
      <c r="AF67" s="185">
        <f t="shared" si="15"/>
        <v>9435.7199999999993</v>
      </c>
      <c r="AG67" s="185">
        <f t="shared" si="43"/>
        <v>24701.05000000001</v>
      </c>
      <c r="AH67" s="185">
        <f t="shared" si="44"/>
        <v>440061.95000000007</v>
      </c>
      <c r="AI67" s="411">
        <f t="shared" si="51"/>
        <v>521020.49999999942</v>
      </c>
      <c r="AJ67" s="411">
        <f t="shared" si="16"/>
        <v>23575.629999999772</v>
      </c>
      <c r="AK67" s="411">
        <f t="shared" si="52"/>
        <v>544596.12999999919</v>
      </c>
      <c r="AL67" s="185">
        <f t="shared" si="59"/>
        <v>961017.04</v>
      </c>
      <c r="AM67" s="317">
        <f t="shared" si="28"/>
        <v>4</v>
      </c>
      <c r="AN67" s="14">
        <f t="shared" si="53"/>
        <v>19533.41</v>
      </c>
      <c r="AO67" s="14">
        <f t="shared" si="46"/>
        <v>984592.67</v>
      </c>
      <c r="AP67" s="14">
        <f t="shared" si="54"/>
        <v>9113</v>
      </c>
      <c r="AS67" s="14">
        <f t="shared" si="20"/>
        <v>19533.41</v>
      </c>
      <c r="AT67" s="14">
        <f t="shared" si="30"/>
        <v>1015256.7600000005</v>
      </c>
      <c r="AU67" s="185">
        <f t="shared" si="31"/>
        <v>2800.0411467981817</v>
      </c>
      <c r="AV67" s="185">
        <f t="shared" si="32"/>
        <v>136716.49986607095</v>
      </c>
    </row>
    <row r="68" spans="1:50">
      <c r="A68" s="401" t="str">
        <f t="shared" si="33"/>
        <v xml:space="preserve"> </v>
      </c>
      <c r="B68" s="185">
        <f t="shared" si="21"/>
        <v>0</v>
      </c>
      <c r="C68" s="14">
        <f t="shared" si="3"/>
        <v>0</v>
      </c>
      <c r="D68" s="14">
        <f t="shared" si="34"/>
        <v>0</v>
      </c>
      <c r="E68" s="14">
        <f t="shared" si="4"/>
        <v>0</v>
      </c>
      <c r="F68" s="14">
        <f t="shared" si="47"/>
        <v>0</v>
      </c>
      <c r="G68" s="14">
        <f t="shared" si="47"/>
        <v>0</v>
      </c>
      <c r="H68" s="14">
        <f t="shared" si="48"/>
        <v>0</v>
      </c>
      <c r="I68" s="185">
        <f t="shared" si="35"/>
        <v>0</v>
      </c>
      <c r="J68" s="185">
        <f t="shared" si="36"/>
        <v>0</v>
      </c>
      <c r="K68" s="185">
        <f t="shared" si="37"/>
        <v>0</v>
      </c>
      <c r="L68" s="317">
        <f t="shared" si="5"/>
        <v>4</v>
      </c>
      <c r="M68" s="317">
        <f t="shared" si="22"/>
        <v>52</v>
      </c>
      <c r="N68" s="185">
        <f t="shared" si="23"/>
        <v>984592.66999999981</v>
      </c>
      <c r="O68" s="185">
        <f t="shared" si="55"/>
        <v>19533.41</v>
      </c>
      <c r="P68" s="185">
        <f t="shared" si="38"/>
        <v>46.680000000000291</v>
      </c>
      <c r="Q68" s="185">
        <f t="shared" si="56"/>
        <v>19486.73</v>
      </c>
      <c r="R68" s="185">
        <f t="shared" si="60"/>
        <v>134.16999999999999</v>
      </c>
      <c r="S68" s="185">
        <f t="shared" si="57"/>
        <v>188.55</v>
      </c>
      <c r="T68" s="185">
        <f t="shared" si="49"/>
        <v>19856.129999999997</v>
      </c>
      <c r="U68" s="185">
        <f t="shared" si="39"/>
        <v>1554.0099999999984</v>
      </c>
      <c r="V68" s="185">
        <f t="shared" si="40"/>
        <v>1033716.7200000001</v>
      </c>
      <c r="W68" s="185">
        <f t="shared" si="41"/>
        <v>984545.98999999976</v>
      </c>
      <c r="X68" s="401" t="str">
        <f t="shared" si="26"/>
        <v xml:space="preserve"> </v>
      </c>
      <c r="Y68" s="185">
        <f t="shared" si="58"/>
        <v>961017.04</v>
      </c>
      <c r="Z68" s="393">
        <f t="shared" si="9"/>
        <v>0.10625</v>
      </c>
      <c r="AA68" s="185">
        <f t="shared" si="10"/>
        <v>9113</v>
      </c>
      <c r="AB68" s="185">
        <f t="shared" si="11"/>
        <v>603.98999999999978</v>
      </c>
      <c r="AC68" s="185">
        <f t="shared" si="12"/>
        <v>8509.01</v>
      </c>
      <c r="AD68" s="185">
        <f t="shared" si="50"/>
        <v>134.16999999999999</v>
      </c>
      <c r="AE68" s="185">
        <f t="shared" si="50"/>
        <v>188.55</v>
      </c>
      <c r="AF68" s="185">
        <f t="shared" si="15"/>
        <v>9435.7199999999993</v>
      </c>
      <c r="AG68" s="185">
        <f t="shared" si="43"/>
        <v>25305.040000000008</v>
      </c>
      <c r="AH68" s="185">
        <f t="shared" si="44"/>
        <v>448570.96000000008</v>
      </c>
      <c r="AI68" s="411">
        <f t="shared" si="51"/>
        <v>531440.90999999945</v>
      </c>
      <c r="AJ68" s="411">
        <f t="shared" si="16"/>
        <v>24132.939999999711</v>
      </c>
      <c r="AK68" s="411">
        <f t="shared" si="52"/>
        <v>555573.84999999916</v>
      </c>
      <c r="AL68" s="185">
        <f t="shared" si="59"/>
        <v>960413.05</v>
      </c>
      <c r="AM68" s="317">
        <f t="shared" si="28"/>
        <v>4</v>
      </c>
      <c r="AN68" s="14">
        <f t="shared" si="53"/>
        <v>19533.41</v>
      </c>
      <c r="AO68" s="14">
        <f t="shared" si="46"/>
        <v>984545.99</v>
      </c>
      <c r="AP68" s="14">
        <f t="shared" si="54"/>
        <v>9113</v>
      </c>
      <c r="AS68" s="14">
        <f t="shared" si="20"/>
        <v>19533.41</v>
      </c>
      <c r="AT68" s="14">
        <f t="shared" si="30"/>
        <v>1034790.1700000005</v>
      </c>
      <c r="AU68" s="185">
        <f t="shared" si="31"/>
        <v>2807.041249665177</v>
      </c>
      <c r="AV68" s="185">
        <f t="shared" si="32"/>
        <v>139523.54111573612</v>
      </c>
    </row>
    <row r="69" spans="1:50">
      <c r="A69" s="401" t="str">
        <f t="shared" si="33"/>
        <v xml:space="preserve"> </v>
      </c>
      <c r="B69" s="185">
        <f t="shared" si="21"/>
        <v>0</v>
      </c>
      <c r="C69" s="14">
        <f t="shared" si="3"/>
        <v>0</v>
      </c>
      <c r="D69" s="14">
        <f t="shared" si="34"/>
        <v>0</v>
      </c>
      <c r="E69" s="14">
        <f t="shared" si="4"/>
        <v>0</v>
      </c>
      <c r="F69" s="14">
        <f t="shared" si="47"/>
        <v>0</v>
      </c>
      <c r="G69" s="14">
        <f t="shared" si="47"/>
        <v>0</v>
      </c>
      <c r="H69" s="14">
        <f t="shared" si="48"/>
        <v>0</v>
      </c>
      <c r="I69" s="185">
        <f t="shared" si="35"/>
        <v>0</v>
      </c>
      <c r="J69" s="185">
        <f t="shared" si="36"/>
        <v>0</v>
      </c>
      <c r="K69" s="185">
        <f t="shared" si="37"/>
        <v>0</v>
      </c>
      <c r="L69" s="317">
        <f t="shared" si="5"/>
        <v>4</v>
      </c>
      <c r="M69" s="317">
        <f t="shared" si="22"/>
        <v>53</v>
      </c>
      <c r="N69" s="185">
        <f t="shared" si="23"/>
        <v>984545.98999999976</v>
      </c>
      <c r="O69" s="185">
        <f t="shared" si="55"/>
        <v>19533.41</v>
      </c>
      <c r="P69" s="185">
        <f t="shared" si="38"/>
        <v>47.599999999998545</v>
      </c>
      <c r="Q69" s="185">
        <f t="shared" si="56"/>
        <v>19485.810000000001</v>
      </c>
      <c r="R69" s="185">
        <f t="shared" si="60"/>
        <v>134.16999999999999</v>
      </c>
      <c r="S69" s="185">
        <f t="shared" si="57"/>
        <v>188.55</v>
      </c>
      <c r="T69" s="185">
        <f t="shared" si="49"/>
        <v>19856.129999999997</v>
      </c>
      <c r="U69" s="185">
        <f t="shared" si="39"/>
        <v>1601.6099999999969</v>
      </c>
      <c r="V69" s="185">
        <f t="shared" si="40"/>
        <v>1053202.53</v>
      </c>
      <c r="W69" s="185">
        <f t="shared" si="41"/>
        <v>984498.38999999978</v>
      </c>
      <c r="X69" s="401" t="str">
        <f t="shared" si="26"/>
        <v xml:space="preserve"> </v>
      </c>
      <c r="Y69" s="185">
        <f t="shared" si="58"/>
        <v>960413.05</v>
      </c>
      <c r="Z69" s="393">
        <f t="shared" si="9"/>
        <v>0.10625</v>
      </c>
      <c r="AA69" s="185">
        <f t="shared" si="10"/>
        <v>9113</v>
      </c>
      <c r="AB69" s="185">
        <f t="shared" si="11"/>
        <v>609.34000000000015</v>
      </c>
      <c r="AC69" s="185">
        <f t="shared" si="12"/>
        <v>8503.66</v>
      </c>
      <c r="AD69" s="185">
        <f t="shared" si="50"/>
        <v>134.16999999999999</v>
      </c>
      <c r="AE69" s="185">
        <f t="shared" si="50"/>
        <v>188.55</v>
      </c>
      <c r="AF69" s="185">
        <f t="shared" si="15"/>
        <v>9435.7199999999993</v>
      </c>
      <c r="AG69" s="185">
        <f t="shared" si="43"/>
        <v>25914.380000000008</v>
      </c>
      <c r="AH69" s="185">
        <f t="shared" si="44"/>
        <v>457074.62000000005</v>
      </c>
      <c r="AI69" s="411">
        <f t="shared" si="51"/>
        <v>541861.31999999948</v>
      </c>
      <c r="AJ69" s="411">
        <f t="shared" si="16"/>
        <v>24694.679999999702</v>
      </c>
      <c r="AK69" s="411">
        <f t="shared" si="52"/>
        <v>566555.99999999919</v>
      </c>
      <c r="AL69" s="185">
        <f t="shared" si="59"/>
        <v>959803.71000000008</v>
      </c>
      <c r="AM69" s="317">
        <f t="shared" si="28"/>
        <v>4</v>
      </c>
      <c r="AN69" s="14">
        <f t="shared" si="53"/>
        <v>19533.41</v>
      </c>
      <c r="AO69" s="14">
        <f t="shared" si="46"/>
        <v>984498.39</v>
      </c>
      <c r="AP69" s="14">
        <f t="shared" si="54"/>
        <v>9113</v>
      </c>
      <c r="AS69" s="14">
        <f t="shared" si="20"/>
        <v>19533.41</v>
      </c>
      <c r="AT69" s="14">
        <f t="shared" si="30"/>
        <v>1054323.5800000005</v>
      </c>
      <c r="AU69" s="185">
        <f t="shared" si="31"/>
        <v>2814.0588527893401</v>
      </c>
      <c r="AV69" s="185">
        <f t="shared" si="32"/>
        <v>142337.59996852546</v>
      </c>
    </row>
    <row r="70" spans="1:50">
      <c r="A70" s="401" t="str">
        <f t="shared" si="33"/>
        <v xml:space="preserve"> </v>
      </c>
      <c r="B70" s="185">
        <f t="shared" si="21"/>
        <v>0</v>
      </c>
      <c r="C70" s="14">
        <f t="shared" si="3"/>
        <v>0</v>
      </c>
      <c r="D70" s="14">
        <f t="shared" si="34"/>
        <v>0</v>
      </c>
      <c r="E70" s="14">
        <f t="shared" si="4"/>
        <v>0</v>
      </c>
      <c r="F70" s="14">
        <f t="shared" si="47"/>
        <v>0</v>
      </c>
      <c r="G70" s="14">
        <f t="shared" si="47"/>
        <v>0</v>
      </c>
      <c r="H70" s="14">
        <f t="shared" si="48"/>
        <v>0</v>
      </c>
      <c r="I70" s="185">
        <f t="shared" si="35"/>
        <v>0</v>
      </c>
      <c r="J70" s="185">
        <f t="shared" si="36"/>
        <v>0</v>
      </c>
      <c r="K70" s="185">
        <f t="shared" si="37"/>
        <v>0</v>
      </c>
      <c r="L70" s="317">
        <f t="shared" si="5"/>
        <v>4</v>
      </c>
      <c r="M70" s="317">
        <f t="shared" si="22"/>
        <v>54</v>
      </c>
      <c r="N70" s="185">
        <f t="shared" si="23"/>
        <v>984498.38999999978</v>
      </c>
      <c r="O70" s="185">
        <f t="shared" si="55"/>
        <v>19533.41</v>
      </c>
      <c r="P70" s="185">
        <f t="shared" si="38"/>
        <v>48.549999999999272</v>
      </c>
      <c r="Q70" s="185">
        <f t="shared" si="56"/>
        <v>19484.86</v>
      </c>
      <c r="R70" s="185">
        <f t="shared" si="60"/>
        <v>134.16999999999999</v>
      </c>
      <c r="S70" s="185">
        <f t="shared" si="57"/>
        <v>188.55</v>
      </c>
      <c r="T70" s="185">
        <f t="shared" si="49"/>
        <v>19856.129999999997</v>
      </c>
      <c r="U70" s="185">
        <f t="shared" si="39"/>
        <v>1650.1599999999962</v>
      </c>
      <c r="V70" s="185">
        <f t="shared" si="40"/>
        <v>1072687.3900000001</v>
      </c>
      <c r="W70" s="185">
        <f t="shared" si="41"/>
        <v>984449.83999999973</v>
      </c>
      <c r="X70" s="401" t="str">
        <f t="shared" si="26"/>
        <v xml:space="preserve"> </v>
      </c>
      <c r="Y70" s="185">
        <f t="shared" si="58"/>
        <v>959803.71000000008</v>
      </c>
      <c r="Z70" s="393">
        <f t="shared" si="9"/>
        <v>0.10625</v>
      </c>
      <c r="AA70" s="185">
        <f t="shared" si="10"/>
        <v>9113</v>
      </c>
      <c r="AB70" s="185">
        <f t="shared" si="11"/>
        <v>614.73999999999978</v>
      </c>
      <c r="AC70" s="185">
        <f t="shared" si="12"/>
        <v>8498.26</v>
      </c>
      <c r="AD70" s="185">
        <f t="shared" si="50"/>
        <v>134.16999999999999</v>
      </c>
      <c r="AE70" s="185">
        <f t="shared" si="50"/>
        <v>188.55</v>
      </c>
      <c r="AF70" s="185">
        <f t="shared" si="15"/>
        <v>9435.7199999999993</v>
      </c>
      <c r="AG70" s="185">
        <f t="shared" si="43"/>
        <v>26529.12000000001</v>
      </c>
      <c r="AH70" s="185">
        <f t="shared" si="44"/>
        <v>465572.88000000006</v>
      </c>
      <c r="AI70" s="411">
        <f t="shared" si="51"/>
        <v>552281.72999999952</v>
      </c>
      <c r="AJ70" s="411">
        <f t="shared" si="16"/>
        <v>25260.869999999646</v>
      </c>
      <c r="AK70" s="411">
        <f t="shared" si="52"/>
        <v>577542.59999999916</v>
      </c>
      <c r="AL70" s="185">
        <f t="shared" si="59"/>
        <v>959188.97000000009</v>
      </c>
      <c r="AM70" s="317">
        <f t="shared" si="28"/>
        <v>4</v>
      </c>
      <c r="AN70" s="14">
        <f t="shared" si="53"/>
        <v>19533.41</v>
      </c>
      <c r="AO70" s="14">
        <f t="shared" si="46"/>
        <v>984449.84</v>
      </c>
      <c r="AP70" s="14">
        <f t="shared" si="54"/>
        <v>9113</v>
      </c>
      <c r="AS70" s="14">
        <f t="shared" si="20"/>
        <v>19533.41</v>
      </c>
      <c r="AT70" s="14">
        <f t="shared" si="30"/>
        <v>1073856.9900000005</v>
      </c>
      <c r="AU70" s="185">
        <f t="shared" si="31"/>
        <v>2821.0939999213138</v>
      </c>
      <c r="AV70" s="185">
        <f t="shared" si="32"/>
        <v>145158.69396844678</v>
      </c>
    </row>
    <row r="71" spans="1:50">
      <c r="A71" s="401" t="str">
        <f t="shared" si="33"/>
        <v xml:space="preserve"> </v>
      </c>
      <c r="B71" s="185">
        <f t="shared" si="21"/>
        <v>0</v>
      </c>
      <c r="C71" s="14">
        <f t="shared" si="3"/>
        <v>0</v>
      </c>
      <c r="D71" s="14">
        <f t="shared" si="34"/>
        <v>0</v>
      </c>
      <c r="E71" s="14">
        <f t="shared" si="4"/>
        <v>0</v>
      </c>
      <c r="F71" s="14">
        <f t="shared" si="47"/>
        <v>0</v>
      </c>
      <c r="G71" s="14">
        <f t="shared" si="47"/>
        <v>0</v>
      </c>
      <c r="H71" s="14">
        <f t="shared" si="48"/>
        <v>0</v>
      </c>
      <c r="I71" s="185">
        <f t="shared" si="35"/>
        <v>0</v>
      </c>
      <c r="J71" s="185">
        <f t="shared" si="36"/>
        <v>0</v>
      </c>
      <c r="K71" s="185">
        <f t="shared" si="37"/>
        <v>0</v>
      </c>
      <c r="L71" s="317">
        <f t="shared" si="5"/>
        <v>4</v>
      </c>
      <c r="M71" s="317">
        <f t="shared" si="22"/>
        <v>55</v>
      </c>
      <c r="N71" s="185">
        <f t="shared" si="23"/>
        <v>984449.83999999973</v>
      </c>
      <c r="O71" s="185">
        <f t="shared" si="55"/>
        <v>19533.41</v>
      </c>
      <c r="P71" s="185">
        <f t="shared" si="38"/>
        <v>49.509999999998399</v>
      </c>
      <c r="Q71" s="185">
        <f t="shared" si="56"/>
        <v>19483.900000000001</v>
      </c>
      <c r="R71" s="185">
        <f t="shared" si="60"/>
        <v>134.16999999999999</v>
      </c>
      <c r="S71" s="185">
        <f t="shared" si="57"/>
        <v>188.55</v>
      </c>
      <c r="T71" s="185">
        <f t="shared" si="49"/>
        <v>19856.129999999997</v>
      </c>
      <c r="U71" s="185">
        <f t="shared" si="39"/>
        <v>1699.6699999999946</v>
      </c>
      <c r="V71" s="185">
        <f t="shared" si="40"/>
        <v>1092171.29</v>
      </c>
      <c r="W71" s="185">
        <f t="shared" si="41"/>
        <v>984400.32999999973</v>
      </c>
      <c r="X71" s="401" t="str">
        <f t="shared" si="26"/>
        <v xml:space="preserve"> </v>
      </c>
      <c r="Y71" s="185">
        <f t="shared" si="58"/>
        <v>959188.97000000009</v>
      </c>
      <c r="Z71" s="393">
        <f t="shared" si="9"/>
        <v>0.10625</v>
      </c>
      <c r="AA71" s="185">
        <f t="shared" si="10"/>
        <v>9113</v>
      </c>
      <c r="AB71" s="185">
        <f t="shared" si="11"/>
        <v>620.18000000000029</v>
      </c>
      <c r="AC71" s="185">
        <f t="shared" si="12"/>
        <v>8492.82</v>
      </c>
      <c r="AD71" s="185">
        <f t="shared" si="50"/>
        <v>134.16999999999999</v>
      </c>
      <c r="AE71" s="185">
        <f t="shared" si="50"/>
        <v>188.55</v>
      </c>
      <c r="AF71" s="185">
        <f t="shared" si="15"/>
        <v>9435.7199999999993</v>
      </c>
      <c r="AG71" s="185">
        <f t="shared" si="43"/>
        <v>27149.30000000001</v>
      </c>
      <c r="AH71" s="185">
        <f t="shared" si="44"/>
        <v>474065.70000000007</v>
      </c>
      <c r="AI71" s="411">
        <f t="shared" si="51"/>
        <v>562702.13999999955</v>
      </c>
      <c r="AJ71" s="411">
        <f t="shared" si="16"/>
        <v>25831.539999999688</v>
      </c>
      <c r="AK71" s="411">
        <f t="shared" si="52"/>
        <v>588533.67999999924</v>
      </c>
      <c r="AL71" s="185">
        <f t="shared" si="59"/>
        <v>958568.79</v>
      </c>
      <c r="AM71" s="317">
        <f t="shared" si="28"/>
        <v>4</v>
      </c>
      <c r="AN71" s="14">
        <f t="shared" si="53"/>
        <v>19533.41</v>
      </c>
      <c r="AO71" s="14">
        <f t="shared" si="46"/>
        <v>984400.33</v>
      </c>
      <c r="AP71" s="14">
        <f t="shared" si="54"/>
        <v>9113</v>
      </c>
      <c r="AS71" s="14">
        <f t="shared" si="20"/>
        <v>19533.41</v>
      </c>
      <c r="AT71" s="14">
        <f t="shared" si="30"/>
        <v>1093390.4000000004</v>
      </c>
      <c r="AU71" s="185">
        <f t="shared" si="31"/>
        <v>2828.1467349211166</v>
      </c>
      <c r="AV71" s="185">
        <f t="shared" si="32"/>
        <v>147986.8407033679</v>
      </c>
    </row>
    <row r="72" spans="1:50">
      <c r="A72" s="401" t="str">
        <f t="shared" si="33"/>
        <v xml:space="preserve"> </v>
      </c>
      <c r="B72" s="185">
        <f t="shared" si="21"/>
        <v>0</v>
      </c>
      <c r="C72" s="14">
        <f t="shared" si="3"/>
        <v>0</v>
      </c>
      <c r="D72" s="14">
        <f t="shared" si="34"/>
        <v>0</v>
      </c>
      <c r="E72" s="14">
        <f t="shared" si="4"/>
        <v>0</v>
      </c>
      <c r="F72" s="14">
        <f t="shared" si="47"/>
        <v>0</v>
      </c>
      <c r="G72" s="14">
        <f t="shared" si="47"/>
        <v>0</v>
      </c>
      <c r="H72" s="14">
        <f t="shared" si="48"/>
        <v>0</v>
      </c>
      <c r="I72" s="185">
        <f t="shared" si="35"/>
        <v>0</v>
      </c>
      <c r="J72" s="185">
        <f t="shared" si="36"/>
        <v>0</v>
      </c>
      <c r="K72" s="185">
        <f t="shared" si="37"/>
        <v>0</v>
      </c>
      <c r="L72" s="317">
        <f t="shared" si="5"/>
        <v>4</v>
      </c>
      <c r="M72" s="317">
        <f t="shared" si="22"/>
        <v>56</v>
      </c>
      <c r="N72" s="185">
        <f t="shared" si="23"/>
        <v>984400.32999999973</v>
      </c>
      <c r="O72" s="185">
        <f t="shared" si="55"/>
        <v>19533.41</v>
      </c>
      <c r="P72" s="185">
        <f t="shared" si="38"/>
        <v>50.490000000001601</v>
      </c>
      <c r="Q72" s="185">
        <f t="shared" si="56"/>
        <v>19482.919999999998</v>
      </c>
      <c r="R72" s="185">
        <f t="shared" si="60"/>
        <v>134.16999999999999</v>
      </c>
      <c r="S72" s="185">
        <f t="shared" si="57"/>
        <v>188.55</v>
      </c>
      <c r="T72" s="185">
        <f t="shared" si="49"/>
        <v>19856.129999999997</v>
      </c>
      <c r="U72" s="185">
        <f t="shared" si="39"/>
        <v>1750.1599999999962</v>
      </c>
      <c r="V72" s="185">
        <f t="shared" si="40"/>
        <v>1111654.21</v>
      </c>
      <c r="W72" s="185">
        <f t="shared" si="41"/>
        <v>984349.83999999973</v>
      </c>
      <c r="X72" s="401" t="str">
        <f t="shared" si="26"/>
        <v xml:space="preserve"> </v>
      </c>
      <c r="Y72" s="185">
        <f t="shared" si="58"/>
        <v>958568.79</v>
      </c>
      <c r="Z72" s="393">
        <f t="shared" si="9"/>
        <v>0.10625</v>
      </c>
      <c r="AA72" s="185">
        <f t="shared" si="10"/>
        <v>9113</v>
      </c>
      <c r="AB72" s="185">
        <f t="shared" si="11"/>
        <v>625.67000000000007</v>
      </c>
      <c r="AC72" s="185">
        <f t="shared" si="12"/>
        <v>8487.33</v>
      </c>
      <c r="AD72" s="185">
        <f t="shared" si="50"/>
        <v>134.16999999999999</v>
      </c>
      <c r="AE72" s="185">
        <f t="shared" si="50"/>
        <v>188.55</v>
      </c>
      <c r="AF72" s="185">
        <f t="shared" si="15"/>
        <v>9435.7199999999993</v>
      </c>
      <c r="AG72" s="185">
        <f t="shared" si="43"/>
        <v>27774.970000000008</v>
      </c>
      <c r="AH72" s="185">
        <f t="shared" si="44"/>
        <v>482553.03000000009</v>
      </c>
      <c r="AI72" s="411">
        <f t="shared" si="51"/>
        <v>573122.54999999958</v>
      </c>
      <c r="AJ72" s="411">
        <f t="shared" si="16"/>
        <v>26406.719999999739</v>
      </c>
      <c r="AK72" s="411">
        <f t="shared" si="52"/>
        <v>599529.26999999932</v>
      </c>
      <c r="AL72" s="185">
        <f t="shared" si="59"/>
        <v>957943.12</v>
      </c>
      <c r="AM72" s="317">
        <f t="shared" si="28"/>
        <v>4</v>
      </c>
      <c r="AN72" s="14">
        <f t="shared" si="53"/>
        <v>19533.41</v>
      </c>
      <c r="AO72" s="14">
        <f t="shared" si="46"/>
        <v>984349.84</v>
      </c>
      <c r="AP72" s="14">
        <f t="shared" si="54"/>
        <v>9113</v>
      </c>
      <c r="AS72" s="14">
        <f t="shared" si="20"/>
        <v>19533.41</v>
      </c>
      <c r="AT72" s="14">
        <f t="shared" si="30"/>
        <v>1112923.8100000003</v>
      </c>
      <c r="AU72" s="185">
        <f t="shared" si="31"/>
        <v>2835.2171017584201</v>
      </c>
      <c r="AV72" s="185">
        <f t="shared" si="32"/>
        <v>150822.05780512633</v>
      </c>
      <c r="AX72" s="373"/>
    </row>
    <row r="73" spans="1:50">
      <c r="A73" s="401" t="str">
        <f t="shared" si="33"/>
        <v xml:space="preserve"> </v>
      </c>
      <c r="B73" s="185">
        <f t="shared" si="21"/>
        <v>0</v>
      </c>
      <c r="C73" s="14">
        <f t="shared" si="3"/>
        <v>0</v>
      </c>
      <c r="D73" s="14">
        <f t="shared" si="34"/>
        <v>0</v>
      </c>
      <c r="E73" s="14">
        <f t="shared" si="4"/>
        <v>0</v>
      </c>
      <c r="F73" s="14">
        <f t="shared" si="47"/>
        <v>0</v>
      </c>
      <c r="G73" s="14">
        <f t="shared" si="47"/>
        <v>0</v>
      </c>
      <c r="H73" s="14">
        <f t="shared" si="48"/>
        <v>0</v>
      </c>
      <c r="I73" s="185">
        <f t="shared" si="35"/>
        <v>0</v>
      </c>
      <c r="J73" s="185">
        <f t="shared" si="36"/>
        <v>0</v>
      </c>
      <c r="K73" s="185">
        <f t="shared" si="37"/>
        <v>0</v>
      </c>
      <c r="L73" s="317">
        <f t="shared" si="5"/>
        <v>4</v>
      </c>
      <c r="M73" s="317">
        <f t="shared" si="22"/>
        <v>57</v>
      </c>
      <c r="N73" s="185">
        <f t="shared" si="23"/>
        <v>984349.83999999973</v>
      </c>
      <c r="O73" s="185">
        <f t="shared" si="55"/>
        <v>19533.41</v>
      </c>
      <c r="P73" s="185">
        <f t="shared" si="38"/>
        <v>51.490000000001601</v>
      </c>
      <c r="Q73" s="185">
        <f t="shared" si="56"/>
        <v>19481.919999999998</v>
      </c>
      <c r="R73" s="185">
        <f t="shared" si="60"/>
        <v>134.16999999999999</v>
      </c>
      <c r="S73" s="185">
        <f t="shared" si="57"/>
        <v>188.55</v>
      </c>
      <c r="T73" s="185">
        <f t="shared" si="49"/>
        <v>19856.129999999997</v>
      </c>
      <c r="U73" s="185">
        <f t="shared" si="39"/>
        <v>1801.6499999999978</v>
      </c>
      <c r="V73" s="185">
        <f t="shared" si="40"/>
        <v>1131136.1299999999</v>
      </c>
      <c r="W73" s="185">
        <f t="shared" si="41"/>
        <v>984298.34999999974</v>
      </c>
      <c r="X73" s="401" t="str">
        <f t="shared" si="26"/>
        <v xml:space="preserve"> </v>
      </c>
      <c r="Y73" s="185">
        <f t="shared" si="58"/>
        <v>957943.12</v>
      </c>
      <c r="Z73" s="393">
        <f t="shared" si="9"/>
        <v>0.10625</v>
      </c>
      <c r="AA73" s="185">
        <f t="shared" si="10"/>
        <v>9113</v>
      </c>
      <c r="AB73" s="185">
        <f t="shared" si="11"/>
        <v>631.20999999999913</v>
      </c>
      <c r="AC73" s="185">
        <f t="shared" si="12"/>
        <v>8481.7900000000009</v>
      </c>
      <c r="AD73" s="185">
        <f t="shared" si="50"/>
        <v>134.16999999999999</v>
      </c>
      <c r="AE73" s="185">
        <f t="shared" si="50"/>
        <v>188.55</v>
      </c>
      <c r="AF73" s="185">
        <f t="shared" si="15"/>
        <v>9435.7199999999993</v>
      </c>
      <c r="AG73" s="185">
        <f t="shared" si="43"/>
        <v>28406.180000000008</v>
      </c>
      <c r="AH73" s="185">
        <f t="shared" si="44"/>
        <v>491034.82000000007</v>
      </c>
      <c r="AI73" s="411">
        <f t="shared" si="51"/>
        <v>583542.95999999961</v>
      </c>
      <c r="AJ73" s="411">
        <f t="shared" si="16"/>
        <v>26986.439999999711</v>
      </c>
      <c r="AK73" s="411">
        <f t="shared" si="52"/>
        <v>610529.39999999932</v>
      </c>
      <c r="AL73" s="185">
        <f t="shared" si="59"/>
        <v>957311.91</v>
      </c>
      <c r="AM73" s="317">
        <f t="shared" si="28"/>
        <v>4</v>
      </c>
      <c r="AN73" s="14">
        <f t="shared" si="53"/>
        <v>19533.41</v>
      </c>
      <c r="AO73" s="14">
        <f t="shared" si="46"/>
        <v>984298.35</v>
      </c>
      <c r="AP73" s="14">
        <f t="shared" si="54"/>
        <v>9113</v>
      </c>
      <c r="AS73" s="14">
        <f t="shared" si="20"/>
        <v>19533.41</v>
      </c>
      <c r="AT73" s="14">
        <f t="shared" si="30"/>
        <v>1132457.2200000002</v>
      </c>
      <c r="AU73" s="185">
        <f t="shared" si="31"/>
        <v>2842.3051445128153</v>
      </c>
      <c r="AV73" s="185">
        <f t="shared" si="32"/>
        <v>153664.36294963915</v>
      </c>
      <c r="AX73" s="373"/>
    </row>
    <row r="74" spans="1:50">
      <c r="A74" s="401" t="str">
        <f t="shared" si="33"/>
        <v xml:space="preserve"> </v>
      </c>
      <c r="B74" s="185">
        <f t="shared" si="21"/>
        <v>0</v>
      </c>
      <c r="C74" s="14">
        <f t="shared" si="3"/>
        <v>0</v>
      </c>
      <c r="D74" s="14">
        <f t="shared" si="34"/>
        <v>0</v>
      </c>
      <c r="E74" s="14">
        <f t="shared" si="4"/>
        <v>0</v>
      </c>
      <c r="F74" s="14">
        <f t="shared" si="47"/>
        <v>0</v>
      </c>
      <c r="G74" s="14">
        <f t="shared" si="47"/>
        <v>0</v>
      </c>
      <c r="H74" s="14">
        <f t="shared" si="48"/>
        <v>0</v>
      </c>
      <c r="I74" s="185">
        <f t="shared" si="35"/>
        <v>0</v>
      </c>
      <c r="J74" s="185">
        <f t="shared" si="36"/>
        <v>0</v>
      </c>
      <c r="K74" s="185">
        <f t="shared" si="37"/>
        <v>0</v>
      </c>
      <c r="L74" s="317">
        <f t="shared" si="5"/>
        <v>4</v>
      </c>
      <c r="M74" s="317">
        <f t="shared" si="22"/>
        <v>58</v>
      </c>
      <c r="N74" s="185">
        <f t="shared" si="23"/>
        <v>984298.34999999974</v>
      </c>
      <c r="O74" s="185">
        <f t="shared" si="55"/>
        <v>19533.41</v>
      </c>
      <c r="P74" s="185">
        <f t="shared" si="38"/>
        <v>52.509999999998399</v>
      </c>
      <c r="Q74" s="185">
        <f t="shared" si="56"/>
        <v>19480.900000000001</v>
      </c>
      <c r="R74" s="185">
        <f t="shared" si="60"/>
        <v>134.16999999999999</v>
      </c>
      <c r="S74" s="185">
        <f t="shared" si="57"/>
        <v>188.55</v>
      </c>
      <c r="T74" s="185">
        <f t="shared" si="49"/>
        <v>19856.129999999997</v>
      </c>
      <c r="U74" s="185">
        <f t="shared" si="39"/>
        <v>1854.1599999999962</v>
      </c>
      <c r="V74" s="185">
        <f t="shared" si="40"/>
        <v>1150617.0299999998</v>
      </c>
      <c r="W74" s="185">
        <f t="shared" si="41"/>
        <v>984245.83999999973</v>
      </c>
      <c r="X74" s="401" t="str">
        <f t="shared" si="26"/>
        <v xml:space="preserve"> </v>
      </c>
      <c r="Y74" s="185">
        <f t="shared" si="58"/>
        <v>957311.91</v>
      </c>
      <c r="Z74" s="393">
        <f t="shared" si="9"/>
        <v>0.10625</v>
      </c>
      <c r="AA74" s="185">
        <f t="shared" si="10"/>
        <v>9113</v>
      </c>
      <c r="AB74" s="185">
        <f t="shared" si="11"/>
        <v>636.79999999999927</v>
      </c>
      <c r="AC74" s="185">
        <f t="shared" si="12"/>
        <v>8476.2000000000007</v>
      </c>
      <c r="AD74" s="185">
        <f t="shared" si="50"/>
        <v>134.16999999999999</v>
      </c>
      <c r="AE74" s="185">
        <f t="shared" si="50"/>
        <v>188.55</v>
      </c>
      <c r="AF74" s="185">
        <f t="shared" si="15"/>
        <v>9435.7199999999993</v>
      </c>
      <c r="AG74" s="185">
        <f t="shared" si="43"/>
        <v>29042.980000000007</v>
      </c>
      <c r="AH74" s="185">
        <f t="shared" si="44"/>
        <v>499511.02000000008</v>
      </c>
      <c r="AI74" s="411">
        <f t="shared" si="51"/>
        <v>593963.36999999965</v>
      </c>
      <c r="AJ74" s="411">
        <f t="shared" si="16"/>
        <v>27570.729999999749</v>
      </c>
      <c r="AK74" s="411">
        <f t="shared" si="52"/>
        <v>621534.09999999939</v>
      </c>
      <c r="AL74" s="185">
        <f t="shared" si="59"/>
        <v>956675.11</v>
      </c>
      <c r="AM74" s="317">
        <f t="shared" si="28"/>
        <v>4</v>
      </c>
      <c r="AN74" s="14">
        <f t="shared" si="53"/>
        <v>19533.41</v>
      </c>
      <c r="AO74" s="14">
        <f t="shared" si="46"/>
        <v>984245.84</v>
      </c>
      <c r="AP74" s="14">
        <f t="shared" si="54"/>
        <v>9113</v>
      </c>
      <c r="AS74" s="14">
        <f t="shared" si="20"/>
        <v>19533.41</v>
      </c>
      <c r="AT74" s="14">
        <f t="shared" si="30"/>
        <v>1151990.6300000001</v>
      </c>
      <c r="AU74" s="185">
        <f t="shared" si="31"/>
        <v>2849.4109073740979</v>
      </c>
      <c r="AV74" s="185">
        <f t="shared" si="32"/>
        <v>156513.77385701324</v>
      </c>
    </row>
    <row r="75" spans="1:50" ht="15.75" thickBot="1">
      <c r="A75" s="404" t="str">
        <f t="shared" si="33"/>
        <v xml:space="preserve"> </v>
      </c>
      <c r="B75" s="237">
        <f t="shared" si="21"/>
        <v>0</v>
      </c>
      <c r="C75" s="21">
        <f t="shared" si="3"/>
        <v>0</v>
      </c>
      <c r="D75" s="21">
        <f t="shared" si="34"/>
        <v>0</v>
      </c>
      <c r="E75" s="21">
        <f t="shared" si="4"/>
        <v>0</v>
      </c>
      <c r="F75" s="21">
        <f t="shared" ref="F75:G90" si="61">+F74</f>
        <v>0</v>
      </c>
      <c r="G75" s="21">
        <f t="shared" si="61"/>
        <v>0</v>
      </c>
      <c r="H75" s="21">
        <f t="shared" si="48"/>
        <v>0</v>
      </c>
      <c r="I75" s="237">
        <f t="shared" si="35"/>
        <v>0</v>
      </c>
      <c r="J75" s="237">
        <f t="shared" si="36"/>
        <v>0</v>
      </c>
      <c r="K75" s="237">
        <f t="shared" si="37"/>
        <v>0</v>
      </c>
      <c r="L75" s="318">
        <f t="shared" si="5"/>
        <v>4</v>
      </c>
      <c r="M75" s="318">
        <f t="shared" si="22"/>
        <v>59</v>
      </c>
      <c r="N75" s="237">
        <f t="shared" si="23"/>
        <v>984245.83999999973</v>
      </c>
      <c r="O75" s="237">
        <f t="shared" si="55"/>
        <v>19533.41</v>
      </c>
      <c r="P75" s="237">
        <f t="shared" si="38"/>
        <v>53.540000000000873</v>
      </c>
      <c r="Q75" s="237">
        <f t="shared" si="56"/>
        <v>19479.87</v>
      </c>
      <c r="R75" s="237">
        <f t="shared" si="60"/>
        <v>134.16999999999999</v>
      </c>
      <c r="S75" s="237">
        <f t="shared" si="57"/>
        <v>188.55</v>
      </c>
      <c r="T75" s="237">
        <f t="shared" si="49"/>
        <v>19856.129999999997</v>
      </c>
      <c r="U75" s="237">
        <f t="shared" si="39"/>
        <v>1907.6999999999971</v>
      </c>
      <c r="V75" s="237">
        <f t="shared" si="40"/>
        <v>1170096.8999999999</v>
      </c>
      <c r="W75" s="237">
        <f t="shared" si="41"/>
        <v>984192.2999999997</v>
      </c>
      <c r="X75" s="404" t="str">
        <f t="shared" si="26"/>
        <v xml:space="preserve"> </v>
      </c>
      <c r="Y75" s="237">
        <f t="shared" si="58"/>
        <v>956675.11</v>
      </c>
      <c r="Z75" s="394">
        <f t="shared" si="9"/>
        <v>0.10625</v>
      </c>
      <c r="AA75" s="237">
        <f t="shared" si="10"/>
        <v>9113</v>
      </c>
      <c r="AB75" s="237">
        <f t="shared" si="11"/>
        <v>642.44000000000051</v>
      </c>
      <c r="AC75" s="237">
        <f t="shared" si="12"/>
        <v>8470.56</v>
      </c>
      <c r="AD75" s="237">
        <f t="shared" si="50"/>
        <v>134.16999999999999</v>
      </c>
      <c r="AE75" s="237">
        <f t="shared" si="50"/>
        <v>188.55</v>
      </c>
      <c r="AF75" s="237">
        <f t="shared" si="15"/>
        <v>9435.7199999999993</v>
      </c>
      <c r="AG75" s="237">
        <f t="shared" si="43"/>
        <v>29685.420000000006</v>
      </c>
      <c r="AH75" s="237">
        <f t="shared" si="44"/>
        <v>507981.58000000007</v>
      </c>
      <c r="AI75" s="412">
        <f t="shared" si="51"/>
        <v>604383.77999999968</v>
      </c>
      <c r="AJ75" s="412">
        <f t="shared" si="16"/>
        <v>28159.629999999655</v>
      </c>
      <c r="AK75" s="412">
        <f t="shared" si="52"/>
        <v>632543.40999999933</v>
      </c>
      <c r="AL75" s="237">
        <f t="shared" si="59"/>
        <v>956032.67</v>
      </c>
      <c r="AM75" s="318">
        <f t="shared" si="28"/>
        <v>4</v>
      </c>
      <c r="AN75" s="21">
        <f t="shared" si="53"/>
        <v>19533.41</v>
      </c>
      <c r="AO75" s="21">
        <f t="shared" si="46"/>
        <v>984192.3</v>
      </c>
      <c r="AP75" s="21">
        <f t="shared" si="54"/>
        <v>9113</v>
      </c>
      <c r="AQ75" s="21"/>
      <c r="AR75" s="23"/>
      <c r="AS75" s="21">
        <f t="shared" si="20"/>
        <v>19533.41</v>
      </c>
      <c r="AT75" s="21">
        <f t="shared" si="30"/>
        <v>1171524.04</v>
      </c>
      <c r="AU75" s="237">
        <f t="shared" si="31"/>
        <v>2856.5344346425331</v>
      </c>
      <c r="AV75" s="237">
        <f t="shared" si="32"/>
        <v>159370.30829165576</v>
      </c>
    </row>
    <row r="76" spans="1:50">
      <c r="A76" s="401" t="str">
        <f t="shared" si="33"/>
        <v xml:space="preserve"> </v>
      </c>
      <c r="B76" s="185">
        <f t="shared" si="21"/>
        <v>0</v>
      </c>
      <c r="C76" s="14">
        <f t="shared" si="3"/>
        <v>0</v>
      </c>
      <c r="D76" s="14">
        <f t="shared" si="34"/>
        <v>0</v>
      </c>
      <c r="E76" s="14">
        <f t="shared" si="4"/>
        <v>0</v>
      </c>
      <c r="F76" s="14">
        <f t="shared" si="61"/>
        <v>0</v>
      </c>
      <c r="G76" s="14">
        <f t="shared" si="61"/>
        <v>0</v>
      </c>
      <c r="H76" s="14">
        <f t="shared" si="48"/>
        <v>0</v>
      </c>
      <c r="I76" s="185">
        <f t="shared" si="35"/>
        <v>0</v>
      </c>
      <c r="J76" s="185">
        <f t="shared" si="36"/>
        <v>0</v>
      </c>
      <c r="K76" s="185">
        <f t="shared" si="37"/>
        <v>0</v>
      </c>
      <c r="L76" s="317">
        <f t="shared" si="5"/>
        <v>5</v>
      </c>
      <c r="M76" s="317">
        <f t="shared" si="22"/>
        <v>60</v>
      </c>
      <c r="N76" s="185">
        <f t="shared" si="23"/>
        <v>984192.2999999997</v>
      </c>
      <c r="O76" s="185">
        <f t="shared" si="55"/>
        <v>19533.41</v>
      </c>
      <c r="P76" s="185">
        <f t="shared" si="38"/>
        <v>54.599999999998545</v>
      </c>
      <c r="Q76" s="185">
        <f t="shared" si="56"/>
        <v>19478.810000000001</v>
      </c>
      <c r="R76" s="185">
        <f t="shared" si="60"/>
        <v>134.16999999999999</v>
      </c>
      <c r="S76" s="185">
        <f t="shared" si="57"/>
        <v>188.55</v>
      </c>
      <c r="T76" s="185">
        <f t="shared" si="49"/>
        <v>19856.129999999997</v>
      </c>
      <c r="U76" s="185">
        <f t="shared" si="39"/>
        <v>1962.2999999999956</v>
      </c>
      <c r="V76" s="185">
        <f t="shared" si="40"/>
        <v>1189575.71</v>
      </c>
      <c r="W76" s="185">
        <f t="shared" si="41"/>
        <v>984137.69999999972</v>
      </c>
      <c r="X76" s="401" t="str">
        <f t="shared" si="26"/>
        <v xml:space="preserve"> </v>
      </c>
      <c r="Y76" s="185">
        <f t="shared" si="58"/>
        <v>956032.67</v>
      </c>
      <c r="Z76" s="393">
        <f t="shared" si="9"/>
        <v>0.13125000000000001</v>
      </c>
      <c r="AA76" s="185">
        <f t="shared" si="10"/>
        <v>10874</v>
      </c>
      <c r="AB76" s="185">
        <f t="shared" si="11"/>
        <v>417.38999999999942</v>
      </c>
      <c r="AC76" s="185">
        <f t="shared" si="12"/>
        <v>10456.61</v>
      </c>
      <c r="AD76" s="185">
        <f t="shared" si="50"/>
        <v>134.16999999999999</v>
      </c>
      <c r="AE76" s="185">
        <f t="shared" si="50"/>
        <v>188.55</v>
      </c>
      <c r="AF76" s="185">
        <f t="shared" si="15"/>
        <v>11196.72</v>
      </c>
      <c r="AG76" s="185">
        <f t="shared" si="43"/>
        <v>30102.810000000005</v>
      </c>
      <c r="AH76" s="185">
        <f t="shared" si="44"/>
        <v>518438.19000000006</v>
      </c>
      <c r="AI76" s="411">
        <f t="shared" si="51"/>
        <v>613043.18999999971</v>
      </c>
      <c r="AJ76" s="411">
        <f t="shared" si="16"/>
        <v>28522.419999999693</v>
      </c>
      <c r="AK76" s="411">
        <f t="shared" si="52"/>
        <v>641565.6099999994</v>
      </c>
      <c r="AL76" s="185">
        <f t="shared" si="59"/>
        <v>955615.28</v>
      </c>
      <c r="AM76" s="317">
        <f t="shared" si="28"/>
        <v>5</v>
      </c>
      <c r="AN76" s="14">
        <f t="shared" si="53"/>
        <v>19533.41</v>
      </c>
      <c r="AO76" s="14">
        <f t="shared" si="46"/>
        <v>984137.7</v>
      </c>
      <c r="AP76" s="14">
        <f t="shared" si="54"/>
        <v>10874</v>
      </c>
      <c r="AS76" s="14">
        <f t="shared" si="20"/>
        <v>19533.41</v>
      </c>
      <c r="AT76" s="14">
        <f t="shared" si="30"/>
        <v>1191057.45</v>
      </c>
      <c r="AU76" s="185">
        <f t="shared" si="31"/>
        <v>2863.6757707291395</v>
      </c>
      <c r="AV76" s="185">
        <f t="shared" si="32"/>
        <v>162233.9840623849</v>
      </c>
    </row>
    <row r="77" spans="1:50">
      <c r="A77" s="401" t="str">
        <f t="shared" si="33"/>
        <v xml:space="preserve"> </v>
      </c>
      <c r="B77" s="185">
        <f t="shared" si="21"/>
        <v>0</v>
      </c>
      <c r="C77" s="14">
        <f t="shared" si="3"/>
        <v>0</v>
      </c>
      <c r="D77" s="14">
        <f t="shared" si="34"/>
        <v>0</v>
      </c>
      <c r="E77" s="14">
        <f t="shared" si="4"/>
        <v>0</v>
      </c>
      <c r="F77" s="14">
        <f t="shared" si="61"/>
        <v>0</v>
      </c>
      <c r="G77" s="14">
        <f t="shared" si="61"/>
        <v>0</v>
      </c>
      <c r="H77" s="14">
        <f t="shared" si="48"/>
        <v>0</v>
      </c>
      <c r="I77" s="185">
        <f t="shared" si="35"/>
        <v>0</v>
      </c>
      <c r="J77" s="185">
        <f t="shared" si="36"/>
        <v>0</v>
      </c>
      <c r="K77" s="185">
        <f t="shared" si="37"/>
        <v>0</v>
      </c>
      <c r="L77" s="317">
        <f t="shared" si="5"/>
        <v>5</v>
      </c>
      <c r="M77" s="317">
        <f t="shared" si="22"/>
        <v>61</v>
      </c>
      <c r="N77" s="185">
        <f t="shared" si="23"/>
        <v>984137.69999999972</v>
      </c>
      <c r="O77" s="185">
        <f t="shared" si="55"/>
        <v>19533.41</v>
      </c>
      <c r="P77" s="185">
        <f t="shared" si="38"/>
        <v>55.680000000000291</v>
      </c>
      <c r="Q77" s="185">
        <f t="shared" si="56"/>
        <v>19477.73</v>
      </c>
      <c r="R77" s="185">
        <f t="shared" si="60"/>
        <v>134.16999999999999</v>
      </c>
      <c r="S77" s="185">
        <f t="shared" si="57"/>
        <v>188.55</v>
      </c>
      <c r="T77" s="185">
        <f t="shared" si="49"/>
        <v>19856.129999999997</v>
      </c>
      <c r="U77" s="185">
        <f t="shared" si="39"/>
        <v>2017.9799999999959</v>
      </c>
      <c r="V77" s="185">
        <f t="shared" si="40"/>
        <v>1209053.44</v>
      </c>
      <c r="W77" s="185">
        <f t="shared" si="41"/>
        <v>984082.01999999967</v>
      </c>
      <c r="X77" s="401" t="str">
        <f t="shared" si="26"/>
        <v xml:space="preserve"> </v>
      </c>
      <c r="Y77" s="185">
        <f t="shared" si="58"/>
        <v>955615.28</v>
      </c>
      <c r="Z77" s="393">
        <f t="shared" si="9"/>
        <v>0.13125000000000001</v>
      </c>
      <c r="AA77" s="185">
        <f t="shared" si="10"/>
        <v>10874</v>
      </c>
      <c r="AB77" s="185">
        <f t="shared" si="11"/>
        <v>421.95999999999913</v>
      </c>
      <c r="AC77" s="185">
        <f t="shared" si="12"/>
        <v>10452.040000000001</v>
      </c>
      <c r="AD77" s="185">
        <f t="shared" ref="AD77:AE92" si="62">+AD76</f>
        <v>134.16999999999999</v>
      </c>
      <c r="AE77" s="185">
        <f t="shared" si="62"/>
        <v>188.55</v>
      </c>
      <c r="AF77" s="185">
        <f t="shared" si="15"/>
        <v>11196.72</v>
      </c>
      <c r="AG77" s="185">
        <f t="shared" si="43"/>
        <v>30524.770000000004</v>
      </c>
      <c r="AH77" s="185">
        <f t="shared" si="44"/>
        <v>528890.2300000001</v>
      </c>
      <c r="AI77" s="411">
        <f t="shared" si="51"/>
        <v>621702.59999999974</v>
      </c>
      <c r="AJ77" s="411">
        <f t="shared" si="16"/>
        <v>28888.699999999604</v>
      </c>
      <c r="AK77" s="411">
        <f t="shared" si="52"/>
        <v>650591.29999999935</v>
      </c>
      <c r="AL77" s="185">
        <f t="shared" si="59"/>
        <v>955193.32000000007</v>
      </c>
      <c r="AM77" s="317">
        <f t="shared" si="28"/>
        <v>5</v>
      </c>
      <c r="AN77" s="14">
        <f t="shared" si="53"/>
        <v>19533.41</v>
      </c>
      <c r="AO77" s="14">
        <f t="shared" si="46"/>
        <v>984082.02</v>
      </c>
      <c r="AP77" s="14">
        <f t="shared" si="54"/>
        <v>10874</v>
      </c>
      <c r="AS77" s="14">
        <f t="shared" si="20"/>
        <v>19533.41</v>
      </c>
      <c r="AT77" s="14">
        <f t="shared" si="30"/>
        <v>1210590.8599999999</v>
      </c>
      <c r="AU77" s="185">
        <f t="shared" si="31"/>
        <v>2870.8349601559621</v>
      </c>
      <c r="AV77" s="185">
        <f t="shared" si="32"/>
        <v>165104.81902254088</v>
      </c>
    </row>
    <row r="78" spans="1:50">
      <c r="A78" s="401" t="str">
        <f t="shared" si="33"/>
        <v xml:space="preserve"> </v>
      </c>
      <c r="B78" s="185">
        <f t="shared" si="21"/>
        <v>0</v>
      </c>
      <c r="C78" s="14">
        <f t="shared" si="3"/>
        <v>0</v>
      </c>
      <c r="D78" s="14">
        <f t="shared" si="34"/>
        <v>0</v>
      </c>
      <c r="E78" s="14">
        <f t="shared" si="4"/>
        <v>0</v>
      </c>
      <c r="F78" s="14">
        <f t="shared" si="61"/>
        <v>0</v>
      </c>
      <c r="G78" s="14">
        <f t="shared" si="61"/>
        <v>0</v>
      </c>
      <c r="H78" s="14">
        <f t="shared" si="48"/>
        <v>0</v>
      </c>
      <c r="I78" s="185">
        <f t="shared" si="35"/>
        <v>0</v>
      </c>
      <c r="J78" s="185">
        <f t="shared" si="36"/>
        <v>0</v>
      </c>
      <c r="K78" s="185">
        <f t="shared" si="37"/>
        <v>0</v>
      </c>
      <c r="L78" s="317">
        <f t="shared" si="5"/>
        <v>5</v>
      </c>
      <c r="M78" s="317">
        <f t="shared" si="22"/>
        <v>62</v>
      </c>
      <c r="N78" s="185">
        <f t="shared" si="23"/>
        <v>984082.01999999967</v>
      </c>
      <c r="O78" s="185">
        <f t="shared" si="55"/>
        <v>19533.41</v>
      </c>
      <c r="P78" s="185">
        <f t="shared" si="38"/>
        <v>56.790000000000873</v>
      </c>
      <c r="Q78" s="185">
        <f t="shared" si="56"/>
        <v>19476.62</v>
      </c>
      <c r="R78" s="185">
        <f t="shared" si="60"/>
        <v>134.16999999999999</v>
      </c>
      <c r="S78" s="185">
        <f t="shared" si="57"/>
        <v>188.55</v>
      </c>
      <c r="T78" s="185">
        <f t="shared" si="49"/>
        <v>19856.129999999997</v>
      </c>
      <c r="U78" s="185">
        <f t="shared" si="39"/>
        <v>2074.7699999999968</v>
      </c>
      <c r="V78" s="185">
        <f t="shared" si="40"/>
        <v>1228530.06</v>
      </c>
      <c r="W78" s="185">
        <f t="shared" si="41"/>
        <v>984025.22999999963</v>
      </c>
      <c r="X78" s="401" t="str">
        <f t="shared" si="26"/>
        <v xml:space="preserve"> </v>
      </c>
      <c r="Y78" s="185">
        <f t="shared" si="58"/>
        <v>955193.32000000007</v>
      </c>
      <c r="Z78" s="393">
        <f t="shared" si="9"/>
        <v>0.13125000000000001</v>
      </c>
      <c r="AA78" s="185">
        <f t="shared" si="10"/>
        <v>10874</v>
      </c>
      <c r="AB78" s="185">
        <f t="shared" si="11"/>
        <v>426.56999999999971</v>
      </c>
      <c r="AC78" s="185">
        <f t="shared" si="12"/>
        <v>10447.43</v>
      </c>
      <c r="AD78" s="185">
        <f t="shared" si="62"/>
        <v>134.16999999999999</v>
      </c>
      <c r="AE78" s="185">
        <f t="shared" si="62"/>
        <v>188.55</v>
      </c>
      <c r="AF78" s="185">
        <f t="shared" si="15"/>
        <v>11196.72</v>
      </c>
      <c r="AG78" s="185">
        <f t="shared" si="43"/>
        <v>30951.340000000004</v>
      </c>
      <c r="AH78" s="185">
        <f t="shared" si="44"/>
        <v>539337.66000000015</v>
      </c>
      <c r="AI78" s="411">
        <f t="shared" si="51"/>
        <v>630362.00999999978</v>
      </c>
      <c r="AJ78" s="411">
        <f t="shared" si="16"/>
        <v>29258.479999999516</v>
      </c>
      <c r="AK78" s="411">
        <f t="shared" si="52"/>
        <v>659620.48999999929</v>
      </c>
      <c r="AL78" s="185">
        <f t="shared" si="59"/>
        <v>954766.75000000012</v>
      </c>
      <c r="AM78" s="317">
        <f t="shared" si="28"/>
        <v>5</v>
      </c>
      <c r="AN78" s="14">
        <f t="shared" si="53"/>
        <v>19533.41</v>
      </c>
      <c r="AO78" s="14">
        <f t="shared" si="46"/>
        <v>984025.23</v>
      </c>
      <c r="AP78" s="14">
        <f t="shared" si="54"/>
        <v>10874</v>
      </c>
      <c r="AS78" s="14">
        <f t="shared" si="20"/>
        <v>19533.41</v>
      </c>
      <c r="AT78" s="14">
        <f t="shared" si="30"/>
        <v>1230124.2699999998</v>
      </c>
      <c r="AU78" s="185">
        <f t="shared" si="31"/>
        <v>2878.0120475563522</v>
      </c>
      <c r="AV78" s="185">
        <f t="shared" si="32"/>
        <v>167982.83107009722</v>
      </c>
    </row>
    <row r="79" spans="1:50">
      <c r="A79" s="401" t="str">
        <f t="shared" si="33"/>
        <v xml:space="preserve"> </v>
      </c>
      <c r="B79" s="185">
        <f t="shared" si="21"/>
        <v>0</v>
      </c>
      <c r="C79" s="14">
        <f t="shared" si="3"/>
        <v>0</v>
      </c>
      <c r="D79" s="14">
        <f t="shared" si="34"/>
        <v>0</v>
      </c>
      <c r="E79" s="14">
        <f t="shared" si="4"/>
        <v>0</v>
      </c>
      <c r="F79" s="14">
        <f t="shared" si="61"/>
        <v>0</v>
      </c>
      <c r="G79" s="14">
        <f t="shared" si="61"/>
        <v>0</v>
      </c>
      <c r="H79" s="14">
        <f t="shared" si="48"/>
        <v>0</v>
      </c>
      <c r="I79" s="185">
        <f t="shared" si="35"/>
        <v>0</v>
      </c>
      <c r="J79" s="185">
        <f t="shared" si="36"/>
        <v>0</v>
      </c>
      <c r="K79" s="185">
        <f t="shared" si="37"/>
        <v>0</v>
      </c>
      <c r="L79" s="317">
        <f t="shared" si="5"/>
        <v>5</v>
      </c>
      <c r="M79" s="317">
        <f t="shared" si="22"/>
        <v>63</v>
      </c>
      <c r="N79" s="185">
        <f t="shared" si="23"/>
        <v>984025.22999999963</v>
      </c>
      <c r="O79" s="185">
        <f t="shared" si="55"/>
        <v>19533.41</v>
      </c>
      <c r="P79" s="185">
        <f t="shared" si="38"/>
        <v>57.909999999999854</v>
      </c>
      <c r="Q79" s="185">
        <f t="shared" si="56"/>
        <v>19475.5</v>
      </c>
      <c r="R79" s="185">
        <f t="shared" si="60"/>
        <v>134.16999999999999</v>
      </c>
      <c r="S79" s="185">
        <f t="shared" si="57"/>
        <v>188.55</v>
      </c>
      <c r="T79" s="185">
        <f t="shared" si="49"/>
        <v>19856.129999999997</v>
      </c>
      <c r="U79" s="185">
        <f t="shared" si="39"/>
        <v>2132.6799999999967</v>
      </c>
      <c r="V79" s="185">
        <f t="shared" si="40"/>
        <v>1248005.56</v>
      </c>
      <c r="W79" s="185">
        <f t="shared" si="41"/>
        <v>983967.3199999996</v>
      </c>
      <c r="X79" s="401" t="str">
        <f t="shared" si="26"/>
        <v xml:space="preserve"> </v>
      </c>
      <c r="Y79" s="185">
        <f t="shared" si="58"/>
        <v>954766.75000000012</v>
      </c>
      <c r="Z79" s="393">
        <f t="shared" si="9"/>
        <v>0.13125000000000001</v>
      </c>
      <c r="AA79" s="185">
        <f t="shared" si="10"/>
        <v>10874</v>
      </c>
      <c r="AB79" s="185">
        <f t="shared" si="11"/>
        <v>431.23999999999978</v>
      </c>
      <c r="AC79" s="185">
        <f t="shared" si="12"/>
        <v>10442.76</v>
      </c>
      <c r="AD79" s="185">
        <f t="shared" si="62"/>
        <v>134.16999999999999</v>
      </c>
      <c r="AE79" s="185">
        <f t="shared" si="62"/>
        <v>188.55</v>
      </c>
      <c r="AF79" s="185">
        <f t="shared" si="15"/>
        <v>11196.72</v>
      </c>
      <c r="AG79" s="185">
        <f t="shared" si="43"/>
        <v>31382.58</v>
      </c>
      <c r="AH79" s="185">
        <f t="shared" si="44"/>
        <v>549780.42000000016</v>
      </c>
      <c r="AI79" s="411">
        <f t="shared" si="51"/>
        <v>639021.41999999981</v>
      </c>
      <c r="AJ79" s="411">
        <f t="shared" si="16"/>
        <v>29631.809999999474</v>
      </c>
      <c r="AK79" s="411">
        <f t="shared" si="52"/>
        <v>668653.22999999928</v>
      </c>
      <c r="AL79" s="185">
        <f t="shared" si="59"/>
        <v>954335.51000000013</v>
      </c>
      <c r="AM79" s="317">
        <f t="shared" si="28"/>
        <v>5</v>
      </c>
      <c r="AN79" s="14">
        <f t="shared" si="53"/>
        <v>19533.41</v>
      </c>
      <c r="AO79" s="14">
        <f t="shared" si="46"/>
        <v>983967.32</v>
      </c>
      <c r="AP79" s="14">
        <f t="shared" si="54"/>
        <v>10874</v>
      </c>
      <c r="AS79" s="14">
        <f t="shared" si="20"/>
        <v>19533.41</v>
      </c>
      <c r="AT79" s="14">
        <f t="shared" si="30"/>
        <v>1249657.6799999997</v>
      </c>
      <c r="AU79" s="185">
        <f t="shared" si="31"/>
        <v>2885.2070776752425</v>
      </c>
      <c r="AV79" s="185">
        <f t="shared" si="32"/>
        <v>170868.03814777246</v>
      </c>
    </row>
    <row r="80" spans="1:50">
      <c r="A80" s="401" t="str">
        <f t="shared" si="33"/>
        <v xml:space="preserve"> </v>
      </c>
      <c r="B80" s="185">
        <f t="shared" si="21"/>
        <v>0</v>
      </c>
      <c r="C80" s="14">
        <f t="shared" ref="C80:C143" si="63">IF(+$K79&lt;=0,0,$C$6)</f>
        <v>0</v>
      </c>
      <c r="D80" s="14">
        <f t="shared" si="34"/>
        <v>0</v>
      </c>
      <c r="E80" s="14">
        <f t="shared" ref="E80:E143" si="64">ROUND($B80*($C$4/12), 2)</f>
        <v>0</v>
      </c>
      <c r="F80" s="14">
        <f t="shared" si="61"/>
        <v>0</v>
      </c>
      <c r="G80" s="14">
        <f t="shared" si="61"/>
        <v>0</v>
      </c>
      <c r="H80" s="14">
        <f t="shared" si="48"/>
        <v>0</v>
      </c>
      <c r="I80" s="185">
        <f t="shared" si="35"/>
        <v>0</v>
      </c>
      <c r="J80" s="185">
        <f t="shared" si="36"/>
        <v>0</v>
      </c>
      <c r="K80" s="185">
        <f t="shared" si="37"/>
        <v>0</v>
      </c>
      <c r="L80" s="317">
        <f t="shared" ref="L80:L108" si="65">IF(MOD(M80,12)=0,M80/12,L79)</f>
        <v>5</v>
      </c>
      <c r="M80" s="317">
        <f t="shared" si="22"/>
        <v>64</v>
      </c>
      <c r="N80" s="185">
        <f t="shared" si="23"/>
        <v>983967.3199999996</v>
      </c>
      <c r="O80" s="185">
        <f t="shared" si="55"/>
        <v>19533.41</v>
      </c>
      <c r="P80" s="185">
        <f t="shared" si="38"/>
        <v>59.06000000000131</v>
      </c>
      <c r="Q80" s="185">
        <f t="shared" si="56"/>
        <v>19474.349999999999</v>
      </c>
      <c r="R80" s="185">
        <f t="shared" si="60"/>
        <v>134.16999999999999</v>
      </c>
      <c r="S80" s="185">
        <f t="shared" si="57"/>
        <v>188.55</v>
      </c>
      <c r="T80" s="185">
        <f t="shared" si="49"/>
        <v>19856.129999999997</v>
      </c>
      <c r="U80" s="185">
        <f t="shared" si="39"/>
        <v>2191.739999999998</v>
      </c>
      <c r="V80" s="185">
        <f t="shared" si="40"/>
        <v>1267479.9100000001</v>
      </c>
      <c r="W80" s="185">
        <f t="shared" si="41"/>
        <v>983908.25999999954</v>
      </c>
      <c r="X80" s="401" t="str">
        <f t="shared" si="26"/>
        <v xml:space="preserve"> </v>
      </c>
      <c r="Y80" s="185">
        <f t="shared" si="58"/>
        <v>954335.51000000013</v>
      </c>
      <c r="Z80" s="393">
        <f t="shared" ref="Z80:Z143" si="66">IF(L80&gt;4,$AA$10,$AA$9)</f>
        <v>0.13125000000000001</v>
      </c>
      <c r="AA80" s="185">
        <f t="shared" ref="AA80:AA143" si="67">IF($O$11&lt;=$A80,IF(+AL79&lt;=0,0,IF(Z80=$AA$9,$Z$9,$Z$10)),0)</f>
        <v>10874</v>
      </c>
      <c r="AB80" s="185">
        <f t="shared" ref="AB80:AB143" si="68">+AA80-AC80</f>
        <v>435.95999999999913</v>
      </c>
      <c r="AC80" s="185">
        <f t="shared" ref="AC80:AC143" si="69">IF($O$11&lt;=$A80,ROUND(Y80*(Z80/12),2),0)</f>
        <v>10438.040000000001</v>
      </c>
      <c r="AD80" s="185">
        <f t="shared" si="62"/>
        <v>134.16999999999999</v>
      </c>
      <c r="AE80" s="185">
        <f t="shared" si="62"/>
        <v>188.55</v>
      </c>
      <c r="AF80" s="185">
        <f t="shared" ref="AF80:AF143" si="70">SUM(AB80:AE80)</f>
        <v>11196.72</v>
      </c>
      <c r="AG80" s="185">
        <f t="shared" si="43"/>
        <v>31818.54</v>
      </c>
      <c r="AH80" s="185">
        <f t="shared" si="44"/>
        <v>560218.4600000002</v>
      </c>
      <c r="AI80" s="411">
        <f t="shared" si="51"/>
        <v>647680.82999999984</v>
      </c>
      <c r="AJ80" s="411">
        <f t="shared" ref="AJ80:AJ90" si="71">+W80-AL80</f>
        <v>30008.709999999381</v>
      </c>
      <c r="AK80" s="411">
        <f t="shared" si="52"/>
        <v>677689.53999999922</v>
      </c>
      <c r="AL80" s="185">
        <f t="shared" si="59"/>
        <v>953899.55000000016</v>
      </c>
      <c r="AM80" s="317">
        <f t="shared" si="28"/>
        <v>5</v>
      </c>
      <c r="AN80" s="14">
        <f t="shared" si="53"/>
        <v>19533.41</v>
      </c>
      <c r="AO80" s="14">
        <f t="shared" si="46"/>
        <v>983908.26</v>
      </c>
      <c r="AP80" s="14">
        <f t="shared" si="54"/>
        <v>10874</v>
      </c>
      <c r="AS80" s="14">
        <f t="shared" ref="AS80:AS143" si="72">+AN80-AR80</f>
        <v>19533.41</v>
      </c>
      <c r="AT80" s="14">
        <f t="shared" si="30"/>
        <v>1269191.0899999996</v>
      </c>
      <c r="AU80" s="185">
        <f t="shared" si="31"/>
        <v>2892.4200953694308</v>
      </c>
      <c r="AV80" s="185">
        <f t="shared" si="32"/>
        <v>173760.45824314188</v>
      </c>
    </row>
    <row r="81" spans="1:50">
      <c r="A81" s="401" t="str">
        <f t="shared" si="33"/>
        <v xml:space="preserve"> </v>
      </c>
      <c r="B81" s="185">
        <f t="shared" ref="B81:B144" si="73">IF(+K80&lt;0,0,+K80)</f>
        <v>0</v>
      </c>
      <c r="C81" s="14">
        <f t="shared" si="63"/>
        <v>0</v>
      </c>
      <c r="D81" s="14">
        <f t="shared" si="34"/>
        <v>0</v>
      </c>
      <c r="E81" s="14">
        <f t="shared" si="64"/>
        <v>0</v>
      </c>
      <c r="F81" s="14">
        <f t="shared" si="61"/>
        <v>0</v>
      </c>
      <c r="G81" s="14">
        <f t="shared" si="61"/>
        <v>0</v>
      </c>
      <c r="H81" s="14">
        <f t="shared" si="48"/>
        <v>0</v>
      </c>
      <c r="I81" s="185">
        <f t="shared" si="35"/>
        <v>0</v>
      </c>
      <c r="J81" s="185">
        <f t="shared" si="36"/>
        <v>0</v>
      </c>
      <c r="K81" s="185">
        <f t="shared" si="37"/>
        <v>0</v>
      </c>
      <c r="L81" s="317">
        <f t="shared" si="65"/>
        <v>5</v>
      </c>
      <c r="M81" s="317">
        <f t="shared" ref="M81:M144" si="74">IF(N81&lt;&gt;"",IF(N81=$O$5,0,+M80+1),0)</f>
        <v>65</v>
      </c>
      <c r="N81" s="185">
        <f t="shared" ref="N81:N144" si="75">IF(+W80&lt;0,0,+W80)</f>
        <v>983908.25999999954</v>
      </c>
      <c r="O81" s="185">
        <f t="shared" si="55"/>
        <v>19533.41</v>
      </c>
      <c r="P81" s="185">
        <f t="shared" si="38"/>
        <v>60.229999999999563</v>
      </c>
      <c r="Q81" s="185">
        <f t="shared" si="56"/>
        <v>19473.18</v>
      </c>
      <c r="R81" s="185">
        <f t="shared" si="60"/>
        <v>134.16999999999999</v>
      </c>
      <c r="S81" s="185">
        <f t="shared" si="57"/>
        <v>188.55</v>
      </c>
      <c r="T81" s="185">
        <f t="shared" si="49"/>
        <v>19856.129999999997</v>
      </c>
      <c r="U81" s="185">
        <f t="shared" si="39"/>
        <v>2251.9699999999975</v>
      </c>
      <c r="V81" s="185">
        <f t="shared" si="40"/>
        <v>1286953.0900000001</v>
      </c>
      <c r="W81" s="185">
        <f t="shared" si="41"/>
        <v>983848.02999999956</v>
      </c>
      <c r="X81" s="401" t="str">
        <f t="shared" ref="X81:X144" si="76">+A81</f>
        <v xml:space="preserve"> </v>
      </c>
      <c r="Y81" s="185">
        <f t="shared" si="58"/>
        <v>953899.55000000016</v>
      </c>
      <c r="Z81" s="393">
        <f t="shared" si="66"/>
        <v>0.13125000000000001</v>
      </c>
      <c r="AA81" s="185">
        <f t="shared" si="67"/>
        <v>10874</v>
      </c>
      <c r="AB81" s="185">
        <f t="shared" si="68"/>
        <v>440.71999999999935</v>
      </c>
      <c r="AC81" s="185">
        <f t="shared" si="69"/>
        <v>10433.280000000001</v>
      </c>
      <c r="AD81" s="185">
        <f t="shared" si="62"/>
        <v>134.16999999999999</v>
      </c>
      <c r="AE81" s="185">
        <f t="shared" si="62"/>
        <v>188.55</v>
      </c>
      <c r="AF81" s="185">
        <f t="shared" si="70"/>
        <v>11196.72</v>
      </c>
      <c r="AG81" s="185">
        <f t="shared" si="43"/>
        <v>32259.260000000002</v>
      </c>
      <c r="AH81" s="185">
        <f t="shared" si="44"/>
        <v>570651.74000000022</v>
      </c>
      <c r="AI81" s="411">
        <f t="shared" si="51"/>
        <v>656340.23999999987</v>
      </c>
      <c r="AJ81" s="411">
        <f t="shared" si="71"/>
        <v>30389.199999999371</v>
      </c>
      <c r="AK81" s="411">
        <f t="shared" si="52"/>
        <v>686729.43999999925</v>
      </c>
      <c r="AL81" s="185">
        <f t="shared" si="59"/>
        <v>953458.83000000019</v>
      </c>
      <c r="AM81" s="317">
        <f t="shared" ref="AM81:AM144" si="77">+L81</f>
        <v>5</v>
      </c>
      <c r="AN81" s="14">
        <f t="shared" si="53"/>
        <v>19533.41</v>
      </c>
      <c r="AO81" s="14">
        <f t="shared" si="46"/>
        <v>983848.03</v>
      </c>
      <c r="AP81" s="14">
        <f t="shared" si="54"/>
        <v>10874</v>
      </c>
      <c r="AS81" s="14">
        <f t="shared" si="72"/>
        <v>19533.41</v>
      </c>
      <c r="AT81" s="14">
        <f t="shared" ref="AT81:AT144" si="78">IF(W81&lt;=0,0,+AS81+AT80)</f>
        <v>1288724.4999999995</v>
      </c>
      <c r="AU81" s="185">
        <f t="shared" ref="AU81:AU144" si="79">IF(W81&lt;=0,0,+($O$5+AV80)*$AQ$2/12)</f>
        <v>2899.6511456078547</v>
      </c>
      <c r="AV81" s="185">
        <f t="shared" ref="AV81:AV144" si="80">IF(W81&lt;=0,0,+AV80+AU81)</f>
        <v>176660.10938874973</v>
      </c>
    </row>
    <row r="82" spans="1:50">
      <c r="A82" s="401" t="str">
        <f t="shared" ref="A82:A145" si="81">IF(K82&lt;=0," ",+A81+30)</f>
        <v xml:space="preserve"> </v>
      </c>
      <c r="B82" s="185">
        <f t="shared" si="73"/>
        <v>0</v>
      </c>
      <c r="C82" s="14">
        <f t="shared" si="63"/>
        <v>0</v>
      </c>
      <c r="D82" s="14">
        <f t="shared" ref="D82:D145" si="82">+C82-E82</f>
        <v>0</v>
      </c>
      <c r="E82" s="14">
        <f t="shared" si="64"/>
        <v>0</v>
      </c>
      <c r="F82" s="14">
        <f t="shared" si="61"/>
        <v>0</v>
      </c>
      <c r="G82" s="14">
        <f t="shared" si="61"/>
        <v>0</v>
      </c>
      <c r="H82" s="14">
        <f t="shared" si="48"/>
        <v>0</v>
      </c>
      <c r="I82" s="185">
        <f t="shared" ref="I82:I145" si="83">$D82+$I81</f>
        <v>0</v>
      </c>
      <c r="J82" s="185">
        <f t="shared" ref="J82:J145" si="84">$E82+$J81</f>
        <v>0</v>
      </c>
      <c r="K82" s="185">
        <f t="shared" ref="K82:K145" si="85">+B82-D82</f>
        <v>0</v>
      </c>
      <c r="L82" s="317">
        <f t="shared" si="65"/>
        <v>5</v>
      </c>
      <c r="M82" s="317">
        <f t="shared" si="74"/>
        <v>66</v>
      </c>
      <c r="N82" s="185">
        <f t="shared" si="75"/>
        <v>983848.02999999956</v>
      </c>
      <c r="O82" s="185">
        <f t="shared" si="55"/>
        <v>19533.41</v>
      </c>
      <c r="P82" s="185">
        <f t="shared" ref="P82:P145" si="86">+O82-Q82</f>
        <v>61.419999999998254</v>
      </c>
      <c r="Q82" s="185">
        <f t="shared" si="56"/>
        <v>19471.990000000002</v>
      </c>
      <c r="R82" s="185">
        <f t="shared" si="60"/>
        <v>134.16999999999999</v>
      </c>
      <c r="S82" s="185">
        <f t="shared" si="57"/>
        <v>188.55</v>
      </c>
      <c r="T82" s="185">
        <f t="shared" si="49"/>
        <v>19856.129999999997</v>
      </c>
      <c r="U82" s="185">
        <f t="shared" ref="U82:U145" si="87">+P82+U81</f>
        <v>2313.3899999999958</v>
      </c>
      <c r="V82" s="185">
        <f t="shared" ref="V82:V145" si="88">+V81+Q82</f>
        <v>1306425.08</v>
      </c>
      <c r="W82" s="185">
        <f t="shared" ref="W82:W145" si="89">+N82-P82</f>
        <v>983786.60999999952</v>
      </c>
      <c r="X82" s="401" t="str">
        <f t="shared" si="76"/>
        <v xml:space="preserve"> </v>
      </c>
      <c r="Y82" s="185">
        <f t="shared" si="58"/>
        <v>953458.83000000019</v>
      </c>
      <c r="Z82" s="393">
        <f t="shared" si="66"/>
        <v>0.13125000000000001</v>
      </c>
      <c r="AA82" s="185">
        <f t="shared" si="67"/>
        <v>10874</v>
      </c>
      <c r="AB82" s="185">
        <f t="shared" si="68"/>
        <v>445.54000000000087</v>
      </c>
      <c r="AC82" s="185">
        <f t="shared" si="69"/>
        <v>10428.459999999999</v>
      </c>
      <c r="AD82" s="185">
        <f t="shared" si="62"/>
        <v>134.16999999999999</v>
      </c>
      <c r="AE82" s="185">
        <f t="shared" si="62"/>
        <v>188.55</v>
      </c>
      <c r="AF82" s="185">
        <f t="shared" si="70"/>
        <v>11196.72</v>
      </c>
      <c r="AG82" s="185">
        <f t="shared" ref="AG82:AG145" si="90">+AB82+AG81</f>
        <v>32704.800000000003</v>
      </c>
      <c r="AH82" s="185">
        <f t="shared" ref="AH82:AH145" si="91">+AH81+AC82</f>
        <v>581080.20000000019</v>
      </c>
      <c r="AI82" s="411">
        <f t="shared" si="51"/>
        <v>664999.64999999991</v>
      </c>
      <c r="AJ82" s="411">
        <f t="shared" si="71"/>
        <v>30773.319999999367</v>
      </c>
      <c r="AK82" s="411">
        <f t="shared" si="52"/>
        <v>695772.96999999927</v>
      </c>
      <c r="AL82" s="185">
        <f t="shared" si="59"/>
        <v>953013.29000000015</v>
      </c>
      <c r="AM82" s="317">
        <f t="shared" si="77"/>
        <v>5</v>
      </c>
      <c r="AN82" s="14">
        <f t="shared" si="53"/>
        <v>19533.41</v>
      </c>
      <c r="AO82" s="14">
        <f t="shared" si="46"/>
        <v>983786.61</v>
      </c>
      <c r="AP82" s="14">
        <f t="shared" si="54"/>
        <v>10874</v>
      </c>
      <c r="AS82" s="14">
        <f t="shared" si="72"/>
        <v>19533.41</v>
      </c>
      <c r="AT82" s="14">
        <f t="shared" si="78"/>
        <v>1308257.9099999995</v>
      </c>
      <c r="AU82" s="185">
        <f t="shared" si="79"/>
        <v>2906.9002734718742</v>
      </c>
      <c r="AV82" s="185">
        <f t="shared" si="80"/>
        <v>179567.00966222159</v>
      </c>
    </row>
    <row r="83" spans="1:50">
      <c r="A83" s="401" t="str">
        <f t="shared" si="81"/>
        <v xml:space="preserve"> </v>
      </c>
      <c r="B83" s="185">
        <f t="shared" si="73"/>
        <v>0</v>
      </c>
      <c r="C83" s="14">
        <f t="shared" si="63"/>
        <v>0</v>
      </c>
      <c r="D83" s="14">
        <f t="shared" si="82"/>
        <v>0</v>
      </c>
      <c r="E83" s="14">
        <f t="shared" si="64"/>
        <v>0</v>
      </c>
      <c r="F83" s="14">
        <f t="shared" si="61"/>
        <v>0</v>
      </c>
      <c r="G83" s="14">
        <f t="shared" si="61"/>
        <v>0</v>
      </c>
      <c r="H83" s="14">
        <f t="shared" si="48"/>
        <v>0</v>
      </c>
      <c r="I83" s="185">
        <f t="shared" si="83"/>
        <v>0</v>
      </c>
      <c r="J83" s="185">
        <f t="shared" si="84"/>
        <v>0</v>
      </c>
      <c r="K83" s="185">
        <f t="shared" si="85"/>
        <v>0</v>
      </c>
      <c r="L83" s="317">
        <f t="shared" si="65"/>
        <v>5</v>
      </c>
      <c r="M83" s="317">
        <f t="shared" si="74"/>
        <v>67</v>
      </c>
      <c r="N83" s="185">
        <f t="shared" si="75"/>
        <v>983786.60999999952</v>
      </c>
      <c r="O83" s="185">
        <f t="shared" si="55"/>
        <v>19533.41</v>
      </c>
      <c r="P83" s="185">
        <f t="shared" si="86"/>
        <v>62.630000000001019</v>
      </c>
      <c r="Q83" s="185">
        <f t="shared" si="56"/>
        <v>19470.78</v>
      </c>
      <c r="R83" s="185">
        <f t="shared" si="60"/>
        <v>134.16999999999999</v>
      </c>
      <c r="S83" s="185">
        <f t="shared" si="57"/>
        <v>188.55</v>
      </c>
      <c r="T83" s="185">
        <f t="shared" si="49"/>
        <v>19856.129999999997</v>
      </c>
      <c r="U83" s="185">
        <f t="shared" si="87"/>
        <v>2376.0199999999968</v>
      </c>
      <c r="V83" s="185">
        <f t="shared" si="88"/>
        <v>1325895.8600000001</v>
      </c>
      <c r="W83" s="185">
        <f t="shared" si="89"/>
        <v>983723.97999999952</v>
      </c>
      <c r="X83" s="401" t="str">
        <f t="shared" si="76"/>
        <v xml:space="preserve"> </v>
      </c>
      <c r="Y83" s="185">
        <f t="shared" si="58"/>
        <v>953013.29000000015</v>
      </c>
      <c r="Z83" s="393">
        <f t="shared" si="66"/>
        <v>0.13125000000000001</v>
      </c>
      <c r="AA83" s="185">
        <f t="shared" si="67"/>
        <v>10874</v>
      </c>
      <c r="AB83" s="185">
        <f t="shared" si="68"/>
        <v>450.42000000000007</v>
      </c>
      <c r="AC83" s="185">
        <f t="shared" si="69"/>
        <v>10423.58</v>
      </c>
      <c r="AD83" s="185">
        <f t="shared" si="62"/>
        <v>134.16999999999999</v>
      </c>
      <c r="AE83" s="185">
        <f t="shared" si="62"/>
        <v>188.55</v>
      </c>
      <c r="AF83" s="185">
        <f t="shared" si="70"/>
        <v>11196.72</v>
      </c>
      <c r="AG83" s="185">
        <f t="shared" si="90"/>
        <v>33155.22</v>
      </c>
      <c r="AH83" s="185">
        <f t="shared" si="91"/>
        <v>591503.78000000014</v>
      </c>
      <c r="AI83" s="411">
        <f t="shared" si="51"/>
        <v>673659.05999999994</v>
      </c>
      <c r="AJ83" s="411">
        <f t="shared" si="71"/>
        <v>31161.109999999404</v>
      </c>
      <c r="AK83" s="411">
        <f t="shared" si="52"/>
        <v>704820.16999999934</v>
      </c>
      <c r="AL83" s="185">
        <f t="shared" si="59"/>
        <v>952562.87000000011</v>
      </c>
      <c r="AM83" s="317">
        <f t="shared" si="77"/>
        <v>5</v>
      </c>
      <c r="AN83" s="14">
        <f t="shared" si="53"/>
        <v>19533.41</v>
      </c>
      <c r="AO83" s="14">
        <f t="shared" si="46"/>
        <v>983723.98</v>
      </c>
      <c r="AP83" s="14">
        <f t="shared" si="54"/>
        <v>10874</v>
      </c>
      <c r="AS83" s="14">
        <f t="shared" si="72"/>
        <v>19533.41</v>
      </c>
      <c r="AT83" s="14">
        <f t="shared" si="78"/>
        <v>1327791.3199999994</v>
      </c>
      <c r="AU83" s="185">
        <f t="shared" si="79"/>
        <v>2914.1675241555545</v>
      </c>
      <c r="AV83" s="185">
        <f t="shared" si="80"/>
        <v>182481.17718637714</v>
      </c>
    </row>
    <row r="84" spans="1:50">
      <c r="A84" s="401" t="str">
        <f t="shared" si="81"/>
        <v xml:space="preserve"> </v>
      </c>
      <c r="B84" s="185">
        <f t="shared" si="73"/>
        <v>0</v>
      </c>
      <c r="C84" s="14">
        <f t="shared" si="63"/>
        <v>0</v>
      </c>
      <c r="D84" s="14">
        <f t="shared" si="82"/>
        <v>0</v>
      </c>
      <c r="E84" s="14">
        <f t="shared" si="64"/>
        <v>0</v>
      </c>
      <c r="F84" s="14">
        <f t="shared" si="61"/>
        <v>0</v>
      </c>
      <c r="G84" s="14">
        <f t="shared" si="61"/>
        <v>0</v>
      </c>
      <c r="H84" s="14">
        <f t="shared" si="48"/>
        <v>0</v>
      </c>
      <c r="I84" s="185">
        <f t="shared" si="83"/>
        <v>0</v>
      </c>
      <c r="J84" s="185">
        <f t="shared" si="84"/>
        <v>0</v>
      </c>
      <c r="K84" s="185">
        <f t="shared" si="85"/>
        <v>0</v>
      </c>
      <c r="L84" s="317">
        <f t="shared" si="65"/>
        <v>5</v>
      </c>
      <c r="M84" s="317">
        <f t="shared" si="74"/>
        <v>68</v>
      </c>
      <c r="N84" s="185">
        <f t="shared" si="75"/>
        <v>983723.97999999952</v>
      </c>
      <c r="O84" s="185">
        <f t="shared" si="55"/>
        <v>19533.41</v>
      </c>
      <c r="P84" s="185">
        <f t="shared" si="86"/>
        <v>63.869999999998981</v>
      </c>
      <c r="Q84" s="185">
        <f t="shared" si="56"/>
        <v>19469.54</v>
      </c>
      <c r="R84" s="185">
        <f t="shared" si="60"/>
        <v>134.16999999999999</v>
      </c>
      <c r="S84" s="185">
        <f t="shared" si="57"/>
        <v>188.55</v>
      </c>
      <c r="T84" s="185">
        <f t="shared" si="49"/>
        <v>19856.129999999997</v>
      </c>
      <c r="U84" s="185">
        <f t="shared" si="87"/>
        <v>2439.8899999999958</v>
      </c>
      <c r="V84" s="185">
        <f t="shared" si="88"/>
        <v>1345365.4000000001</v>
      </c>
      <c r="W84" s="185">
        <f t="shared" si="89"/>
        <v>983660.10999999952</v>
      </c>
      <c r="X84" s="401" t="str">
        <f t="shared" si="76"/>
        <v xml:space="preserve"> </v>
      </c>
      <c r="Y84" s="185">
        <f t="shared" si="58"/>
        <v>952562.87000000011</v>
      </c>
      <c r="Z84" s="393">
        <f t="shared" si="66"/>
        <v>0.13125000000000001</v>
      </c>
      <c r="AA84" s="185">
        <f t="shared" si="67"/>
        <v>10874</v>
      </c>
      <c r="AB84" s="185">
        <f t="shared" si="68"/>
        <v>455.34000000000015</v>
      </c>
      <c r="AC84" s="185">
        <f t="shared" si="69"/>
        <v>10418.66</v>
      </c>
      <c r="AD84" s="185">
        <f t="shared" si="62"/>
        <v>134.16999999999999</v>
      </c>
      <c r="AE84" s="185">
        <f t="shared" si="62"/>
        <v>188.55</v>
      </c>
      <c r="AF84" s="185">
        <f t="shared" si="70"/>
        <v>11196.72</v>
      </c>
      <c r="AG84" s="185">
        <f t="shared" si="90"/>
        <v>33610.559999999998</v>
      </c>
      <c r="AH84" s="185">
        <f t="shared" si="91"/>
        <v>601922.44000000018</v>
      </c>
      <c r="AI84" s="411">
        <f t="shared" si="51"/>
        <v>682318.47</v>
      </c>
      <c r="AJ84" s="411">
        <f t="shared" si="71"/>
        <v>31552.579999999376</v>
      </c>
      <c r="AK84" s="411">
        <f t="shared" si="52"/>
        <v>713871.04999999935</v>
      </c>
      <c r="AL84" s="185">
        <f t="shared" si="59"/>
        <v>952107.53000000014</v>
      </c>
      <c r="AM84" s="317">
        <f t="shared" si="77"/>
        <v>5</v>
      </c>
      <c r="AN84" s="14">
        <f t="shared" si="53"/>
        <v>19533.41</v>
      </c>
      <c r="AO84" s="14">
        <f t="shared" si="46"/>
        <v>983660.11</v>
      </c>
      <c r="AP84" s="14">
        <f t="shared" si="54"/>
        <v>10874</v>
      </c>
      <c r="AS84" s="14">
        <f t="shared" si="72"/>
        <v>19533.41</v>
      </c>
      <c r="AT84" s="14">
        <f t="shared" si="78"/>
        <v>1347324.7299999993</v>
      </c>
      <c r="AU84" s="185">
        <f t="shared" si="79"/>
        <v>2921.4529429659428</v>
      </c>
      <c r="AV84" s="185">
        <f t="shared" si="80"/>
        <v>185402.63012934307</v>
      </c>
      <c r="AX84" s="373"/>
    </row>
    <row r="85" spans="1:50">
      <c r="A85" s="401" t="str">
        <f t="shared" si="81"/>
        <v xml:space="preserve"> </v>
      </c>
      <c r="B85" s="185">
        <f t="shared" si="73"/>
        <v>0</v>
      </c>
      <c r="C85" s="14">
        <f t="shared" si="63"/>
        <v>0</v>
      </c>
      <c r="D85" s="14">
        <f t="shared" si="82"/>
        <v>0</v>
      </c>
      <c r="E85" s="14">
        <f t="shared" si="64"/>
        <v>0</v>
      </c>
      <c r="F85" s="14">
        <f t="shared" si="61"/>
        <v>0</v>
      </c>
      <c r="G85" s="14">
        <f t="shared" si="61"/>
        <v>0</v>
      </c>
      <c r="H85" s="14">
        <f t="shared" si="48"/>
        <v>0</v>
      </c>
      <c r="I85" s="185">
        <f t="shared" si="83"/>
        <v>0</v>
      </c>
      <c r="J85" s="185">
        <f t="shared" si="84"/>
        <v>0</v>
      </c>
      <c r="K85" s="185">
        <f t="shared" si="85"/>
        <v>0</v>
      </c>
      <c r="L85" s="317">
        <f t="shared" si="65"/>
        <v>5</v>
      </c>
      <c r="M85" s="317">
        <f t="shared" si="74"/>
        <v>69</v>
      </c>
      <c r="N85" s="185">
        <f t="shared" si="75"/>
        <v>983660.10999999952</v>
      </c>
      <c r="O85" s="185">
        <f t="shared" si="55"/>
        <v>19533.41</v>
      </c>
      <c r="P85" s="185">
        <f t="shared" si="86"/>
        <v>65.139999999999418</v>
      </c>
      <c r="Q85" s="185">
        <f t="shared" si="56"/>
        <v>19468.27</v>
      </c>
      <c r="R85" s="185">
        <f t="shared" si="60"/>
        <v>134.16999999999999</v>
      </c>
      <c r="S85" s="185">
        <f t="shared" si="57"/>
        <v>188.55</v>
      </c>
      <c r="T85" s="185">
        <f t="shared" si="49"/>
        <v>19856.129999999997</v>
      </c>
      <c r="U85" s="185">
        <f t="shared" si="87"/>
        <v>2505.0299999999952</v>
      </c>
      <c r="V85" s="185">
        <f t="shared" si="88"/>
        <v>1364833.6700000002</v>
      </c>
      <c r="W85" s="185">
        <f t="shared" si="89"/>
        <v>983594.96999999951</v>
      </c>
      <c r="X85" s="401" t="str">
        <f t="shared" si="76"/>
        <v xml:space="preserve"> </v>
      </c>
      <c r="Y85" s="185">
        <f t="shared" si="58"/>
        <v>952107.53000000014</v>
      </c>
      <c r="Z85" s="393">
        <f t="shared" si="66"/>
        <v>0.13125000000000001</v>
      </c>
      <c r="AA85" s="185">
        <f t="shared" si="67"/>
        <v>10874</v>
      </c>
      <c r="AB85" s="185">
        <f t="shared" si="68"/>
        <v>460.31999999999971</v>
      </c>
      <c r="AC85" s="185">
        <f t="shared" si="69"/>
        <v>10413.68</v>
      </c>
      <c r="AD85" s="185">
        <f t="shared" si="62"/>
        <v>134.16999999999999</v>
      </c>
      <c r="AE85" s="185">
        <f t="shared" si="62"/>
        <v>188.55</v>
      </c>
      <c r="AF85" s="185">
        <f t="shared" si="70"/>
        <v>11196.72</v>
      </c>
      <c r="AG85" s="185">
        <f t="shared" si="90"/>
        <v>34070.879999999997</v>
      </c>
      <c r="AH85" s="185">
        <f t="shared" si="91"/>
        <v>612336.12000000023</v>
      </c>
      <c r="AI85" s="411">
        <f t="shared" si="51"/>
        <v>690977.88</v>
      </c>
      <c r="AJ85" s="411">
        <f t="shared" si="71"/>
        <v>31947.759999999311</v>
      </c>
      <c r="AK85" s="411">
        <f t="shared" si="52"/>
        <v>722925.63999999932</v>
      </c>
      <c r="AL85" s="185">
        <f t="shared" si="59"/>
        <v>951647.2100000002</v>
      </c>
      <c r="AM85" s="317">
        <f t="shared" si="77"/>
        <v>5</v>
      </c>
      <c r="AN85" s="14">
        <f t="shared" si="53"/>
        <v>19533.41</v>
      </c>
      <c r="AO85" s="14">
        <f t="shared" si="46"/>
        <v>983594.97</v>
      </c>
      <c r="AP85" s="14">
        <f t="shared" si="54"/>
        <v>10874</v>
      </c>
      <c r="AS85" s="14">
        <f t="shared" si="72"/>
        <v>19533.41</v>
      </c>
      <c r="AT85" s="14">
        <f t="shared" si="78"/>
        <v>1366858.1399999992</v>
      </c>
      <c r="AU85" s="185">
        <f t="shared" si="79"/>
        <v>2928.7565753233575</v>
      </c>
      <c r="AV85" s="185">
        <f t="shared" si="80"/>
        <v>188331.38670466642</v>
      </c>
      <c r="AX85" s="373"/>
    </row>
    <row r="86" spans="1:50">
      <c r="A86" s="401" t="str">
        <f t="shared" si="81"/>
        <v xml:space="preserve"> </v>
      </c>
      <c r="B86" s="185">
        <f t="shared" si="73"/>
        <v>0</v>
      </c>
      <c r="C86" s="14">
        <f t="shared" si="63"/>
        <v>0</v>
      </c>
      <c r="D86" s="14">
        <f t="shared" si="82"/>
        <v>0</v>
      </c>
      <c r="E86" s="14">
        <f t="shared" si="64"/>
        <v>0</v>
      </c>
      <c r="F86" s="14">
        <f t="shared" si="61"/>
        <v>0</v>
      </c>
      <c r="G86" s="14">
        <f t="shared" si="61"/>
        <v>0</v>
      </c>
      <c r="H86" s="14">
        <f t="shared" si="48"/>
        <v>0</v>
      </c>
      <c r="I86" s="185">
        <f t="shared" si="83"/>
        <v>0</v>
      </c>
      <c r="J86" s="185">
        <f t="shared" si="84"/>
        <v>0</v>
      </c>
      <c r="K86" s="185">
        <f t="shared" si="85"/>
        <v>0</v>
      </c>
      <c r="L86" s="317">
        <f t="shared" si="65"/>
        <v>5</v>
      </c>
      <c r="M86" s="317">
        <f t="shared" si="74"/>
        <v>70</v>
      </c>
      <c r="N86" s="185">
        <f t="shared" si="75"/>
        <v>983594.96999999951</v>
      </c>
      <c r="O86" s="185">
        <f t="shared" si="55"/>
        <v>19533.41</v>
      </c>
      <c r="P86" s="185">
        <f t="shared" si="86"/>
        <v>66.430000000000291</v>
      </c>
      <c r="Q86" s="185">
        <f t="shared" si="56"/>
        <v>19466.98</v>
      </c>
      <c r="R86" s="185">
        <f t="shared" si="60"/>
        <v>134.16999999999999</v>
      </c>
      <c r="S86" s="185">
        <f t="shared" si="57"/>
        <v>188.55</v>
      </c>
      <c r="T86" s="185">
        <f t="shared" si="49"/>
        <v>19856.129999999997</v>
      </c>
      <c r="U86" s="185">
        <f t="shared" si="87"/>
        <v>2571.4599999999955</v>
      </c>
      <c r="V86" s="185">
        <f t="shared" si="88"/>
        <v>1384300.6500000001</v>
      </c>
      <c r="W86" s="185">
        <f t="shared" si="89"/>
        <v>983528.53999999946</v>
      </c>
      <c r="X86" s="401" t="str">
        <f t="shared" si="76"/>
        <v xml:space="preserve"> </v>
      </c>
      <c r="Y86" s="185">
        <f t="shared" si="58"/>
        <v>951647.2100000002</v>
      </c>
      <c r="Z86" s="393">
        <f t="shared" si="66"/>
        <v>0.13125000000000001</v>
      </c>
      <c r="AA86" s="185">
        <f t="shared" si="67"/>
        <v>10874</v>
      </c>
      <c r="AB86" s="185">
        <f t="shared" si="68"/>
        <v>465.36000000000058</v>
      </c>
      <c r="AC86" s="185">
        <f t="shared" si="69"/>
        <v>10408.64</v>
      </c>
      <c r="AD86" s="185">
        <f t="shared" si="62"/>
        <v>134.16999999999999</v>
      </c>
      <c r="AE86" s="185">
        <f t="shared" si="62"/>
        <v>188.55</v>
      </c>
      <c r="AF86" s="185">
        <f t="shared" si="70"/>
        <v>11196.72</v>
      </c>
      <c r="AG86" s="185">
        <f t="shared" si="90"/>
        <v>34536.239999999998</v>
      </c>
      <c r="AH86" s="185">
        <f t="shared" si="91"/>
        <v>622744.76000000024</v>
      </c>
      <c r="AI86" s="411">
        <f t="shared" si="51"/>
        <v>699637.29</v>
      </c>
      <c r="AJ86" s="411">
        <f t="shared" si="71"/>
        <v>32346.689999999246</v>
      </c>
      <c r="AK86" s="411">
        <f t="shared" si="52"/>
        <v>731983.97999999928</v>
      </c>
      <c r="AL86" s="185">
        <f t="shared" si="59"/>
        <v>951181.85000000021</v>
      </c>
      <c r="AM86" s="317">
        <f t="shared" si="77"/>
        <v>5</v>
      </c>
      <c r="AN86" s="14">
        <f t="shared" si="53"/>
        <v>19533.41</v>
      </c>
      <c r="AO86" s="14">
        <f t="shared" si="46"/>
        <v>983528.54</v>
      </c>
      <c r="AP86" s="14">
        <f t="shared" si="54"/>
        <v>10874</v>
      </c>
      <c r="AS86" s="14">
        <f t="shared" si="72"/>
        <v>19533.41</v>
      </c>
      <c r="AT86" s="14">
        <f t="shared" si="78"/>
        <v>1386391.5499999991</v>
      </c>
      <c r="AU86" s="185">
        <f t="shared" si="79"/>
        <v>2936.0784667616663</v>
      </c>
      <c r="AV86" s="185">
        <f t="shared" si="80"/>
        <v>191267.46517142808</v>
      </c>
    </row>
    <row r="87" spans="1:50" ht="15.75" thickBot="1">
      <c r="A87" s="404" t="str">
        <f t="shared" si="81"/>
        <v xml:space="preserve"> </v>
      </c>
      <c r="B87" s="237">
        <f t="shared" si="73"/>
        <v>0</v>
      </c>
      <c r="C87" s="21">
        <f t="shared" si="63"/>
        <v>0</v>
      </c>
      <c r="D87" s="21">
        <f t="shared" si="82"/>
        <v>0</v>
      </c>
      <c r="E87" s="21">
        <f t="shared" si="64"/>
        <v>0</v>
      </c>
      <c r="F87" s="21">
        <f t="shared" si="61"/>
        <v>0</v>
      </c>
      <c r="G87" s="21">
        <f t="shared" si="61"/>
        <v>0</v>
      </c>
      <c r="H87" s="21">
        <f t="shared" si="48"/>
        <v>0</v>
      </c>
      <c r="I87" s="237">
        <f t="shared" si="83"/>
        <v>0</v>
      </c>
      <c r="J87" s="237">
        <f t="shared" si="84"/>
        <v>0</v>
      </c>
      <c r="K87" s="237">
        <f t="shared" si="85"/>
        <v>0</v>
      </c>
      <c r="L87" s="318">
        <f t="shared" si="65"/>
        <v>5</v>
      </c>
      <c r="M87" s="318">
        <f t="shared" si="74"/>
        <v>71</v>
      </c>
      <c r="N87" s="237">
        <f t="shared" si="75"/>
        <v>983528.53999999946</v>
      </c>
      <c r="O87" s="237">
        <f t="shared" si="55"/>
        <v>19533.41</v>
      </c>
      <c r="P87" s="237">
        <f t="shared" si="86"/>
        <v>67.740000000001601</v>
      </c>
      <c r="Q87" s="237">
        <f t="shared" si="56"/>
        <v>19465.669999999998</v>
      </c>
      <c r="R87" s="237">
        <f t="shared" si="60"/>
        <v>134.16999999999999</v>
      </c>
      <c r="S87" s="237">
        <f t="shared" si="57"/>
        <v>188.55</v>
      </c>
      <c r="T87" s="237">
        <f t="shared" si="49"/>
        <v>19856.129999999997</v>
      </c>
      <c r="U87" s="237">
        <f t="shared" si="87"/>
        <v>2639.1999999999971</v>
      </c>
      <c r="V87" s="237">
        <f t="shared" si="88"/>
        <v>1403766.32</v>
      </c>
      <c r="W87" s="237">
        <f t="shared" si="89"/>
        <v>983460.79999999946</v>
      </c>
      <c r="X87" s="404" t="str">
        <f t="shared" si="76"/>
        <v xml:space="preserve"> </v>
      </c>
      <c r="Y87" s="237">
        <f t="shared" si="58"/>
        <v>951181.85000000021</v>
      </c>
      <c r="Z87" s="394">
        <f t="shared" si="66"/>
        <v>0.13125000000000001</v>
      </c>
      <c r="AA87" s="237">
        <f t="shared" si="67"/>
        <v>10874</v>
      </c>
      <c r="AB87" s="237">
        <f t="shared" si="68"/>
        <v>470.45000000000073</v>
      </c>
      <c r="AC87" s="237">
        <f t="shared" si="69"/>
        <v>10403.549999999999</v>
      </c>
      <c r="AD87" s="237">
        <f t="shared" si="62"/>
        <v>134.16999999999999</v>
      </c>
      <c r="AE87" s="237">
        <f t="shared" si="62"/>
        <v>188.55</v>
      </c>
      <c r="AF87" s="237">
        <f t="shared" si="70"/>
        <v>11196.72</v>
      </c>
      <c r="AG87" s="237">
        <f t="shared" si="90"/>
        <v>35006.69</v>
      </c>
      <c r="AH87" s="237">
        <f t="shared" si="91"/>
        <v>633148.31000000029</v>
      </c>
      <c r="AI87" s="412">
        <f t="shared" si="51"/>
        <v>708296.70000000007</v>
      </c>
      <c r="AJ87" s="412">
        <f t="shared" si="71"/>
        <v>32749.399999999208</v>
      </c>
      <c r="AK87" s="412">
        <f t="shared" si="52"/>
        <v>741046.09999999928</v>
      </c>
      <c r="AL87" s="237">
        <f t="shared" si="59"/>
        <v>950711.40000000026</v>
      </c>
      <c r="AM87" s="318">
        <f t="shared" si="77"/>
        <v>5</v>
      </c>
      <c r="AN87" s="21">
        <f t="shared" si="53"/>
        <v>19533.41</v>
      </c>
      <c r="AO87" s="21">
        <f t="shared" si="46"/>
        <v>983460.8</v>
      </c>
      <c r="AP87" s="21">
        <f t="shared" si="54"/>
        <v>10874</v>
      </c>
      <c r="AQ87" s="21"/>
      <c r="AR87" s="23"/>
      <c r="AS87" s="21">
        <f t="shared" si="72"/>
        <v>19533.41</v>
      </c>
      <c r="AT87" s="21">
        <f t="shared" si="78"/>
        <v>1405924.959999999</v>
      </c>
      <c r="AU87" s="237">
        <f t="shared" si="79"/>
        <v>2943.4186629285705</v>
      </c>
      <c r="AV87" s="237">
        <f t="shared" si="80"/>
        <v>194210.88383435665</v>
      </c>
    </row>
    <row r="88" spans="1:50">
      <c r="A88" s="401" t="str">
        <f t="shared" si="81"/>
        <v xml:space="preserve"> </v>
      </c>
      <c r="B88" s="185">
        <f t="shared" si="73"/>
        <v>0</v>
      </c>
      <c r="C88" s="14">
        <f t="shared" si="63"/>
        <v>0</v>
      </c>
      <c r="D88" s="14">
        <f t="shared" si="82"/>
        <v>0</v>
      </c>
      <c r="E88" s="14">
        <f t="shared" si="64"/>
        <v>0</v>
      </c>
      <c r="F88" s="14">
        <f t="shared" si="61"/>
        <v>0</v>
      </c>
      <c r="G88" s="14">
        <f t="shared" si="61"/>
        <v>0</v>
      </c>
      <c r="H88" s="14">
        <f t="shared" si="48"/>
        <v>0</v>
      </c>
      <c r="I88" s="185">
        <f t="shared" si="83"/>
        <v>0</v>
      </c>
      <c r="J88" s="185">
        <f t="shared" si="84"/>
        <v>0</v>
      </c>
      <c r="K88" s="185">
        <f t="shared" si="85"/>
        <v>0</v>
      </c>
      <c r="L88" s="317">
        <f t="shared" si="65"/>
        <v>6</v>
      </c>
      <c r="M88" s="317">
        <f t="shared" si="74"/>
        <v>72</v>
      </c>
      <c r="N88" s="185">
        <f t="shared" si="75"/>
        <v>983460.79999999946</v>
      </c>
      <c r="O88" s="185">
        <f t="shared" si="55"/>
        <v>19533.41</v>
      </c>
      <c r="P88" s="185">
        <f t="shared" si="86"/>
        <v>69.079999999998108</v>
      </c>
      <c r="Q88" s="185">
        <f t="shared" si="56"/>
        <v>19464.330000000002</v>
      </c>
      <c r="R88" s="185">
        <f t="shared" si="60"/>
        <v>134.16999999999999</v>
      </c>
      <c r="S88" s="185">
        <f t="shared" si="57"/>
        <v>188.55</v>
      </c>
      <c r="T88" s="185">
        <f t="shared" si="49"/>
        <v>19856.129999999997</v>
      </c>
      <c r="U88" s="185">
        <f t="shared" si="87"/>
        <v>2708.2799999999952</v>
      </c>
      <c r="V88" s="185">
        <f t="shared" si="88"/>
        <v>1423230.6500000001</v>
      </c>
      <c r="W88" s="185">
        <f t="shared" si="89"/>
        <v>983391.71999999951</v>
      </c>
      <c r="X88" s="401" t="str">
        <f t="shared" si="76"/>
        <v xml:space="preserve"> </v>
      </c>
      <c r="Y88" s="185">
        <f t="shared" si="58"/>
        <v>950711.40000000026</v>
      </c>
      <c r="Z88" s="393">
        <f t="shared" si="66"/>
        <v>0.13125000000000001</v>
      </c>
      <c r="AA88" s="185">
        <f t="shared" si="67"/>
        <v>10874</v>
      </c>
      <c r="AB88" s="185">
        <f t="shared" si="68"/>
        <v>475.59000000000015</v>
      </c>
      <c r="AC88" s="185">
        <f t="shared" si="69"/>
        <v>10398.41</v>
      </c>
      <c r="AD88" s="185">
        <f t="shared" si="62"/>
        <v>134.16999999999999</v>
      </c>
      <c r="AE88" s="185">
        <f t="shared" si="62"/>
        <v>188.55</v>
      </c>
      <c r="AF88" s="185">
        <f t="shared" si="70"/>
        <v>11196.72</v>
      </c>
      <c r="AG88" s="185">
        <f t="shared" si="90"/>
        <v>35482.28</v>
      </c>
      <c r="AH88" s="185">
        <f t="shared" si="91"/>
        <v>643546.72000000032</v>
      </c>
      <c r="AI88" s="411">
        <f t="shared" si="51"/>
        <v>716956.1100000001</v>
      </c>
      <c r="AJ88" s="411">
        <f t="shared" si="71"/>
        <v>33155.909999999218</v>
      </c>
      <c r="AK88" s="411">
        <f t="shared" si="52"/>
        <v>750112.01999999932</v>
      </c>
      <c r="AL88" s="185">
        <f t="shared" si="59"/>
        <v>950235.81000000029</v>
      </c>
      <c r="AM88" s="317">
        <f t="shared" si="77"/>
        <v>6</v>
      </c>
      <c r="AN88" s="14">
        <f t="shared" si="53"/>
        <v>19533.41</v>
      </c>
      <c r="AO88" s="14">
        <f t="shared" si="46"/>
        <v>983391.72</v>
      </c>
      <c r="AP88" s="14">
        <f t="shared" si="54"/>
        <v>10874</v>
      </c>
      <c r="AS88" s="14">
        <f t="shared" si="72"/>
        <v>19533.41</v>
      </c>
      <c r="AT88" s="14">
        <f t="shared" si="78"/>
        <v>1425458.3699999989</v>
      </c>
      <c r="AU88" s="185">
        <f t="shared" si="79"/>
        <v>2950.7772095858913</v>
      </c>
      <c r="AV88" s="185">
        <f t="shared" si="80"/>
        <v>197161.66104394253</v>
      </c>
    </row>
    <row r="89" spans="1:50">
      <c r="A89" s="401" t="str">
        <f t="shared" si="81"/>
        <v xml:space="preserve"> </v>
      </c>
      <c r="B89" s="185">
        <f t="shared" si="73"/>
        <v>0</v>
      </c>
      <c r="C89" s="14">
        <f t="shared" si="63"/>
        <v>0</v>
      </c>
      <c r="D89" s="14">
        <f t="shared" si="82"/>
        <v>0</v>
      </c>
      <c r="E89" s="14">
        <f t="shared" si="64"/>
        <v>0</v>
      </c>
      <c r="F89" s="14">
        <f t="shared" si="61"/>
        <v>0</v>
      </c>
      <c r="G89" s="14">
        <f t="shared" si="61"/>
        <v>0</v>
      </c>
      <c r="H89" s="14">
        <f t="shared" si="48"/>
        <v>0</v>
      </c>
      <c r="I89" s="185">
        <f t="shared" si="83"/>
        <v>0</v>
      </c>
      <c r="J89" s="185">
        <f t="shared" si="84"/>
        <v>0</v>
      </c>
      <c r="K89" s="185">
        <f t="shared" si="85"/>
        <v>0</v>
      </c>
      <c r="L89" s="317">
        <f t="shared" si="65"/>
        <v>6</v>
      </c>
      <c r="M89" s="317">
        <f t="shared" si="74"/>
        <v>73</v>
      </c>
      <c r="N89" s="185">
        <f t="shared" si="75"/>
        <v>983391.71999999951</v>
      </c>
      <c r="O89" s="185">
        <f t="shared" si="55"/>
        <v>19533.41</v>
      </c>
      <c r="P89" s="185">
        <f t="shared" si="86"/>
        <v>70.450000000000728</v>
      </c>
      <c r="Q89" s="185">
        <f t="shared" si="56"/>
        <v>19462.96</v>
      </c>
      <c r="R89" s="185">
        <f t="shared" si="60"/>
        <v>134.16999999999999</v>
      </c>
      <c r="S89" s="185">
        <f t="shared" si="57"/>
        <v>188.55</v>
      </c>
      <c r="T89" s="185">
        <f t="shared" si="49"/>
        <v>19856.129999999997</v>
      </c>
      <c r="U89" s="185">
        <f t="shared" si="87"/>
        <v>2778.7299999999959</v>
      </c>
      <c r="V89" s="185">
        <f t="shared" si="88"/>
        <v>1442693.61</v>
      </c>
      <c r="W89" s="185">
        <f t="shared" si="89"/>
        <v>983321.26999999955</v>
      </c>
      <c r="X89" s="401" t="str">
        <f t="shared" si="76"/>
        <v xml:space="preserve"> </v>
      </c>
      <c r="Y89" s="185">
        <f t="shared" si="58"/>
        <v>950235.81000000029</v>
      </c>
      <c r="Z89" s="393">
        <f t="shared" si="66"/>
        <v>0.13125000000000001</v>
      </c>
      <c r="AA89" s="185">
        <f t="shared" si="67"/>
        <v>10874</v>
      </c>
      <c r="AB89" s="185">
        <f t="shared" si="68"/>
        <v>480.79999999999927</v>
      </c>
      <c r="AC89" s="185">
        <f t="shared" si="69"/>
        <v>10393.200000000001</v>
      </c>
      <c r="AD89" s="185">
        <f t="shared" si="62"/>
        <v>134.16999999999999</v>
      </c>
      <c r="AE89" s="185">
        <f t="shared" si="62"/>
        <v>188.55</v>
      </c>
      <c r="AF89" s="185">
        <f t="shared" si="70"/>
        <v>11196.72</v>
      </c>
      <c r="AG89" s="185">
        <f t="shared" si="90"/>
        <v>35963.08</v>
      </c>
      <c r="AH89" s="185">
        <f t="shared" si="91"/>
        <v>653939.92000000027</v>
      </c>
      <c r="AI89" s="411">
        <f t="shared" si="51"/>
        <v>725615.52000000014</v>
      </c>
      <c r="AJ89" s="411">
        <f t="shared" si="71"/>
        <v>33566.259999999311</v>
      </c>
      <c r="AK89" s="411">
        <f t="shared" si="52"/>
        <v>759181.77999999945</v>
      </c>
      <c r="AL89" s="185">
        <f t="shared" si="59"/>
        <v>949755.01000000024</v>
      </c>
      <c r="AM89" s="317">
        <f t="shared" si="77"/>
        <v>6</v>
      </c>
      <c r="AN89" s="14">
        <f t="shared" si="53"/>
        <v>19533.41</v>
      </c>
      <c r="AO89" s="14">
        <f t="shared" si="46"/>
        <v>983321.27</v>
      </c>
      <c r="AP89" s="14">
        <f t="shared" si="54"/>
        <v>10874</v>
      </c>
      <c r="AS89" s="14">
        <f t="shared" si="72"/>
        <v>19533.41</v>
      </c>
      <c r="AT89" s="14">
        <f t="shared" si="78"/>
        <v>1444991.7799999989</v>
      </c>
      <c r="AU89" s="185">
        <f t="shared" si="79"/>
        <v>2958.1541526098558</v>
      </c>
      <c r="AV89" s="185">
        <f t="shared" si="80"/>
        <v>200119.81519655237</v>
      </c>
    </row>
    <row r="90" spans="1:50">
      <c r="A90" s="401" t="str">
        <f t="shared" si="81"/>
        <v xml:space="preserve"> </v>
      </c>
      <c r="B90" s="185">
        <f t="shared" si="73"/>
        <v>0</v>
      </c>
      <c r="C90" s="14">
        <f t="shared" si="63"/>
        <v>0</v>
      </c>
      <c r="D90" s="14">
        <f t="shared" si="82"/>
        <v>0</v>
      </c>
      <c r="E90" s="14">
        <f t="shared" si="64"/>
        <v>0</v>
      </c>
      <c r="F90" s="14">
        <f t="shared" si="61"/>
        <v>0</v>
      </c>
      <c r="G90" s="14">
        <f t="shared" si="61"/>
        <v>0</v>
      </c>
      <c r="H90" s="14">
        <f t="shared" si="48"/>
        <v>0</v>
      </c>
      <c r="I90" s="185">
        <f t="shared" si="83"/>
        <v>0</v>
      </c>
      <c r="J90" s="185">
        <f t="shared" si="84"/>
        <v>0</v>
      </c>
      <c r="K90" s="185">
        <f t="shared" si="85"/>
        <v>0</v>
      </c>
      <c r="L90" s="317">
        <f t="shared" si="65"/>
        <v>6</v>
      </c>
      <c r="M90" s="317">
        <f t="shared" si="74"/>
        <v>74</v>
      </c>
      <c r="N90" s="185">
        <f t="shared" si="75"/>
        <v>983321.26999999955</v>
      </c>
      <c r="O90" s="185">
        <f t="shared" si="55"/>
        <v>19533.41</v>
      </c>
      <c r="P90" s="185">
        <f t="shared" si="86"/>
        <v>71.840000000000146</v>
      </c>
      <c r="Q90" s="185">
        <f t="shared" si="56"/>
        <v>19461.57</v>
      </c>
      <c r="R90" s="185">
        <f t="shared" si="60"/>
        <v>134.16999999999999</v>
      </c>
      <c r="S90" s="185">
        <f t="shared" si="57"/>
        <v>188.55</v>
      </c>
      <c r="T90" s="185">
        <f t="shared" si="49"/>
        <v>19856.129999999997</v>
      </c>
      <c r="U90" s="185">
        <f t="shared" si="87"/>
        <v>2850.5699999999961</v>
      </c>
      <c r="V90" s="185">
        <f t="shared" si="88"/>
        <v>1462155.1800000002</v>
      </c>
      <c r="W90" s="185">
        <f t="shared" si="89"/>
        <v>983249.42999999959</v>
      </c>
      <c r="X90" s="401" t="str">
        <f t="shared" si="76"/>
        <v xml:space="preserve"> </v>
      </c>
      <c r="Y90" s="185">
        <f t="shared" si="58"/>
        <v>949755.01000000024</v>
      </c>
      <c r="Z90" s="393">
        <f t="shared" si="66"/>
        <v>0.13125000000000001</v>
      </c>
      <c r="AA90" s="185">
        <f t="shared" si="67"/>
        <v>10874</v>
      </c>
      <c r="AB90" s="185">
        <f t="shared" si="68"/>
        <v>486.04999999999927</v>
      </c>
      <c r="AC90" s="185">
        <f t="shared" si="69"/>
        <v>10387.950000000001</v>
      </c>
      <c r="AD90" s="185">
        <f t="shared" si="62"/>
        <v>134.16999999999999</v>
      </c>
      <c r="AE90" s="185">
        <f t="shared" si="62"/>
        <v>188.55</v>
      </c>
      <c r="AF90" s="185">
        <f t="shared" si="70"/>
        <v>11196.72</v>
      </c>
      <c r="AG90" s="185">
        <f t="shared" si="90"/>
        <v>36449.130000000005</v>
      </c>
      <c r="AH90" s="185">
        <f t="shared" si="91"/>
        <v>664327.87000000023</v>
      </c>
      <c r="AI90" s="411">
        <f t="shared" si="51"/>
        <v>734274.93000000017</v>
      </c>
      <c r="AJ90" s="411">
        <f t="shared" si="71"/>
        <v>33980.46999999939</v>
      </c>
      <c r="AK90" s="411">
        <f t="shared" si="52"/>
        <v>768255.39999999956</v>
      </c>
      <c r="AL90" s="185">
        <f t="shared" si="59"/>
        <v>949268.9600000002</v>
      </c>
      <c r="AM90" s="317">
        <f t="shared" si="77"/>
        <v>6</v>
      </c>
      <c r="AN90" s="14">
        <f t="shared" si="53"/>
        <v>19533.41</v>
      </c>
      <c r="AO90" s="14">
        <f t="shared" si="46"/>
        <v>983249.43</v>
      </c>
      <c r="AP90" s="14">
        <f t="shared" si="54"/>
        <v>10874</v>
      </c>
      <c r="AS90" s="14">
        <f t="shared" si="72"/>
        <v>19533.41</v>
      </c>
      <c r="AT90" s="14">
        <f t="shared" si="78"/>
        <v>1464525.1899999988</v>
      </c>
      <c r="AU90" s="185">
        <f t="shared" si="79"/>
        <v>2965.5495379913809</v>
      </c>
      <c r="AV90" s="185">
        <f t="shared" si="80"/>
        <v>203085.36473454375</v>
      </c>
    </row>
    <row r="91" spans="1:50">
      <c r="A91" s="401" t="str">
        <f t="shared" si="81"/>
        <v xml:space="preserve"> </v>
      </c>
      <c r="B91" s="185">
        <f t="shared" si="73"/>
        <v>0</v>
      </c>
      <c r="C91" s="14">
        <f t="shared" si="63"/>
        <v>0</v>
      </c>
      <c r="D91" s="14">
        <f t="shared" si="82"/>
        <v>0</v>
      </c>
      <c r="E91" s="14">
        <f t="shared" si="64"/>
        <v>0</v>
      </c>
      <c r="F91" s="14">
        <f t="shared" ref="F91:G106" si="92">+F90</f>
        <v>0</v>
      </c>
      <c r="G91" s="14">
        <f t="shared" si="92"/>
        <v>0</v>
      </c>
      <c r="H91" s="14">
        <f t="shared" si="48"/>
        <v>0</v>
      </c>
      <c r="I91" s="185">
        <f t="shared" si="83"/>
        <v>0</v>
      </c>
      <c r="J91" s="185">
        <f t="shared" si="84"/>
        <v>0</v>
      </c>
      <c r="K91" s="185">
        <f t="shared" si="85"/>
        <v>0</v>
      </c>
      <c r="L91" s="317">
        <f t="shared" si="65"/>
        <v>6</v>
      </c>
      <c r="M91" s="317">
        <f t="shared" si="74"/>
        <v>75</v>
      </c>
      <c r="N91" s="185">
        <f t="shared" si="75"/>
        <v>983249.42999999959</v>
      </c>
      <c r="O91" s="185">
        <f t="shared" si="55"/>
        <v>19533.41</v>
      </c>
      <c r="P91" s="185">
        <f t="shared" si="86"/>
        <v>73.270000000000437</v>
      </c>
      <c r="Q91" s="185">
        <f t="shared" si="56"/>
        <v>19460.14</v>
      </c>
      <c r="R91" s="185">
        <f t="shared" si="60"/>
        <v>134.16999999999999</v>
      </c>
      <c r="S91" s="185">
        <f t="shared" si="57"/>
        <v>188.55</v>
      </c>
      <c r="T91" s="185">
        <f t="shared" si="49"/>
        <v>19856.129999999997</v>
      </c>
      <c r="U91" s="185">
        <f t="shared" si="87"/>
        <v>2923.8399999999965</v>
      </c>
      <c r="V91" s="185">
        <f t="shared" si="88"/>
        <v>1481615.32</v>
      </c>
      <c r="W91" s="185">
        <f t="shared" si="89"/>
        <v>983176.15999999957</v>
      </c>
      <c r="X91" s="401" t="str">
        <f t="shared" si="76"/>
        <v xml:space="preserve"> </v>
      </c>
      <c r="Y91" s="185">
        <f t="shared" si="58"/>
        <v>949268.9600000002</v>
      </c>
      <c r="Z91" s="393">
        <f t="shared" si="66"/>
        <v>0.13125000000000001</v>
      </c>
      <c r="AA91" s="185">
        <f t="shared" si="67"/>
        <v>10874</v>
      </c>
      <c r="AB91" s="185">
        <f t="shared" si="68"/>
        <v>491.3700000000008</v>
      </c>
      <c r="AC91" s="185">
        <f t="shared" si="69"/>
        <v>10382.629999999999</v>
      </c>
      <c r="AD91" s="185">
        <f t="shared" si="62"/>
        <v>134.16999999999999</v>
      </c>
      <c r="AE91" s="185">
        <f t="shared" si="62"/>
        <v>188.55</v>
      </c>
      <c r="AF91" s="185">
        <f t="shared" si="70"/>
        <v>11196.72</v>
      </c>
      <c r="AG91" s="185">
        <f t="shared" si="90"/>
        <v>36940.500000000007</v>
      </c>
      <c r="AH91" s="185">
        <f t="shared" si="91"/>
        <v>674710.50000000023</v>
      </c>
      <c r="AI91" s="411">
        <f t="shared" si="51"/>
        <v>742934.3400000002</v>
      </c>
      <c r="AJ91" s="411">
        <f>+W91-AL91</f>
        <v>34398.569999999367</v>
      </c>
      <c r="AK91" s="411">
        <f t="shared" si="52"/>
        <v>777332.90999999957</v>
      </c>
      <c r="AL91" s="185">
        <f t="shared" si="59"/>
        <v>948777.5900000002</v>
      </c>
      <c r="AM91" s="317">
        <f t="shared" si="77"/>
        <v>6</v>
      </c>
      <c r="AN91" s="14">
        <f t="shared" si="53"/>
        <v>19533.41</v>
      </c>
      <c r="AO91" s="14">
        <f t="shared" si="46"/>
        <v>983176.16</v>
      </c>
      <c r="AP91" s="14">
        <f t="shared" si="54"/>
        <v>10874</v>
      </c>
      <c r="AS91" s="14">
        <f t="shared" si="72"/>
        <v>19533.41</v>
      </c>
      <c r="AT91" s="14">
        <f t="shared" si="78"/>
        <v>1484058.5999999987</v>
      </c>
      <c r="AU91" s="185">
        <f t="shared" si="79"/>
        <v>2972.9634118363592</v>
      </c>
      <c r="AV91" s="185">
        <f t="shared" si="80"/>
        <v>206058.32814638011</v>
      </c>
    </row>
    <row r="92" spans="1:50">
      <c r="A92" s="401" t="str">
        <f t="shared" si="81"/>
        <v xml:space="preserve"> </v>
      </c>
      <c r="B92" s="185">
        <f t="shared" si="73"/>
        <v>0</v>
      </c>
      <c r="C92" s="14">
        <f t="shared" si="63"/>
        <v>0</v>
      </c>
      <c r="D92" s="14">
        <f t="shared" si="82"/>
        <v>0</v>
      </c>
      <c r="E92" s="14">
        <f t="shared" si="64"/>
        <v>0</v>
      </c>
      <c r="F92" s="14">
        <f t="shared" si="92"/>
        <v>0</v>
      </c>
      <c r="G92" s="14">
        <f t="shared" si="92"/>
        <v>0</v>
      </c>
      <c r="H92" s="14">
        <f t="shared" si="48"/>
        <v>0</v>
      </c>
      <c r="I92" s="185">
        <f t="shared" si="83"/>
        <v>0</v>
      </c>
      <c r="J92" s="185">
        <f t="shared" si="84"/>
        <v>0</v>
      </c>
      <c r="K92" s="185">
        <f t="shared" si="85"/>
        <v>0</v>
      </c>
      <c r="L92" s="317">
        <f t="shared" si="65"/>
        <v>6</v>
      </c>
      <c r="M92" s="317">
        <f t="shared" si="74"/>
        <v>76</v>
      </c>
      <c r="N92" s="185">
        <f t="shared" si="75"/>
        <v>983176.15999999957</v>
      </c>
      <c r="O92" s="185">
        <f t="shared" si="55"/>
        <v>19533.41</v>
      </c>
      <c r="P92" s="185">
        <f t="shared" si="86"/>
        <v>74.720000000001164</v>
      </c>
      <c r="Q92" s="185">
        <f t="shared" si="56"/>
        <v>19458.689999999999</v>
      </c>
      <c r="R92" s="185">
        <f t="shared" si="60"/>
        <v>134.16999999999999</v>
      </c>
      <c r="S92" s="185">
        <f t="shared" si="57"/>
        <v>188.55</v>
      </c>
      <c r="T92" s="185">
        <f t="shared" si="49"/>
        <v>19856.129999999997</v>
      </c>
      <c r="U92" s="185">
        <f t="shared" si="87"/>
        <v>2998.5599999999977</v>
      </c>
      <c r="V92" s="185">
        <f t="shared" si="88"/>
        <v>1501074.01</v>
      </c>
      <c r="W92" s="185">
        <f t="shared" si="89"/>
        <v>983101.43999999959</v>
      </c>
      <c r="X92" s="401" t="str">
        <f t="shared" si="76"/>
        <v xml:space="preserve"> </v>
      </c>
      <c r="Y92" s="185">
        <f t="shared" si="58"/>
        <v>948777.5900000002</v>
      </c>
      <c r="Z92" s="393">
        <f t="shared" si="66"/>
        <v>0.13125000000000001</v>
      </c>
      <c r="AA92" s="185">
        <f t="shared" si="67"/>
        <v>10874</v>
      </c>
      <c r="AB92" s="185">
        <f t="shared" si="68"/>
        <v>496.75</v>
      </c>
      <c r="AC92" s="185">
        <f t="shared" si="69"/>
        <v>10377.25</v>
      </c>
      <c r="AD92" s="185">
        <f t="shared" si="62"/>
        <v>134.16999999999999</v>
      </c>
      <c r="AE92" s="185">
        <f t="shared" si="62"/>
        <v>188.55</v>
      </c>
      <c r="AF92" s="185">
        <f t="shared" si="70"/>
        <v>11196.72</v>
      </c>
      <c r="AG92" s="185">
        <f t="shared" si="90"/>
        <v>37437.250000000007</v>
      </c>
      <c r="AH92" s="185">
        <f t="shared" si="91"/>
        <v>685087.75000000023</v>
      </c>
      <c r="AI92" s="411">
        <f t="shared" si="51"/>
        <v>751593.75000000023</v>
      </c>
      <c r="AJ92" s="411">
        <f t="shared" ref="AJ92:AJ155" si="93">+W92-AL92</f>
        <v>34820.599999999395</v>
      </c>
      <c r="AK92" s="411">
        <f t="shared" si="52"/>
        <v>786414.34999999963</v>
      </c>
      <c r="AL92" s="185">
        <f t="shared" si="59"/>
        <v>948280.8400000002</v>
      </c>
      <c r="AM92" s="317">
        <f t="shared" si="77"/>
        <v>6</v>
      </c>
      <c r="AN92" s="14">
        <f t="shared" si="53"/>
        <v>19533.41</v>
      </c>
      <c r="AO92" s="14">
        <f t="shared" si="46"/>
        <v>983101.43999999994</v>
      </c>
      <c r="AP92" s="14">
        <f t="shared" si="54"/>
        <v>10874</v>
      </c>
      <c r="AS92" s="14">
        <f t="shared" si="72"/>
        <v>19533.41</v>
      </c>
      <c r="AT92" s="14">
        <f t="shared" si="78"/>
        <v>1503592.0099999986</v>
      </c>
      <c r="AU92" s="185">
        <f t="shared" si="79"/>
        <v>2980.3958203659499</v>
      </c>
      <c r="AV92" s="185">
        <f t="shared" si="80"/>
        <v>209038.72396674607</v>
      </c>
    </row>
    <row r="93" spans="1:50">
      <c r="A93" s="401" t="str">
        <f t="shared" si="81"/>
        <v xml:space="preserve"> </v>
      </c>
      <c r="B93" s="185">
        <f t="shared" si="73"/>
        <v>0</v>
      </c>
      <c r="C93" s="14">
        <f t="shared" si="63"/>
        <v>0</v>
      </c>
      <c r="D93" s="14">
        <f t="shared" si="82"/>
        <v>0</v>
      </c>
      <c r="E93" s="14">
        <f t="shared" si="64"/>
        <v>0</v>
      </c>
      <c r="F93" s="14">
        <f t="shared" si="92"/>
        <v>0</v>
      </c>
      <c r="G93" s="14">
        <f t="shared" si="92"/>
        <v>0</v>
      </c>
      <c r="H93" s="14">
        <f t="shared" si="48"/>
        <v>0</v>
      </c>
      <c r="I93" s="185">
        <f t="shared" si="83"/>
        <v>0</v>
      </c>
      <c r="J93" s="185">
        <f t="shared" si="84"/>
        <v>0</v>
      </c>
      <c r="K93" s="185">
        <f t="shared" si="85"/>
        <v>0</v>
      </c>
      <c r="L93" s="317">
        <f t="shared" si="65"/>
        <v>6</v>
      </c>
      <c r="M93" s="317">
        <f t="shared" si="74"/>
        <v>77</v>
      </c>
      <c r="N93" s="185">
        <f t="shared" si="75"/>
        <v>983101.43999999959</v>
      </c>
      <c r="O93" s="185">
        <f t="shared" si="55"/>
        <v>19533.41</v>
      </c>
      <c r="P93" s="185">
        <f t="shared" si="86"/>
        <v>76.18999999999869</v>
      </c>
      <c r="Q93" s="185">
        <f t="shared" si="56"/>
        <v>19457.22</v>
      </c>
      <c r="R93" s="185">
        <f t="shared" si="60"/>
        <v>134.16999999999999</v>
      </c>
      <c r="S93" s="185">
        <f t="shared" si="57"/>
        <v>188.55</v>
      </c>
      <c r="T93" s="185">
        <f t="shared" si="49"/>
        <v>19856.129999999997</v>
      </c>
      <c r="U93" s="185">
        <f t="shared" si="87"/>
        <v>3074.7499999999964</v>
      </c>
      <c r="V93" s="185">
        <f t="shared" si="88"/>
        <v>1520531.23</v>
      </c>
      <c r="W93" s="185">
        <f t="shared" si="89"/>
        <v>983025.24999999965</v>
      </c>
      <c r="X93" s="401" t="str">
        <f t="shared" si="76"/>
        <v xml:space="preserve"> </v>
      </c>
      <c r="Y93" s="185">
        <f t="shared" si="58"/>
        <v>948280.8400000002</v>
      </c>
      <c r="Z93" s="393">
        <f t="shared" si="66"/>
        <v>0.13125000000000001</v>
      </c>
      <c r="AA93" s="185">
        <f t="shared" si="67"/>
        <v>10874</v>
      </c>
      <c r="AB93" s="185">
        <f t="shared" si="68"/>
        <v>502.18000000000029</v>
      </c>
      <c r="AC93" s="185">
        <f t="shared" si="69"/>
        <v>10371.82</v>
      </c>
      <c r="AD93" s="185">
        <f t="shared" ref="AD93:AE108" si="94">+AD92</f>
        <v>134.16999999999999</v>
      </c>
      <c r="AE93" s="185">
        <f t="shared" si="94"/>
        <v>188.55</v>
      </c>
      <c r="AF93" s="185">
        <f t="shared" si="70"/>
        <v>11196.72</v>
      </c>
      <c r="AG93" s="185">
        <f t="shared" si="90"/>
        <v>37939.430000000008</v>
      </c>
      <c r="AH93" s="185">
        <f t="shared" si="91"/>
        <v>695459.57000000018</v>
      </c>
      <c r="AI93" s="411">
        <f t="shared" si="51"/>
        <v>760253.16000000027</v>
      </c>
      <c r="AJ93" s="411">
        <f t="shared" si="93"/>
        <v>35246.589999999502</v>
      </c>
      <c r="AK93" s="411">
        <f t="shared" si="52"/>
        <v>795499.74999999977</v>
      </c>
      <c r="AL93" s="185">
        <f t="shared" si="59"/>
        <v>947778.66000000015</v>
      </c>
      <c r="AM93" s="317">
        <f t="shared" si="77"/>
        <v>6</v>
      </c>
      <c r="AN93" s="14">
        <f t="shared" si="53"/>
        <v>19533.41</v>
      </c>
      <c r="AO93" s="14">
        <f t="shared" si="46"/>
        <v>983025.25</v>
      </c>
      <c r="AP93" s="14">
        <f t="shared" si="54"/>
        <v>10874</v>
      </c>
      <c r="AS93" s="14">
        <f t="shared" si="72"/>
        <v>19533.41</v>
      </c>
      <c r="AT93" s="14">
        <f t="shared" si="78"/>
        <v>1523125.4199999985</v>
      </c>
      <c r="AU93" s="185">
        <f t="shared" si="79"/>
        <v>2987.8468099168654</v>
      </c>
      <c r="AV93" s="185">
        <f t="shared" si="80"/>
        <v>212026.57077666293</v>
      </c>
    </row>
    <row r="94" spans="1:50">
      <c r="A94" s="401" t="str">
        <f t="shared" si="81"/>
        <v xml:space="preserve"> </v>
      </c>
      <c r="B94" s="185">
        <f t="shared" si="73"/>
        <v>0</v>
      </c>
      <c r="C94" s="14">
        <f t="shared" si="63"/>
        <v>0</v>
      </c>
      <c r="D94" s="14">
        <f t="shared" si="82"/>
        <v>0</v>
      </c>
      <c r="E94" s="14">
        <f t="shared" si="64"/>
        <v>0</v>
      </c>
      <c r="F94" s="14">
        <f t="shared" si="92"/>
        <v>0</v>
      </c>
      <c r="G94" s="14">
        <f t="shared" si="92"/>
        <v>0</v>
      </c>
      <c r="H94" s="14">
        <f t="shared" si="48"/>
        <v>0</v>
      </c>
      <c r="I94" s="185">
        <f t="shared" si="83"/>
        <v>0</v>
      </c>
      <c r="J94" s="185">
        <f t="shared" si="84"/>
        <v>0</v>
      </c>
      <c r="K94" s="185">
        <f t="shared" si="85"/>
        <v>0</v>
      </c>
      <c r="L94" s="317">
        <f t="shared" si="65"/>
        <v>6</v>
      </c>
      <c r="M94" s="317">
        <f t="shared" si="74"/>
        <v>78</v>
      </c>
      <c r="N94" s="185">
        <f t="shared" si="75"/>
        <v>983025.24999999965</v>
      </c>
      <c r="O94" s="185">
        <f t="shared" si="55"/>
        <v>19533.41</v>
      </c>
      <c r="P94" s="185">
        <f t="shared" si="86"/>
        <v>77.700000000000728</v>
      </c>
      <c r="Q94" s="185">
        <f t="shared" si="56"/>
        <v>19455.71</v>
      </c>
      <c r="R94" s="185">
        <f t="shared" si="60"/>
        <v>134.16999999999999</v>
      </c>
      <c r="S94" s="185">
        <f t="shared" si="57"/>
        <v>188.55</v>
      </c>
      <c r="T94" s="185">
        <f t="shared" si="49"/>
        <v>19856.129999999997</v>
      </c>
      <c r="U94" s="185">
        <f t="shared" si="87"/>
        <v>3152.4499999999971</v>
      </c>
      <c r="V94" s="185">
        <f t="shared" si="88"/>
        <v>1539986.94</v>
      </c>
      <c r="W94" s="185">
        <f t="shared" si="89"/>
        <v>982947.5499999997</v>
      </c>
      <c r="X94" s="401" t="str">
        <f t="shared" si="76"/>
        <v xml:space="preserve"> </v>
      </c>
      <c r="Y94" s="185">
        <f t="shared" si="58"/>
        <v>947778.66000000015</v>
      </c>
      <c r="Z94" s="393">
        <f t="shared" si="66"/>
        <v>0.13125000000000001</v>
      </c>
      <c r="AA94" s="185">
        <f t="shared" si="67"/>
        <v>10874</v>
      </c>
      <c r="AB94" s="185">
        <f t="shared" si="68"/>
        <v>507.67000000000007</v>
      </c>
      <c r="AC94" s="185">
        <f t="shared" si="69"/>
        <v>10366.33</v>
      </c>
      <c r="AD94" s="185">
        <f t="shared" si="94"/>
        <v>134.16999999999999</v>
      </c>
      <c r="AE94" s="185">
        <f t="shared" si="94"/>
        <v>188.55</v>
      </c>
      <c r="AF94" s="185">
        <f t="shared" si="70"/>
        <v>11196.72</v>
      </c>
      <c r="AG94" s="185">
        <f t="shared" si="90"/>
        <v>38447.100000000006</v>
      </c>
      <c r="AH94" s="185">
        <f t="shared" si="91"/>
        <v>705825.90000000014</v>
      </c>
      <c r="AI94" s="411">
        <f t="shared" si="51"/>
        <v>768912.5700000003</v>
      </c>
      <c r="AJ94" s="411">
        <f t="shared" si="93"/>
        <v>35676.55999999959</v>
      </c>
      <c r="AK94" s="411">
        <f t="shared" si="52"/>
        <v>804589.12999999989</v>
      </c>
      <c r="AL94" s="185">
        <f t="shared" si="59"/>
        <v>947270.99000000011</v>
      </c>
      <c r="AM94" s="317">
        <f t="shared" si="77"/>
        <v>6</v>
      </c>
      <c r="AN94" s="14">
        <f t="shared" si="53"/>
        <v>19533.41</v>
      </c>
      <c r="AO94" s="14">
        <f t="shared" si="46"/>
        <v>982947.55</v>
      </c>
      <c r="AP94" s="14">
        <f t="shared" si="54"/>
        <v>10874</v>
      </c>
      <c r="AS94" s="14">
        <f t="shared" si="72"/>
        <v>19533.41</v>
      </c>
      <c r="AT94" s="14">
        <f t="shared" si="78"/>
        <v>1542658.8299999984</v>
      </c>
      <c r="AU94" s="185">
        <f t="shared" si="79"/>
        <v>2995.3164269416575</v>
      </c>
      <c r="AV94" s="185">
        <f t="shared" si="80"/>
        <v>215021.88720360459</v>
      </c>
    </row>
    <row r="95" spans="1:50">
      <c r="A95" s="401" t="str">
        <f t="shared" si="81"/>
        <v xml:space="preserve"> </v>
      </c>
      <c r="B95" s="185">
        <f t="shared" si="73"/>
        <v>0</v>
      </c>
      <c r="C95" s="14">
        <f t="shared" si="63"/>
        <v>0</v>
      </c>
      <c r="D95" s="14">
        <f t="shared" si="82"/>
        <v>0</v>
      </c>
      <c r="E95" s="14">
        <f t="shared" si="64"/>
        <v>0</v>
      </c>
      <c r="F95" s="14">
        <f t="shared" si="92"/>
        <v>0</v>
      </c>
      <c r="G95" s="14">
        <f t="shared" si="92"/>
        <v>0</v>
      </c>
      <c r="H95" s="14">
        <f t="shared" si="48"/>
        <v>0</v>
      </c>
      <c r="I95" s="185">
        <f t="shared" si="83"/>
        <v>0</v>
      </c>
      <c r="J95" s="185">
        <f t="shared" si="84"/>
        <v>0</v>
      </c>
      <c r="K95" s="185">
        <f t="shared" si="85"/>
        <v>0</v>
      </c>
      <c r="L95" s="317">
        <f t="shared" si="65"/>
        <v>6</v>
      </c>
      <c r="M95" s="317">
        <f t="shared" si="74"/>
        <v>79</v>
      </c>
      <c r="N95" s="185">
        <f t="shared" si="75"/>
        <v>982947.5499999997</v>
      </c>
      <c r="O95" s="185">
        <f t="shared" si="55"/>
        <v>19533.41</v>
      </c>
      <c r="P95" s="185">
        <f t="shared" si="86"/>
        <v>79.240000000001601</v>
      </c>
      <c r="Q95" s="185">
        <f t="shared" si="56"/>
        <v>19454.169999999998</v>
      </c>
      <c r="R95" s="185">
        <f t="shared" si="60"/>
        <v>134.16999999999999</v>
      </c>
      <c r="S95" s="185">
        <f t="shared" si="57"/>
        <v>188.55</v>
      </c>
      <c r="T95" s="185">
        <f t="shared" si="49"/>
        <v>19856.129999999997</v>
      </c>
      <c r="U95" s="185">
        <f t="shared" si="87"/>
        <v>3231.6899999999987</v>
      </c>
      <c r="V95" s="185">
        <f t="shared" si="88"/>
        <v>1559441.1099999999</v>
      </c>
      <c r="W95" s="185">
        <f t="shared" si="89"/>
        <v>982868.30999999971</v>
      </c>
      <c r="X95" s="401" t="str">
        <f t="shared" si="76"/>
        <v xml:space="preserve"> </v>
      </c>
      <c r="Y95" s="185">
        <f t="shared" si="58"/>
        <v>947270.99000000011</v>
      </c>
      <c r="Z95" s="393">
        <f t="shared" si="66"/>
        <v>0.13125000000000001</v>
      </c>
      <c r="AA95" s="185">
        <f t="shared" si="67"/>
        <v>10874</v>
      </c>
      <c r="AB95" s="185">
        <f t="shared" si="68"/>
        <v>513.21999999999935</v>
      </c>
      <c r="AC95" s="185">
        <f t="shared" si="69"/>
        <v>10360.780000000001</v>
      </c>
      <c r="AD95" s="185">
        <f t="shared" si="94"/>
        <v>134.16999999999999</v>
      </c>
      <c r="AE95" s="185">
        <f t="shared" si="94"/>
        <v>188.55</v>
      </c>
      <c r="AF95" s="185">
        <f t="shared" si="70"/>
        <v>11196.72</v>
      </c>
      <c r="AG95" s="185">
        <f t="shared" si="90"/>
        <v>38960.320000000007</v>
      </c>
      <c r="AH95" s="185">
        <f t="shared" si="91"/>
        <v>716186.68000000017</v>
      </c>
      <c r="AI95" s="411">
        <f t="shared" si="51"/>
        <v>777571.98000000033</v>
      </c>
      <c r="AJ95" s="411">
        <f t="shared" si="93"/>
        <v>36110.539999999572</v>
      </c>
      <c r="AK95" s="411">
        <f t="shared" si="52"/>
        <v>813682.5199999999</v>
      </c>
      <c r="AL95" s="185">
        <f t="shared" si="59"/>
        <v>946757.77000000014</v>
      </c>
      <c r="AM95" s="317">
        <f t="shared" si="77"/>
        <v>6</v>
      </c>
      <c r="AN95" s="14">
        <f t="shared" si="53"/>
        <v>19533.41</v>
      </c>
      <c r="AO95" s="14">
        <f t="shared" si="46"/>
        <v>982868.31</v>
      </c>
      <c r="AP95" s="14">
        <f t="shared" si="54"/>
        <v>10874</v>
      </c>
      <c r="AS95" s="14">
        <f t="shared" si="72"/>
        <v>19533.41</v>
      </c>
      <c r="AT95" s="14">
        <f t="shared" si="78"/>
        <v>1562192.2399999984</v>
      </c>
      <c r="AU95" s="185">
        <f t="shared" si="79"/>
        <v>3002.8047180090111</v>
      </c>
      <c r="AV95" s="185">
        <f t="shared" si="80"/>
        <v>218024.69192161362</v>
      </c>
    </row>
    <row r="96" spans="1:50">
      <c r="A96" s="401" t="str">
        <f t="shared" si="81"/>
        <v xml:space="preserve"> </v>
      </c>
      <c r="B96" s="185">
        <f t="shared" si="73"/>
        <v>0</v>
      </c>
      <c r="C96" s="14">
        <f t="shared" si="63"/>
        <v>0</v>
      </c>
      <c r="D96" s="14">
        <f t="shared" si="82"/>
        <v>0</v>
      </c>
      <c r="E96" s="14">
        <f t="shared" si="64"/>
        <v>0</v>
      </c>
      <c r="F96" s="14">
        <f t="shared" si="92"/>
        <v>0</v>
      </c>
      <c r="G96" s="14">
        <f t="shared" si="92"/>
        <v>0</v>
      </c>
      <c r="H96" s="14">
        <f t="shared" si="48"/>
        <v>0</v>
      </c>
      <c r="I96" s="185">
        <f t="shared" si="83"/>
        <v>0</v>
      </c>
      <c r="J96" s="185">
        <f t="shared" si="84"/>
        <v>0</v>
      </c>
      <c r="K96" s="185">
        <f t="shared" si="85"/>
        <v>0</v>
      </c>
      <c r="L96" s="317">
        <f t="shared" si="65"/>
        <v>6</v>
      </c>
      <c r="M96" s="317">
        <f t="shared" si="74"/>
        <v>80</v>
      </c>
      <c r="N96" s="185">
        <f t="shared" si="75"/>
        <v>982868.30999999971</v>
      </c>
      <c r="O96" s="185">
        <f t="shared" si="55"/>
        <v>19533.41</v>
      </c>
      <c r="P96" s="185">
        <f t="shared" si="86"/>
        <v>80.81000000000131</v>
      </c>
      <c r="Q96" s="185">
        <f t="shared" si="56"/>
        <v>19452.599999999999</v>
      </c>
      <c r="R96" s="185">
        <f t="shared" si="60"/>
        <v>134.16999999999999</v>
      </c>
      <c r="S96" s="185">
        <f t="shared" si="57"/>
        <v>188.55</v>
      </c>
      <c r="T96" s="185">
        <f t="shared" si="49"/>
        <v>19856.129999999997</v>
      </c>
      <c r="U96" s="185">
        <f t="shared" si="87"/>
        <v>3312.5</v>
      </c>
      <c r="V96" s="185">
        <f t="shared" si="88"/>
        <v>1578893.71</v>
      </c>
      <c r="W96" s="185">
        <f t="shared" si="89"/>
        <v>982787.49999999965</v>
      </c>
      <c r="X96" s="401" t="str">
        <f t="shared" si="76"/>
        <v xml:space="preserve"> </v>
      </c>
      <c r="Y96" s="185">
        <f t="shared" si="58"/>
        <v>946757.77000000014</v>
      </c>
      <c r="Z96" s="393">
        <f t="shared" si="66"/>
        <v>0.13125000000000001</v>
      </c>
      <c r="AA96" s="185">
        <f t="shared" si="67"/>
        <v>10874</v>
      </c>
      <c r="AB96" s="185">
        <f t="shared" si="68"/>
        <v>518.84000000000015</v>
      </c>
      <c r="AC96" s="185">
        <f t="shared" si="69"/>
        <v>10355.16</v>
      </c>
      <c r="AD96" s="185">
        <f t="shared" si="94"/>
        <v>134.16999999999999</v>
      </c>
      <c r="AE96" s="185">
        <f t="shared" si="94"/>
        <v>188.55</v>
      </c>
      <c r="AF96" s="185">
        <f t="shared" si="70"/>
        <v>11196.72</v>
      </c>
      <c r="AG96" s="185">
        <f t="shared" si="90"/>
        <v>39479.160000000003</v>
      </c>
      <c r="AH96" s="185">
        <f t="shared" si="91"/>
        <v>726541.8400000002</v>
      </c>
      <c r="AI96" s="411">
        <f t="shared" si="51"/>
        <v>786231.39000000036</v>
      </c>
      <c r="AJ96" s="411">
        <f t="shared" si="93"/>
        <v>36548.569999999483</v>
      </c>
      <c r="AK96" s="411">
        <f t="shared" si="52"/>
        <v>822779.95999999985</v>
      </c>
      <c r="AL96" s="185">
        <f t="shared" si="59"/>
        <v>946238.93000000017</v>
      </c>
      <c r="AM96" s="317">
        <f t="shared" si="77"/>
        <v>6</v>
      </c>
      <c r="AN96" s="14">
        <f t="shared" si="53"/>
        <v>19533.41</v>
      </c>
      <c r="AO96" s="14">
        <f t="shared" si="46"/>
        <v>982787.5</v>
      </c>
      <c r="AP96" s="14">
        <f t="shared" si="54"/>
        <v>10874</v>
      </c>
      <c r="AS96" s="14">
        <f t="shared" si="72"/>
        <v>19533.41</v>
      </c>
      <c r="AT96" s="14">
        <f t="shared" si="78"/>
        <v>1581725.6499999983</v>
      </c>
      <c r="AU96" s="185">
        <f t="shared" si="79"/>
        <v>3010.3117298040343</v>
      </c>
      <c r="AV96" s="185">
        <f t="shared" si="80"/>
        <v>221035.00365141765</v>
      </c>
      <c r="AX96" s="373"/>
    </row>
    <row r="97" spans="1:50">
      <c r="A97" s="401" t="str">
        <f t="shared" si="81"/>
        <v xml:space="preserve"> </v>
      </c>
      <c r="B97" s="185">
        <f t="shared" si="73"/>
        <v>0</v>
      </c>
      <c r="C97" s="14">
        <f t="shared" si="63"/>
        <v>0</v>
      </c>
      <c r="D97" s="14">
        <f t="shared" si="82"/>
        <v>0</v>
      </c>
      <c r="E97" s="14">
        <f t="shared" si="64"/>
        <v>0</v>
      </c>
      <c r="F97" s="14">
        <f t="shared" si="92"/>
        <v>0</v>
      </c>
      <c r="G97" s="14">
        <f t="shared" si="92"/>
        <v>0</v>
      </c>
      <c r="H97" s="14">
        <f t="shared" si="48"/>
        <v>0</v>
      </c>
      <c r="I97" s="185">
        <f t="shared" si="83"/>
        <v>0</v>
      </c>
      <c r="J97" s="185">
        <f t="shared" si="84"/>
        <v>0</v>
      </c>
      <c r="K97" s="185">
        <f t="shared" si="85"/>
        <v>0</v>
      </c>
      <c r="L97" s="317">
        <f t="shared" si="65"/>
        <v>6</v>
      </c>
      <c r="M97" s="317">
        <f t="shared" si="74"/>
        <v>81</v>
      </c>
      <c r="N97" s="185">
        <f t="shared" si="75"/>
        <v>982787.49999999965</v>
      </c>
      <c r="O97" s="185">
        <f t="shared" si="55"/>
        <v>19533.41</v>
      </c>
      <c r="P97" s="185">
        <f t="shared" si="86"/>
        <v>82.409999999999854</v>
      </c>
      <c r="Q97" s="185">
        <f t="shared" si="56"/>
        <v>19451</v>
      </c>
      <c r="R97" s="185">
        <f t="shared" si="60"/>
        <v>134.16999999999999</v>
      </c>
      <c r="S97" s="185">
        <f t="shared" si="57"/>
        <v>188.55</v>
      </c>
      <c r="T97" s="185">
        <f t="shared" si="49"/>
        <v>19856.129999999997</v>
      </c>
      <c r="U97" s="185">
        <f t="shared" si="87"/>
        <v>3394.91</v>
      </c>
      <c r="V97" s="185">
        <f t="shared" si="88"/>
        <v>1598344.71</v>
      </c>
      <c r="W97" s="185">
        <f t="shared" si="89"/>
        <v>982705.08999999962</v>
      </c>
      <c r="X97" s="401" t="str">
        <f t="shared" si="76"/>
        <v xml:space="preserve"> </v>
      </c>
      <c r="Y97" s="185">
        <f t="shared" si="58"/>
        <v>946238.93000000017</v>
      </c>
      <c r="Z97" s="393">
        <f t="shared" si="66"/>
        <v>0.13125000000000001</v>
      </c>
      <c r="AA97" s="185">
        <f t="shared" si="67"/>
        <v>10874</v>
      </c>
      <c r="AB97" s="185">
        <f t="shared" si="68"/>
        <v>524.51000000000022</v>
      </c>
      <c r="AC97" s="185">
        <f t="shared" si="69"/>
        <v>10349.49</v>
      </c>
      <c r="AD97" s="185">
        <f t="shared" si="94"/>
        <v>134.16999999999999</v>
      </c>
      <c r="AE97" s="185">
        <f t="shared" si="94"/>
        <v>188.55</v>
      </c>
      <c r="AF97" s="185">
        <f t="shared" si="70"/>
        <v>11196.72</v>
      </c>
      <c r="AG97" s="185">
        <f t="shared" si="90"/>
        <v>40003.670000000006</v>
      </c>
      <c r="AH97" s="185">
        <f t="shared" si="91"/>
        <v>736891.33000000019</v>
      </c>
      <c r="AI97" s="411">
        <f t="shared" si="51"/>
        <v>794890.8000000004</v>
      </c>
      <c r="AJ97" s="411">
        <f t="shared" si="93"/>
        <v>36990.66999999946</v>
      </c>
      <c r="AK97" s="411">
        <f t="shared" si="52"/>
        <v>831881.46999999986</v>
      </c>
      <c r="AL97" s="185">
        <f t="shared" si="59"/>
        <v>945714.42000000016</v>
      </c>
      <c r="AM97" s="317">
        <f t="shared" si="77"/>
        <v>6</v>
      </c>
      <c r="AN97" s="14">
        <f t="shared" si="53"/>
        <v>19533.41</v>
      </c>
      <c r="AO97" s="14">
        <f t="shared" si="46"/>
        <v>982705.09</v>
      </c>
      <c r="AP97" s="14">
        <f t="shared" si="54"/>
        <v>10874</v>
      </c>
      <c r="AS97" s="14">
        <f t="shared" si="72"/>
        <v>19533.41</v>
      </c>
      <c r="AT97" s="14">
        <f t="shared" si="78"/>
        <v>1601259.0599999982</v>
      </c>
      <c r="AU97" s="185">
        <f t="shared" si="79"/>
        <v>3017.8375091285438</v>
      </c>
      <c r="AV97" s="185">
        <f t="shared" si="80"/>
        <v>224052.8411605462</v>
      </c>
      <c r="AX97" s="373"/>
    </row>
    <row r="98" spans="1:50">
      <c r="A98" s="401" t="str">
        <f t="shared" si="81"/>
        <v xml:space="preserve"> </v>
      </c>
      <c r="B98" s="185">
        <f t="shared" si="73"/>
        <v>0</v>
      </c>
      <c r="C98" s="14">
        <f t="shared" si="63"/>
        <v>0</v>
      </c>
      <c r="D98" s="14">
        <f t="shared" si="82"/>
        <v>0</v>
      </c>
      <c r="E98" s="14">
        <f t="shared" si="64"/>
        <v>0</v>
      </c>
      <c r="F98" s="14">
        <f t="shared" si="92"/>
        <v>0</v>
      </c>
      <c r="G98" s="14">
        <f t="shared" si="92"/>
        <v>0</v>
      </c>
      <c r="H98" s="14">
        <f t="shared" si="48"/>
        <v>0</v>
      </c>
      <c r="I98" s="185">
        <f t="shared" si="83"/>
        <v>0</v>
      </c>
      <c r="J98" s="185">
        <f t="shared" si="84"/>
        <v>0</v>
      </c>
      <c r="K98" s="185">
        <f t="shared" si="85"/>
        <v>0</v>
      </c>
      <c r="L98" s="317">
        <f t="shared" si="65"/>
        <v>6</v>
      </c>
      <c r="M98" s="317">
        <f t="shared" si="74"/>
        <v>82</v>
      </c>
      <c r="N98" s="185">
        <f t="shared" si="75"/>
        <v>982705.08999999962</v>
      </c>
      <c r="O98" s="185">
        <f t="shared" si="55"/>
        <v>19533.41</v>
      </c>
      <c r="P98" s="185">
        <f t="shared" si="86"/>
        <v>84.040000000000873</v>
      </c>
      <c r="Q98" s="185">
        <f t="shared" si="56"/>
        <v>19449.37</v>
      </c>
      <c r="R98" s="185">
        <f t="shared" si="60"/>
        <v>134.16999999999999</v>
      </c>
      <c r="S98" s="185">
        <f t="shared" si="57"/>
        <v>188.55</v>
      </c>
      <c r="T98" s="185">
        <f t="shared" si="49"/>
        <v>19856.129999999997</v>
      </c>
      <c r="U98" s="185">
        <f t="shared" si="87"/>
        <v>3478.9500000000007</v>
      </c>
      <c r="V98" s="185">
        <f t="shared" si="88"/>
        <v>1617794.08</v>
      </c>
      <c r="W98" s="185">
        <f t="shared" si="89"/>
        <v>982621.04999999958</v>
      </c>
      <c r="X98" s="401" t="str">
        <f t="shared" si="76"/>
        <v xml:space="preserve"> </v>
      </c>
      <c r="Y98" s="185">
        <f t="shared" si="58"/>
        <v>945714.42000000016</v>
      </c>
      <c r="Z98" s="393">
        <f t="shared" si="66"/>
        <v>0.13125000000000001</v>
      </c>
      <c r="AA98" s="185">
        <f t="shared" si="67"/>
        <v>10874</v>
      </c>
      <c r="AB98" s="185">
        <f t="shared" si="68"/>
        <v>530.25</v>
      </c>
      <c r="AC98" s="185">
        <f t="shared" si="69"/>
        <v>10343.75</v>
      </c>
      <c r="AD98" s="185">
        <f t="shared" si="94"/>
        <v>134.16999999999999</v>
      </c>
      <c r="AE98" s="185">
        <f t="shared" si="94"/>
        <v>188.55</v>
      </c>
      <c r="AF98" s="185">
        <f t="shared" si="70"/>
        <v>11196.72</v>
      </c>
      <c r="AG98" s="185">
        <f t="shared" si="90"/>
        <v>40533.920000000006</v>
      </c>
      <c r="AH98" s="185">
        <f t="shared" si="91"/>
        <v>747235.08000000019</v>
      </c>
      <c r="AI98" s="411">
        <f t="shared" si="51"/>
        <v>803550.21000000043</v>
      </c>
      <c r="AJ98" s="411">
        <f t="shared" si="93"/>
        <v>37436.879999999423</v>
      </c>
      <c r="AK98" s="411">
        <f t="shared" si="52"/>
        <v>840987.08999999985</v>
      </c>
      <c r="AL98" s="185">
        <f t="shared" si="59"/>
        <v>945184.17000000016</v>
      </c>
      <c r="AM98" s="317">
        <f t="shared" si="77"/>
        <v>6</v>
      </c>
      <c r="AN98" s="14">
        <f t="shared" si="53"/>
        <v>19533.41</v>
      </c>
      <c r="AO98" s="14">
        <f t="shared" si="46"/>
        <v>982621.05</v>
      </c>
      <c r="AP98" s="14">
        <f t="shared" si="54"/>
        <v>10874</v>
      </c>
      <c r="AS98" s="14">
        <f t="shared" si="72"/>
        <v>19533.41</v>
      </c>
      <c r="AT98" s="14">
        <f t="shared" si="78"/>
        <v>1620792.4699999981</v>
      </c>
      <c r="AU98" s="185">
        <f t="shared" si="79"/>
        <v>3025.3821029013657</v>
      </c>
      <c r="AV98" s="185">
        <f t="shared" si="80"/>
        <v>227078.22326344758</v>
      </c>
    </row>
    <row r="99" spans="1:50" ht="15.75" thickBot="1">
      <c r="A99" s="404" t="str">
        <f t="shared" si="81"/>
        <v xml:space="preserve"> </v>
      </c>
      <c r="B99" s="237">
        <f t="shared" si="73"/>
        <v>0</v>
      </c>
      <c r="C99" s="21">
        <f t="shared" si="63"/>
        <v>0</v>
      </c>
      <c r="D99" s="21">
        <f t="shared" si="82"/>
        <v>0</v>
      </c>
      <c r="E99" s="21">
        <f t="shared" si="64"/>
        <v>0</v>
      </c>
      <c r="F99" s="21">
        <f t="shared" si="92"/>
        <v>0</v>
      </c>
      <c r="G99" s="21">
        <f t="shared" si="92"/>
        <v>0</v>
      </c>
      <c r="H99" s="21">
        <f t="shared" si="48"/>
        <v>0</v>
      </c>
      <c r="I99" s="237">
        <f t="shared" si="83"/>
        <v>0</v>
      </c>
      <c r="J99" s="237">
        <f t="shared" si="84"/>
        <v>0</v>
      </c>
      <c r="K99" s="237">
        <f t="shared" si="85"/>
        <v>0</v>
      </c>
      <c r="L99" s="318">
        <f t="shared" si="65"/>
        <v>6</v>
      </c>
      <c r="M99" s="318">
        <f t="shared" si="74"/>
        <v>83</v>
      </c>
      <c r="N99" s="237">
        <f t="shared" si="75"/>
        <v>982621.04999999958</v>
      </c>
      <c r="O99" s="237">
        <f t="shared" si="55"/>
        <v>19533.41</v>
      </c>
      <c r="P99" s="237">
        <f t="shared" si="86"/>
        <v>85.700000000000728</v>
      </c>
      <c r="Q99" s="237">
        <f t="shared" si="56"/>
        <v>19447.71</v>
      </c>
      <c r="R99" s="237">
        <f t="shared" si="60"/>
        <v>134.16999999999999</v>
      </c>
      <c r="S99" s="237">
        <f t="shared" si="57"/>
        <v>188.55</v>
      </c>
      <c r="T99" s="237">
        <f t="shared" si="49"/>
        <v>19856.129999999997</v>
      </c>
      <c r="U99" s="237">
        <f t="shared" si="87"/>
        <v>3564.6500000000015</v>
      </c>
      <c r="V99" s="237">
        <f t="shared" si="88"/>
        <v>1637241.79</v>
      </c>
      <c r="W99" s="237">
        <f t="shared" si="89"/>
        <v>982535.34999999963</v>
      </c>
      <c r="X99" s="404" t="str">
        <f t="shared" si="76"/>
        <v xml:space="preserve"> </v>
      </c>
      <c r="Y99" s="237">
        <f t="shared" si="58"/>
        <v>945184.17000000016</v>
      </c>
      <c r="Z99" s="394">
        <f t="shared" si="66"/>
        <v>0.13125000000000001</v>
      </c>
      <c r="AA99" s="237">
        <f t="shared" si="67"/>
        <v>10874</v>
      </c>
      <c r="AB99" s="237">
        <f t="shared" si="68"/>
        <v>536.04999999999927</v>
      </c>
      <c r="AC99" s="237">
        <f t="shared" si="69"/>
        <v>10337.950000000001</v>
      </c>
      <c r="AD99" s="237">
        <f t="shared" si="94"/>
        <v>134.16999999999999</v>
      </c>
      <c r="AE99" s="237">
        <f t="shared" si="94"/>
        <v>188.55</v>
      </c>
      <c r="AF99" s="237">
        <f t="shared" si="70"/>
        <v>11196.72</v>
      </c>
      <c r="AG99" s="237">
        <f t="shared" si="90"/>
        <v>41069.97</v>
      </c>
      <c r="AH99" s="237">
        <f t="shared" si="91"/>
        <v>757573.03000000014</v>
      </c>
      <c r="AI99" s="412">
        <f t="shared" si="51"/>
        <v>812209.62000000046</v>
      </c>
      <c r="AJ99" s="412">
        <f t="shared" si="93"/>
        <v>37887.229999999516</v>
      </c>
      <c r="AK99" s="412">
        <f t="shared" si="52"/>
        <v>850096.85</v>
      </c>
      <c r="AL99" s="237">
        <f t="shared" si="59"/>
        <v>944648.12000000011</v>
      </c>
      <c r="AM99" s="318">
        <f t="shared" si="77"/>
        <v>6</v>
      </c>
      <c r="AN99" s="21">
        <f t="shared" si="53"/>
        <v>19533.41</v>
      </c>
      <c r="AO99" s="21">
        <f t="shared" si="46"/>
        <v>982535.35</v>
      </c>
      <c r="AP99" s="21">
        <f t="shared" si="54"/>
        <v>10874</v>
      </c>
      <c r="AQ99" s="21"/>
      <c r="AR99" s="23"/>
      <c r="AS99" s="21">
        <f t="shared" si="72"/>
        <v>19533.41</v>
      </c>
      <c r="AT99" s="21">
        <f t="shared" si="78"/>
        <v>1640325.879999998</v>
      </c>
      <c r="AU99" s="237">
        <f t="shared" si="79"/>
        <v>3032.945558158619</v>
      </c>
      <c r="AV99" s="237">
        <f t="shared" si="80"/>
        <v>230111.1688216062</v>
      </c>
    </row>
    <row r="100" spans="1:50">
      <c r="A100" s="401" t="str">
        <f t="shared" si="81"/>
        <v xml:space="preserve"> </v>
      </c>
      <c r="B100" s="185">
        <f t="shared" si="73"/>
        <v>0</v>
      </c>
      <c r="C100" s="14">
        <f t="shared" si="63"/>
        <v>0</v>
      </c>
      <c r="D100" s="14">
        <f t="shared" si="82"/>
        <v>0</v>
      </c>
      <c r="E100" s="14">
        <f t="shared" si="64"/>
        <v>0</v>
      </c>
      <c r="F100" s="14">
        <f t="shared" si="92"/>
        <v>0</v>
      </c>
      <c r="G100" s="14">
        <f t="shared" si="92"/>
        <v>0</v>
      </c>
      <c r="H100" s="14">
        <f t="shared" si="48"/>
        <v>0</v>
      </c>
      <c r="I100" s="185">
        <f t="shared" si="83"/>
        <v>0</v>
      </c>
      <c r="J100" s="185">
        <f t="shared" si="84"/>
        <v>0</v>
      </c>
      <c r="K100" s="185">
        <f t="shared" si="85"/>
        <v>0</v>
      </c>
      <c r="L100" s="317">
        <f t="shared" si="65"/>
        <v>7</v>
      </c>
      <c r="M100" s="317">
        <f t="shared" si="74"/>
        <v>84</v>
      </c>
      <c r="N100" s="185">
        <f t="shared" si="75"/>
        <v>982535.34999999963</v>
      </c>
      <c r="O100" s="185">
        <f t="shared" si="55"/>
        <v>19533.41</v>
      </c>
      <c r="P100" s="185">
        <f t="shared" si="86"/>
        <v>87.400000000001455</v>
      </c>
      <c r="Q100" s="185">
        <f t="shared" si="56"/>
        <v>19446.009999999998</v>
      </c>
      <c r="R100" s="185">
        <f t="shared" si="60"/>
        <v>134.16999999999999</v>
      </c>
      <c r="S100" s="185">
        <f t="shared" si="57"/>
        <v>188.55</v>
      </c>
      <c r="T100" s="185">
        <f t="shared" si="49"/>
        <v>19856.129999999997</v>
      </c>
      <c r="U100" s="185">
        <f t="shared" si="87"/>
        <v>3652.0500000000029</v>
      </c>
      <c r="V100" s="185">
        <f t="shared" si="88"/>
        <v>1656687.8</v>
      </c>
      <c r="W100" s="185">
        <f t="shared" si="89"/>
        <v>982447.9499999996</v>
      </c>
      <c r="X100" s="401" t="str">
        <f t="shared" si="76"/>
        <v xml:space="preserve"> </v>
      </c>
      <c r="Y100" s="185">
        <f t="shared" si="58"/>
        <v>944648.12000000011</v>
      </c>
      <c r="Z100" s="393">
        <f t="shared" si="66"/>
        <v>0.13125000000000001</v>
      </c>
      <c r="AA100" s="185">
        <f t="shared" si="67"/>
        <v>10874</v>
      </c>
      <c r="AB100" s="185">
        <f t="shared" si="68"/>
        <v>541.90999999999985</v>
      </c>
      <c r="AC100" s="185">
        <f t="shared" si="69"/>
        <v>10332.09</v>
      </c>
      <c r="AD100" s="185">
        <f t="shared" si="94"/>
        <v>134.16999999999999</v>
      </c>
      <c r="AE100" s="185">
        <f t="shared" si="94"/>
        <v>188.55</v>
      </c>
      <c r="AF100" s="185">
        <f t="shared" si="70"/>
        <v>11196.72</v>
      </c>
      <c r="AG100" s="185">
        <f t="shared" si="90"/>
        <v>41611.880000000005</v>
      </c>
      <c r="AH100" s="185">
        <f t="shared" si="91"/>
        <v>767905.12000000011</v>
      </c>
      <c r="AI100" s="411">
        <f t="shared" si="51"/>
        <v>820869.03000000049</v>
      </c>
      <c r="AJ100" s="411">
        <f t="shared" si="93"/>
        <v>38341.739999999525</v>
      </c>
      <c r="AK100" s="411">
        <f t="shared" si="52"/>
        <v>859210.77</v>
      </c>
      <c r="AL100" s="185">
        <f t="shared" si="59"/>
        <v>944106.21000000008</v>
      </c>
      <c r="AM100" s="317">
        <f t="shared" si="77"/>
        <v>7</v>
      </c>
      <c r="AN100" s="14">
        <f t="shared" si="53"/>
        <v>19533.41</v>
      </c>
      <c r="AO100" s="14">
        <f t="shared" si="46"/>
        <v>982447.95</v>
      </c>
      <c r="AP100" s="14">
        <f t="shared" si="54"/>
        <v>10874</v>
      </c>
      <c r="AS100" s="14">
        <f t="shared" si="72"/>
        <v>19533.41</v>
      </c>
      <c r="AT100" s="14">
        <f t="shared" si="78"/>
        <v>1659859.2899999979</v>
      </c>
      <c r="AU100" s="185">
        <f t="shared" si="79"/>
        <v>3040.5279220540156</v>
      </c>
      <c r="AV100" s="185">
        <f t="shared" si="80"/>
        <v>233151.69674366023</v>
      </c>
    </row>
    <row r="101" spans="1:50">
      <c r="A101" s="401" t="str">
        <f t="shared" si="81"/>
        <v xml:space="preserve"> </v>
      </c>
      <c r="B101" s="185">
        <f t="shared" si="73"/>
        <v>0</v>
      </c>
      <c r="C101" s="14">
        <f t="shared" si="63"/>
        <v>0</v>
      </c>
      <c r="D101" s="14">
        <f t="shared" si="82"/>
        <v>0</v>
      </c>
      <c r="E101" s="14">
        <f t="shared" si="64"/>
        <v>0</v>
      </c>
      <c r="F101" s="14">
        <f t="shared" si="92"/>
        <v>0</v>
      </c>
      <c r="G101" s="14">
        <f t="shared" si="92"/>
        <v>0</v>
      </c>
      <c r="H101" s="14">
        <f t="shared" si="48"/>
        <v>0</v>
      </c>
      <c r="I101" s="185">
        <f t="shared" si="83"/>
        <v>0</v>
      </c>
      <c r="J101" s="185">
        <f t="shared" si="84"/>
        <v>0</v>
      </c>
      <c r="K101" s="185">
        <f t="shared" si="85"/>
        <v>0</v>
      </c>
      <c r="L101" s="317">
        <f t="shared" si="65"/>
        <v>7</v>
      </c>
      <c r="M101" s="317">
        <f t="shared" si="74"/>
        <v>85</v>
      </c>
      <c r="N101" s="185">
        <f t="shared" si="75"/>
        <v>982447.9499999996</v>
      </c>
      <c r="O101" s="185">
        <f t="shared" si="55"/>
        <v>19533.41</v>
      </c>
      <c r="P101" s="185">
        <f t="shared" si="86"/>
        <v>89.130000000001019</v>
      </c>
      <c r="Q101" s="185">
        <f t="shared" si="56"/>
        <v>19444.28</v>
      </c>
      <c r="R101" s="185">
        <f t="shared" si="60"/>
        <v>134.16999999999999</v>
      </c>
      <c r="S101" s="185">
        <f t="shared" si="57"/>
        <v>188.55</v>
      </c>
      <c r="T101" s="185">
        <f t="shared" si="49"/>
        <v>19856.129999999997</v>
      </c>
      <c r="U101" s="185">
        <f t="shared" si="87"/>
        <v>3741.1800000000039</v>
      </c>
      <c r="V101" s="185">
        <f t="shared" si="88"/>
        <v>1676132.08</v>
      </c>
      <c r="W101" s="185">
        <f t="shared" si="89"/>
        <v>982358.8199999996</v>
      </c>
      <c r="X101" s="401" t="str">
        <f t="shared" si="76"/>
        <v xml:space="preserve"> </v>
      </c>
      <c r="Y101" s="185">
        <f t="shared" si="58"/>
        <v>944106.21000000008</v>
      </c>
      <c r="Z101" s="393">
        <f t="shared" si="66"/>
        <v>0.13125000000000001</v>
      </c>
      <c r="AA101" s="185">
        <f t="shared" si="67"/>
        <v>10874</v>
      </c>
      <c r="AB101" s="185">
        <f t="shared" si="68"/>
        <v>547.84000000000015</v>
      </c>
      <c r="AC101" s="185">
        <f t="shared" si="69"/>
        <v>10326.16</v>
      </c>
      <c r="AD101" s="185">
        <f t="shared" si="94"/>
        <v>134.16999999999999</v>
      </c>
      <c r="AE101" s="185">
        <f t="shared" si="94"/>
        <v>188.55</v>
      </c>
      <c r="AF101" s="185">
        <f t="shared" si="70"/>
        <v>11196.72</v>
      </c>
      <c r="AG101" s="185">
        <f t="shared" si="90"/>
        <v>42159.72</v>
      </c>
      <c r="AH101" s="185">
        <f t="shared" si="91"/>
        <v>778231.28000000014</v>
      </c>
      <c r="AI101" s="411">
        <f t="shared" si="51"/>
        <v>829528.44000000053</v>
      </c>
      <c r="AJ101" s="411">
        <f t="shared" si="93"/>
        <v>38800.449999999488</v>
      </c>
      <c r="AK101" s="411">
        <f t="shared" si="52"/>
        <v>868328.89</v>
      </c>
      <c r="AL101" s="185">
        <f t="shared" si="59"/>
        <v>943558.37000000011</v>
      </c>
      <c r="AM101" s="317">
        <f t="shared" si="77"/>
        <v>7</v>
      </c>
      <c r="AN101" s="14">
        <f t="shared" si="53"/>
        <v>19533.41</v>
      </c>
      <c r="AO101" s="14">
        <f t="shared" si="46"/>
        <v>982358.82</v>
      </c>
      <c r="AP101" s="14">
        <f t="shared" si="54"/>
        <v>10874</v>
      </c>
      <c r="AS101" s="14">
        <f t="shared" si="72"/>
        <v>19533.41</v>
      </c>
      <c r="AT101" s="14">
        <f t="shared" si="78"/>
        <v>1679392.6999999979</v>
      </c>
      <c r="AU101" s="185">
        <f t="shared" si="79"/>
        <v>3048.1292418591506</v>
      </c>
      <c r="AV101" s="185">
        <f t="shared" si="80"/>
        <v>236199.82598551939</v>
      </c>
    </row>
    <row r="102" spans="1:50">
      <c r="A102" s="401" t="str">
        <f t="shared" si="81"/>
        <v xml:space="preserve"> </v>
      </c>
      <c r="B102" s="185">
        <f t="shared" si="73"/>
        <v>0</v>
      </c>
      <c r="C102" s="14">
        <f t="shared" si="63"/>
        <v>0</v>
      </c>
      <c r="D102" s="14">
        <f t="shared" si="82"/>
        <v>0</v>
      </c>
      <c r="E102" s="14">
        <f t="shared" si="64"/>
        <v>0</v>
      </c>
      <c r="F102" s="14">
        <f t="shared" si="92"/>
        <v>0</v>
      </c>
      <c r="G102" s="14">
        <f t="shared" si="92"/>
        <v>0</v>
      </c>
      <c r="H102" s="14">
        <f t="shared" si="48"/>
        <v>0</v>
      </c>
      <c r="I102" s="185">
        <f t="shared" si="83"/>
        <v>0</v>
      </c>
      <c r="J102" s="185">
        <f t="shared" si="84"/>
        <v>0</v>
      </c>
      <c r="K102" s="185">
        <f t="shared" si="85"/>
        <v>0</v>
      </c>
      <c r="L102" s="317">
        <f t="shared" si="65"/>
        <v>7</v>
      </c>
      <c r="M102" s="317">
        <f t="shared" si="74"/>
        <v>86</v>
      </c>
      <c r="N102" s="185">
        <f t="shared" si="75"/>
        <v>982358.8199999996</v>
      </c>
      <c r="O102" s="185">
        <f t="shared" si="55"/>
        <v>19533.41</v>
      </c>
      <c r="P102" s="185">
        <f t="shared" si="86"/>
        <v>90.889999999999418</v>
      </c>
      <c r="Q102" s="185">
        <f t="shared" si="56"/>
        <v>19442.52</v>
      </c>
      <c r="R102" s="185">
        <f t="shared" si="60"/>
        <v>134.16999999999999</v>
      </c>
      <c r="S102" s="185">
        <f t="shared" si="57"/>
        <v>188.55</v>
      </c>
      <c r="T102" s="185">
        <f t="shared" si="49"/>
        <v>19856.129999999997</v>
      </c>
      <c r="U102" s="185">
        <f t="shared" si="87"/>
        <v>3832.0700000000033</v>
      </c>
      <c r="V102" s="185">
        <f t="shared" si="88"/>
        <v>1695574.6</v>
      </c>
      <c r="W102" s="185">
        <f t="shared" si="89"/>
        <v>982267.92999999959</v>
      </c>
      <c r="X102" s="401" t="str">
        <f t="shared" si="76"/>
        <v xml:space="preserve"> </v>
      </c>
      <c r="Y102" s="185">
        <f t="shared" si="58"/>
        <v>943558.37000000011</v>
      </c>
      <c r="Z102" s="393">
        <f t="shared" si="66"/>
        <v>0.13125000000000001</v>
      </c>
      <c r="AA102" s="185">
        <f t="shared" si="67"/>
        <v>10874</v>
      </c>
      <c r="AB102" s="185">
        <f t="shared" si="68"/>
        <v>553.82999999999993</v>
      </c>
      <c r="AC102" s="185">
        <f t="shared" si="69"/>
        <v>10320.17</v>
      </c>
      <c r="AD102" s="185">
        <f t="shared" si="94"/>
        <v>134.16999999999999</v>
      </c>
      <c r="AE102" s="185">
        <f t="shared" si="94"/>
        <v>188.55</v>
      </c>
      <c r="AF102" s="185">
        <f t="shared" si="70"/>
        <v>11196.72</v>
      </c>
      <c r="AG102" s="185">
        <f t="shared" si="90"/>
        <v>42713.55</v>
      </c>
      <c r="AH102" s="185">
        <f t="shared" si="91"/>
        <v>788551.45000000019</v>
      </c>
      <c r="AI102" s="411">
        <f t="shared" si="51"/>
        <v>838187.85000000056</v>
      </c>
      <c r="AJ102" s="411">
        <f t="shared" si="93"/>
        <v>39263.389999999432</v>
      </c>
      <c r="AK102" s="411">
        <f t="shared" si="52"/>
        <v>877451.24</v>
      </c>
      <c r="AL102" s="185">
        <f t="shared" si="59"/>
        <v>943004.54000000015</v>
      </c>
      <c r="AM102" s="317">
        <f t="shared" si="77"/>
        <v>7</v>
      </c>
      <c r="AN102" s="14">
        <f t="shared" si="53"/>
        <v>19533.41</v>
      </c>
      <c r="AO102" s="14">
        <f t="shared" si="46"/>
        <v>982267.93</v>
      </c>
      <c r="AP102" s="14">
        <f t="shared" si="54"/>
        <v>10874</v>
      </c>
      <c r="AS102" s="14">
        <f t="shared" si="72"/>
        <v>19533.41</v>
      </c>
      <c r="AT102" s="14">
        <f t="shared" si="78"/>
        <v>1698926.1099999978</v>
      </c>
      <c r="AU102" s="185">
        <f t="shared" si="79"/>
        <v>3055.7495649637985</v>
      </c>
      <c r="AV102" s="185">
        <f t="shared" si="80"/>
        <v>239255.57555048319</v>
      </c>
    </row>
    <row r="103" spans="1:50">
      <c r="A103" s="401" t="str">
        <f t="shared" si="81"/>
        <v xml:space="preserve"> </v>
      </c>
      <c r="B103" s="185">
        <f t="shared" si="73"/>
        <v>0</v>
      </c>
      <c r="C103" s="14">
        <f t="shared" si="63"/>
        <v>0</v>
      </c>
      <c r="D103" s="14">
        <f t="shared" si="82"/>
        <v>0</v>
      </c>
      <c r="E103" s="14">
        <f t="shared" si="64"/>
        <v>0</v>
      </c>
      <c r="F103" s="14">
        <f t="shared" si="92"/>
        <v>0</v>
      </c>
      <c r="G103" s="14">
        <f t="shared" si="92"/>
        <v>0</v>
      </c>
      <c r="H103" s="14">
        <f t="shared" si="48"/>
        <v>0</v>
      </c>
      <c r="I103" s="185">
        <f t="shared" si="83"/>
        <v>0</v>
      </c>
      <c r="J103" s="185">
        <f t="shared" si="84"/>
        <v>0</v>
      </c>
      <c r="K103" s="185">
        <f t="shared" si="85"/>
        <v>0</v>
      </c>
      <c r="L103" s="317">
        <f t="shared" si="65"/>
        <v>7</v>
      </c>
      <c r="M103" s="317">
        <f t="shared" si="74"/>
        <v>87</v>
      </c>
      <c r="N103" s="185">
        <f t="shared" si="75"/>
        <v>982267.92999999959</v>
      </c>
      <c r="O103" s="185">
        <f t="shared" si="55"/>
        <v>19533.41</v>
      </c>
      <c r="P103" s="185">
        <f t="shared" si="86"/>
        <v>92.68999999999869</v>
      </c>
      <c r="Q103" s="185">
        <f t="shared" si="56"/>
        <v>19440.72</v>
      </c>
      <c r="R103" s="185">
        <f t="shared" si="60"/>
        <v>134.16999999999999</v>
      </c>
      <c r="S103" s="185">
        <f t="shared" si="57"/>
        <v>188.55</v>
      </c>
      <c r="T103" s="185">
        <f t="shared" si="49"/>
        <v>19856.129999999997</v>
      </c>
      <c r="U103" s="185">
        <f t="shared" si="87"/>
        <v>3924.760000000002</v>
      </c>
      <c r="V103" s="185">
        <f t="shared" si="88"/>
        <v>1715015.32</v>
      </c>
      <c r="W103" s="185">
        <f t="shared" si="89"/>
        <v>982175.23999999964</v>
      </c>
      <c r="X103" s="401" t="str">
        <f t="shared" si="76"/>
        <v xml:space="preserve"> </v>
      </c>
      <c r="Y103" s="185">
        <f t="shared" si="58"/>
        <v>943004.54000000015</v>
      </c>
      <c r="Z103" s="393">
        <f t="shared" si="66"/>
        <v>0.13125000000000001</v>
      </c>
      <c r="AA103" s="185">
        <f t="shared" si="67"/>
        <v>10874</v>
      </c>
      <c r="AB103" s="185">
        <f t="shared" si="68"/>
        <v>559.88999999999942</v>
      </c>
      <c r="AC103" s="185">
        <f t="shared" si="69"/>
        <v>10314.11</v>
      </c>
      <c r="AD103" s="185">
        <f t="shared" si="94"/>
        <v>134.16999999999999</v>
      </c>
      <c r="AE103" s="185">
        <f t="shared" si="94"/>
        <v>188.55</v>
      </c>
      <c r="AF103" s="185">
        <f t="shared" si="70"/>
        <v>11196.72</v>
      </c>
      <c r="AG103" s="185">
        <f t="shared" si="90"/>
        <v>43273.440000000002</v>
      </c>
      <c r="AH103" s="185">
        <f t="shared" si="91"/>
        <v>798865.56000000017</v>
      </c>
      <c r="AI103" s="411">
        <f t="shared" si="51"/>
        <v>846847.26000000059</v>
      </c>
      <c r="AJ103" s="411">
        <f t="shared" si="93"/>
        <v>39730.589999999502</v>
      </c>
      <c r="AK103" s="411">
        <f t="shared" si="52"/>
        <v>886577.85000000009</v>
      </c>
      <c r="AL103" s="185">
        <f t="shared" si="59"/>
        <v>942444.65000000014</v>
      </c>
      <c r="AM103" s="317">
        <f t="shared" si="77"/>
        <v>7</v>
      </c>
      <c r="AN103" s="14">
        <f t="shared" si="53"/>
        <v>19533.41</v>
      </c>
      <c r="AO103" s="14">
        <f t="shared" si="46"/>
        <v>982175.24</v>
      </c>
      <c r="AP103" s="14">
        <f t="shared" si="54"/>
        <v>10874</v>
      </c>
      <c r="AS103" s="14">
        <f t="shared" si="72"/>
        <v>19533.41</v>
      </c>
      <c r="AT103" s="14">
        <f t="shared" si="78"/>
        <v>1718459.5199999977</v>
      </c>
      <c r="AU103" s="185">
        <f t="shared" si="79"/>
        <v>3063.3889388762077</v>
      </c>
      <c r="AV103" s="185">
        <f t="shared" si="80"/>
        <v>242318.96448935941</v>
      </c>
    </row>
    <row r="104" spans="1:50">
      <c r="A104" s="401" t="str">
        <f t="shared" si="81"/>
        <v xml:space="preserve"> </v>
      </c>
      <c r="B104" s="185">
        <f t="shared" si="73"/>
        <v>0</v>
      </c>
      <c r="C104" s="14">
        <f t="shared" si="63"/>
        <v>0</v>
      </c>
      <c r="D104" s="14">
        <f t="shared" si="82"/>
        <v>0</v>
      </c>
      <c r="E104" s="14">
        <f t="shared" si="64"/>
        <v>0</v>
      </c>
      <c r="F104" s="14">
        <f t="shared" si="92"/>
        <v>0</v>
      </c>
      <c r="G104" s="14">
        <f t="shared" si="92"/>
        <v>0</v>
      </c>
      <c r="H104" s="14">
        <f t="shared" si="48"/>
        <v>0</v>
      </c>
      <c r="I104" s="185">
        <f t="shared" si="83"/>
        <v>0</v>
      </c>
      <c r="J104" s="185">
        <f t="shared" si="84"/>
        <v>0</v>
      </c>
      <c r="K104" s="185">
        <f t="shared" si="85"/>
        <v>0</v>
      </c>
      <c r="L104" s="317">
        <f t="shared" si="65"/>
        <v>7</v>
      </c>
      <c r="M104" s="317">
        <f t="shared" si="74"/>
        <v>88</v>
      </c>
      <c r="N104" s="185">
        <f t="shared" si="75"/>
        <v>982175.23999999964</v>
      </c>
      <c r="O104" s="185">
        <f t="shared" si="55"/>
        <v>19533.41</v>
      </c>
      <c r="P104" s="185">
        <f t="shared" si="86"/>
        <v>94.529999999998836</v>
      </c>
      <c r="Q104" s="185">
        <f t="shared" si="56"/>
        <v>19438.88</v>
      </c>
      <c r="R104" s="185">
        <f t="shared" si="60"/>
        <v>134.16999999999999</v>
      </c>
      <c r="S104" s="185">
        <f t="shared" si="57"/>
        <v>188.55</v>
      </c>
      <c r="T104" s="185">
        <f t="shared" si="49"/>
        <v>19856.129999999997</v>
      </c>
      <c r="U104" s="185">
        <f t="shared" si="87"/>
        <v>4019.2900000000009</v>
      </c>
      <c r="V104" s="185">
        <f t="shared" si="88"/>
        <v>1734454.2</v>
      </c>
      <c r="W104" s="185">
        <f t="shared" si="89"/>
        <v>982080.70999999961</v>
      </c>
      <c r="X104" s="401" t="str">
        <f t="shared" si="76"/>
        <v xml:space="preserve"> </v>
      </c>
      <c r="Y104" s="185">
        <f t="shared" si="58"/>
        <v>942444.65000000014</v>
      </c>
      <c r="Z104" s="393">
        <f t="shared" si="66"/>
        <v>0.13125000000000001</v>
      </c>
      <c r="AA104" s="185">
        <f t="shared" si="67"/>
        <v>10874</v>
      </c>
      <c r="AB104" s="185">
        <f t="shared" si="68"/>
        <v>566.01000000000022</v>
      </c>
      <c r="AC104" s="185">
        <f t="shared" si="69"/>
        <v>10307.99</v>
      </c>
      <c r="AD104" s="185">
        <f t="shared" si="94"/>
        <v>134.16999999999999</v>
      </c>
      <c r="AE104" s="185">
        <f t="shared" si="94"/>
        <v>188.55</v>
      </c>
      <c r="AF104" s="185">
        <f t="shared" si="70"/>
        <v>11196.72</v>
      </c>
      <c r="AG104" s="185">
        <f t="shared" si="90"/>
        <v>43839.450000000004</v>
      </c>
      <c r="AH104" s="185">
        <f t="shared" si="91"/>
        <v>809173.55000000016</v>
      </c>
      <c r="AI104" s="411">
        <f t="shared" si="51"/>
        <v>855506.67000000062</v>
      </c>
      <c r="AJ104" s="411">
        <f t="shared" si="93"/>
        <v>40202.069999999483</v>
      </c>
      <c r="AK104" s="411">
        <f t="shared" si="52"/>
        <v>895708.74000000011</v>
      </c>
      <c r="AL104" s="185">
        <f t="shared" si="59"/>
        <v>941878.64000000013</v>
      </c>
      <c r="AM104" s="317">
        <f t="shared" si="77"/>
        <v>7</v>
      </c>
      <c r="AN104" s="14">
        <f t="shared" si="53"/>
        <v>19533.41</v>
      </c>
      <c r="AO104" s="14">
        <f t="shared" si="46"/>
        <v>982080.71</v>
      </c>
      <c r="AP104" s="14">
        <f t="shared" si="54"/>
        <v>10874</v>
      </c>
      <c r="AS104" s="14">
        <f t="shared" si="72"/>
        <v>19533.41</v>
      </c>
      <c r="AT104" s="14">
        <f t="shared" si="78"/>
        <v>1737992.9299999976</v>
      </c>
      <c r="AU104" s="185">
        <f t="shared" si="79"/>
        <v>3071.0474112233983</v>
      </c>
      <c r="AV104" s="185">
        <f t="shared" si="80"/>
        <v>245390.01190058282</v>
      </c>
    </row>
    <row r="105" spans="1:50">
      <c r="A105" s="401" t="str">
        <f t="shared" si="81"/>
        <v xml:space="preserve"> </v>
      </c>
      <c r="B105" s="185">
        <f t="shared" si="73"/>
        <v>0</v>
      </c>
      <c r="C105" s="14">
        <f t="shared" si="63"/>
        <v>0</v>
      </c>
      <c r="D105" s="14">
        <f t="shared" si="82"/>
        <v>0</v>
      </c>
      <c r="E105" s="14">
        <f t="shared" si="64"/>
        <v>0</v>
      </c>
      <c r="F105" s="14">
        <f t="shared" si="92"/>
        <v>0</v>
      </c>
      <c r="G105" s="14">
        <f t="shared" si="92"/>
        <v>0</v>
      </c>
      <c r="H105" s="14">
        <f t="shared" si="48"/>
        <v>0</v>
      </c>
      <c r="I105" s="185">
        <f t="shared" si="83"/>
        <v>0</v>
      </c>
      <c r="J105" s="185">
        <f t="shared" si="84"/>
        <v>0</v>
      </c>
      <c r="K105" s="185">
        <f t="shared" si="85"/>
        <v>0</v>
      </c>
      <c r="L105" s="317">
        <f t="shared" si="65"/>
        <v>7</v>
      </c>
      <c r="M105" s="317">
        <f t="shared" si="74"/>
        <v>89</v>
      </c>
      <c r="N105" s="185">
        <f t="shared" si="75"/>
        <v>982080.70999999961</v>
      </c>
      <c r="O105" s="185">
        <f t="shared" si="55"/>
        <v>19533.41</v>
      </c>
      <c r="P105" s="185">
        <f t="shared" si="86"/>
        <v>96.400000000001455</v>
      </c>
      <c r="Q105" s="185">
        <f t="shared" si="56"/>
        <v>19437.009999999998</v>
      </c>
      <c r="R105" s="185">
        <f t="shared" si="60"/>
        <v>134.16999999999999</v>
      </c>
      <c r="S105" s="185">
        <f t="shared" si="57"/>
        <v>188.55</v>
      </c>
      <c r="T105" s="185">
        <f t="shared" si="49"/>
        <v>19856.129999999997</v>
      </c>
      <c r="U105" s="185">
        <f t="shared" si="87"/>
        <v>4115.6900000000023</v>
      </c>
      <c r="V105" s="185">
        <f t="shared" si="88"/>
        <v>1753891.21</v>
      </c>
      <c r="W105" s="185">
        <f t="shared" si="89"/>
        <v>981984.30999999959</v>
      </c>
      <c r="X105" s="401" t="str">
        <f t="shared" si="76"/>
        <v xml:space="preserve"> </v>
      </c>
      <c r="Y105" s="185">
        <f t="shared" si="58"/>
        <v>941878.64000000013</v>
      </c>
      <c r="Z105" s="393">
        <f t="shared" si="66"/>
        <v>0.13125000000000001</v>
      </c>
      <c r="AA105" s="185">
        <f t="shared" si="67"/>
        <v>10874</v>
      </c>
      <c r="AB105" s="185">
        <f t="shared" si="68"/>
        <v>572.20000000000073</v>
      </c>
      <c r="AC105" s="185">
        <f t="shared" si="69"/>
        <v>10301.799999999999</v>
      </c>
      <c r="AD105" s="185">
        <f t="shared" si="94"/>
        <v>134.16999999999999</v>
      </c>
      <c r="AE105" s="185">
        <f t="shared" si="94"/>
        <v>188.55</v>
      </c>
      <c r="AF105" s="185">
        <f t="shared" si="70"/>
        <v>11196.72</v>
      </c>
      <c r="AG105" s="185">
        <f t="shared" si="90"/>
        <v>44411.650000000009</v>
      </c>
      <c r="AH105" s="185">
        <f t="shared" si="91"/>
        <v>819475.35000000021</v>
      </c>
      <c r="AI105" s="411">
        <f t="shared" si="51"/>
        <v>864166.08000000066</v>
      </c>
      <c r="AJ105" s="411">
        <f t="shared" si="93"/>
        <v>40677.869999999413</v>
      </c>
      <c r="AK105" s="411">
        <f t="shared" si="52"/>
        <v>904843.95000000007</v>
      </c>
      <c r="AL105" s="185">
        <f t="shared" si="59"/>
        <v>941306.44000000018</v>
      </c>
      <c r="AM105" s="317">
        <f t="shared" si="77"/>
        <v>7</v>
      </c>
      <c r="AN105" s="14">
        <f t="shared" si="53"/>
        <v>19533.41</v>
      </c>
      <c r="AO105" s="14">
        <f t="shared" si="46"/>
        <v>981984.31</v>
      </c>
      <c r="AP105" s="14">
        <f t="shared" si="54"/>
        <v>10874</v>
      </c>
      <c r="AS105" s="14">
        <f t="shared" si="72"/>
        <v>19533.41</v>
      </c>
      <c r="AT105" s="14">
        <f t="shared" si="78"/>
        <v>1757526.3399999975</v>
      </c>
      <c r="AU105" s="185">
        <f t="shared" si="79"/>
        <v>3078.725029751457</v>
      </c>
      <c r="AV105" s="185">
        <f t="shared" si="80"/>
        <v>248468.73693033427</v>
      </c>
    </row>
    <row r="106" spans="1:50">
      <c r="A106" s="401" t="str">
        <f t="shared" si="81"/>
        <v xml:space="preserve"> </v>
      </c>
      <c r="B106" s="185">
        <f t="shared" si="73"/>
        <v>0</v>
      </c>
      <c r="C106" s="14">
        <f t="shared" si="63"/>
        <v>0</v>
      </c>
      <c r="D106" s="14">
        <f t="shared" si="82"/>
        <v>0</v>
      </c>
      <c r="E106" s="14">
        <f t="shared" si="64"/>
        <v>0</v>
      </c>
      <c r="F106" s="14">
        <f t="shared" si="92"/>
        <v>0</v>
      </c>
      <c r="G106" s="14">
        <f t="shared" si="92"/>
        <v>0</v>
      </c>
      <c r="H106" s="14">
        <f t="shared" si="48"/>
        <v>0</v>
      </c>
      <c r="I106" s="185">
        <f t="shared" si="83"/>
        <v>0</v>
      </c>
      <c r="J106" s="185">
        <f t="shared" si="84"/>
        <v>0</v>
      </c>
      <c r="K106" s="185">
        <f t="shared" si="85"/>
        <v>0</v>
      </c>
      <c r="L106" s="317">
        <f t="shared" si="65"/>
        <v>7</v>
      </c>
      <c r="M106" s="317">
        <f t="shared" si="74"/>
        <v>90</v>
      </c>
      <c r="N106" s="185">
        <f t="shared" si="75"/>
        <v>981984.30999999959</v>
      </c>
      <c r="O106" s="185">
        <f t="shared" si="55"/>
        <v>19533.41</v>
      </c>
      <c r="P106" s="185">
        <f t="shared" si="86"/>
        <v>98.299999999999272</v>
      </c>
      <c r="Q106" s="185">
        <f t="shared" si="56"/>
        <v>19435.11</v>
      </c>
      <c r="R106" s="185">
        <f t="shared" si="60"/>
        <v>134.16999999999999</v>
      </c>
      <c r="S106" s="185">
        <f t="shared" si="57"/>
        <v>188.55</v>
      </c>
      <c r="T106" s="185">
        <f t="shared" si="49"/>
        <v>19856.129999999997</v>
      </c>
      <c r="U106" s="185">
        <f t="shared" si="87"/>
        <v>4213.9900000000016</v>
      </c>
      <c r="V106" s="185">
        <f t="shared" si="88"/>
        <v>1773326.32</v>
      </c>
      <c r="W106" s="185">
        <f t="shared" si="89"/>
        <v>981886.00999999954</v>
      </c>
      <c r="X106" s="401" t="str">
        <f t="shared" si="76"/>
        <v xml:space="preserve"> </v>
      </c>
      <c r="Y106" s="185">
        <f t="shared" si="58"/>
        <v>941306.44000000018</v>
      </c>
      <c r="Z106" s="393">
        <f t="shared" si="66"/>
        <v>0.13125000000000001</v>
      </c>
      <c r="AA106" s="185">
        <f t="shared" si="67"/>
        <v>10874</v>
      </c>
      <c r="AB106" s="185">
        <f t="shared" si="68"/>
        <v>578.45999999999913</v>
      </c>
      <c r="AC106" s="185">
        <f t="shared" si="69"/>
        <v>10295.540000000001</v>
      </c>
      <c r="AD106" s="185">
        <f t="shared" si="94"/>
        <v>134.16999999999999</v>
      </c>
      <c r="AE106" s="185">
        <f t="shared" si="94"/>
        <v>188.55</v>
      </c>
      <c r="AF106" s="185">
        <f t="shared" si="70"/>
        <v>11196.72</v>
      </c>
      <c r="AG106" s="185">
        <f t="shared" si="90"/>
        <v>44990.110000000008</v>
      </c>
      <c r="AH106" s="185">
        <f t="shared" si="91"/>
        <v>829770.89000000025</v>
      </c>
      <c r="AI106" s="411">
        <f t="shared" si="51"/>
        <v>872825.49000000069</v>
      </c>
      <c r="AJ106" s="411">
        <f t="shared" si="93"/>
        <v>41158.029999999329</v>
      </c>
      <c r="AK106" s="411">
        <f t="shared" si="52"/>
        <v>913983.52</v>
      </c>
      <c r="AL106" s="185">
        <f t="shared" si="59"/>
        <v>940727.98000000021</v>
      </c>
      <c r="AM106" s="317">
        <f t="shared" si="77"/>
        <v>7</v>
      </c>
      <c r="AN106" s="14">
        <f t="shared" si="53"/>
        <v>19533.41</v>
      </c>
      <c r="AO106" s="14">
        <f t="shared" si="46"/>
        <v>981886.01</v>
      </c>
      <c r="AP106" s="14">
        <f t="shared" si="54"/>
        <v>10874</v>
      </c>
      <c r="AS106" s="14">
        <f t="shared" si="72"/>
        <v>19533.41</v>
      </c>
      <c r="AT106" s="14">
        <f t="shared" si="78"/>
        <v>1777059.7499999974</v>
      </c>
      <c r="AU106" s="185">
        <f t="shared" si="79"/>
        <v>3086.4218423258353</v>
      </c>
      <c r="AV106" s="185">
        <f t="shared" si="80"/>
        <v>251555.1587726601</v>
      </c>
    </row>
    <row r="107" spans="1:50">
      <c r="A107" s="401" t="str">
        <f t="shared" si="81"/>
        <v xml:space="preserve"> </v>
      </c>
      <c r="B107" s="185">
        <f t="shared" si="73"/>
        <v>0</v>
      </c>
      <c r="C107" s="14">
        <f t="shared" si="63"/>
        <v>0</v>
      </c>
      <c r="D107" s="14">
        <f t="shared" si="82"/>
        <v>0</v>
      </c>
      <c r="E107" s="14">
        <f t="shared" si="64"/>
        <v>0</v>
      </c>
      <c r="F107" s="14">
        <f t="shared" ref="F107:G122" si="95">+F106</f>
        <v>0</v>
      </c>
      <c r="G107" s="14">
        <f t="shared" si="95"/>
        <v>0</v>
      </c>
      <c r="H107" s="14">
        <f t="shared" si="48"/>
        <v>0</v>
      </c>
      <c r="I107" s="185">
        <f t="shared" si="83"/>
        <v>0</v>
      </c>
      <c r="J107" s="185">
        <f t="shared" si="84"/>
        <v>0</v>
      </c>
      <c r="K107" s="185">
        <f t="shared" si="85"/>
        <v>0</v>
      </c>
      <c r="L107" s="317">
        <f t="shared" si="65"/>
        <v>7</v>
      </c>
      <c r="M107" s="317">
        <f t="shared" si="74"/>
        <v>91</v>
      </c>
      <c r="N107" s="185">
        <f t="shared" si="75"/>
        <v>981886.00999999954</v>
      </c>
      <c r="O107" s="185">
        <f t="shared" si="55"/>
        <v>19533.41</v>
      </c>
      <c r="P107" s="185">
        <f t="shared" si="86"/>
        <v>100.25</v>
      </c>
      <c r="Q107" s="185">
        <f t="shared" si="56"/>
        <v>19433.16</v>
      </c>
      <c r="R107" s="185">
        <f t="shared" si="60"/>
        <v>134.16999999999999</v>
      </c>
      <c r="S107" s="185">
        <f t="shared" si="57"/>
        <v>188.55</v>
      </c>
      <c r="T107" s="185">
        <f t="shared" si="49"/>
        <v>19856.129999999997</v>
      </c>
      <c r="U107" s="185">
        <f t="shared" si="87"/>
        <v>4314.2400000000016</v>
      </c>
      <c r="V107" s="185">
        <f t="shared" si="88"/>
        <v>1792759.48</v>
      </c>
      <c r="W107" s="185">
        <f t="shared" si="89"/>
        <v>981785.75999999954</v>
      </c>
      <c r="X107" s="401" t="str">
        <f t="shared" si="76"/>
        <v xml:space="preserve"> </v>
      </c>
      <c r="Y107" s="185">
        <f t="shared" si="58"/>
        <v>940727.98000000021</v>
      </c>
      <c r="Z107" s="393">
        <f t="shared" si="66"/>
        <v>0.13125000000000001</v>
      </c>
      <c r="AA107" s="185">
        <f t="shared" si="67"/>
        <v>10874</v>
      </c>
      <c r="AB107" s="185">
        <f t="shared" si="68"/>
        <v>584.79000000000087</v>
      </c>
      <c r="AC107" s="185">
        <f t="shared" si="69"/>
        <v>10289.209999999999</v>
      </c>
      <c r="AD107" s="185">
        <f t="shared" si="94"/>
        <v>134.16999999999999</v>
      </c>
      <c r="AE107" s="185">
        <f t="shared" si="94"/>
        <v>188.55</v>
      </c>
      <c r="AF107" s="185">
        <f t="shared" si="70"/>
        <v>11196.72</v>
      </c>
      <c r="AG107" s="185">
        <f t="shared" si="90"/>
        <v>45574.900000000009</v>
      </c>
      <c r="AH107" s="185">
        <f t="shared" si="91"/>
        <v>840060.10000000021</v>
      </c>
      <c r="AI107" s="411">
        <f t="shared" si="51"/>
        <v>881484.90000000072</v>
      </c>
      <c r="AJ107" s="411">
        <f t="shared" si="93"/>
        <v>41642.569999999367</v>
      </c>
      <c r="AK107" s="411">
        <f t="shared" si="52"/>
        <v>923127.47000000009</v>
      </c>
      <c r="AL107" s="185">
        <f t="shared" si="59"/>
        <v>940143.19000000018</v>
      </c>
      <c r="AM107" s="317">
        <f t="shared" si="77"/>
        <v>7</v>
      </c>
      <c r="AN107" s="14">
        <f t="shared" si="53"/>
        <v>19533.41</v>
      </c>
      <c r="AO107" s="14">
        <f t="shared" si="46"/>
        <v>981785.76</v>
      </c>
      <c r="AP107" s="14">
        <f t="shared" si="54"/>
        <v>10874</v>
      </c>
      <c r="AS107" s="14">
        <f t="shared" si="72"/>
        <v>19533.41</v>
      </c>
      <c r="AT107" s="14">
        <f t="shared" si="78"/>
        <v>1796593.1599999974</v>
      </c>
      <c r="AU107" s="185">
        <f t="shared" si="79"/>
        <v>3094.1378969316502</v>
      </c>
      <c r="AV107" s="185">
        <f t="shared" si="80"/>
        <v>254649.29666959174</v>
      </c>
    </row>
    <row r="108" spans="1:50">
      <c r="A108" s="401" t="str">
        <f t="shared" si="81"/>
        <v xml:space="preserve"> </v>
      </c>
      <c r="B108" s="185">
        <f t="shared" si="73"/>
        <v>0</v>
      </c>
      <c r="C108" s="14">
        <f t="shared" si="63"/>
        <v>0</v>
      </c>
      <c r="D108" s="14">
        <f t="shared" si="82"/>
        <v>0</v>
      </c>
      <c r="E108" s="14">
        <f t="shared" si="64"/>
        <v>0</v>
      </c>
      <c r="F108" s="14">
        <f t="shared" si="95"/>
        <v>0</v>
      </c>
      <c r="G108" s="14">
        <f t="shared" si="95"/>
        <v>0</v>
      </c>
      <c r="H108" s="14">
        <f t="shared" si="48"/>
        <v>0</v>
      </c>
      <c r="I108" s="185">
        <f t="shared" si="83"/>
        <v>0</v>
      </c>
      <c r="J108" s="185">
        <f t="shared" si="84"/>
        <v>0</v>
      </c>
      <c r="K108" s="185">
        <f t="shared" si="85"/>
        <v>0</v>
      </c>
      <c r="L108" s="317">
        <f t="shared" si="65"/>
        <v>7</v>
      </c>
      <c r="M108" s="317">
        <f t="shared" si="74"/>
        <v>92</v>
      </c>
      <c r="N108" s="185">
        <f t="shared" si="75"/>
        <v>981785.75999999954</v>
      </c>
      <c r="O108" s="185">
        <f t="shared" si="55"/>
        <v>19533.41</v>
      </c>
      <c r="P108" s="185">
        <f t="shared" si="86"/>
        <v>102.22999999999956</v>
      </c>
      <c r="Q108" s="185">
        <f t="shared" si="56"/>
        <v>19431.18</v>
      </c>
      <c r="R108" s="185">
        <f t="shared" si="60"/>
        <v>134.16999999999999</v>
      </c>
      <c r="S108" s="185">
        <f t="shared" si="57"/>
        <v>188.55</v>
      </c>
      <c r="T108" s="185">
        <f t="shared" si="49"/>
        <v>19856.129999999997</v>
      </c>
      <c r="U108" s="185">
        <f t="shared" si="87"/>
        <v>4416.4700000000012</v>
      </c>
      <c r="V108" s="185">
        <f t="shared" si="88"/>
        <v>1812190.66</v>
      </c>
      <c r="W108" s="185">
        <f t="shared" si="89"/>
        <v>981683.52999999956</v>
      </c>
      <c r="X108" s="401" t="str">
        <f t="shared" si="76"/>
        <v xml:space="preserve"> </v>
      </c>
      <c r="Y108" s="185">
        <f t="shared" si="58"/>
        <v>940143.19000000018</v>
      </c>
      <c r="Z108" s="393">
        <f t="shared" si="66"/>
        <v>0.13125000000000001</v>
      </c>
      <c r="AA108" s="185">
        <f t="shared" si="67"/>
        <v>10874</v>
      </c>
      <c r="AB108" s="185">
        <f t="shared" si="68"/>
        <v>591.18000000000029</v>
      </c>
      <c r="AC108" s="185">
        <f t="shared" si="69"/>
        <v>10282.82</v>
      </c>
      <c r="AD108" s="185">
        <f t="shared" si="94"/>
        <v>134.16999999999999</v>
      </c>
      <c r="AE108" s="185">
        <f t="shared" si="94"/>
        <v>188.55</v>
      </c>
      <c r="AF108" s="185">
        <f t="shared" si="70"/>
        <v>11196.72</v>
      </c>
      <c r="AG108" s="185">
        <f t="shared" si="90"/>
        <v>46166.080000000009</v>
      </c>
      <c r="AH108" s="185">
        <f t="shared" si="91"/>
        <v>850342.92000000016</v>
      </c>
      <c r="AI108" s="411">
        <f t="shared" si="51"/>
        <v>890144.31000000075</v>
      </c>
      <c r="AJ108" s="411">
        <f t="shared" si="93"/>
        <v>42131.519999999437</v>
      </c>
      <c r="AK108" s="411">
        <f t="shared" si="52"/>
        <v>932275.83000000019</v>
      </c>
      <c r="AL108" s="185">
        <f t="shared" si="59"/>
        <v>939552.01000000013</v>
      </c>
      <c r="AM108" s="317">
        <f t="shared" si="77"/>
        <v>7</v>
      </c>
      <c r="AN108" s="14">
        <f t="shared" si="53"/>
        <v>19533.41</v>
      </c>
      <c r="AO108" s="14">
        <f t="shared" si="46"/>
        <v>981683.53</v>
      </c>
      <c r="AP108" s="14">
        <f t="shared" si="54"/>
        <v>10874</v>
      </c>
      <c r="AS108" s="14">
        <f t="shared" si="72"/>
        <v>19533.41</v>
      </c>
      <c r="AT108" s="14">
        <f t="shared" si="78"/>
        <v>1816126.5699999973</v>
      </c>
      <c r="AU108" s="185">
        <f t="shared" si="79"/>
        <v>3101.873241673979</v>
      </c>
      <c r="AV108" s="185">
        <f t="shared" si="80"/>
        <v>257751.16991126572</v>
      </c>
      <c r="AX108" s="373"/>
    </row>
    <row r="109" spans="1:50">
      <c r="A109" s="401" t="str">
        <f t="shared" si="81"/>
        <v xml:space="preserve"> </v>
      </c>
      <c r="B109" s="185">
        <f t="shared" si="73"/>
        <v>0</v>
      </c>
      <c r="C109" s="14">
        <f t="shared" si="63"/>
        <v>0</v>
      </c>
      <c r="D109" s="14">
        <f t="shared" si="82"/>
        <v>0</v>
      </c>
      <c r="E109" s="14">
        <f t="shared" si="64"/>
        <v>0</v>
      </c>
      <c r="F109" s="14">
        <f t="shared" si="95"/>
        <v>0</v>
      </c>
      <c r="G109" s="14">
        <f t="shared" si="95"/>
        <v>0</v>
      </c>
      <c r="H109" s="14">
        <f t="shared" si="48"/>
        <v>0</v>
      </c>
      <c r="I109" s="185">
        <f t="shared" si="83"/>
        <v>0</v>
      </c>
      <c r="J109" s="185">
        <f t="shared" si="84"/>
        <v>0</v>
      </c>
      <c r="K109" s="185">
        <f t="shared" si="85"/>
        <v>0</v>
      </c>
      <c r="L109" s="317">
        <f>IF(MOD(M109,12)=0,M109/12,L108)</f>
        <v>7</v>
      </c>
      <c r="M109" s="317">
        <f t="shared" si="74"/>
        <v>93</v>
      </c>
      <c r="N109" s="185">
        <f t="shared" si="75"/>
        <v>981683.52999999956</v>
      </c>
      <c r="O109" s="185">
        <f t="shared" si="55"/>
        <v>19533.41</v>
      </c>
      <c r="P109" s="185">
        <f t="shared" si="86"/>
        <v>104.2599999999984</v>
      </c>
      <c r="Q109" s="185">
        <f t="shared" si="56"/>
        <v>19429.150000000001</v>
      </c>
      <c r="R109" s="185">
        <f t="shared" si="60"/>
        <v>134.16999999999999</v>
      </c>
      <c r="S109" s="185">
        <f t="shared" si="57"/>
        <v>188.55</v>
      </c>
      <c r="T109" s="185">
        <f t="shared" si="49"/>
        <v>19856.129999999997</v>
      </c>
      <c r="U109" s="185">
        <f t="shared" si="87"/>
        <v>4520.7299999999996</v>
      </c>
      <c r="V109" s="185">
        <f t="shared" si="88"/>
        <v>1831619.8099999998</v>
      </c>
      <c r="W109" s="185">
        <f t="shared" si="89"/>
        <v>981579.26999999955</v>
      </c>
      <c r="X109" s="401" t="str">
        <f t="shared" si="76"/>
        <v xml:space="preserve"> </v>
      </c>
      <c r="Y109" s="185">
        <f t="shared" si="58"/>
        <v>939552.01000000013</v>
      </c>
      <c r="Z109" s="393">
        <f t="shared" si="66"/>
        <v>0.13125000000000001</v>
      </c>
      <c r="AA109" s="185">
        <f t="shared" si="67"/>
        <v>10874</v>
      </c>
      <c r="AB109" s="185">
        <f t="shared" si="68"/>
        <v>597.64999999999964</v>
      </c>
      <c r="AC109" s="185">
        <f t="shared" si="69"/>
        <v>10276.35</v>
      </c>
      <c r="AD109" s="185">
        <f t="shared" ref="AD109:AE124" si="96">+AD108</f>
        <v>134.16999999999999</v>
      </c>
      <c r="AE109" s="185">
        <f t="shared" si="96"/>
        <v>188.55</v>
      </c>
      <c r="AF109" s="185">
        <f t="shared" si="70"/>
        <v>11196.72</v>
      </c>
      <c r="AG109" s="185">
        <f t="shared" si="90"/>
        <v>46763.73000000001</v>
      </c>
      <c r="AH109" s="185">
        <f t="shared" si="91"/>
        <v>860619.27000000014</v>
      </c>
      <c r="AI109" s="411">
        <f t="shared" si="51"/>
        <v>898803.72000000079</v>
      </c>
      <c r="AJ109" s="411">
        <f t="shared" si="93"/>
        <v>42624.909999999451</v>
      </c>
      <c r="AK109" s="411">
        <f t="shared" si="52"/>
        <v>941428.63000000024</v>
      </c>
      <c r="AL109" s="185">
        <f t="shared" si="59"/>
        <v>938954.3600000001</v>
      </c>
      <c r="AM109" s="317">
        <f t="shared" si="77"/>
        <v>7</v>
      </c>
      <c r="AN109" s="14">
        <f t="shared" si="53"/>
        <v>19533.41</v>
      </c>
      <c r="AO109" s="14">
        <f t="shared" si="46"/>
        <v>981579.27</v>
      </c>
      <c r="AP109" s="14">
        <f t="shared" si="54"/>
        <v>10874</v>
      </c>
      <c r="AS109" s="14">
        <f t="shared" si="72"/>
        <v>19533.41</v>
      </c>
      <c r="AT109" s="14">
        <f t="shared" si="78"/>
        <v>1835659.9799999972</v>
      </c>
      <c r="AU109" s="185">
        <f t="shared" si="79"/>
        <v>3109.6279247781645</v>
      </c>
      <c r="AV109" s="185">
        <f t="shared" si="80"/>
        <v>260860.7978360439</v>
      </c>
      <c r="AX109" s="373"/>
    </row>
    <row r="110" spans="1:50">
      <c r="A110" s="401" t="str">
        <f t="shared" si="81"/>
        <v xml:space="preserve"> </v>
      </c>
      <c r="B110" s="185">
        <f t="shared" si="73"/>
        <v>0</v>
      </c>
      <c r="C110" s="14">
        <f t="shared" si="63"/>
        <v>0</v>
      </c>
      <c r="D110" s="14">
        <f t="shared" si="82"/>
        <v>0</v>
      </c>
      <c r="E110" s="14">
        <f t="shared" si="64"/>
        <v>0</v>
      </c>
      <c r="F110" s="14">
        <f t="shared" si="95"/>
        <v>0</v>
      </c>
      <c r="G110" s="14">
        <f t="shared" si="95"/>
        <v>0</v>
      </c>
      <c r="H110" s="14">
        <f t="shared" si="48"/>
        <v>0</v>
      </c>
      <c r="I110" s="185">
        <f t="shared" si="83"/>
        <v>0</v>
      </c>
      <c r="J110" s="185">
        <f t="shared" si="84"/>
        <v>0</v>
      </c>
      <c r="K110" s="185">
        <f t="shared" si="85"/>
        <v>0</v>
      </c>
      <c r="L110" s="317">
        <f>IF(MOD(M110,12)=0,M110/12,L109)</f>
        <v>7</v>
      </c>
      <c r="M110" s="317">
        <f t="shared" si="74"/>
        <v>94</v>
      </c>
      <c r="N110" s="185">
        <f t="shared" si="75"/>
        <v>981579.26999999955</v>
      </c>
      <c r="O110" s="185">
        <f t="shared" si="55"/>
        <v>19533.41</v>
      </c>
      <c r="P110" s="185">
        <f t="shared" si="86"/>
        <v>106.31999999999971</v>
      </c>
      <c r="Q110" s="185">
        <f t="shared" si="56"/>
        <v>19427.09</v>
      </c>
      <c r="R110" s="185">
        <f t="shared" si="60"/>
        <v>134.16999999999999</v>
      </c>
      <c r="S110" s="185">
        <f t="shared" si="57"/>
        <v>188.55</v>
      </c>
      <c r="T110" s="185">
        <f t="shared" si="49"/>
        <v>19856.129999999997</v>
      </c>
      <c r="U110" s="185">
        <f t="shared" si="87"/>
        <v>4627.0499999999993</v>
      </c>
      <c r="V110" s="185">
        <f t="shared" si="88"/>
        <v>1851046.9</v>
      </c>
      <c r="W110" s="185">
        <f t="shared" si="89"/>
        <v>981472.9499999996</v>
      </c>
      <c r="X110" s="401" t="str">
        <f t="shared" si="76"/>
        <v xml:space="preserve"> </v>
      </c>
      <c r="Y110" s="185">
        <f t="shared" si="58"/>
        <v>938954.3600000001</v>
      </c>
      <c r="Z110" s="393">
        <f t="shared" si="66"/>
        <v>0.13125000000000001</v>
      </c>
      <c r="AA110" s="185">
        <f t="shared" si="67"/>
        <v>10874</v>
      </c>
      <c r="AB110" s="185">
        <f t="shared" si="68"/>
        <v>604.19000000000051</v>
      </c>
      <c r="AC110" s="185">
        <f t="shared" si="69"/>
        <v>10269.81</v>
      </c>
      <c r="AD110" s="185">
        <f t="shared" si="96"/>
        <v>134.16999999999999</v>
      </c>
      <c r="AE110" s="185">
        <f t="shared" si="96"/>
        <v>188.55</v>
      </c>
      <c r="AF110" s="185">
        <f t="shared" si="70"/>
        <v>11196.72</v>
      </c>
      <c r="AG110" s="185">
        <f t="shared" si="90"/>
        <v>47367.920000000013</v>
      </c>
      <c r="AH110" s="185">
        <f t="shared" si="91"/>
        <v>870889.08000000019</v>
      </c>
      <c r="AI110" s="411">
        <f t="shared" si="51"/>
        <v>907463.13000000082</v>
      </c>
      <c r="AJ110" s="411">
        <f t="shared" si="93"/>
        <v>43122.779999999446</v>
      </c>
      <c r="AK110" s="411">
        <f t="shared" si="52"/>
        <v>950585.91000000027</v>
      </c>
      <c r="AL110" s="185">
        <f t="shared" si="59"/>
        <v>938350.17000000016</v>
      </c>
      <c r="AM110" s="317">
        <f t="shared" si="77"/>
        <v>7</v>
      </c>
      <c r="AN110" s="14">
        <f t="shared" si="53"/>
        <v>19533.41</v>
      </c>
      <c r="AO110" s="14">
        <f t="shared" ref="AO110:AO173" si="97">IF(W110&lt;=0,0,+$AA$6-$C$2+I110-U110)</f>
        <v>981472.95</v>
      </c>
      <c r="AP110" s="14">
        <f t="shared" si="54"/>
        <v>10874</v>
      </c>
      <c r="AS110" s="14">
        <f t="shared" si="72"/>
        <v>19533.41</v>
      </c>
      <c r="AT110" s="14">
        <f t="shared" si="78"/>
        <v>1855193.3899999971</v>
      </c>
      <c r="AU110" s="185">
        <f t="shared" si="79"/>
        <v>3117.4019945901096</v>
      </c>
      <c r="AV110" s="185">
        <f t="shared" si="80"/>
        <v>263978.199830634</v>
      </c>
    </row>
    <row r="111" spans="1:50" ht="15.75" thickBot="1">
      <c r="A111" s="404" t="str">
        <f t="shared" si="81"/>
        <v xml:space="preserve"> </v>
      </c>
      <c r="B111" s="237">
        <f t="shared" si="73"/>
        <v>0</v>
      </c>
      <c r="C111" s="21">
        <f t="shared" si="63"/>
        <v>0</v>
      </c>
      <c r="D111" s="21">
        <f t="shared" si="82"/>
        <v>0</v>
      </c>
      <c r="E111" s="21">
        <f t="shared" si="64"/>
        <v>0</v>
      </c>
      <c r="F111" s="21">
        <f t="shared" si="95"/>
        <v>0</v>
      </c>
      <c r="G111" s="21">
        <f t="shared" si="95"/>
        <v>0</v>
      </c>
      <c r="H111" s="21">
        <f t="shared" si="48"/>
        <v>0</v>
      </c>
      <c r="I111" s="237">
        <f t="shared" si="83"/>
        <v>0</v>
      </c>
      <c r="J111" s="237">
        <f t="shared" si="84"/>
        <v>0</v>
      </c>
      <c r="K111" s="237">
        <f t="shared" si="85"/>
        <v>0</v>
      </c>
      <c r="L111" s="318">
        <f>IF(MOD(M111,12)=0,M111/12,L110)</f>
        <v>7</v>
      </c>
      <c r="M111" s="318">
        <f t="shared" si="74"/>
        <v>95</v>
      </c>
      <c r="N111" s="237">
        <f t="shared" si="75"/>
        <v>981472.9499999996</v>
      </c>
      <c r="O111" s="237">
        <f t="shared" si="55"/>
        <v>19533.41</v>
      </c>
      <c r="P111" s="237">
        <f t="shared" si="86"/>
        <v>108.41999999999825</v>
      </c>
      <c r="Q111" s="237">
        <f t="shared" si="56"/>
        <v>19424.990000000002</v>
      </c>
      <c r="R111" s="237">
        <f t="shared" si="60"/>
        <v>134.16999999999999</v>
      </c>
      <c r="S111" s="237">
        <f t="shared" si="57"/>
        <v>188.55</v>
      </c>
      <c r="T111" s="237">
        <f t="shared" si="49"/>
        <v>19856.129999999997</v>
      </c>
      <c r="U111" s="237">
        <f t="shared" si="87"/>
        <v>4735.4699999999975</v>
      </c>
      <c r="V111" s="237">
        <f t="shared" si="88"/>
        <v>1870471.89</v>
      </c>
      <c r="W111" s="237">
        <f t="shared" si="89"/>
        <v>981364.52999999956</v>
      </c>
      <c r="X111" s="404" t="str">
        <f t="shared" si="76"/>
        <v xml:space="preserve"> </v>
      </c>
      <c r="Y111" s="237">
        <f t="shared" si="58"/>
        <v>938350.17000000016</v>
      </c>
      <c r="Z111" s="394">
        <f t="shared" si="66"/>
        <v>0.13125000000000001</v>
      </c>
      <c r="AA111" s="237">
        <f t="shared" si="67"/>
        <v>10874</v>
      </c>
      <c r="AB111" s="237">
        <f t="shared" si="68"/>
        <v>610.79999999999927</v>
      </c>
      <c r="AC111" s="237">
        <f t="shared" si="69"/>
        <v>10263.200000000001</v>
      </c>
      <c r="AD111" s="237">
        <f t="shared" si="96"/>
        <v>134.16999999999999</v>
      </c>
      <c r="AE111" s="237">
        <f t="shared" si="96"/>
        <v>188.55</v>
      </c>
      <c r="AF111" s="237">
        <f t="shared" si="70"/>
        <v>11196.72</v>
      </c>
      <c r="AG111" s="237">
        <f t="shared" si="90"/>
        <v>47978.720000000016</v>
      </c>
      <c r="AH111" s="237">
        <f t="shared" si="91"/>
        <v>881152.28000000014</v>
      </c>
      <c r="AI111" s="412">
        <f t="shared" si="51"/>
        <v>916122.54000000085</v>
      </c>
      <c r="AJ111" s="412">
        <f t="shared" si="93"/>
        <v>43625.159999999451</v>
      </c>
      <c r="AK111" s="412">
        <f t="shared" si="52"/>
        <v>959747.7000000003</v>
      </c>
      <c r="AL111" s="237">
        <f t="shared" si="59"/>
        <v>937739.37000000011</v>
      </c>
      <c r="AM111" s="318">
        <f t="shared" si="77"/>
        <v>7</v>
      </c>
      <c r="AN111" s="21">
        <f t="shared" si="53"/>
        <v>19533.41</v>
      </c>
      <c r="AO111" s="21">
        <f t="shared" si="97"/>
        <v>981364.53</v>
      </c>
      <c r="AP111" s="21">
        <f t="shared" si="54"/>
        <v>10874</v>
      </c>
      <c r="AQ111" s="21"/>
      <c r="AR111" s="23"/>
      <c r="AS111" s="21">
        <f t="shared" si="72"/>
        <v>19533.41</v>
      </c>
      <c r="AT111" s="21">
        <f t="shared" si="78"/>
        <v>1874726.799999997</v>
      </c>
      <c r="AU111" s="237">
        <f t="shared" si="79"/>
        <v>3125.195499576585</v>
      </c>
      <c r="AV111" s="237">
        <f t="shared" si="80"/>
        <v>267103.39533021057</v>
      </c>
      <c r="AX111" s="373"/>
    </row>
    <row r="112" spans="1:50">
      <c r="A112" s="401" t="str">
        <f t="shared" si="81"/>
        <v xml:space="preserve"> </v>
      </c>
      <c r="B112" s="185">
        <f t="shared" si="73"/>
        <v>0</v>
      </c>
      <c r="C112" s="14">
        <f t="shared" si="63"/>
        <v>0</v>
      </c>
      <c r="D112" s="14">
        <f t="shared" si="82"/>
        <v>0</v>
      </c>
      <c r="E112" s="14">
        <f t="shared" si="64"/>
        <v>0</v>
      </c>
      <c r="F112" s="14">
        <f t="shared" si="95"/>
        <v>0</v>
      </c>
      <c r="G112" s="14">
        <f t="shared" si="95"/>
        <v>0</v>
      </c>
      <c r="H112" s="14">
        <f t="shared" si="48"/>
        <v>0</v>
      </c>
      <c r="I112" s="185">
        <f t="shared" si="83"/>
        <v>0</v>
      </c>
      <c r="J112" s="185">
        <f t="shared" si="84"/>
        <v>0</v>
      </c>
      <c r="K112" s="185">
        <f t="shared" si="85"/>
        <v>0</v>
      </c>
      <c r="L112" s="317">
        <f t="shared" ref="L112:L175" si="98">IF(MOD(M112,12)=0,M112/12,L111)</f>
        <v>8</v>
      </c>
      <c r="M112" s="317">
        <f t="shared" si="74"/>
        <v>96</v>
      </c>
      <c r="N112" s="185">
        <f t="shared" si="75"/>
        <v>981364.52999999956</v>
      </c>
      <c r="O112" s="185">
        <f t="shared" si="55"/>
        <v>19533.41</v>
      </c>
      <c r="P112" s="185">
        <f t="shared" si="86"/>
        <v>110.56999999999971</v>
      </c>
      <c r="Q112" s="185">
        <f t="shared" si="56"/>
        <v>19422.84</v>
      </c>
      <c r="R112" s="185">
        <f t="shared" si="60"/>
        <v>134.16999999999999</v>
      </c>
      <c r="S112" s="185">
        <f t="shared" si="57"/>
        <v>188.55</v>
      </c>
      <c r="T112" s="185">
        <f t="shared" si="49"/>
        <v>19856.129999999997</v>
      </c>
      <c r="U112" s="185">
        <f t="shared" si="87"/>
        <v>4846.0399999999972</v>
      </c>
      <c r="V112" s="185">
        <f t="shared" si="88"/>
        <v>1889894.73</v>
      </c>
      <c r="W112" s="185">
        <f t="shared" si="89"/>
        <v>981253.95999999961</v>
      </c>
      <c r="X112" s="401" t="str">
        <f t="shared" si="76"/>
        <v xml:space="preserve"> </v>
      </c>
      <c r="Y112" s="185">
        <f t="shared" si="58"/>
        <v>937739.37000000011</v>
      </c>
      <c r="Z112" s="393">
        <f t="shared" si="66"/>
        <v>0.13125000000000001</v>
      </c>
      <c r="AA112" s="185">
        <f t="shared" si="67"/>
        <v>10874</v>
      </c>
      <c r="AB112" s="185">
        <f t="shared" si="68"/>
        <v>617.47999999999956</v>
      </c>
      <c r="AC112" s="185">
        <f t="shared" si="69"/>
        <v>10256.52</v>
      </c>
      <c r="AD112" s="185">
        <f t="shared" si="96"/>
        <v>134.16999999999999</v>
      </c>
      <c r="AE112" s="185">
        <f t="shared" si="96"/>
        <v>188.55</v>
      </c>
      <c r="AF112" s="185">
        <f t="shared" si="70"/>
        <v>11196.72</v>
      </c>
      <c r="AG112" s="185">
        <f t="shared" si="90"/>
        <v>48596.200000000012</v>
      </c>
      <c r="AH112" s="185">
        <f t="shared" si="91"/>
        <v>891408.80000000016</v>
      </c>
      <c r="AI112" s="411">
        <f t="shared" si="51"/>
        <v>924781.95000000088</v>
      </c>
      <c r="AJ112" s="411">
        <f t="shared" si="93"/>
        <v>44132.069999999483</v>
      </c>
      <c r="AK112" s="411">
        <f t="shared" si="52"/>
        <v>968914.02000000037</v>
      </c>
      <c r="AL112" s="185">
        <f t="shared" si="59"/>
        <v>937121.89000000013</v>
      </c>
      <c r="AM112" s="317">
        <f t="shared" si="77"/>
        <v>8</v>
      </c>
      <c r="AN112" s="14">
        <f t="shared" si="53"/>
        <v>19533.41</v>
      </c>
      <c r="AO112" s="14">
        <f t="shared" si="97"/>
        <v>981253.96</v>
      </c>
      <c r="AP112" s="14">
        <f t="shared" si="54"/>
        <v>10874</v>
      </c>
      <c r="AS112" s="14">
        <f t="shared" si="72"/>
        <v>19533.41</v>
      </c>
      <c r="AT112" s="14">
        <f t="shared" si="78"/>
        <v>1894260.2099999969</v>
      </c>
      <c r="AU112" s="185">
        <f t="shared" si="79"/>
        <v>3133.0084883255263</v>
      </c>
      <c r="AV112" s="185">
        <f t="shared" si="80"/>
        <v>270236.40381853608</v>
      </c>
    </row>
    <row r="113" spans="1:50">
      <c r="A113" s="401" t="str">
        <f t="shared" si="81"/>
        <v xml:space="preserve"> </v>
      </c>
      <c r="B113" s="185">
        <f t="shared" si="73"/>
        <v>0</v>
      </c>
      <c r="C113" s="14">
        <f t="shared" si="63"/>
        <v>0</v>
      </c>
      <c r="D113" s="14">
        <f t="shared" si="82"/>
        <v>0</v>
      </c>
      <c r="E113" s="14">
        <f t="shared" si="64"/>
        <v>0</v>
      </c>
      <c r="F113" s="14">
        <f t="shared" si="95"/>
        <v>0</v>
      </c>
      <c r="G113" s="14">
        <f t="shared" si="95"/>
        <v>0</v>
      </c>
      <c r="H113" s="14">
        <f t="shared" si="48"/>
        <v>0</v>
      </c>
      <c r="I113" s="185">
        <f t="shared" si="83"/>
        <v>0</v>
      </c>
      <c r="J113" s="185">
        <f t="shared" si="84"/>
        <v>0</v>
      </c>
      <c r="K113" s="185">
        <f t="shared" si="85"/>
        <v>0</v>
      </c>
      <c r="L113" s="317">
        <f t="shared" si="98"/>
        <v>8</v>
      </c>
      <c r="M113" s="317">
        <f t="shared" si="74"/>
        <v>97</v>
      </c>
      <c r="N113" s="185">
        <f t="shared" si="75"/>
        <v>981253.95999999961</v>
      </c>
      <c r="O113" s="185">
        <f t="shared" si="55"/>
        <v>19533.41</v>
      </c>
      <c r="P113" s="185">
        <f t="shared" si="86"/>
        <v>112.7599999999984</v>
      </c>
      <c r="Q113" s="185">
        <f t="shared" si="56"/>
        <v>19420.650000000001</v>
      </c>
      <c r="R113" s="185">
        <f t="shared" si="60"/>
        <v>134.16999999999999</v>
      </c>
      <c r="S113" s="185">
        <f t="shared" si="57"/>
        <v>188.55</v>
      </c>
      <c r="T113" s="185">
        <f t="shared" si="49"/>
        <v>19856.129999999997</v>
      </c>
      <c r="U113" s="185">
        <f t="shared" si="87"/>
        <v>4958.7999999999956</v>
      </c>
      <c r="V113" s="185">
        <f t="shared" si="88"/>
        <v>1909315.38</v>
      </c>
      <c r="W113" s="185">
        <f t="shared" si="89"/>
        <v>981141.1999999996</v>
      </c>
      <c r="X113" s="401" t="str">
        <f t="shared" si="76"/>
        <v xml:space="preserve"> </v>
      </c>
      <c r="Y113" s="185">
        <f t="shared" si="58"/>
        <v>937121.89000000013</v>
      </c>
      <c r="Z113" s="393">
        <f t="shared" si="66"/>
        <v>0.13125000000000001</v>
      </c>
      <c r="AA113" s="185">
        <f t="shared" si="67"/>
        <v>10874</v>
      </c>
      <c r="AB113" s="185">
        <f t="shared" si="68"/>
        <v>624.22999999999956</v>
      </c>
      <c r="AC113" s="185">
        <f t="shared" si="69"/>
        <v>10249.77</v>
      </c>
      <c r="AD113" s="185">
        <f t="shared" si="96"/>
        <v>134.16999999999999</v>
      </c>
      <c r="AE113" s="185">
        <f t="shared" si="96"/>
        <v>188.55</v>
      </c>
      <c r="AF113" s="185">
        <f t="shared" si="70"/>
        <v>11196.72</v>
      </c>
      <c r="AG113" s="185">
        <f t="shared" si="90"/>
        <v>49220.430000000008</v>
      </c>
      <c r="AH113" s="185">
        <f t="shared" si="91"/>
        <v>901658.57000000018</v>
      </c>
      <c r="AI113" s="411">
        <f t="shared" si="51"/>
        <v>933441.36000000092</v>
      </c>
      <c r="AJ113" s="411">
        <f t="shared" si="93"/>
        <v>44643.539999999455</v>
      </c>
      <c r="AK113" s="411">
        <f t="shared" si="52"/>
        <v>978084.90000000037</v>
      </c>
      <c r="AL113" s="185">
        <f t="shared" si="59"/>
        <v>936497.66000000015</v>
      </c>
      <c r="AM113" s="317">
        <f t="shared" si="77"/>
        <v>8</v>
      </c>
      <c r="AN113" s="14">
        <f t="shared" si="53"/>
        <v>19533.41</v>
      </c>
      <c r="AO113" s="14">
        <f t="shared" si="97"/>
        <v>981141.2</v>
      </c>
      <c r="AP113" s="14">
        <f t="shared" si="54"/>
        <v>10874</v>
      </c>
      <c r="AS113" s="14">
        <f t="shared" si="72"/>
        <v>19533.41</v>
      </c>
      <c r="AT113" s="14">
        <f t="shared" si="78"/>
        <v>1913793.6199999969</v>
      </c>
      <c r="AU113" s="185">
        <f t="shared" si="79"/>
        <v>3140.84100954634</v>
      </c>
      <c r="AV113" s="185">
        <f t="shared" si="80"/>
        <v>273377.24482808245</v>
      </c>
    </row>
    <row r="114" spans="1:50">
      <c r="A114" s="401" t="str">
        <f t="shared" si="81"/>
        <v xml:space="preserve"> </v>
      </c>
      <c r="B114" s="185">
        <f t="shared" si="73"/>
        <v>0</v>
      </c>
      <c r="C114" s="14">
        <f t="shared" si="63"/>
        <v>0</v>
      </c>
      <c r="D114" s="14">
        <f t="shared" si="82"/>
        <v>0</v>
      </c>
      <c r="E114" s="14">
        <f t="shared" si="64"/>
        <v>0</v>
      </c>
      <c r="F114" s="14">
        <f t="shared" si="95"/>
        <v>0</v>
      </c>
      <c r="G114" s="14">
        <f t="shared" si="95"/>
        <v>0</v>
      </c>
      <c r="H114" s="14">
        <f t="shared" si="48"/>
        <v>0</v>
      </c>
      <c r="I114" s="185">
        <f t="shared" si="83"/>
        <v>0</v>
      </c>
      <c r="J114" s="185">
        <f t="shared" si="84"/>
        <v>0</v>
      </c>
      <c r="K114" s="185">
        <f t="shared" si="85"/>
        <v>0</v>
      </c>
      <c r="L114" s="317">
        <f t="shared" si="98"/>
        <v>8</v>
      </c>
      <c r="M114" s="317">
        <f t="shared" si="74"/>
        <v>98</v>
      </c>
      <c r="N114" s="185">
        <f t="shared" si="75"/>
        <v>981141.1999999996</v>
      </c>
      <c r="O114" s="185">
        <f t="shared" si="55"/>
        <v>19533.41</v>
      </c>
      <c r="P114" s="185">
        <f t="shared" si="86"/>
        <v>114.9900000000016</v>
      </c>
      <c r="Q114" s="185">
        <f t="shared" si="56"/>
        <v>19418.419999999998</v>
      </c>
      <c r="R114" s="185">
        <f t="shared" si="60"/>
        <v>134.16999999999999</v>
      </c>
      <c r="S114" s="185">
        <f t="shared" si="57"/>
        <v>188.55</v>
      </c>
      <c r="T114" s="185">
        <f t="shared" si="49"/>
        <v>19856.129999999997</v>
      </c>
      <c r="U114" s="185">
        <f t="shared" si="87"/>
        <v>5073.7899999999972</v>
      </c>
      <c r="V114" s="185">
        <f t="shared" si="88"/>
        <v>1928733.7999999998</v>
      </c>
      <c r="W114" s="185">
        <f t="shared" si="89"/>
        <v>981026.20999999961</v>
      </c>
      <c r="X114" s="401" t="str">
        <f t="shared" si="76"/>
        <v xml:space="preserve"> </v>
      </c>
      <c r="Y114" s="185">
        <f t="shared" si="58"/>
        <v>936497.66000000015</v>
      </c>
      <c r="Z114" s="393">
        <f t="shared" si="66"/>
        <v>0.13125000000000001</v>
      </c>
      <c r="AA114" s="185">
        <f t="shared" si="67"/>
        <v>10874</v>
      </c>
      <c r="AB114" s="185">
        <f t="shared" si="68"/>
        <v>631.05999999999949</v>
      </c>
      <c r="AC114" s="185">
        <f t="shared" si="69"/>
        <v>10242.94</v>
      </c>
      <c r="AD114" s="185">
        <f t="shared" si="96"/>
        <v>134.16999999999999</v>
      </c>
      <c r="AE114" s="185">
        <f t="shared" si="96"/>
        <v>188.55</v>
      </c>
      <c r="AF114" s="185">
        <f t="shared" si="70"/>
        <v>11196.72</v>
      </c>
      <c r="AG114" s="185">
        <f t="shared" si="90"/>
        <v>49851.490000000005</v>
      </c>
      <c r="AH114" s="185">
        <f t="shared" si="91"/>
        <v>911901.51000000013</v>
      </c>
      <c r="AI114" s="411">
        <f t="shared" si="51"/>
        <v>942100.77000000095</v>
      </c>
      <c r="AJ114" s="411">
        <f t="shared" si="93"/>
        <v>45159.60999999952</v>
      </c>
      <c r="AK114" s="411">
        <f t="shared" si="52"/>
        <v>987260.38000000047</v>
      </c>
      <c r="AL114" s="185">
        <f t="shared" si="59"/>
        <v>935866.60000000009</v>
      </c>
      <c r="AM114" s="317">
        <f t="shared" si="77"/>
        <v>8</v>
      </c>
      <c r="AN114" s="14">
        <f t="shared" si="53"/>
        <v>19533.41</v>
      </c>
      <c r="AO114" s="14">
        <f t="shared" si="97"/>
        <v>981026.21</v>
      </c>
      <c r="AP114" s="14">
        <f t="shared" si="54"/>
        <v>10874</v>
      </c>
      <c r="AS114" s="14">
        <f t="shared" si="72"/>
        <v>19533.41</v>
      </c>
      <c r="AT114" s="14">
        <f t="shared" si="78"/>
        <v>1933327.0299999968</v>
      </c>
      <c r="AU114" s="185">
        <f t="shared" si="79"/>
        <v>3148.6931120702061</v>
      </c>
      <c r="AV114" s="185">
        <f t="shared" si="80"/>
        <v>276525.93794015265</v>
      </c>
    </row>
    <row r="115" spans="1:50">
      <c r="A115" s="401" t="str">
        <f t="shared" si="81"/>
        <v xml:space="preserve"> </v>
      </c>
      <c r="B115" s="185">
        <f t="shared" si="73"/>
        <v>0</v>
      </c>
      <c r="C115" s="14">
        <f t="shared" si="63"/>
        <v>0</v>
      </c>
      <c r="D115" s="14">
        <f t="shared" si="82"/>
        <v>0</v>
      </c>
      <c r="E115" s="14">
        <f t="shared" si="64"/>
        <v>0</v>
      </c>
      <c r="F115" s="14">
        <f t="shared" si="95"/>
        <v>0</v>
      </c>
      <c r="G115" s="14">
        <f t="shared" si="95"/>
        <v>0</v>
      </c>
      <c r="H115" s="14">
        <f t="shared" si="48"/>
        <v>0</v>
      </c>
      <c r="I115" s="185">
        <f t="shared" si="83"/>
        <v>0</v>
      </c>
      <c r="J115" s="185">
        <f t="shared" si="84"/>
        <v>0</v>
      </c>
      <c r="K115" s="185">
        <f t="shared" si="85"/>
        <v>0</v>
      </c>
      <c r="L115" s="317">
        <f t="shared" si="98"/>
        <v>8</v>
      </c>
      <c r="M115" s="317">
        <f t="shared" si="74"/>
        <v>99</v>
      </c>
      <c r="N115" s="185">
        <f t="shared" si="75"/>
        <v>981026.20999999961</v>
      </c>
      <c r="O115" s="185">
        <f t="shared" si="55"/>
        <v>19533.41</v>
      </c>
      <c r="P115" s="185">
        <f t="shared" si="86"/>
        <v>117.27000000000044</v>
      </c>
      <c r="Q115" s="185">
        <f t="shared" si="56"/>
        <v>19416.14</v>
      </c>
      <c r="R115" s="185">
        <f t="shared" si="60"/>
        <v>134.16999999999999</v>
      </c>
      <c r="S115" s="185">
        <f t="shared" si="57"/>
        <v>188.55</v>
      </c>
      <c r="T115" s="185">
        <f t="shared" si="49"/>
        <v>19856.129999999997</v>
      </c>
      <c r="U115" s="185">
        <f t="shared" si="87"/>
        <v>5191.0599999999977</v>
      </c>
      <c r="V115" s="185">
        <f t="shared" si="88"/>
        <v>1948149.9399999997</v>
      </c>
      <c r="W115" s="185">
        <f t="shared" si="89"/>
        <v>980908.93999999959</v>
      </c>
      <c r="X115" s="401" t="str">
        <f t="shared" si="76"/>
        <v xml:space="preserve"> </v>
      </c>
      <c r="Y115" s="185">
        <f t="shared" si="58"/>
        <v>935866.60000000009</v>
      </c>
      <c r="Z115" s="393">
        <f t="shared" si="66"/>
        <v>0.13125000000000001</v>
      </c>
      <c r="AA115" s="185">
        <f t="shared" si="67"/>
        <v>10874</v>
      </c>
      <c r="AB115" s="185">
        <f t="shared" si="68"/>
        <v>637.95999999999913</v>
      </c>
      <c r="AC115" s="185">
        <f t="shared" si="69"/>
        <v>10236.040000000001</v>
      </c>
      <c r="AD115" s="185">
        <f t="shared" si="96"/>
        <v>134.16999999999999</v>
      </c>
      <c r="AE115" s="185">
        <f t="shared" si="96"/>
        <v>188.55</v>
      </c>
      <c r="AF115" s="185">
        <f t="shared" si="70"/>
        <v>11196.72</v>
      </c>
      <c r="AG115" s="185">
        <f t="shared" si="90"/>
        <v>50489.450000000004</v>
      </c>
      <c r="AH115" s="185">
        <f t="shared" si="91"/>
        <v>922137.55000000016</v>
      </c>
      <c r="AI115" s="411">
        <f t="shared" si="51"/>
        <v>950760.18000000098</v>
      </c>
      <c r="AJ115" s="411">
        <f t="shared" si="93"/>
        <v>45680.299999999464</v>
      </c>
      <c r="AK115" s="411">
        <f t="shared" si="52"/>
        <v>996440.48000000045</v>
      </c>
      <c r="AL115" s="185">
        <f t="shared" si="59"/>
        <v>935228.64000000013</v>
      </c>
      <c r="AM115" s="317">
        <f t="shared" si="77"/>
        <v>8</v>
      </c>
      <c r="AN115" s="14">
        <f t="shared" si="53"/>
        <v>19533.41</v>
      </c>
      <c r="AO115" s="14">
        <f t="shared" si="97"/>
        <v>980908.94</v>
      </c>
      <c r="AP115" s="14">
        <f t="shared" si="54"/>
        <v>10874</v>
      </c>
      <c r="AS115" s="14">
        <f t="shared" si="72"/>
        <v>19533.41</v>
      </c>
      <c r="AT115" s="14">
        <f t="shared" si="78"/>
        <v>1952860.4399999967</v>
      </c>
      <c r="AU115" s="185">
        <f t="shared" si="79"/>
        <v>3156.5648448503816</v>
      </c>
      <c r="AV115" s="185">
        <f t="shared" si="80"/>
        <v>279682.50278500305</v>
      </c>
    </row>
    <row r="116" spans="1:50">
      <c r="A116" s="401" t="str">
        <f t="shared" si="81"/>
        <v xml:space="preserve"> </v>
      </c>
      <c r="B116" s="185">
        <f t="shared" si="73"/>
        <v>0</v>
      </c>
      <c r="C116" s="14">
        <f t="shared" si="63"/>
        <v>0</v>
      </c>
      <c r="D116" s="14">
        <f t="shared" si="82"/>
        <v>0</v>
      </c>
      <c r="E116" s="14">
        <f t="shared" si="64"/>
        <v>0</v>
      </c>
      <c r="F116" s="14">
        <f t="shared" si="95"/>
        <v>0</v>
      </c>
      <c r="G116" s="14">
        <f t="shared" si="95"/>
        <v>0</v>
      </c>
      <c r="H116" s="14">
        <f t="shared" si="48"/>
        <v>0</v>
      </c>
      <c r="I116" s="185">
        <f t="shared" si="83"/>
        <v>0</v>
      </c>
      <c r="J116" s="185">
        <f t="shared" si="84"/>
        <v>0</v>
      </c>
      <c r="K116" s="185">
        <f t="shared" si="85"/>
        <v>0</v>
      </c>
      <c r="L116" s="317">
        <f t="shared" si="98"/>
        <v>8</v>
      </c>
      <c r="M116" s="317">
        <f t="shared" si="74"/>
        <v>100</v>
      </c>
      <c r="N116" s="185">
        <f t="shared" si="75"/>
        <v>980908.93999999959</v>
      </c>
      <c r="O116" s="185">
        <f t="shared" si="55"/>
        <v>19533.41</v>
      </c>
      <c r="P116" s="185">
        <f t="shared" si="86"/>
        <v>119.59000000000015</v>
      </c>
      <c r="Q116" s="185">
        <f t="shared" si="56"/>
        <v>19413.82</v>
      </c>
      <c r="R116" s="185">
        <f t="shared" si="60"/>
        <v>134.16999999999999</v>
      </c>
      <c r="S116" s="185">
        <f t="shared" si="57"/>
        <v>188.55</v>
      </c>
      <c r="T116" s="185">
        <f t="shared" si="49"/>
        <v>19856.129999999997</v>
      </c>
      <c r="U116" s="185">
        <f t="shared" si="87"/>
        <v>5310.6499999999978</v>
      </c>
      <c r="V116" s="185">
        <f t="shared" si="88"/>
        <v>1967563.7599999998</v>
      </c>
      <c r="W116" s="185">
        <f t="shared" si="89"/>
        <v>980789.34999999963</v>
      </c>
      <c r="X116" s="401" t="str">
        <f t="shared" si="76"/>
        <v xml:space="preserve"> </v>
      </c>
      <c r="Y116" s="185">
        <f t="shared" si="58"/>
        <v>935228.64000000013</v>
      </c>
      <c r="Z116" s="393">
        <f t="shared" si="66"/>
        <v>0.13125000000000001</v>
      </c>
      <c r="AA116" s="185">
        <f t="shared" si="67"/>
        <v>10874</v>
      </c>
      <c r="AB116" s="185">
        <f t="shared" si="68"/>
        <v>644.94000000000051</v>
      </c>
      <c r="AC116" s="185">
        <f t="shared" si="69"/>
        <v>10229.06</v>
      </c>
      <c r="AD116" s="185">
        <f t="shared" si="96"/>
        <v>134.16999999999999</v>
      </c>
      <c r="AE116" s="185">
        <f t="shared" si="96"/>
        <v>188.55</v>
      </c>
      <c r="AF116" s="185">
        <f t="shared" si="70"/>
        <v>11196.72</v>
      </c>
      <c r="AG116" s="185">
        <f t="shared" si="90"/>
        <v>51134.390000000007</v>
      </c>
      <c r="AH116" s="185">
        <f t="shared" si="91"/>
        <v>932366.61000000022</v>
      </c>
      <c r="AI116" s="411">
        <f t="shared" si="51"/>
        <v>959419.59000000102</v>
      </c>
      <c r="AJ116" s="411">
        <f t="shared" si="93"/>
        <v>46205.649999999441</v>
      </c>
      <c r="AK116" s="411">
        <f t="shared" si="52"/>
        <v>1005625.2400000005</v>
      </c>
      <c r="AL116" s="185">
        <f t="shared" si="59"/>
        <v>934583.70000000019</v>
      </c>
      <c r="AM116" s="317">
        <f t="shared" si="77"/>
        <v>8</v>
      </c>
      <c r="AN116" s="14">
        <f t="shared" si="53"/>
        <v>19533.41</v>
      </c>
      <c r="AO116" s="14">
        <f t="shared" si="97"/>
        <v>980789.35</v>
      </c>
      <c r="AP116" s="14">
        <f t="shared" si="54"/>
        <v>10874</v>
      </c>
      <c r="AS116" s="14">
        <f t="shared" si="72"/>
        <v>19533.41</v>
      </c>
      <c r="AT116" s="14">
        <f t="shared" si="78"/>
        <v>1972393.8499999966</v>
      </c>
      <c r="AU116" s="185">
        <f t="shared" si="79"/>
        <v>3164.4562569625073</v>
      </c>
      <c r="AV116" s="185">
        <f t="shared" si="80"/>
        <v>282846.95904196554</v>
      </c>
    </row>
    <row r="117" spans="1:50">
      <c r="A117" s="401" t="str">
        <f t="shared" si="81"/>
        <v xml:space="preserve"> </v>
      </c>
      <c r="B117" s="185">
        <f t="shared" si="73"/>
        <v>0</v>
      </c>
      <c r="C117" s="14">
        <f t="shared" si="63"/>
        <v>0</v>
      </c>
      <c r="D117" s="14">
        <f t="shared" si="82"/>
        <v>0</v>
      </c>
      <c r="E117" s="14">
        <f t="shared" si="64"/>
        <v>0</v>
      </c>
      <c r="F117" s="14">
        <f t="shared" si="95"/>
        <v>0</v>
      </c>
      <c r="G117" s="14">
        <f t="shared" si="95"/>
        <v>0</v>
      </c>
      <c r="H117" s="14">
        <f t="shared" si="48"/>
        <v>0</v>
      </c>
      <c r="I117" s="185">
        <f t="shared" si="83"/>
        <v>0</v>
      </c>
      <c r="J117" s="185">
        <f t="shared" si="84"/>
        <v>0</v>
      </c>
      <c r="K117" s="185">
        <f t="shared" si="85"/>
        <v>0</v>
      </c>
      <c r="L117" s="317">
        <f t="shared" si="98"/>
        <v>8</v>
      </c>
      <c r="M117" s="317">
        <f t="shared" si="74"/>
        <v>101</v>
      </c>
      <c r="N117" s="185">
        <f t="shared" si="75"/>
        <v>980789.34999999963</v>
      </c>
      <c r="O117" s="185">
        <f t="shared" si="55"/>
        <v>19533.41</v>
      </c>
      <c r="P117" s="185">
        <f t="shared" si="86"/>
        <v>121.95000000000073</v>
      </c>
      <c r="Q117" s="185">
        <f t="shared" si="56"/>
        <v>19411.46</v>
      </c>
      <c r="R117" s="185">
        <f t="shared" si="60"/>
        <v>134.16999999999999</v>
      </c>
      <c r="S117" s="185">
        <f t="shared" si="57"/>
        <v>188.55</v>
      </c>
      <c r="T117" s="185">
        <f t="shared" si="49"/>
        <v>19856.129999999997</v>
      </c>
      <c r="U117" s="185">
        <f t="shared" si="87"/>
        <v>5432.5999999999985</v>
      </c>
      <c r="V117" s="185">
        <f t="shared" si="88"/>
        <v>1986975.2199999997</v>
      </c>
      <c r="W117" s="185">
        <f t="shared" si="89"/>
        <v>980667.39999999967</v>
      </c>
      <c r="X117" s="401" t="str">
        <f t="shared" si="76"/>
        <v xml:space="preserve"> </v>
      </c>
      <c r="Y117" s="185">
        <f t="shared" si="58"/>
        <v>934583.70000000019</v>
      </c>
      <c r="Z117" s="393">
        <f t="shared" si="66"/>
        <v>0.13125000000000001</v>
      </c>
      <c r="AA117" s="185">
        <f t="shared" si="67"/>
        <v>10874</v>
      </c>
      <c r="AB117" s="185">
        <f t="shared" si="68"/>
        <v>651.98999999999978</v>
      </c>
      <c r="AC117" s="185">
        <f t="shared" si="69"/>
        <v>10222.01</v>
      </c>
      <c r="AD117" s="185">
        <f t="shared" si="96"/>
        <v>134.16999999999999</v>
      </c>
      <c r="AE117" s="185">
        <f t="shared" si="96"/>
        <v>188.55</v>
      </c>
      <c r="AF117" s="185">
        <f t="shared" si="70"/>
        <v>11196.72</v>
      </c>
      <c r="AG117" s="185">
        <f t="shared" si="90"/>
        <v>51786.380000000005</v>
      </c>
      <c r="AH117" s="185">
        <f t="shared" si="91"/>
        <v>942588.62000000023</v>
      </c>
      <c r="AI117" s="411">
        <f t="shared" si="51"/>
        <v>968079.00000000105</v>
      </c>
      <c r="AJ117" s="411">
        <f t="shared" si="93"/>
        <v>46735.689999999478</v>
      </c>
      <c r="AK117" s="411">
        <f t="shared" si="52"/>
        <v>1014814.6900000005</v>
      </c>
      <c r="AL117" s="185">
        <f t="shared" si="59"/>
        <v>933931.7100000002</v>
      </c>
      <c r="AM117" s="317">
        <f t="shared" si="77"/>
        <v>8</v>
      </c>
      <c r="AN117" s="14">
        <f t="shared" si="53"/>
        <v>19533.41</v>
      </c>
      <c r="AO117" s="14">
        <f t="shared" si="97"/>
        <v>980667.4</v>
      </c>
      <c r="AP117" s="14">
        <f t="shared" si="54"/>
        <v>10874</v>
      </c>
      <c r="AS117" s="14">
        <f t="shared" si="72"/>
        <v>19533.41</v>
      </c>
      <c r="AT117" s="14">
        <f t="shared" si="78"/>
        <v>1991927.2599999965</v>
      </c>
      <c r="AU117" s="185">
        <f t="shared" si="79"/>
        <v>3172.367397604914</v>
      </c>
      <c r="AV117" s="185">
        <f t="shared" si="80"/>
        <v>286019.32643957046</v>
      </c>
    </row>
    <row r="118" spans="1:50">
      <c r="A118" s="401" t="str">
        <f t="shared" si="81"/>
        <v xml:space="preserve"> </v>
      </c>
      <c r="B118" s="185">
        <f t="shared" si="73"/>
        <v>0</v>
      </c>
      <c r="C118" s="14">
        <f t="shared" si="63"/>
        <v>0</v>
      </c>
      <c r="D118" s="14">
        <f t="shared" si="82"/>
        <v>0</v>
      </c>
      <c r="E118" s="14">
        <f t="shared" si="64"/>
        <v>0</v>
      </c>
      <c r="F118" s="14">
        <f t="shared" si="95"/>
        <v>0</v>
      </c>
      <c r="G118" s="14">
        <f t="shared" si="95"/>
        <v>0</v>
      </c>
      <c r="H118" s="14">
        <f t="shared" si="48"/>
        <v>0</v>
      </c>
      <c r="I118" s="185">
        <f t="shared" si="83"/>
        <v>0</v>
      </c>
      <c r="J118" s="185">
        <f t="shared" si="84"/>
        <v>0</v>
      </c>
      <c r="K118" s="185">
        <f t="shared" si="85"/>
        <v>0</v>
      </c>
      <c r="L118" s="317">
        <f t="shared" si="98"/>
        <v>8</v>
      </c>
      <c r="M118" s="317">
        <f t="shared" si="74"/>
        <v>102</v>
      </c>
      <c r="N118" s="185">
        <f t="shared" si="75"/>
        <v>980667.39999999967</v>
      </c>
      <c r="O118" s="185">
        <f t="shared" si="55"/>
        <v>19533.41</v>
      </c>
      <c r="P118" s="185">
        <f t="shared" si="86"/>
        <v>124.36999999999898</v>
      </c>
      <c r="Q118" s="185">
        <f t="shared" si="56"/>
        <v>19409.04</v>
      </c>
      <c r="R118" s="185">
        <f t="shared" si="60"/>
        <v>134.16999999999999</v>
      </c>
      <c r="S118" s="185">
        <f t="shared" si="57"/>
        <v>188.55</v>
      </c>
      <c r="T118" s="185">
        <f t="shared" si="49"/>
        <v>19856.129999999997</v>
      </c>
      <c r="U118" s="185">
        <f t="shared" si="87"/>
        <v>5556.9699999999975</v>
      </c>
      <c r="V118" s="185">
        <f t="shared" si="88"/>
        <v>2006384.2599999998</v>
      </c>
      <c r="W118" s="185">
        <f t="shared" si="89"/>
        <v>980543.02999999968</v>
      </c>
      <c r="X118" s="401" t="str">
        <f t="shared" si="76"/>
        <v xml:space="preserve"> </v>
      </c>
      <c r="Y118" s="185">
        <f t="shared" si="58"/>
        <v>933931.7100000002</v>
      </c>
      <c r="Z118" s="393">
        <f t="shared" si="66"/>
        <v>0.13125000000000001</v>
      </c>
      <c r="AA118" s="185">
        <f t="shared" si="67"/>
        <v>10874</v>
      </c>
      <c r="AB118" s="185">
        <f t="shared" si="68"/>
        <v>659.1200000000008</v>
      </c>
      <c r="AC118" s="185">
        <f t="shared" si="69"/>
        <v>10214.879999999999</v>
      </c>
      <c r="AD118" s="185">
        <f t="shared" si="96"/>
        <v>134.16999999999999</v>
      </c>
      <c r="AE118" s="185">
        <f t="shared" si="96"/>
        <v>188.55</v>
      </c>
      <c r="AF118" s="185">
        <f t="shared" si="70"/>
        <v>11196.72</v>
      </c>
      <c r="AG118" s="185">
        <f t="shared" si="90"/>
        <v>52445.500000000007</v>
      </c>
      <c r="AH118" s="185">
        <f t="shared" si="91"/>
        <v>952803.50000000023</v>
      </c>
      <c r="AI118" s="411">
        <f t="shared" si="51"/>
        <v>976738.41000000108</v>
      </c>
      <c r="AJ118" s="411">
        <f t="shared" si="93"/>
        <v>47270.439999999478</v>
      </c>
      <c r="AK118" s="411">
        <f t="shared" si="52"/>
        <v>1024008.8500000006</v>
      </c>
      <c r="AL118" s="185">
        <f t="shared" si="59"/>
        <v>933272.5900000002</v>
      </c>
      <c r="AM118" s="317">
        <f t="shared" si="77"/>
        <v>8</v>
      </c>
      <c r="AN118" s="14">
        <f t="shared" si="53"/>
        <v>19533.41</v>
      </c>
      <c r="AO118" s="14">
        <f t="shared" si="97"/>
        <v>980543.03</v>
      </c>
      <c r="AP118" s="14">
        <f t="shared" si="54"/>
        <v>10874</v>
      </c>
      <c r="AS118" s="14">
        <f t="shared" si="72"/>
        <v>19533.41</v>
      </c>
      <c r="AT118" s="14">
        <f t="shared" si="78"/>
        <v>2011460.6699999964</v>
      </c>
      <c r="AU118" s="185">
        <f t="shared" si="79"/>
        <v>3180.2983160989261</v>
      </c>
      <c r="AV118" s="185">
        <f t="shared" si="80"/>
        <v>289199.62475566939</v>
      </c>
      <c r="AX118" s="373"/>
    </row>
    <row r="119" spans="1:50">
      <c r="A119" s="401" t="str">
        <f t="shared" si="81"/>
        <v xml:space="preserve"> </v>
      </c>
      <c r="B119" s="185">
        <f t="shared" si="73"/>
        <v>0</v>
      </c>
      <c r="C119" s="14">
        <f t="shared" si="63"/>
        <v>0</v>
      </c>
      <c r="D119" s="14">
        <f t="shared" si="82"/>
        <v>0</v>
      </c>
      <c r="E119" s="14">
        <f t="shared" si="64"/>
        <v>0</v>
      </c>
      <c r="F119" s="14">
        <f t="shared" si="95"/>
        <v>0</v>
      </c>
      <c r="G119" s="14">
        <f t="shared" si="95"/>
        <v>0</v>
      </c>
      <c r="H119" s="14">
        <f t="shared" si="48"/>
        <v>0</v>
      </c>
      <c r="I119" s="185">
        <f t="shared" si="83"/>
        <v>0</v>
      </c>
      <c r="J119" s="185">
        <f t="shared" si="84"/>
        <v>0</v>
      </c>
      <c r="K119" s="185">
        <f t="shared" si="85"/>
        <v>0</v>
      </c>
      <c r="L119" s="317">
        <f t="shared" si="98"/>
        <v>8</v>
      </c>
      <c r="M119" s="317">
        <f t="shared" si="74"/>
        <v>103</v>
      </c>
      <c r="N119" s="185">
        <f t="shared" si="75"/>
        <v>980543.02999999968</v>
      </c>
      <c r="O119" s="185">
        <f t="shared" si="55"/>
        <v>19533.41</v>
      </c>
      <c r="P119" s="185">
        <f t="shared" si="86"/>
        <v>126.82999999999811</v>
      </c>
      <c r="Q119" s="185">
        <f t="shared" si="56"/>
        <v>19406.580000000002</v>
      </c>
      <c r="R119" s="185">
        <f t="shared" si="60"/>
        <v>134.16999999999999</v>
      </c>
      <c r="S119" s="185">
        <f t="shared" si="57"/>
        <v>188.55</v>
      </c>
      <c r="T119" s="185">
        <f t="shared" si="49"/>
        <v>19856.129999999997</v>
      </c>
      <c r="U119" s="185">
        <f t="shared" si="87"/>
        <v>5683.7999999999956</v>
      </c>
      <c r="V119" s="185">
        <f t="shared" si="88"/>
        <v>2025790.8399999999</v>
      </c>
      <c r="W119" s="185">
        <f t="shared" si="89"/>
        <v>980416.19999999972</v>
      </c>
      <c r="X119" s="401" t="str">
        <f t="shared" si="76"/>
        <v xml:space="preserve"> </v>
      </c>
      <c r="Y119" s="185">
        <f t="shared" si="58"/>
        <v>933272.5900000002</v>
      </c>
      <c r="Z119" s="393">
        <f t="shared" si="66"/>
        <v>0.13125000000000001</v>
      </c>
      <c r="AA119" s="185">
        <f t="shared" si="67"/>
        <v>10874</v>
      </c>
      <c r="AB119" s="185">
        <f t="shared" si="68"/>
        <v>666.32999999999993</v>
      </c>
      <c r="AC119" s="185">
        <f t="shared" si="69"/>
        <v>10207.67</v>
      </c>
      <c r="AD119" s="185">
        <f t="shared" si="96"/>
        <v>134.16999999999999</v>
      </c>
      <c r="AE119" s="185">
        <f t="shared" si="96"/>
        <v>188.55</v>
      </c>
      <c r="AF119" s="185">
        <f t="shared" si="70"/>
        <v>11196.72</v>
      </c>
      <c r="AG119" s="185">
        <f t="shared" si="90"/>
        <v>53111.830000000009</v>
      </c>
      <c r="AH119" s="185">
        <f t="shared" si="91"/>
        <v>963011.17000000027</v>
      </c>
      <c r="AI119" s="411">
        <f t="shared" si="51"/>
        <v>985397.82000000111</v>
      </c>
      <c r="AJ119" s="411">
        <f t="shared" si="93"/>
        <v>47809.939999999478</v>
      </c>
      <c r="AK119" s="411">
        <f t="shared" si="52"/>
        <v>1033207.7600000006</v>
      </c>
      <c r="AL119" s="185">
        <f t="shared" si="59"/>
        <v>932606.26000000024</v>
      </c>
      <c r="AM119" s="317">
        <f t="shared" si="77"/>
        <v>8</v>
      </c>
      <c r="AN119" s="14">
        <f t="shared" si="53"/>
        <v>19533.41</v>
      </c>
      <c r="AO119" s="14">
        <f t="shared" si="97"/>
        <v>980416.2</v>
      </c>
      <c r="AP119" s="14">
        <f t="shared" si="54"/>
        <v>10874</v>
      </c>
      <c r="AS119" s="14">
        <f t="shared" si="72"/>
        <v>19533.41</v>
      </c>
      <c r="AT119" s="14">
        <f t="shared" si="78"/>
        <v>2030994.0799999963</v>
      </c>
      <c r="AU119" s="185">
        <f t="shared" si="79"/>
        <v>3188.2490618891734</v>
      </c>
      <c r="AV119" s="185">
        <f t="shared" si="80"/>
        <v>292387.87381755857</v>
      </c>
      <c r="AX119" s="373"/>
    </row>
    <row r="120" spans="1:50">
      <c r="A120" s="401" t="str">
        <f t="shared" si="81"/>
        <v xml:space="preserve"> </v>
      </c>
      <c r="B120" s="185">
        <f t="shared" si="73"/>
        <v>0</v>
      </c>
      <c r="C120" s="14">
        <f t="shared" si="63"/>
        <v>0</v>
      </c>
      <c r="D120" s="14">
        <f t="shared" si="82"/>
        <v>0</v>
      </c>
      <c r="E120" s="14">
        <f t="shared" si="64"/>
        <v>0</v>
      </c>
      <c r="F120" s="14">
        <f t="shared" si="95"/>
        <v>0</v>
      </c>
      <c r="G120" s="14">
        <f t="shared" si="95"/>
        <v>0</v>
      </c>
      <c r="H120" s="14">
        <f t="shared" si="48"/>
        <v>0</v>
      </c>
      <c r="I120" s="185">
        <f t="shared" si="83"/>
        <v>0</v>
      </c>
      <c r="J120" s="185">
        <f t="shared" si="84"/>
        <v>0</v>
      </c>
      <c r="K120" s="185">
        <f t="shared" si="85"/>
        <v>0</v>
      </c>
      <c r="L120" s="317">
        <f t="shared" si="98"/>
        <v>8</v>
      </c>
      <c r="M120" s="317">
        <f t="shared" si="74"/>
        <v>104</v>
      </c>
      <c r="N120" s="185">
        <f t="shared" si="75"/>
        <v>980416.19999999972</v>
      </c>
      <c r="O120" s="185">
        <f t="shared" si="55"/>
        <v>19533.41</v>
      </c>
      <c r="P120" s="185">
        <f t="shared" si="86"/>
        <v>129.34000000000015</v>
      </c>
      <c r="Q120" s="185">
        <f t="shared" si="56"/>
        <v>19404.07</v>
      </c>
      <c r="R120" s="185">
        <f t="shared" si="60"/>
        <v>134.16999999999999</v>
      </c>
      <c r="S120" s="185">
        <f t="shared" si="57"/>
        <v>188.55</v>
      </c>
      <c r="T120" s="185">
        <f t="shared" si="49"/>
        <v>19856.129999999997</v>
      </c>
      <c r="U120" s="185">
        <f t="shared" si="87"/>
        <v>5813.1399999999958</v>
      </c>
      <c r="V120" s="185">
        <f t="shared" si="88"/>
        <v>2045194.91</v>
      </c>
      <c r="W120" s="185">
        <f t="shared" si="89"/>
        <v>980286.85999999975</v>
      </c>
      <c r="X120" s="401" t="str">
        <f t="shared" si="76"/>
        <v xml:space="preserve"> </v>
      </c>
      <c r="Y120" s="185">
        <f t="shared" si="58"/>
        <v>932606.26000000024</v>
      </c>
      <c r="Z120" s="393">
        <f t="shared" si="66"/>
        <v>0.13125000000000001</v>
      </c>
      <c r="AA120" s="185">
        <f t="shared" si="67"/>
        <v>10874</v>
      </c>
      <c r="AB120" s="185">
        <f t="shared" si="68"/>
        <v>673.6200000000008</v>
      </c>
      <c r="AC120" s="185">
        <f t="shared" si="69"/>
        <v>10200.379999999999</v>
      </c>
      <c r="AD120" s="185">
        <f t="shared" si="96"/>
        <v>134.16999999999999</v>
      </c>
      <c r="AE120" s="185">
        <f t="shared" si="96"/>
        <v>188.55</v>
      </c>
      <c r="AF120" s="185">
        <f t="shared" si="70"/>
        <v>11196.72</v>
      </c>
      <c r="AG120" s="185">
        <f t="shared" si="90"/>
        <v>53785.450000000012</v>
      </c>
      <c r="AH120" s="185">
        <f t="shared" si="91"/>
        <v>973211.55000000028</v>
      </c>
      <c r="AI120" s="411">
        <f t="shared" si="51"/>
        <v>994057.23000000115</v>
      </c>
      <c r="AJ120" s="411">
        <f t="shared" si="93"/>
        <v>48354.219999999506</v>
      </c>
      <c r="AK120" s="411">
        <f t="shared" si="52"/>
        <v>1042411.4500000007</v>
      </c>
      <c r="AL120" s="185">
        <f t="shared" si="59"/>
        <v>931932.64000000025</v>
      </c>
      <c r="AM120" s="317">
        <f t="shared" si="77"/>
        <v>8</v>
      </c>
      <c r="AN120" s="14">
        <f t="shared" si="53"/>
        <v>19533.41</v>
      </c>
      <c r="AO120" s="14">
        <f t="shared" si="97"/>
        <v>980286.86</v>
      </c>
      <c r="AP120" s="14">
        <f t="shared" si="54"/>
        <v>10874</v>
      </c>
      <c r="AS120" s="14">
        <f t="shared" si="72"/>
        <v>19533.41</v>
      </c>
      <c r="AT120" s="14">
        <f t="shared" si="78"/>
        <v>2050527.4899999963</v>
      </c>
      <c r="AU120" s="185">
        <f t="shared" si="79"/>
        <v>3196.2196845438962</v>
      </c>
      <c r="AV120" s="185">
        <f t="shared" si="80"/>
        <v>295584.09350210248</v>
      </c>
      <c r="AX120" s="373"/>
    </row>
    <row r="121" spans="1:50">
      <c r="A121" s="401" t="str">
        <f t="shared" si="81"/>
        <v xml:space="preserve"> </v>
      </c>
      <c r="B121" s="185">
        <f t="shared" si="73"/>
        <v>0</v>
      </c>
      <c r="C121" s="14">
        <f t="shared" si="63"/>
        <v>0</v>
      </c>
      <c r="D121" s="14">
        <f t="shared" si="82"/>
        <v>0</v>
      </c>
      <c r="E121" s="14">
        <f t="shared" si="64"/>
        <v>0</v>
      </c>
      <c r="F121" s="14">
        <f t="shared" si="95"/>
        <v>0</v>
      </c>
      <c r="G121" s="14">
        <f t="shared" si="95"/>
        <v>0</v>
      </c>
      <c r="H121" s="14">
        <f t="shared" si="48"/>
        <v>0</v>
      </c>
      <c r="I121" s="185">
        <f t="shared" si="83"/>
        <v>0</v>
      </c>
      <c r="J121" s="185">
        <f t="shared" si="84"/>
        <v>0</v>
      </c>
      <c r="K121" s="185">
        <f t="shared" si="85"/>
        <v>0</v>
      </c>
      <c r="L121" s="317">
        <f t="shared" si="98"/>
        <v>8</v>
      </c>
      <c r="M121" s="317">
        <f t="shared" si="74"/>
        <v>105</v>
      </c>
      <c r="N121" s="185">
        <f t="shared" si="75"/>
        <v>980286.85999999975</v>
      </c>
      <c r="O121" s="185">
        <f t="shared" si="55"/>
        <v>19533.41</v>
      </c>
      <c r="P121" s="185">
        <f t="shared" si="86"/>
        <v>131.90000000000146</v>
      </c>
      <c r="Q121" s="185">
        <f t="shared" si="56"/>
        <v>19401.509999999998</v>
      </c>
      <c r="R121" s="185">
        <f t="shared" si="60"/>
        <v>134.16999999999999</v>
      </c>
      <c r="S121" s="185">
        <f t="shared" si="57"/>
        <v>188.55</v>
      </c>
      <c r="T121" s="185">
        <f t="shared" si="49"/>
        <v>19856.129999999997</v>
      </c>
      <c r="U121" s="185">
        <f t="shared" si="87"/>
        <v>5945.0399999999972</v>
      </c>
      <c r="V121" s="185">
        <f t="shared" si="88"/>
        <v>2064596.42</v>
      </c>
      <c r="W121" s="185">
        <f t="shared" si="89"/>
        <v>980154.95999999973</v>
      </c>
      <c r="X121" s="401" t="str">
        <f t="shared" si="76"/>
        <v xml:space="preserve"> </v>
      </c>
      <c r="Y121" s="185">
        <f t="shared" si="58"/>
        <v>931932.64000000025</v>
      </c>
      <c r="Z121" s="393">
        <f t="shared" si="66"/>
        <v>0.13125000000000001</v>
      </c>
      <c r="AA121" s="185">
        <f t="shared" si="67"/>
        <v>10874</v>
      </c>
      <c r="AB121" s="185">
        <f t="shared" si="68"/>
        <v>680.98999999999978</v>
      </c>
      <c r="AC121" s="185">
        <f t="shared" si="69"/>
        <v>10193.01</v>
      </c>
      <c r="AD121" s="185">
        <f t="shared" si="96"/>
        <v>134.16999999999999</v>
      </c>
      <c r="AE121" s="185">
        <f t="shared" si="96"/>
        <v>188.55</v>
      </c>
      <c r="AF121" s="185">
        <f t="shared" si="70"/>
        <v>11196.72</v>
      </c>
      <c r="AG121" s="185">
        <f t="shared" si="90"/>
        <v>54466.44000000001</v>
      </c>
      <c r="AH121" s="185">
        <f t="shared" si="91"/>
        <v>983404.56000000029</v>
      </c>
      <c r="AI121" s="411">
        <f t="shared" si="51"/>
        <v>1002716.6400000012</v>
      </c>
      <c r="AJ121" s="411">
        <f t="shared" si="93"/>
        <v>48903.309999999474</v>
      </c>
      <c r="AK121" s="411">
        <f t="shared" si="52"/>
        <v>1051619.9500000007</v>
      </c>
      <c r="AL121" s="185">
        <f t="shared" si="59"/>
        <v>931251.65000000026</v>
      </c>
      <c r="AM121" s="317">
        <f t="shared" si="77"/>
        <v>8</v>
      </c>
      <c r="AN121" s="14">
        <f t="shared" si="53"/>
        <v>19533.41</v>
      </c>
      <c r="AO121" s="14">
        <f t="shared" si="97"/>
        <v>980154.96</v>
      </c>
      <c r="AP121" s="14">
        <f t="shared" si="54"/>
        <v>10874</v>
      </c>
      <c r="AS121" s="14">
        <f t="shared" si="72"/>
        <v>19533.41</v>
      </c>
      <c r="AT121" s="14">
        <f t="shared" si="78"/>
        <v>2070060.8999999962</v>
      </c>
      <c r="AU121" s="185">
        <f t="shared" si="79"/>
        <v>3204.2102337552556</v>
      </c>
      <c r="AV121" s="185">
        <f t="shared" si="80"/>
        <v>298788.30373585771</v>
      </c>
    </row>
    <row r="122" spans="1:50">
      <c r="A122" s="401" t="str">
        <f t="shared" si="81"/>
        <v xml:space="preserve"> </v>
      </c>
      <c r="B122" s="185">
        <f t="shared" si="73"/>
        <v>0</v>
      </c>
      <c r="C122" s="14">
        <f t="shared" si="63"/>
        <v>0</v>
      </c>
      <c r="D122" s="14">
        <f t="shared" si="82"/>
        <v>0</v>
      </c>
      <c r="E122" s="14">
        <f t="shared" si="64"/>
        <v>0</v>
      </c>
      <c r="F122" s="14">
        <f t="shared" si="95"/>
        <v>0</v>
      </c>
      <c r="G122" s="14">
        <f t="shared" si="95"/>
        <v>0</v>
      </c>
      <c r="H122" s="14">
        <f t="shared" si="48"/>
        <v>0</v>
      </c>
      <c r="I122" s="185">
        <f t="shared" si="83"/>
        <v>0</v>
      </c>
      <c r="J122" s="185">
        <f t="shared" si="84"/>
        <v>0</v>
      </c>
      <c r="K122" s="185">
        <f t="shared" si="85"/>
        <v>0</v>
      </c>
      <c r="L122" s="317">
        <f t="shared" si="98"/>
        <v>8</v>
      </c>
      <c r="M122" s="317">
        <f t="shared" si="74"/>
        <v>106</v>
      </c>
      <c r="N122" s="185">
        <f t="shared" si="75"/>
        <v>980154.95999999973</v>
      </c>
      <c r="O122" s="185">
        <f t="shared" si="55"/>
        <v>19533.41</v>
      </c>
      <c r="P122" s="185">
        <f>+O122-Q122</f>
        <v>134.5099999999984</v>
      </c>
      <c r="Q122" s="185">
        <f t="shared" si="56"/>
        <v>19398.900000000001</v>
      </c>
      <c r="R122" s="185">
        <f t="shared" si="60"/>
        <v>134.16999999999999</v>
      </c>
      <c r="S122" s="185">
        <f t="shared" si="57"/>
        <v>188.55</v>
      </c>
      <c r="T122" s="185">
        <f t="shared" si="49"/>
        <v>19856.129999999997</v>
      </c>
      <c r="U122" s="185">
        <f t="shared" si="87"/>
        <v>6079.5499999999956</v>
      </c>
      <c r="V122" s="185">
        <f t="shared" si="88"/>
        <v>2083995.3199999998</v>
      </c>
      <c r="W122" s="185">
        <f t="shared" si="89"/>
        <v>980020.44999999972</v>
      </c>
      <c r="X122" s="401" t="str">
        <f t="shared" si="76"/>
        <v xml:space="preserve"> </v>
      </c>
      <c r="Y122" s="185">
        <f t="shared" si="58"/>
        <v>931251.65000000026</v>
      </c>
      <c r="Z122" s="393">
        <f t="shared" si="66"/>
        <v>0.13125000000000001</v>
      </c>
      <c r="AA122" s="185">
        <f t="shared" si="67"/>
        <v>10874</v>
      </c>
      <c r="AB122" s="185">
        <f t="shared" si="68"/>
        <v>688.44000000000051</v>
      </c>
      <c r="AC122" s="185">
        <f t="shared" si="69"/>
        <v>10185.56</v>
      </c>
      <c r="AD122" s="185">
        <f t="shared" si="96"/>
        <v>134.16999999999999</v>
      </c>
      <c r="AE122" s="185">
        <f t="shared" si="96"/>
        <v>188.55</v>
      </c>
      <c r="AF122" s="185">
        <f t="shared" si="70"/>
        <v>11196.72</v>
      </c>
      <c r="AG122" s="185">
        <f t="shared" si="90"/>
        <v>55154.880000000012</v>
      </c>
      <c r="AH122" s="185">
        <f t="shared" si="91"/>
        <v>993590.12000000034</v>
      </c>
      <c r="AI122" s="411">
        <f t="shared" si="51"/>
        <v>1011376.0500000012</v>
      </c>
      <c r="AJ122" s="411">
        <f t="shared" si="93"/>
        <v>49457.239999999409</v>
      </c>
      <c r="AK122" s="411">
        <f t="shared" si="52"/>
        <v>1060833.2900000005</v>
      </c>
      <c r="AL122" s="185">
        <f t="shared" si="59"/>
        <v>930563.21000000031</v>
      </c>
      <c r="AM122" s="317">
        <f t="shared" si="77"/>
        <v>8</v>
      </c>
      <c r="AN122" s="14">
        <f t="shared" si="53"/>
        <v>19533.41</v>
      </c>
      <c r="AO122" s="14">
        <f t="shared" si="97"/>
        <v>980020.45</v>
      </c>
      <c r="AP122" s="14">
        <f t="shared" si="54"/>
        <v>10874</v>
      </c>
      <c r="AS122" s="14">
        <f t="shared" si="72"/>
        <v>19533.41</v>
      </c>
      <c r="AT122" s="14">
        <f t="shared" si="78"/>
        <v>2089594.3099999961</v>
      </c>
      <c r="AU122" s="185">
        <f t="shared" si="79"/>
        <v>3212.2207593396447</v>
      </c>
      <c r="AV122" s="185">
        <f t="shared" si="80"/>
        <v>302000.52449519734</v>
      </c>
    </row>
    <row r="123" spans="1:50" ht="15.75" thickBot="1">
      <c r="A123" s="404" t="str">
        <f t="shared" si="81"/>
        <v xml:space="preserve"> </v>
      </c>
      <c r="B123" s="237">
        <f t="shared" si="73"/>
        <v>0</v>
      </c>
      <c r="C123" s="21">
        <f t="shared" si="63"/>
        <v>0</v>
      </c>
      <c r="D123" s="21">
        <f t="shared" si="82"/>
        <v>0</v>
      </c>
      <c r="E123" s="21">
        <f t="shared" si="64"/>
        <v>0</v>
      </c>
      <c r="F123" s="21">
        <f t="shared" ref="F123:G138" si="99">+F122</f>
        <v>0</v>
      </c>
      <c r="G123" s="21">
        <f t="shared" si="99"/>
        <v>0</v>
      </c>
      <c r="H123" s="21">
        <f t="shared" si="48"/>
        <v>0</v>
      </c>
      <c r="I123" s="237">
        <f t="shared" si="83"/>
        <v>0</v>
      </c>
      <c r="J123" s="237">
        <f t="shared" si="84"/>
        <v>0</v>
      </c>
      <c r="K123" s="237">
        <f t="shared" si="85"/>
        <v>0</v>
      </c>
      <c r="L123" s="318">
        <f t="shared" si="98"/>
        <v>8</v>
      </c>
      <c r="M123" s="318">
        <f t="shared" si="74"/>
        <v>107</v>
      </c>
      <c r="N123" s="237">
        <f t="shared" si="75"/>
        <v>980020.44999999972</v>
      </c>
      <c r="O123" s="237">
        <f t="shared" si="55"/>
        <v>19533.41</v>
      </c>
      <c r="P123" s="237">
        <f t="shared" si="86"/>
        <v>137.16999999999825</v>
      </c>
      <c r="Q123" s="237">
        <f t="shared" si="56"/>
        <v>19396.240000000002</v>
      </c>
      <c r="R123" s="237">
        <f t="shared" si="60"/>
        <v>134.16999999999999</v>
      </c>
      <c r="S123" s="237">
        <f t="shared" si="57"/>
        <v>188.55</v>
      </c>
      <c r="T123" s="237">
        <f t="shared" si="49"/>
        <v>19856.129999999997</v>
      </c>
      <c r="U123" s="237">
        <f t="shared" si="87"/>
        <v>6216.7199999999939</v>
      </c>
      <c r="V123" s="237">
        <f t="shared" si="88"/>
        <v>2103391.56</v>
      </c>
      <c r="W123" s="237">
        <f t="shared" si="89"/>
        <v>979883.27999999968</v>
      </c>
      <c r="X123" s="404" t="str">
        <f t="shared" si="76"/>
        <v xml:space="preserve"> </v>
      </c>
      <c r="Y123" s="237">
        <f t="shared" si="58"/>
        <v>930563.21000000031</v>
      </c>
      <c r="Z123" s="394">
        <f t="shared" si="66"/>
        <v>0.13125000000000001</v>
      </c>
      <c r="AA123" s="237">
        <f t="shared" si="67"/>
        <v>10874</v>
      </c>
      <c r="AB123" s="237">
        <f t="shared" si="68"/>
        <v>695.95999999999913</v>
      </c>
      <c r="AC123" s="237">
        <f t="shared" si="69"/>
        <v>10178.040000000001</v>
      </c>
      <c r="AD123" s="237">
        <f t="shared" si="96"/>
        <v>134.16999999999999</v>
      </c>
      <c r="AE123" s="237">
        <f t="shared" si="96"/>
        <v>188.55</v>
      </c>
      <c r="AF123" s="237">
        <f t="shared" si="70"/>
        <v>11196.72</v>
      </c>
      <c r="AG123" s="237">
        <f t="shared" si="90"/>
        <v>55850.840000000011</v>
      </c>
      <c r="AH123" s="237">
        <f t="shared" si="91"/>
        <v>1003768.1600000004</v>
      </c>
      <c r="AI123" s="412">
        <f t="shared" si="51"/>
        <v>1020035.4600000012</v>
      </c>
      <c r="AJ123" s="412">
        <f t="shared" si="93"/>
        <v>50016.029999999329</v>
      </c>
      <c r="AK123" s="412">
        <f t="shared" si="52"/>
        <v>1070051.4900000007</v>
      </c>
      <c r="AL123" s="237">
        <f t="shared" si="59"/>
        <v>929867.25000000035</v>
      </c>
      <c r="AM123" s="318">
        <f t="shared" si="77"/>
        <v>8</v>
      </c>
      <c r="AN123" s="21">
        <f t="shared" si="53"/>
        <v>19533.41</v>
      </c>
      <c r="AO123" s="21">
        <f t="shared" si="97"/>
        <v>979883.28</v>
      </c>
      <c r="AP123" s="21">
        <f t="shared" si="54"/>
        <v>10874</v>
      </c>
      <c r="AQ123" s="21"/>
      <c r="AR123" s="23"/>
      <c r="AS123" s="21">
        <f t="shared" si="72"/>
        <v>19533.41</v>
      </c>
      <c r="AT123" s="21">
        <f t="shared" si="78"/>
        <v>2109127.719999996</v>
      </c>
      <c r="AU123" s="237">
        <f t="shared" si="79"/>
        <v>3220.2513112379934</v>
      </c>
      <c r="AV123" s="237">
        <f t="shared" si="80"/>
        <v>305220.77580643533</v>
      </c>
    </row>
    <row r="124" spans="1:50">
      <c r="A124" s="401" t="str">
        <f t="shared" si="81"/>
        <v xml:space="preserve"> </v>
      </c>
      <c r="B124" s="185">
        <f t="shared" si="73"/>
        <v>0</v>
      </c>
      <c r="C124" s="14">
        <f t="shared" si="63"/>
        <v>0</v>
      </c>
      <c r="D124" s="14">
        <f t="shared" si="82"/>
        <v>0</v>
      </c>
      <c r="E124" s="14">
        <f t="shared" si="64"/>
        <v>0</v>
      </c>
      <c r="F124" s="14">
        <f t="shared" si="99"/>
        <v>0</v>
      </c>
      <c r="G124" s="14">
        <f t="shared" si="99"/>
        <v>0</v>
      </c>
      <c r="H124" s="14">
        <f t="shared" ref="H124:H187" si="100">SUM(D124:G124)</f>
        <v>0</v>
      </c>
      <c r="I124" s="185">
        <f t="shared" si="83"/>
        <v>0</v>
      </c>
      <c r="J124" s="185">
        <f t="shared" si="84"/>
        <v>0</v>
      </c>
      <c r="K124" s="185">
        <f t="shared" si="85"/>
        <v>0</v>
      </c>
      <c r="L124" s="317">
        <f t="shared" si="98"/>
        <v>9</v>
      </c>
      <c r="M124" s="317">
        <f t="shared" si="74"/>
        <v>108</v>
      </c>
      <c r="N124" s="185">
        <f t="shared" si="75"/>
        <v>979883.27999999968</v>
      </c>
      <c r="O124" s="185">
        <f t="shared" si="55"/>
        <v>19533.41</v>
      </c>
      <c r="P124" s="185">
        <f t="shared" si="86"/>
        <v>139.88999999999942</v>
      </c>
      <c r="Q124" s="185">
        <f t="shared" si="56"/>
        <v>19393.52</v>
      </c>
      <c r="R124" s="185">
        <f t="shared" si="60"/>
        <v>134.16999999999999</v>
      </c>
      <c r="S124" s="185">
        <f t="shared" si="57"/>
        <v>188.55</v>
      </c>
      <c r="T124" s="185">
        <f t="shared" ref="T124:T187" si="101">SUM(P124:S124)</f>
        <v>19856.129999999997</v>
      </c>
      <c r="U124" s="185">
        <f t="shared" si="87"/>
        <v>6356.6099999999933</v>
      </c>
      <c r="V124" s="185">
        <f t="shared" si="88"/>
        <v>2122785.08</v>
      </c>
      <c r="W124" s="185">
        <f t="shared" si="89"/>
        <v>979743.38999999966</v>
      </c>
      <c r="X124" s="401" t="str">
        <f t="shared" si="76"/>
        <v xml:space="preserve"> </v>
      </c>
      <c r="Y124" s="185">
        <f t="shared" si="58"/>
        <v>929867.25000000035</v>
      </c>
      <c r="Z124" s="393">
        <f t="shared" si="66"/>
        <v>0.13125000000000001</v>
      </c>
      <c r="AA124" s="185">
        <f t="shared" si="67"/>
        <v>10874</v>
      </c>
      <c r="AB124" s="185">
        <f t="shared" si="68"/>
        <v>703.57999999999993</v>
      </c>
      <c r="AC124" s="185">
        <f t="shared" si="69"/>
        <v>10170.42</v>
      </c>
      <c r="AD124" s="185">
        <f t="shared" si="96"/>
        <v>134.16999999999999</v>
      </c>
      <c r="AE124" s="185">
        <f t="shared" si="96"/>
        <v>188.55</v>
      </c>
      <c r="AF124" s="185">
        <f t="shared" si="70"/>
        <v>11196.72</v>
      </c>
      <c r="AG124" s="185">
        <f t="shared" si="90"/>
        <v>56554.420000000013</v>
      </c>
      <c r="AH124" s="185">
        <f t="shared" si="91"/>
        <v>1013938.5800000004</v>
      </c>
      <c r="AI124" s="411">
        <f t="shared" si="51"/>
        <v>1028694.8700000013</v>
      </c>
      <c r="AJ124" s="411">
        <f t="shared" si="93"/>
        <v>50579.719999999274</v>
      </c>
      <c r="AK124" s="411">
        <f t="shared" si="52"/>
        <v>1079274.5900000005</v>
      </c>
      <c r="AL124" s="185">
        <f t="shared" si="59"/>
        <v>929163.67000000039</v>
      </c>
      <c r="AM124" s="317">
        <f t="shared" si="77"/>
        <v>9</v>
      </c>
      <c r="AN124" s="14">
        <f t="shared" si="53"/>
        <v>19533.41</v>
      </c>
      <c r="AO124" s="14">
        <f t="shared" si="97"/>
        <v>979743.39</v>
      </c>
      <c r="AP124" s="14">
        <f t="shared" si="54"/>
        <v>10874</v>
      </c>
      <c r="AS124" s="14">
        <f t="shared" si="72"/>
        <v>19533.41</v>
      </c>
      <c r="AT124" s="14">
        <f t="shared" si="78"/>
        <v>2128661.1299999962</v>
      </c>
      <c r="AU124" s="185">
        <f t="shared" si="79"/>
        <v>3228.3019395160882</v>
      </c>
      <c r="AV124" s="185">
        <f t="shared" si="80"/>
        <v>308449.07774595142</v>
      </c>
    </row>
    <row r="125" spans="1:50">
      <c r="A125" s="401" t="str">
        <f t="shared" si="81"/>
        <v xml:space="preserve"> </v>
      </c>
      <c r="B125" s="185">
        <f t="shared" si="73"/>
        <v>0</v>
      </c>
      <c r="C125" s="14">
        <f t="shared" si="63"/>
        <v>0</v>
      </c>
      <c r="D125" s="14">
        <f t="shared" si="82"/>
        <v>0</v>
      </c>
      <c r="E125" s="14">
        <f t="shared" si="64"/>
        <v>0</v>
      </c>
      <c r="F125" s="14">
        <f t="shared" si="99"/>
        <v>0</v>
      </c>
      <c r="G125" s="14">
        <f t="shared" si="99"/>
        <v>0</v>
      </c>
      <c r="H125" s="14">
        <f t="shared" si="100"/>
        <v>0</v>
      </c>
      <c r="I125" s="185">
        <f t="shared" si="83"/>
        <v>0</v>
      </c>
      <c r="J125" s="185">
        <f t="shared" si="84"/>
        <v>0</v>
      </c>
      <c r="K125" s="185">
        <f t="shared" si="85"/>
        <v>0</v>
      </c>
      <c r="L125" s="317">
        <f t="shared" si="98"/>
        <v>9</v>
      </c>
      <c r="M125" s="317">
        <f t="shared" si="74"/>
        <v>109</v>
      </c>
      <c r="N125" s="185">
        <f t="shared" si="75"/>
        <v>979743.38999999966</v>
      </c>
      <c r="O125" s="185">
        <f t="shared" si="55"/>
        <v>19533.41</v>
      </c>
      <c r="P125" s="185">
        <f t="shared" si="86"/>
        <v>142.65999999999985</v>
      </c>
      <c r="Q125" s="185">
        <f t="shared" si="56"/>
        <v>19390.75</v>
      </c>
      <c r="R125" s="185">
        <f t="shared" si="60"/>
        <v>134.16999999999999</v>
      </c>
      <c r="S125" s="185">
        <f t="shared" si="57"/>
        <v>188.55</v>
      </c>
      <c r="T125" s="185">
        <f t="shared" si="101"/>
        <v>19856.129999999997</v>
      </c>
      <c r="U125" s="185">
        <f t="shared" si="87"/>
        <v>6499.2699999999932</v>
      </c>
      <c r="V125" s="185">
        <f t="shared" si="88"/>
        <v>2142175.83</v>
      </c>
      <c r="W125" s="185">
        <f t="shared" si="89"/>
        <v>979600.72999999963</v>
      </c>
      <c r="X125" s="401" t="str">
        <f t="shared" si="76"/>
        <v xml:space="preserve"> </v>
      </c>
      <c r="Y125" s="185">
        <f t="shared" si="58"/>
        <v>929163.67000000039</v>
      </c>
      <c r="Z125" s="393">
        <f t="shared" si="66"/>
        <v>0.13125000000000001</v>
      </c>
      <c r="AA125" s="185">
        <f t="shared" si="67"/>
        <v>10874</v>
      </c>
      <c r="AB125" s="185">
        <f t="shared" si="68"/>
        <v>711.27000000000044</v>
      </c>
      <c r="AC125" s="185">
        <f t="shared" si="69"/>
        <v>10162.73</v>
      </c>
      <c r="AD125" s="185">
        <f t="shared" ref="AD125:AE140" si="102">+AD124</f>
        <v>134.16999999999999</v>
      </c>
      <c r="AE125" s="185">
        <f t="shared" si="102"/>
        <v>188.55</v>
      </c>
      <c r="AF125" s="185">
        <f t="shared" si="70"/>
        <v>11196.72</v>
      </c>
      <c r="AG125" s="185">
        <f t="shared" si="90"/>
        <v>57265.690000000017</v>
      </c>
      <c r="AH125" s="185">
        <f t="shared" si="91"/>
        <v>1024101.3100000004</v>
      </c>
      <c r="AI125" s="411">
        <f t="shared" ref="AI125:AI188" si="103">O125-AA125+AI124</f>
        <v>1037354.2800000013</v>
      </c>
      <c r="AJ125" s="411">
        <f t="shared" si="93"/>
        <v>51148.32999999926</v>
      </c>
      <c r="AK125" s="411">
        <f t="shared" ref="AK125:AK188" si="104">SUM(AI125:AJ125)</f>
        <v>1088502.6100000006</v>
      </c>
      <c r="AL125" s="185">
        <f t="shared" si="59"/>
        <v>928452.40000000037</v>
      </c>
      <c r="AM125" s="317">
        <f t="shared" si="77"/>
        <v>9</v>
      </c>
      <c r="AN125" s="14">
        <f t="shared" ref="AN125:AN188" si="105">IF(O125=0,0,+O125-C125)</f>
        <v>19533.41</v>
      </c>
      <c r="AO125" s="14">
        <f t="shared" si="97"/>
        <v>979600.73</v>
      </c>
      <c r="AP125" s="14">
        <f t="shared" ref="AP125:AP188" si="106">IF($O125=0,0,+AA125-$C125)</f>
        <v>10874</v>
      </c>
      <c r="AS125" s="14">
        <f t="shared" si="72"/>
        <v>19533.41</v>
      </c>
      <c r="AT125" s="14">
        <f t="shared" si="78"/>
        <v>2148194.5399999963</v>
      </c>
      <c r="AU125" s="185">
        <f t="shared" si="79"/>
        <v>3236.3726943648785</v>
      </c>
      <c r="AV125" s="185">
        <f t="shared" si="80"/>
        <v>311685.45044031629</v>
      </c>
    </row>
    <row r="126" spans="1:50">
      <c r="A126" s="401" t="str">
        <f t="shared" si="81"/>
        <v xml:space="preserve"> </v>
      </c>
      <c r="B126" s="185">
        <f t="shared" si="73"/>
        <v>0</v>
      </c>
      <c r="C126" s="14">
        <f t="shared" si="63"/>
        <v>0</v>
      </c>
      <c r="D126" s="14">
        <f t="shared" si="82"/>
        <v>0</v>
      </c>
      <c r="E126" s="14">
        <f t="shared" si="64"/>
        <v>0</v>
      </c>
      <c r="F126" s="14">
        <f t="shared" si="99"/>
        <v>0</v>
      </c>
      <c r="G126" s="14">
        <f t="shared" si="99"/>
        <v>0</v>
      </c>
      <c r="H126" s="14">
        <f t="shared" si="100"/>
        <v>0</v>
      </c>
      <c r="I126" s="185">
        <f t="shared" si="83"/>
        <v>0</v>
      </c>
      <c r="J126" s="185">
        <f t="shared" si="84"/>
        <v>0</v>
      </c>
      <c r="K126" s="185">
        <f t="shared" si="85"/>
        <v>0</v>
      </c>
      <c r="L126" s="317">
        <f t="shared" si="98"/>
        <v>9</v>
      </c>
      <c r="M126" s="317">
        <f t="shared" si="74"/>
        <v>110</v>
      </c>
      <c r="N126" s="185">
        <f t="shared" si="75"/>
        <v>979600.72999999963</v>
      </c>
      <c r="O126" s="185">
        <f t="shared" si="55"/>
        <v>19533.41</v>
      </c>
      <c r="P126" s="185">
        <f t="shared" si="86"/>
        <v>145.47999999999956</v>
      </c>
      <c r="Q126" s="185">
        <f t="shared" si="56"/>
        <v>19387.93</v>
      </c>
      <c r="R126" s="185">
        <f t="shared" si="60"/>
        <v>134.16999999999999</v>
      </c>
      <c r="S126" s="185">
        <f t="shared" si="57"/>
        <v>188.55</v>
      </c>
      <c r="T126" s="185">
        <f t="shared" si="101"/>
        <v>19856.129999999997</v>
      </c>
      <c r="U126" s="185">
        <f t="shared" si="87"/>
        <v>6644.7499999999927</v>
      </c>
      <c r="V126" s="185">
        <f t="shared" si="88"/>
        <v>2161563.7600000002</v>
      </c>
      <c r="W126" s="185">
        <f t="shared" si="89"/>
        <v>979455.24999999965</v>
      </c>
      <c r="X126" s="401" t="str">
        <f t="shared" si="76"/>
        <v xml:space="preserve"> </v>
      </c>
      <c r="Y126" s="185">
        <f t="shared" si="58"/>
        <v>928452.40000000037</v>
      </c>
      <c r="Z126" s="393">
        <f t="shared" si="66"/>
        <v>0.13125000000000001</v>
      </c>
      <c r="AA126" s="185">
        <f t="shared" si="67"/>
        <v>10874</v>
      </c>
      <c r="AB126" s="185">
        <f t="shared" si="68"/>
        <v>719.04999999999927</v>
      </c>
      <c r="AC126" s="185">
        <f t="shared" si="69"/>
        <v>10154.950000000001</v>
      </c>
      <c r="AD126" s="185">
        <f t="shared" si="102"/>
        <v>134.16999999999999</v>
      </c>
      <c r="AE126" s="185">
        <f t="shared" si="102"/>
        <v>188.55</v>
      </c>
      <c r="AF126" s="185">
        <f t="shared" si="70"/>
        <v>11196.72</v>
      </c>
      <c r="AG126" s="185">
        <f t="shared" si="90"/>
        <v>57984.74000000002</v>
      </c>
      <c r="AH126" s="185">
        <f t="shared" si="91"/>
        <v>1034256.2600000004</v>
      </c>
      <c r="AI126" s="411">
        <f t="shared" si="103"/>
        <v>1046013.6900000013</v>
      </c>
      <c r="AJ126" s="411">
        <f t="shared" si="93"/>
        <v>51721.899999999325</v>
      </c>
      <c r="AK126" s="411">
        <f t="shared" si="104"/>
        <v>1097735.5900000008</v>
      </c>
      <c r="AL126" s="185">
        <f t="shared" si="59"/>
        <v>927733.35000000033</v>
      </c>
      <c r="AM126" s="317">
        <f t="shared" si="77"/>
        <v>9</v>
      </c>
      <c r="AN126" s="14">
        <f t="shared" si="105"/>
        <v>19533.41</v>
      </c>
      <c r="AO126" s="14">
        <f t="shared" si="97"/>
        <v>979455.25</v>
      </c>
      <c r="AP126" s="14">
        <f t="shared" si="106"/>
        <v>10874</v>
      </c>
      <c r="AS126" s="14">
        <f t="shared" si="72"/>
        <v>19533.41</v>
      </c>
      <c r="AT126" s="14">
        <f t="shared" si="78"/>
        <v>2167727.9499999965</v>
      </c>
      <c r="AU126" s="185">
        <f t="shared" si="79"/>
        <v>3244.4636261007904</v>
      </c>
      <c r="AV126" s="185">
        <f t="shared" si="80"/>
        <v>314929.91406641708</v>
      </c>
    </row>
    <row r="127" spans="1:50">
      <c r="A127" s="401" t="str">
        <f t="shared" si="81"/>
        <v xml:space="preserve"> </v>
      </c>
      <c r="B127" s="185">
        <f t="shared" si="73"/>
        <v>0</v>
      </c>
      <c r="C127" s="14">
        <f t="shared" si="63"/>
        <v>0</v>
      </c>
      <c r="D127" s="14">
        <f t="shared" si="82"/>
        <v>0</v>
      </c>
      <c r="E127" s="14">
        <f t="shared" si="64"/>
        <v>0</v>
      </c>
      <c r="F127" s="14">
        <f t="shared" si="99"/>
        <v>0</v>
      </c>
      <c r="G127" s="14">
        <f t="shared" si="99"/>
        <v>0</v>
      </c>
      <c r="H127" s="14">
        <f t="shared" si="100"/>
        <v>0</v>
      </c>
      <c r="I127" s="185">
        <f t="shared" si="83"/>
        <v>0</v>
      </c>
      <c r="J127" s="185">
        <f t="shared" si="84"/>
        <v>0</v>
      </c>
      <c r="K127" s="185">
        <f t="shared" si="85"/>
        <v>0</v>
      </c>
      <c r="L127" s="317">
        <f t="shared" si="98"/>
        <v>9</v>
      </c>
      <c r="M127" s="317">
        <f t="shared" si="74"/>
        <v>111</v>
      </c>
      <c r="N127" s="185">
        <f t="shared" si="75"/>
        <v>979455.24999999965</v>
      </c>
      <c r="O127" s="185">
        <f t="shared" ref="O127:O190" si="107">IF($O$11&lt;=A127,IF(+$W126&lt;=0,0,$O$8),0)</f>
        <v>19533.41</v>
      </c>
      <c r="P127" s="185">
        <f t="shared" si="86"/>
        <v>148.36000000000058</v>
      </c>
      <c r="Q127" s="185">
        <f t="shared" ref="Q127:Q190" si="108">IF($O$11&lt;=A127,ROUND(N127*($O$7/12),2),0)</f>
        <v>19385.05</v>
      </c>
      <c r="R127" s="185">
        <f t="shared" si="60"/>
        <v>134.16999999999999</v>
      </c>
      <c r="S127" s="185">
        <f t="shared" si="60"/>
        <v>188.55</v>
      </c>
      <c r="T127" s="185">
        <f t="shared" si="101"/>
        <v>19856.129999999997</v>
      </c>
      <c r="U127" s="185">
        <f t="shared" si="87"/>
        <v>6793.1099999999933</v>
      </c>
      <c r="V127" s="185">
        <f t="shared" si="88"/>
        <v>2180948.81</v>
      </c>
      <c r="W127" s="185">
        <f t="shared" si="89"/>
        <v>979306.88999999966</v>
      </c>
      <c r="X127" s="401" t="str">
        <f t="shared" si="76"/>
        <v xml:space="preserve"> </v>
      </c>
      <c r="Y127" s="185">
        <f t="shared" ref="Y127:Y190" si="109">IF(+AL126&lt;0,0,+AL126)</f>
        <v>927733.35000000033</v>
      </c>
      <c r="Z127" s="393">
        <f t="shared" si="66"/>
        <v>0.13125000000000001</v>
      </c>
      <c r="AA127" s="185">
        <f t="shared" si="67"/>
        <v>10874</v>
      </c>
      <c r="AB127" s="185">
        <f t="shared" si="68"/>
        <v>726.92000000000007</v>
      </c>
      <c r="AC127" s="185">
        <f t="shared" si="69"/>
        <v>10147.08</v>
      </c>
      <c r="AD127" s="185">
        <f t="shared" si="102"/>
        <v>134.16999999999999</v>
      </c>
      <c r="AE127" s="185">
        <f t="shared" si="102"/>
        <v>188.55</v>
      </c>
      <c r="AF127" s="185">
        <f t="shared" si="70"/>
        <v>11196.72</v>
      </c>
      <c r="AG127" s="185">
        <f t="shared" si="90"/>
        <v>58711.660000000018</v>
      </c>
      <c r="AH127" s="185">
        <f t="shared" si="91"/>
        <v>1044403.3400000003</v>
      </c>
      <c r="AI127" s="411">
        <f t="shared" si="103"/>
        <v>1054673.1000000013</v>
      </c>
      <c r="AJ127" s="411">
        <f t="shared" si="93"/>
        <v>52300.459999999381</v>
      </c>
      <c r="AK127" s="411">
        <f t="shared" si="104"/>
        <v>1106973.5600000005</v>
      </c>
      <c r="AL127" s="185">
        <f t="shared" ref="AL127:AL190" si="110">+Y127-AB127</f>
        <v>927006.43000000028</v>
      </c>
      <c r="AM127" s="317">
        <f t="shared" si="77"/>
        <v>9</v>
      </c>
      <c r="AN127" s="14">
        <f t="shared" si="105"/>
        <v>19533.41</v>
      </c>
      <c r="AO127" s="14">
        <f t="shared" si="97"/>
        <v>979306.89</v>
      </c>
      <c r="AP127" s="14">
        <f t="shared" si="106"/>
        <v>10874</v>
      </c>
      <c r="AS127" s="14">
        <f t="shared" si="72"/>
        <v>19533.41</v>
      </c>
      <c r="AT127" s="14">
        <f t="shared" si="78"/>
        <v>2187261.3599999966</v>
      </c>
      <c r="AU127" s="185">
        <f t="shared" si="79"/>
        <v>3252.5747851660431</v>
      </c>
      <c r="AV127" s="185">
        <f t="shared" si="80"/>
        <v>318182.48885158316</v>
      </c>
    </row>
    <row r="128" spans="1:50">
      <c r="A128" s="401" t="str">
        <f t="shared" si="81"/>
        <v xml:space="preserve"> </v>
      </c>
      <c r="B128" s="185">
        <f t="shared" si="73"/>
        <v>0</v>
      </c>
      <c r="C128" s="14">
        <f t="shared" si="63"/>
        <v>0</v>
      </c>
      <c r="D128" s="14">
        <f t="shared" si="82"/>
        <v>0</v>
      </c>
      <c r="E128" s="14">
        <f t="shared" si="64"/>
        <v>0</v>
      </c>
      <c r="F128" s="14">
        <f t="shared" si="99"/>
        <v>0</v>
      </c>
      <c r="G128" s="14">
        <f t="shared" si="99"/>
        <v>0</v>
      </c>
      <c r="H128" s="14">
        <f t="shared" si="100"/>
        <v>0</v>
      </c>
      <c r="I128" s="185">
        <f t="shared" si="83"/>
        <v>0</v>
      </c>
      <c r="J128" s="185">
        <f t="shared" si="84"/>
        <v>0</v>
      </c>
      <c r="K128" s="185">
        <f t="shared" si="85"/>
        <v>0</v>
      </c>
      <c r="L128" s="317">
        <f t="shared" si="98"/>
        <v>9</v>
      </c>
      <c r="M128" s="317">
        <f t="shared" si="74"/>
        <v>112</v>
      </c>
      <c r="N128" s="185">
        <f t="shared" si="75"/>
        <v>979306.88999999966</v>
      </c>
      <c r="O128" s="185">
        <f t="shared" si="107"/>
        <v>19533.41</v>
      </c>
      <c r="P128" s="185">
        <f t="shared" si="86"/>
        <v>151.29000000000087</v>
      </c>
      <c r="Q128" s="185">
        <f t="shared" si="108"/>
        <v>19382.12</v>
      </c>
      <c r="R128" s="185">
        <f t="shared" ref="R128:S143" si="111">+R127</f>
        <v>134.16999999999999</v>
      </c>
      <c r="S128" s="185">
        <f t="shared" si="111"/>
        <v>188.55</v>
      </c>
      <c r="T128" s="185">
        <f t="shared" si="101"/>
        <v>19856.129999999997</v>
      </c>
      <c r="U128" s="185">
        <f t="shared" si="87"/>
        <v>6944.3999999999942</v>
      </c>
      <c r="V128" s="185">
        <f t="shared" si="88"/>
        <v>2200330.9300000002</v>
      </c>
      <c r="W128" s="185">
        <f t="shared" si="89"/>
        <v>979155.59999999963</v>
      </c>
      <c r="X128" s="401" t="str">
        <f t="shared" si="76"/>
        <v xml:space="preserve"> </v>
      </c>
      <c r="Y128" s="185">
        <f t="shared" si="109"/>
        <v>927006.43000000028</v>
      </c>
      <c r="Z128" s="393">
        <f t="shared" si="66"/>
        <v>0.13125000000000001</v>
      </c>
      <c r="AA128" s="185">
        <f t="shared" si="67"/>
        <v>10874</v>
      </c>
      <c r="AB128" s="185">
        <f t="shared" si="68"/>
        <v>734.8700000000008</v>
      </c>
      <c r="AC128" s="185">
        <f t="shared" si="69"/>
        <v>10139.129999999999</v>
      </c>
      <c r="AD128" s="185">
        <f t="shared" si="102"/>
        <v>134.16999999999999</v>
      </c>
      <c r="AE128" s="185">
        <f t="shared" si="102"/>
        <v>188.55</v>
      </c>
      <c r="AF128" s="185">
        <f t="shared" si="70"/>
        <v>11196.72</v>
      </c>
      <c r="AG128" s="185">
        <f t="shared" si="90"/>
        <v>59446.530000000021</v>
      </c>
      <c r="AH128" s="185">
        <f t="shared" si="91"/>
        <v>1054542.4700000002</v>
      </c>
      <c r="AI128" s="411">
        <f t="shared" si="103"/>
        <v>1063332.5100000012</v>
      </c>
      <c r="AJ128" s="411">
        <f t="shared" si="93"/>
        <v>52884.039999999339</v>
      </c>
      <c r="AK128" s="411">
        <f t="shared" si="104"/>
        <v>1116216.5500000005</v>
      </c>
      <c r="AL128" s="185">
        <f t="shared" si="110"/>
        <v>926271.56000000029</v>
      </c>
      <c r="AM128" s="317">
        <f t="shared" si="77"/>
        <v>9</v>
      </c>
      <c r="AN128" s="14">
        <f t="shared" si="105"/>
        <v>19533.41</v>
      </c>
      <c r="AO128" s="14">
        <f t="shared" si="97"/>
        <v>979155.6</v>
      </c>
      <c r="AP128" s="14">
        <f t="shared" si="106"/>
        <v>10874</v>
      </c>
      <c r="AS128" s="14">
        <f t="shared" si="72"/>
        <v>19533.41</v>
      </c>
      <c r="AT128" s="14">
        <f t="shared" si="78"/>
        <v>2206794.7699999968</v>
      </c>
      <c r="AU128" s="185">
        <f t="shared" si="79"/>
        <v>3260.7062221289575</v>
      </c>
      <c r="AV128" s="185">
        <f t="shared" si="80"/>
        <v>321443.19507371209</v>
      </c>
    </row>
    <row r="129" spans="1:48">
      <c r="A129" s="401" t="str">
        <f t="shared" si="81"/>
        <v xml:space="preserve"> </v>
      </c>
      <c r="B129" s="185">
        <f t="shared" si="73"/>
        <v>0</v>
      </c>
      <c r="C129" s="14">
        <f t="shared" si="63"/>
        <v>0</v>
      </c>
      <c r="D129" s="14">
        <f t="shared" si="82"/>
        <v>0</v>
      </c>
      <c r="E129" s="14">
        <f t="shared" si="64"/>
        <v>0</v>
      </c>
      <c r="F129" s="14">
        <f t="shared" si="99"/>
        <v>0</v>
      </c>
      <c r="G129" s="14">
        <f t="shared" si="99"/>
        <v>0</v>
      </c>
      <c r="H129" s="14">
        <f t="shared" si="100"/>
        <v>0</v>
      </c>
      <c r="I129" s="185">
        <f t="shared" si="83"/>
        <v>0</v>
      </c>
      <c r="J129" s="185">
        <f t="shared" si="84"/>
        <v>0</v>
      </c>
      <c r="K129" s="185">
        <f t="shared" si="85"/>
        <v>0</v>
      </c>
      <c r="L129" s="317">
        <f t="shared" si="98"/>
        <v>9</v>
      </c>
      <c r="M129" s="317">
        <f t="shared" si="74"/>
        <v>113</v>
      </c>
      <c r="N129" s="185">
        <f t="shared" si="75"/>
        <v>979155.59999999963</v>
      </c>
      <c r="O129" s="185">
        <f t="shared" si="107"/>
        <v>19533.41</v>
      </c>
      <c r="P129" s="185">
        <f t="shared" si="86"/>
        <v>154.29000000000087</v>
      </c>
      <c r="Q129" s="185">
        <f t="shared" si="108"/>
        <v>19379.12</v>
      </c>
      <c r="R129" s="185">
        <f t="shared" si="111"/>
        <v>134.16999999999999</v>
      </c>
      <c r="S129" s="185">
        <f t="shared" si="111"/>
        <v>188.55</v>
      </c>
      <c r="T129" s="185">
        <f t="shared" si="101"/>
        <v>19856.129999999997</v>
      </c>
      <c r="U129" s="185">
        <f t="shared" si="87"/>
        <v>7098.6899999999951</v>
      </c>
      <c r="V129" s="185">
        <f t="shared" si="88"/>
        <v>2219710.0500000003</v>
      </c>
      <c r="W129" s="185">
        <f t="shared" si="89"/>
        <v>979001.30999999959</v>
      </c>
      <c r="X129" s="401" t="str">
        <f t="shared" si="76"/>
        <v xml:space="preserve"> </v>
      </c>
      <c r="Y129" s="185">
        <f t="shared" si="109"/>
        <v>926271.56000000029</v>
      </c>
      <c r="Z129" s="393">
        <f t="shared" si="66"/>
        <v>0.13125000000000001</v>
      </c>
      <c r="AA129" s="185">
        <f t="shared" si="67"/>
        <v>10874</v>
      </c>
      <c r="AB129" s="185">
        <f t="shared" si="68"/>
        <v>742.89999999999964</v>
      </c>
      <c r="AC129" s="185">
        <f t="shared" si="69"/>
        <v>10131.1</v>
      </c>
      <c r="AD129" s="185">
        <f t="shared" si="102"/>
        <v>134.16999999999999</v>
      </c>
      <c r="AE129" s="185">
        <f t="shared" si="102"/>
        <v>188.55</v>
      </c>
      <c r="AF129" s="185">
        <f t="shared" si="70"/>
        <v>11196.72</v>
      </c>
      <c r="AG129" s="185">
        <f t="shared" si="90"/>
        <v>60189.430000000022</v>
      </c>
      <c r="AH129" s="185">
        <f t="shared" si="91"/>
        <v>1064673.5700000003</v>
      </c>
      <c r="AI129" s="411">
        <f t="shared" si="103"/>
        <v>1071991.9200000011</v>
      </c>
      <c r="AJ129" s="411">
        <f t="shared" si="93"/>
        <v>53472.649999999325</v>
      </c>
      <c r="AK129" s="411">
        <f t="shared" si="104"/>
        <v>1125464.5700000003</v>
      </c>
      <c r="AL129" s="185">
        <f t="shared" si="110"/>
        <v>925528.66000000027</v>
      </c>
      <c r="AM129" s="317">
        <f t="shared" si="77"/>
        <v>9</v>
      </c>
      <c r="AN129" s="14">
        <f t="shared" si="105"/>
        <v>19533.41</v>
      </c>
      <c r="AO129" s="14">
        <f t="shared" si="97"/>
        <v>979001.31</v>
      </c>
      <c r="AP129" s="14">
        <f t="shared" si="106"/>
        <v>10874</v>
      </c>
      <c r="AS129" s="14">
        <f t="shared" si="72"/>
        <v>19533.41</v>
      </c>
      <c r="AT129" s="14">
        <f t="shared" si="78"/>
        <v>2226328.1799999969</v>
      </c>
      <c r="AU129" s="185">
        <f t="shared" si="79"/>
        <v>3268.85798768428</v>
      </c>
      <c r="AV129" s="185">
        <f t="shared" si="80"/>
        <v>324712.05306139635</v>
      </c>
    </row>
    <row r="130" spans="1:48">
      <c r="A130" s="401" t="str">
        <f t="shared" si="81"/>
        <v xml:space="preserve"> </v>
      </c>
      <c r="B130" s="185">
        <f t="shared" si="73"/>
        <v>0</v>
      </c>
      <c r="C130" s="14">
        <f t="shared" si="63"/>
        <v>0</v>
      </c>
      <c r="D130" s="14">
        <f t="shared" si="82"/>
        <v>0</v>
      </c>
      <c r="E130" s="14">
        <f t="shared" si="64"/>
        <v>0</v>
      </c>
      <c r="F130" s="14">
        <f t="shared" si="99"/>
        <v>0</v>
      </c>
      <c r="G130" s="14">
        <f t="shared" si="99"/>
        <v>0</v>
      </c>
      <c r="H130" s="14">
        <f t="shared" si="100"/>
        <v>0</v>
      </c>
      <c r="I130" s="185">
        <f t="shared" si="83"/>
        <v>0</v>
      </c>
      <c r="J130" s="185">
        <f t="shared" si="84"/>
        <v>0</v>
      </c>
      <c r="K130" s="185">
        <f t="shared" si="85"/>
        <v>0</v>
      </c>
      <c r="L130" s="317">
        <f t="shared" si="98"/>
        <v>9</v>
      </c>
      <c r="M130" s="317">
        <f t="shared" si="74"/>
        <v>114</v>
      </c>
      <c r="N130" s="185">
        <f t="shared" si="75"/>
        <v>979001.30999999959</v>
      </c>
      <c r="O130" s="185">
        <f t="shared" si="107"/>
        <v>19533.41</v>
      </c>
      <c r="P130" s="185">
        <f t="shared" si="86"/>
        <v>157.34000000000015</v>
      </c>
      <c r="Q130" s="185">
        <f t="shared" si="108"/>
        <v>19376.07</v>
      </c>
      <c r="R130" s="185">
        <f t="shared" si="111"/>
        <v>134.16999999999999</v>
      </c>
      <c r="S130" s="185">
        <f t="shared" si="111"/>
        <v>188.55</v>
      </c>
      <c r="T130" s="185">
        <f t="shared" si="101"/>
        <v>19856.129999999997</v>
      </c>
      <c r="U130" s="185">
        <f t="shared" si="87"/>
        <v>7256.0299999999952</v>
      </c>
      <c r="V130" s="185">
        <f t="shared" si="88"/>
        <v>2239086.12</v>
      </c>
      <c r="W130" s="185">
        <f t="shared" si="89"/>
        <v>978843.96999999962</v>
      </c>
      <c r="X130" s="401" t="str">
        <f t="shared" si="76"/>
        <v xml:space="preserve"> </v>
      </c>
      <c r="Y130" s="185">
        <f t="shared" si="109"/>
        <v>925528.66000000027</v>
      </c>
      <c r="Z130" s="393">
        <f t="shared" si="66"/>
        <v>0.13125000000000001</v>
      </c>
      <c r="AA130" s="185">
        <f t="shared" si="67"/>
        <v>10874</v>
      </c>
      <c r="AB130" s="185">
        <f t="shared" si="68"/>
        <v>751.03000000000065</v>
      </c>
      <c r="AC130" s="185">
        <f t="shared" si="69"/>
        <v>10122.969999999999</v>
      </c>
      <c r="AD130" s="185">
        <f t="shared" si="102"/>
        <v>134.16999999999999</v>
      </c>
      <c r="AE130" s="185">
        <f t="shared" si="102"/>
        <v>188.55</v>
      </c>
      <c r="AF130" s="185">
        <f t="shared" si="70"/>
        <v>11196.72</v>
      </c>
      <c r="AG130" s="185">
        <f t="shared" si="90"/>
        <v>60940.460000000021</v>
      </c>
      <c r="AH130" s="185">
        <f t="shared" si="91"/>
        <v>1074796.5400000003</v>
      </c>
      <c r="AI130" s="411">
        <f t="shared" si="103"/>
        <v>1080651.330000001</v>
      </c>
      <c r="AJ130" s="411">
        <f t="shared" si="93"/>
        <v>54066.339999999385</v>
      </c>
      <c r="AK130" s="411">
        <f t="shared" si="104"/>
        <v>1134717.6700000004</v>
      </c>
      <c r="AL130" s="185">
        <f t="shared" si="110"/>
        <v>924777.63000000024</v>
      </c>
      <c r="AM130" s="317">
        <f t="shared" si="77"/>
        <v>9</v>
      </c>
      <c r="AN130" s="14">
        <f t="shared" si="105"/>
        <v>19533.41</v>
      </c>
      <c r="AO130" s="14">
        <f t="shared" si="97"/>
        <v>978843.97</v>
      </c>
      <c r="AP130" s="14">
        <f t="shared" si="106"/>
        <v>10874</v>
      </c>
      <c r="AS130" s="14">
        <f t="shared" si="72"/>
        <v>19533.41</v>
      </c>
      <c r="AT130" s="14">
        <f t="shared" si="78"/>
        <v>2245861.5899999971</v>
      </c>
      <c r="AU130" s="185">
        <f t="shared" si="79"/>
        <v>3277.0301326534905</v>
      </c>
      <c r="AV130" s="185">
        <f t="shared" si="80"/>
        <v>327989.08319404983</v>
      </c>
    </row>
    <row r="131" spans="1:48">
      <c r="A131" s="401" t="str">
        <f t="shared" si="81"/>
        <v xml:space="preserve"> </v>
      </c>
      <c r="B131" s="185">
        <f t="shared" si="73"/>
        <v>0</v>
      </c>
      <c r="C131" s="14">
        <f t="shared" si="63"/>
        <v>0</v>
      </c>
      <c r="D131" s="14">
        <f t="shared" si="82"/>
        <v>0</v>
      </c>
      <c r="E131" s="14">
        <f t="shared" si="64"/>
        <v>0</v>
      </c>
      <c r="F131" s="14">
        <f t="shared" si="99"/>
        <v>0</v>
      </c>
      <c r="G131" s="14">
        <f t="shared" si="99"/>
        <v>0</v>
      </c>
      <c r="H131" s="14">
        <f t="shared" si="100"/>
        <v>0</v>
      </c>
      <c r="I131" s="185">
        <f t="shared" si="83"/>
        <v>0</v>
      </c>
      <c r="J131" s="185">
        <f t="shared" si="84"/>
        <v>0</v>
      </c>
      <c r="K131" s="185">
        <f t="shared" si="85"/>
        <v>0</v>
      </c>
      <c r="L131" s="317">
        <f t="shared" si="98"/>
        <v>9</v>
      </c>
      <c r="M131" s="317">
        <f t="shared" si="74"/>
        <v>115</v>
      </c>
      <c r="N131" s="185">
        <f t="shared" si="75"/>
        <v>978843.96999999962</v>
      </c>
      <c r="O131" s="185">
        <f t="shared" si="107"/>
        <v>19533.41</v>
      </c>
      <c r="P131" s="185">
        <f t="shared" si="86"/>
        <v>160.45999999999913</v>
      </c>
      <c r="Q131" s="185">
        <f t="shared" si="108"/>
        <v>19372.95</v>
      </c>
      <c r="R131" s="185">
        <f t="shared" si="111"/>
        <v>134.16999999999999</v>
      </c>
      <c r="S131" s="185">
        <f t="shared" si="111"/>
        <v>188.55</v>
      </c>
      <c r="T131" s="185">
        <f t="shared" si="101"/>
        <v>19856.129999999997</v>
      </c>
      <c r="U131" s="185">
        <f t="shared" si="87"/>
        <v>7416.4899999999943</v>
      </c>
      <c r="V131" s="185">
        <f t="shared" si="88"/>
        <v>2258459.0700000003</v>
      </c>
      <c r="W131" s="185">
        <f t="shared" si="89"/>
        <v>978683.50999999966</v>
      </c>
      <c r="X131" s="401" t="str">
        <f t="shared" si="76"/>
        <v xml:space="preserve"> </v>
      </c>
      <c r="Y131" s="185">
        <f t="shared" si="109"/>
        <v>924777.63000000024</v>
      </c>
      <c r="Z131" s="393">
        <f t="shared" si="66"/>
        <v>0.13125000000000001</v>
      </c>
      <c r="AA131" s="185">
        <f t="shared" si="67"/>
        <v>10874</v>
      </c>
      <c r="AB131" s="185">
        <f t="shared" si="68"/>
        <v>759.23999999999978</v>
      </c>
      <c r="AC131" s="185">
        <f t="shared" si="69"/>
        <v>10114.76</v>
      </c>
      <c r="AD131" s="185">
        <f t="shared" si="102"/>
        <v>134.16999999999999</v>
      </c>
      <c r="AE131" s="185">
        <f t="shared" si="102"/>
        <v>188.55</v>
      </c>
      <c r="AF131" s="185">
        <f t="shared" si="70"/>
        <v>11196.72</v>
      </c>
      <c r="AG131" s="185">
        <f t="shared" si="90"/>
        <v>61699.700000000019</v>
      </c>
      <c r="AH131" s="185">
        <f t="shared" si="91"/>
        <v>1084911.3000000003</v>
      </c>
      <c r="AI131" s="411">
        <f t="shared" si="103"/>
        <v>1089310.7400000009</v>
      </c>
      <c r="AJ131" s="411">
        <f t="shared" si="93"/>
        <v>54665.119999999413</v>
      </c>
      <c r="AK131" s="411">
        <f t="shared" si="104"/>
        <v>1143975.8600000003</v>
      </c>
      <c r="AL131" s="185">
        <f t="shared" si="110"/>
        <v>924018.39000000025</v>
      </c>
      <c r="AM131" s="317">
        <f t="shared" si="77"/>
        <v>9</v>
      </c>
      <c r="AN131" s="14">
        <f t="shared" si="105"/>
        <v>19533.41</v>
      </c>
      <c r="AO131" s="14">
        <f t="shared" si="97"/>
        <v>978683.51</v>
      </c>
      <c r="AP131" s="14">
        <f t="shared" si="106"/>
        <v>10874</v>
      </c>
      <c r="AS131" s="14">
        <f t="shared" si="72"/>
        <v>19533.41</v>
      </c>
      <c r="AT131" s="14">
        <f t="shared" si="78"/>
        <v>2265394.9999999972</v>
      </c>
      <c r="AU131" s="185">
        <f t="shared" si="79"/>
        <v>3285.2227079851241</v>
      </c>
      <c r="AV131" s="185">
        <f t="shared" si="80"/>
        <v>331274.30590203498</v>
      </c>
    </row>
    <row r="132" spans="1:48">
      <c r="A132" s="401" t="str">
        <f t="shared" si="81"/>
        <v xml:space="preserve"> </v>
      </c>
      <c r="B132" s="185">
        <f t="shared" si="73"/>
        <v>0</v>
      </c>
      <c r="C132" s="14">
        <f t="shared" si="63"/>
        <v>0</v>
      </c>
      <c r="D132" s="14">
        <f t="shared" si="82"/>
        <v>0</v>
      </c>
      <c r="E132" s="14">
        <f t="shared" si="64"/>
        <v>0</v>
      </c>
      <c r="F132" s="14">
        <f t="shared" si="99"/>
        <v>0</v>
      </c>
      <c r="G132" s="14">
        <f t="shared" si="99"/>
        <v>0</v>
      </c>
      <c r="H132" s="14">
        <f t="shared" si="100"/>
        <v>0</v>
      </c>
      <c r="I132" s="185">
        <f t="shared" si="83"/>
        <v>0</v>
      </c>
      <c r="J132" s="185">
        <f t="shared" si="84"/>
        <v>0</v>
      </c>
      <c r="K132" s="185">
        <f t="shared" si="85"/>
        <v>0</v>
      </c>
      <c r="L132" s="317">
        <f t="shared" si="98"/>
        <v>9</v>
      </c>
      <c r="M132" s="317">
        <f t="shared" si="74"/>
        <v>116</v>
      </c>
      <c r="N132" s="185">
        <f t="shared" si="75"/>
        <v>978683.50999999966</v>
      </c>
      <c r="O132" s="185">
        <f t="shared" si="107"/>
        <v>19533.41</v>
      </c>
      <c r="P132" s="185">
        <f t="shared" si="86"/>
        <v>163.63000000000102</v>
      </c>
      <c r="Q132" s="185">
        <f t="shared" si="108"/>
        <v>19369.78</v>
      </c>
      <c r="R132" s="185">
        <f t="shared" si="111"/>
        <v>134.16999999999999</v>
      </c>
      <c r="S132" s="185">
        <f t="shared" si="111"/>
        <v>188.55</v>
      </c>
      <c r="T132" s="185">
        <f t="shared" si="101"/>
        <v>19856.129999999997</v>
      </c>
      <c r="U132" s="185">
        <f t="shared" si="87"/>
        <v>7580.1199999999953</v>
      </c>
      <c r="V132" s="185">
        <f t="shared" si="88"/>
        <v>2277828.85</v>
      </c>
      <c r="W132" s="185">
        <f t="shared" si="89"/>
        <v>978519.87999999966</v>
      </c>
      <c r="X132" s="401" t="str">
        <f t="shared" si="76"/>
        <v xml:space="preserve"> </v>
      </c>
      <c r="Y132" s="185">
        <f t="shared" si="109"/>
        <v>924018.39000000025</v>
      </c>
      <c r="Z132" s="393">
        <f t="shared" si="66"/>
        <v>0.13125000000000001</v>
      </c>
      <c r="AA132" s="185">
        <f t="shared" si="67"/>
        <v>10874</v>
      </c>
      <c r="AB132" s="185">
        <f t="shared" si="68"/>
        <v>767.54999999999927</v>
      </c>
      <c r="AC132" s="185">
        <f t="shared" si="69"/>
        <v>10106.450000000001</v>
      </c>
      <c r="AD132" s="185">
        <f t="shared" si="102"/>
        <v>134.16999999999999</v>
      </c>
      <c r="AE132" s="185">
        <f t="shared" si="102"/>
        <v>188.55</v>
      </c>
      <c r="AF132" s="185">
        <f t="shared" si="70"/>
        <v>11196.72</v>
      </c>
      <c r="AG132" s="185">
        <f t="shared" si="90"/>
        <v>62467.250000000015</v>
      </c>
      <c r="AH132" s="185">
        <f t="shared" si="91"/>
        <v>1095017.7500000002</v>
      </c>
      <c r="AI132" s="411">
        <f t="shared" si="103"/>
        <v>1097970.1500000008</v>
      </c>
      <c r="AJ132" s="411">
        <f t="shared" si="93"/>
        <v>55269.039999999455</v>
      </c>
      <c r="AK132" s="411">
        <f t="shared" si="104"/>
        <v>1153239.1900000004</v>
      </c>
      <c r="AL132" s="185">
        <f t="shared" si="110"/>
        <v>923250.8400000002</v>
      </c>
      <c r="AM132" s="317">
        <f t="shared" si="77"/>
        <v>9</v>
      </c>
      <c r="AN132" s="14">
        <f t="shared" si="105"/>
        <v>19533.41</v>
      </c>
      <c r="AO132" s="14">
        <f t="shared" si="97"/>
        <v>978519.88</v>
      </c>
      <c r="AP132" s="14">
        <f t="shared" si="106"/>
        <v>10874</v>
      </c>
      <c r="AS132" s="14">
        <f t="shared" si="72"/>
        <v>19533.41</v>
      </c>
      <c r="AT132" s="14">
        <f t="shared" si="78"/>
        <v>2284928.4099999974</v>
      </c>
      <c r="AU132" s="185">
        <f t="shared" si="79"/>
        <v>3293.4357647550873</v>
      </c>
      <c r="AV132" s="185">
        <f t="shared" si="80"/>
        <v>334567.74166679004</v>
      </c>
    </row>
    <row r="133" spans="1:48">
      <c r="A133" s="401" t="str">
        <f t="shared" si="81"/>
        <v xml:space="preserve"> </v>
      </c>
      <c r="B133" s="185">
        <f t="shared" si="73"/>
        <v>0</v>
      </c>
      <c r="C133" s="14">
        <f t="shared" si="63"/>
        <v>0</v>
      </c>
      <c r="D133" s="14">
        <f t="shared" si="82"/>
        <v>0</v>
      </c>
      <c r="E133" s="14">
        <f t="shared" si="64"/>
        <v>0</v>
      </c>
      <c r="F133" s="14">
        <f t="shared" si="99"/>
        <v>0</v>
      </c>
      <c r="G133" s="14">
        <f t="shared" si="99"/>
        <v>0</v>
      </c>
      <c r="H133" s="14">
        <f t="shared" si="100"/>
        <v>0</v>
      </c>
      <c r="I133" s="185">
        <f t="shared" si="83"/>
        <v>0</v>
      </c>
      <c r="J133" s="185">
        <f t="shared" si="84"/>
        <v>0</v>
      </c>
      <c r="K133" s="185">
        <f t="shared" si="85"/>
        <v>0</v>
      </c>
      <c r="L133" s="317">
        <f t="shared" si="98"/>
        <v>9</v>
      </c>
      <c r="M133" s="317">
        <f t="shared" si="74"/>
        <v>117</v>
      </c>
      <c r="N133" s="185">
        <f t="shared" si="75"/>
        <v>978519.87999999966</v>
      </c>
      <c r="O133" s="185">
        <f t="shared" si="107"/>
        <v>19533.41</v>
      </c>
      <c r="P133" s="185">
        <f t="shared" si="86"/>
        <v>166.86999999999898</v>
      </c>
      <c r="Q133" s="185">
        <f t="shared" si="108"/>
        <v>19366.54</v>
      </c>
      <c r="R133" s="185">
        <f t="shared" si="111"/>
        <v>134.16999999999999</v>
      </c>
      <c r="S133" s="185">
        <f t="shared" si="111"/>
        <v>188.55</v>
      </c>
      <c r="T133" s="185">
        <f t="shared" si="101"/>
        <v>19856.129999999997</v>
      </c>
      <c r="U133" s="185">
        <f t="shared" si="87"/>
        <v>7746.9899999999943</v>
      </c>
      <c r="V133" s="185">
        <f t="shared" si="88"/>
        <v>2297195.39</v>
      </c>
      <c r="W133" s="185">
        <f t="shared" si="89"/>
        <v>978353.00999999966</v>
      </c>
      <c r="X133" s="401" t="str">
        <f t="shared" si="76"/>
        <v xml:space="preserve"> </v>
      </c>
      <c r="Y133" s="185">
        <f t="shared" si="109"/>
        <v>923250.8400000002</v>
      </c>
      <c r="Z133" s="393">
        <f t="shared" si="66"/>
        <v>0.13125000000000001</v>
      </c>
      <c r="AA133" s="185">
        <f t="shared" si="67"/>
        <v>10874</v>
      </c>
      <c r="AB133" s="185">
        <f t="shared" si="68"/>
        <v>775.94000000000051</v>
      </c>
      <c r="AC133" s="185">
        <f t="shared" si="69"/>
        <v>10098.06</v>
      </c>
      <c r="AD133" s="185">
        <f t="shared" si="102"/>
        <v>134.16999999999999</v>
      </c>
      <c r="AE133" s="185">
        <f t="shared" si="102"/>
        <v>188.55</v>
      </c>
      <c r="AF133" s="185">
        <f t="shared" si="70"/>
        <v>11196.72</v>
      </c>
      <c r="AG133" s="185">
        <f t="shared" si="90"/>
        <v>63243.190000000017</v>
      </c>
      <c r="AH133" s="185">
        <f t="shared" si="91"/>
        <v>1105115.8100000003</v>
      </c>
      <c r="AI133" s="411">
        <f t="shared" si="103"/>
        <v>1106629.5600000008</v>
      </c>
      <c r="AJ133" s="411">
        <f t="shared" si="93"/>
        <v>55878.109999999404</v>
      </c>
      <c r="AK133" s="411">
        <f t="shared" si="104"/>
        <v>1162507.6700000002</v>
      </c>
      <c r="AL133" s="185">
        <f t="shared" si="110"/>
        <v>922474.90000000026</v>
      </c>
      <c r="AM133" s="317">
        <f t="shared" si="77"/>
        <v>9</v>
      </c>
      <c r="AN133" s="14">
        <f t="shared" si="105"/>
        <v>19533.41</v>
      </c>
      <c r="AO133" s="14">
        <f t="shared" si="97"/>
        <v>978353.01</v>
      </c>
      <c r="AP133" s="14">
        <f t="shared" si="106"/>
        <v>10874</v>
      </c>
      <c r="AS133" s="14">
        <f t="shared" si="72"/>
        <v>19533.41</v>
      </c>
      <c r="AT133" s="14">
        <f t="shared" si="78"/>
        <v>2304461.8199999975</v>
      </c>
      <c r="AU133" s="185">
        <f t="shared" si="79"/>
        <v>3301.6693541669752</v>
      </c>
      <c r="AV133" s="185">
        <f t="shared" si="80"/>
        <v>337869.41102095699</v>
      </c>
    </row>
    <row r="134" spans="1:48">
      <c r="A134" s="401" t="str">
        <f t="shared" si="81"/>
        <v xml:space="preserve"> </v>
      </c>
      <c r="B134" s="185">
        <f t="shared" si="73"/>
        <v>0</v>
      </c>
      <c r="C134" s="14">
        <f t="shared" si="63"/>
        <v>0</v>
      </c>
      <c r="D134" s="14">
        <f t="shared" si="82"/>
        <v>0</v>
      </c>
      <c r="E134" s="14">
        <f t="shared" si="64"/>
        <v>0</v>
      </c>
      <c r="F134" s="14">
        <f t="shared" si="99"/>
        <v>0</v>
      </c>
      <c r="G134" s="14">
        <f t="shared" si="99"/>
        <v>0</v>
      </c>
      <c r="H134" s="14">
        <f t="shared" si="100"/>
        <v>0</v>
      </c>
      <c r="I134" s="185">
        <f t="shared" si="83"/>
        <v>0</v>
      </c>
      <c r="J134" s="185">
        <f t="shared" si="84"/>
        <v>0</v>
      </c>
      <c r="K134" s="185">
        <f t="shared" si="85"/>
        <v>0</v>
      </c>
      <c r="L134" s="317">
        <f t="shared" si="98"/>
        <v>9</v>
      </c>
      <c r="M134" s="317">
        <f t="shared" si="74"/>
        <v>118</v>
      </c>
      <c r="N134" s="185">
        <f t="shared" si="75"/>
        <v>978353.00999999966</v>
      </c>
      <c r="O134" s="185">
        <f t="shared" si="107"/>
        <v>19533.41</v>
      </c>
      <c r="P134" s="185">
        <f t="shared" si="86"/>
        <v>170.16999999999825</v>
      </c>
      <c r="Q134" s="185">
        <f t="shared" si="108"/>
        <v>19363.240000000002</v>
      </c>
      <c r="R134" s="185">
        <f t="shared" si="111"/>
        <v>134.16999999999999</v>
      </c>
      <c r="S134" s="185">
        <f t="shared" si="111"/>
        <v>188.55</v>
      </c>
      <c r="T134" s="185">
        <f t="shared" si="101"/>
        <v>19856.129999999997</v>
      </c>
      <c r="U134" s="185">
        <f t="shared" si="87"/>
        <v>7917.1599999999926</v>
      </c>
      <c r="V134" s="185">
        <f t="shared" si="88"/>
        <v>2316558.6300000004</v>
      </c>
      <c r="W134" s="185">
        <f t="shared" si="89"/>
        <v>978182.83999999962</v>
      </c>
      <c r="X134" s="401" t="str">
        <f t="shared" si="76"/>
        <v xml:space="preserve"> </v>
      </c>
      <c r="Y134" s="185">
        <f t="shared" si="109"/>
        <v>922474.90000000026</v>
      </c>
      <c r="Z134" s="393">
        <f t="shared" si="66"/>
        <v>0.13125000000000001</v>
      </c>
      <c r="AA134" s="185">
        <f t="shared" si="67"/>
        <v>10874</v>
      </c>
      <c r="AB134" s="185">
        <f t="shared" si="68"/>
        <v>784.43000000000029</v>
      </c>
      <c r="AC134" s="185">
        <f t="shared" si="69"/>
        <v>10089.57</v>
      </c>
      <c r="AD134" s="185">
        <f t="shared" si="102"/>
        <v>134.16999999999999</v>
      </c>
      <c r="AE134" s="185">
        <f t="shared" si="102"/>
        <v>188.55</v>
      </c>
      <c r="AF134" s="185">
        <f t="shared" si="70"/>
        <v>11196.72</v>
      </c>
      <c r="AG134" s="185">
        <f t="shared" si="90"/>
        <v>64027.620000000017</v>
      </c>
      <c r="AH134" s="185">
        <f t="shared" si="91"/>
        <v>1115205.3800000004</v>
      </c>
      <c r="AI134" s="411">
        <f t="shared" si="103"/>
        <v>1115288.9700000007</v>
      </c>
      <c r="AJ134" s="411">
        <f t="shared" si="93"/>
        <v>56492.369999999413</v>
      </c>
      <c r="AK134" s="411">
        <f t="shared" si="104"/>
        <v>1171781.3400000001</v>
      </c>
      <c r="AL134" s="185">
        <f t="shared" si="110"/>
        <v>921690.4700000002</v>
      </c>
      <c r="AM134" s="317">
        <f t="shared" si="77"/>
        <v>9</v>
      </c>
      <c r="AN134" s="14">
        <f t="shared" si="105"/>
        <v>19533.41</v>
      </c>
      <c r="AO134" s="14">
        <f t="shared" si="97"/>
        <v>978182.84</v>
      </c>
      <c r="AP134" s="14">
        <f t="shared" si="106"/>
        <v>10874</v>
      </c>
      <c r="AS134" s="14">
        <f t="shared" si="72"/>
        <v>19533.41</v>
      </c>
      <c r="AT134" s="14">
        <f t="shared" si="78"/>
        <v>2323995.2299999977</v>
      </c>
      <c r="AU134" s="185">
        <f t="shared" si="79"/>
        <v>3309.923527552392</v>
      </c>
      <c r="AV134" s="185">
        <f t="shared" si="80"/>
        <v>341179.33454850939</v>
      </c>
    </row>
    <row r="135" spans="1:48" ht="15.75" thickBot="1">
      <c r="A135" s="404" t="str">
        <f t="shared" si="81"/>
        <v xml:space="preserve"> </v>
      </c>
      <c r="B135" s="237">
        <f t="shared" si="73"/>
        <v>0</v>
      </c>
      <c r="C135" s="21">
        <f t="shared" si="63"/>
        <v>0</v>
      </c>
      <c r="D135" s="21">
        <f t="shared" si="82"/>
        <v>0</v>
      </c>
      <c r="E135" s="21">
        <f t="shared" si="64"/>
        <v>0</v>
      </c>
      <c r="F135" s="21">
        <f t="shared" si="99"/>
        <v>0</v>
      </c>
      <c r="G135" s="21">
        <f t="shared" si="99"/>
        <v>0</v>
      </c>
      <c r="H135" s="21">
        <f t="shared" si="100"/>
        <v>0</v>
      </c>
      <c r="I135" s="237">
        <f t="shared" si="83"/>
        <v>0</v>
      </c>
      <c r="J135" s="237">
        <f t="shared" si="84"/>
        <v>0</v>
      </c>
      <c r="K135" s="237">
        <f t="shared" si="85"/>
        <v>0</v>
      </c>
      <c r="L135" s="318">
        <f t="shared" si="98"/>
        <v>9</v>
      </c>
      <c r="M135" s="318">
        <f t="shared" si="74"/>
        <v>119</v>
      </c>
      <c r="N135" s="237">
        <f t="shared" si="75"/>
        <v>978182.83999999962</v>
      </c>
      <c r="O135" s="237">
        <f t="shared" si="107"/>
        <v>19533.41</v>
      </c>
      <c r="P135" s="237">
        <f t="shared" si="86"/>
        <v>173.54000000000087</v>
      </c>
      <c r="Q135" s="237">
        <f t="shared" si="108"/>
        <v>19359.87</v>
      </c>
      <c r="R135" s="237">
        <f t="shared" si="111"/>
        <v>134.16999999999999</v>
      </c>
      <c r="S135" s="237">
        <f t="shared" si="111"/>
        <v>188.55</v>
      </c>
      <c r="T135" s="237">
        <f t="shared" si="101"/>
        <v>19856.129999999997</v>
      </c>
      <c r="U135" s="237">
        <f t="shared" si="87"/>
        <v>8090.6999999999935</v>
      </c>
      <c r="V135" s="237">
        <f t="shared" si="88"/>
        <v>2335918.5000000005</v>
      </c>
      <c r="W135" s="237">
        <f t="shared" si="89"/>
        <v>978009.29999999958</v>
      </c>
      <c r="X135" s="404" t="str">
        <f t="shared" si="76"/>
        <v xml:space="preserve"> </v>
      </c>
      <c r="Y135" s="237">
        <f t="shared" si="109"/>
        <v>921690.4700000002</v>
      </c>
      <c r="Z135" s="394">
        <f t="shared" si="66"/>
        <v>0.13125000000000001</v>
      </c>
      <c r="AA135" s="237">
        <f t="shared" si="67"/>
        <v>10874</v>
      </c>
      <c r="AB135" s="237">
        <f t="shared" si="68"/>
        <v>793.01000000000022</v>
      </c>
      <c r="AC135" s="237">
        <f t="shared" si="69"/>
        <v>10080.99</v>
      </c>
      <c r="AD135" s="237">
        <f t="shared" si="102"/>
        <v>134.16999999999999</v>
      </c>
      <c r="AE135" s="237">
        <f t="shared" si="102"/>
        <v>188.55</v>
      </c>
      <c r="AF135" s="237">
        <f t="shared" si="70"/>
        <v>11196.72</v>
      </c>
      <c r="AG135" s="237">
        <f t="shared" si="90"/>
        <v>64820.630000000019</v>
      </c>
      <c r="AH135" s="237">
        <f t="shared" si="91"/>
        <v>1125286.3700000003</v>
      </c>
      <c r="AI135" s="412">
        <f t="shared" si="103"/>
        <v>1123948.3800000006</v>
      </c>
      <c r="AJ135" s="412">
        <f t="shared" si="93"/>
        <v>57111.839999999385</v>
      </c>
      <c r="AK135" s="412">
        <f t="shared" si="104"/>
        <v>1181060.22</v>
      </c>
      <c r="AL135" s="237">
        <f t="shared" si="110"/>
        <v>920897.4600000002</v>
      </c>
      <c r="AM135" s="318">
        <f t="shared" si="77"/>
        <v>9</v>
      </c>
      <c r="AN135" s="21">
        <f t="shared" si="105"/>
        <v>19533.41</v>
      </c>
      <c r="AO135" s="21">
        <f t="shared" si="97"/>
        <v>978009.3</v>
      </c>
      <c r="AP135" s="21">
        <f t="shared" si="106"/>
        <v>10874</v>
      </c>
      <c r="AQ135" s="21"/>
      <c r="AR135" s="23"/>
      <c r="AS135" s="21">
        <f t="shared" si="72"/>
        <v>19533.41</v>
      </c>
      <c r="AT135" s="21">
        <f t="shared" si="78"/>
        <v>2343528.6399999978</v>
      </c>
      <c r="AU135" s="237">
        <f t="shared" si="79"/>
        <v>3318.1983363712734</v>
      </c>
      <c r="AV135" s="237">
        <f t="shared" si="80"/>
        <v>344497.53288488067</v>
      </c>
    </row>
    <row r="136" spans="1:48">
      <c r="A136" s="401" t="str">
        <f t="shared" si="81"/>
        <v xml:space="preserve"> </v>
      </c>
      <c r="B136" s="185">
        <f t="shared" si="73"/>
        <v>0</v>
      </c>
      <c r="C136" s="14">
        <f t="shared" si="63"/>
        <v>0</v>
      </c>
      <c r="D136" s="14">
        <f t="shared" si="82"/>
        <v>0</v>
      </c>
      <c r="E136" s="14">
        <f t="shared" si="64"/>
        <v>0</v>
      </c>
      <c r="F136" s="14">
        <f t="shared" si="99"/>
        <v>0</v>
      </c>
      <c r="G136" s="14">
        <f t="shared" si="99"/>
        <v>0</v>
      </c>
      <c r="H136" s="14">
        <f t="shared" si="100"/>
        <v>0</v>
      </c>
      <c r="I136" s="185">
        <f t="shared" si="83"/>
        <v>0</v>
      </c>
      <c r="J136" s="185">
        <f t="shared" si="84"/>
        <v>0</v>
      </c>
      <c r="K136" s="185">
        <f t="shared" si="85"/>
        <v>0</v>
      </c>
      <c r="L136" s="317">
        <f t="shared" si="98"/>
        <v>10</v>
      </c>
      <c r="M136" s="317">
        <f t="shared" si="74"/>
        <v>120</v>
      </c>
      <c r="N136" s="185">
        <f t="shared" si="75"/>
        <v>978009.29999999958</v>
      </c>
      <c r="O136" s="185">
        <f t="shared" si="107"/>
        <v>19533.41</v>
      </c>
      <c r="P136" s="185">
        <f t="shared" si="86"/>
        <v>176.97999999999956</v>
      </c>
      <c r="Q136" s="185">
        <f t="shared" si="108"/>
        <v>19356.43</v>
      </c>
      <c r="R136" s="185">
        <f t="shared" si="111"/>
        <v>134.16999999999999</v>
      </c>
      <c r="S136" s="185">
        <f t="shared" si="111"/>
        <v>188.55</v>
      </c>
      <c r="T136" s="185">
        <f t="shared" si="101"/>
        <v>19856.129999999997</v>
      </c>
      <c r="U136" s="185">
        <f t="shared" si="87"/>
        <v>8267.679999999993</v>
      </c>
      <c r="V136" s="185">
        <f t="shared" si="88"/>
        <v>2355274.9300000006</v>
      </c>
      <c r="W136" s="185">
        <f t="shared" si="89"/>
        <v>977832.3199999996</v>
      </c>
      <c r="X136" s="401" t="str">
        <f t="shared" si="76"/>
        <v xml:space="preserve"> </v>
      </c>
      <c r="Y136" s="185">
        <f t="shared" si="109"/>
        <v>920897.4600000002</v>
      </c>
      <c r="Z136" s="393">
        <f t="shared" si="66"/>
        <v>0.13125000000000001</v>
      </c>
      <c r="AA136" s="185">
        <f t="shared" si="67"/>
        <v>10874</v>
      </c>
      <c r="AB136" s="185">
        <f t="shared" si="68"/>
        <v>801.68000000000029</v>
      </c>
      <c r="AC136" s="185">
        <f t="shared" si="69"/>
        <v>10072.32</v>
      </c>
      <c r="AD136" s="185">
        <f t="shared" si="102"/>
        <v>134.16999999999999</v>
      </c>
      <c r="AE136" s="185">
        <f t="shared" si="102"/>
        <v>188.55</v>
      </c>
      <c r="AF136" s="185">
        <f t="shared" si="70"/>
        <v>11196.72</v>
      </c>
      <c r="AG136" s="185">
        <f t="shared" si="90"/>
        <v>65622.310000000027</v>
      </c>
      <c r="AH136" s="185">
        <f t="shared" si="91"/>
        <v>1135358.6900000004</v>
      </c>
      <c r="AI136" s="411">
        <f t="shared" si="103"/>
        <v>1132607.7900000005</v>
      </c>
      <c r="AJ136" s="411">
        <f t="shared" si="93"/>
        <v>57736.539999999455</v>
      </c>
      <c r="AK136" s="411">
        <f t="shared" si="104"/>
        <v>1190344.33</v>
      </c>
      <c r="AL136" s="185">
        <f t="shared" si="110"/>
        <v>920095.78000000014</v>
      </c>
      <c r="AM136" s="317">
        <f t="shared" si="77"/>
        <v>10</v>
      </c>
      <c r="AN136" s="14">
        <f t="shared" si="105"/>
        <v>19533.41</v>
      </c>
      <c r="AO136" s="14">
        <f t="shared" si="97"/>
        <v>977832.32000000007</v>
      </c>
      <c r="AP136" s="14">
        <f t="shared" si="106"/>
        <v>10874</v>
      </c>
      <c r="AS136" s="14">
        <f t="shared" si="72"/>
        <v>19533.41</v>
      </c>
      <c r="AT136" s="14">
        <f t="shared" si="78"/>
        <v>2363062.049999998</v>
      </c>
      <c r="AU136" s="185">
        <f t="shared" si="79"/>
        <v>3326.4938322122016</v>
      </c>
      <c r="AV136" s="185">
        <f t="shared" si="80"/>
        <v>347824.02671709284</v>
      </c>
    </row>
    <row r="137" spans="1:48">
      <c r="A137" s="401" t="str">
        <f t="shared" si="81"/>
        <v xml:space="preserve"> </v>
      </c>
      <c r="B137" s="185">
        <f t="shared" si="73"/>
        <v>0</v>
      </c>
      <c r="C137" s="14">
        <f t="shared" si="63"/>
        <v>0</v>
      </c>
      <c r="D137" s="14">
        <f t="shared" si="82"/>
        <v>0</v>
      </c>
      <c r="E137" s="14">
        <f t="shared" si="64"/>
        <v>0</v>
      </c>
      <c r="F137" s="14">
        <f t="shared" si="99"/>
        <v>0</v>
      </c>
      <c r="G137" s="14">
        <f t="shared" si="99"/>
        <v>0</v>
      </c>
      <c r="H137" s="14">
        <f t="shared" si="100"/>
        <v>0</v>
      </c>
      <c r="I137" s="185">
        <f t="shared" si="83"/>
        <v>0</v>
      </c>
      <c r="J137" s="185">
        <f t="shared" si="84"/>
        <v>0</v>
      </c>
      <c r="K137" s="185">
        <f t="shared" si="85"/>
        <v>0</v>
      </c>
      <c r="L137" s="317">
        <f t="shared" si="98"/>
        <v>10</v>
      </c>
      <c r="M137" s="317">
        <f t="shared" si="74"/>
        <v>121</v>
      </c>
      <c r="N137" s="185">
        <f t="shared" si="75"/>
        <v>977832.3199999996</v>
      </c>
      <c r="O137" s="185">
        <f t="shared" si="107"/>
        <v>19533.41</v>
      </c>
      <c r="P137" s="185">
        <f t="shared" si="86"/>
        <v>180.47999999999956</v>
      </c>
      <c r="Q137" s="185">
        <f t="shared" si="108"/>
        <v>19352.93</v>
      </c>
      <c r="R137" s="185">
        <f t="shared" si="111"/>
        <v>134.16999999999999</v>
      </c>
      <c r="S137" s="185">
        <f t="shared" si="111"/>
        <v>188.55</v>
      </c>
      <c r="T137" s="185">
        <f t="shared" si="101"/>
        <v>19856.129999999997</v>
      </c>
      <c r="U137" s="185">
        <f t="shared" si="87"/>
        <v>8448.1599999999926</v>
      </c>
      <c r="V137" s="185">
        <f t="shared" si="88"/>
        <v>2374627.8600000008</v>
      </c>
      <c r="W137" s="185">
        <f t="shared" si="89"/>
        <v>977651.83999999962</v>
      </c>
      <c r="X137" s="401" t="str">
        <f t="shared" si="76"/>
        <v xml:space="preserve"> </v>
      </c>
      <c r="Y137" s="185">
        <f t="shared" si="109"/>
        <v>920095.78000000014</v>
      </c>
      <c r="Z137" s="393">
        <f t="shared" si="66"/>
        <v>0.13125000000000001</v>
      </c>
      <c r="AA137" s="185">
        <f t="shared" si="67"/>
        <v>10874</v>
      </c>
      <c r="AB137" s="185">
        <f t="shared" si="68"/>
        <v>810.45000000000073</v>
      </c>
      <c r="AC137" s="185">
        <f t="shared" si="69"/>
        <v>10063.549999999999</v>
      </c>
      <c r="AD137" s="185">
        <f t="shared" si="102"/>
        <v>134.16999999999999</v>
      </c>
      <c r="AE137" s="185">
        <f t="shared" si="102"/>
        <v>188.55</v>
      </c>
      <c r="AF137" s="185">
        <f t="shared" si="70"/>
        <v>11196.72</v>
      </c>
      <c r="AG137" s="185">
        <f t="shared" si="90"/>
        <v>66432.760000000024</v>
      </c>
      <c r="AH137" s="185">
        <f t="shared" si="91"/>
        <v>1145422.2400000005</v>
      </c>
      <c r="AI137" s="411">
        <f t="shared" si="103"/>
        <v>1141267.2000000004</v>
      </c>
      <c r="AJ137" s="411">
        <f t="shared" si="93"/>
        <v>58366.509999999427</v>
      </c>
      <c r="AK137" s="411">
        <f t="shared" si="104"/>
        <v>1199633.71</v>
      </c>
      <c r="AL137" s="185">
        <f t="shared" si="110"/>
        <v>919285.33000000019</v>
      </c>
      <c r="AM137" s="317">
        <f t="shared" si="77"/>
        <v>10</v>
      </c>
      <c r="AN137" s="14">
        <f t="shared" si="105"/>
        <v>19533.41</v>
      </c>
      <c r="AO137" s="14">
        <f t="shared" si="97"/>
        <v>977651.84</v>
      </c>
      <c r="AP137" s="14">
        <f t="shared" si="106"/>
        <v>10874</v>
      </c>
      <c r="AS137" s="14">
        <f t="shared" si="72"/>
        <v>19533.41</v>
      </c>
      <c r="AT137" s="14">
        <f t="shared" si="78"/>
        <v>2382595.4599999981</v>
      </c>
      <c r="AU137" s="185">
        <f t="shared" si="79"/>
        <v>3334.810066792732</v>
      </c>
      <c r="AV137" s="185">
        <f t="shared" si="80"/>
        <v>351158.83678388555</v>
      </c>
    </row>
    <row r="138" spans="1:48">
      <c r="A138" s="401" t="str">
        <f t="shared" si="81"/>
        <v xml:space="preserve"> </v>
      </c>
      <c r="B138" s="185">
        <f t="shared" si="73"/>
        <v>0</v>
      </c>
      <c r="C138" s="14">
        <f t="shared" si="63"/>
        <v>0</v>
      </c>
      <c r="D138" s="14">
        <f t="shared" si="82"/>
        <v>0</v>
      </c>
      <c r="E138" s="14">
        <f t="shared" si="64"/>
        <v>0</v>
      </c>
      <c r="F138" s="14">
        <f t="shared" si="99"/>
        <v>0</v>
      </c>
      <c r="G138" s="14">
        <f t="shared" si="99"/>
        <v>0</v>
      </c>
      <c r="H138" s="14">
        <f t="shared" si="100"/>
        <v>0</v>
      </c>
      <c r="I138" s="185">
        <f t="shared" si="83"/>
        <v>0</v>
      </c>
      <c r="J138" s="185">
        <f t="shared" si="84"/>
        <v>0</v>
      </c>
      <c r="K138" s="185">
        <f t="shared" si="85"/>
        <v>0</v>
      </c>
      <c r="L138" s="317">
        <f t="shared" si="98"/>
        <v>10</v>
      </c>
      <c r="M138" s="317">
        <f t="shared" si="74"/>
        <v>122</v>
      </c>
      <c r="N138" s="185">
        <f t="shared" si="75"/>
        <v>977651.83999999962</v>
      </c>
      <c r="O138" s="185">
        <f t="shared" si="107"/>
        <v>19533.41</v>
      </c>
      <c r="P138" s="185">
        <f t="shared" si="86"/>
        <v>184.04999999999927</v>
      </c>
      <c r="Q138" s="185">
        <f t="shared" si="108"/>
        <v>19349.36</v>
      </c>
      <c r="R138" s="185">
        <f t="shared" si="111"/>
        <v>134.16999999999999</v>
      </c>
      <c r="S138" s="185">
        <f t="shared" si="111"/>
        <v>188.55</v>
      </c>
      <c r="T138" s="185">
        <f t="shared" si="101"/>
        <v>19856.129999999997</v>
      </c>
      <c r="U138" s="185">
        <f t="shared" si="87"/>
        <v>8632.2099999999919</v>
      </c>
      <c r="V138" s="185">
        <f t="shared" si="88"/>
        <v>2393977.2200000007</v>
      </c>
      <c r="W138" s="185">
        <f t="shared" si="89"/>
        <v>977467.78999999957</v>
      </c>
      <c r="X138" s="401" t="str">
        <f t="shared" si="76"/>
        <v xml:space="preserve"> </v>
      </c>
      <c r="Y138" s="185">
        <f t="shared" si="109"/>
        <v>919285.33000000019</v>
      </c>
      <c r="Z138" s="393">
        <f t="shared" si="66"/>
        <v>0.13125000000000001</v>
      </c>
      <c r="AA138" s="185">
        <f t="shared" si="67"/>
        <v>10874</v>
      </c>
      <c r="AB138" s="185">
        <f t="shared" si="68"/>
        <v>819.31999999999971</v>
      </c>
      <c r="AC138" s="185">
        <f t="shared" si="69"/>
        <v>10054.68</v>
      </c>
      <c r="AD138" s="185">
        <f t="shared" si="102"/>
        <v>134.16999999999999</v>
      </c>
      <c r="AE138" s="185">
        <f t="shared" si="102"/>
        <v>188.55</v>
      </c>
      <c r="AF138" s="185">
        <f t="shared" si="70"/>
        <v>11196.72</v>
      </c>
      <c r="AG138" s="185">
        <f t="shared" si="90"/>
        <v>67252.080000000016</v>
      </c>
      <c r="AH138" s="185">
        <f t="shared" si="91"/>
        <v>1155476.9200000004</v>
      </c>
      <c r="AI138" s="411">
        <f t="shared" si="103"/>
        <v>1149926.6100000003</v>
      </c>
      <c r="AJ138" s="411">
        <f t="shared" si="93"/>
        <v>59001.779999999329</v>
      </c>
      <c r="AK138" s="411">
        <f t="shared" si="104"/>
        <v>1208928.3899999997</v>
      </c>
      <c r="AL138" s="185">
        <f t="shared" si="110"/>
        <v>918466.01000000024</v>
      </c>
      <c r="AM138" s="317">
        <f t="shared" si="77"/>
        <v>10</v>
      </c>
      <c r="AN138" s="14">
        <f t="shared" si="105"/>
        <v>19533.41</v>
      </c>
      <c r="AO138" s="14">
        <f t="shared" si="97"/>
        <v>977467.79</v>
      </c>
      <c r="AP138" s="14">
        <f t="shared" si="106"/>
        <v>10874</v>
      </c>
      <c r="AS138" s="14">
        <f t="shared" si="72"/>
        <v>19533.41</v>
      </c>
      <c r="AT138" s="14">
        <f t="shared" si="78"/>
        <v>2402128.8699999982</v>
      </c>
      <c r="AU138" s="185">
        <f t="shared" si="79"/>
        <v>3343.1470919597136</v>
      </c>
      <c r="AV138" s="185">
        <f t="shared" si="80"/>
        <v>354501.98387584527</v>
      </c>
    </row>
    <row r="139" spans="1:48">
      <c r="A139" s="401" t="str">
        <f t="shared" si="81"/>
        <v xml:space="preserve"> </v>
      </c>
      <c r="B139" s="185">
        <f t="shared" si="73"/>
        <v>0</v>
      </c>
      <c r="C139" s="14">
        <f t="shared" si="63"/>
        <v>0</v>
      </c>
      <c r="D139" s="14">
        <f t="shared" si="82"/>
        <v>0</v>
      </c>
      <c r="E139" s="14">
        <f t="shared" si="64"/>
        <v>0</v>
      </c>
      <c r="F139" s="14">
        <f t="shared" ref="F139:G154" si="112">+F138</f>
        <v>0</v>
      </c>
      <c r="G139" s="14">
        <f t="shared" si="112"/>
        <v>0</v>
      </c>
      <c r="H139" s="14">
        <f t="shared" si="100"/>
        <v>0</v>
      </c>
      <c r="I139" s="185">
        <f t="shared" si="83"/>
        <v>0</v>
      </c>
      <c r="J139" s="185">
        <f t="shared" si="84"/>
        <v>0</v>
      </c>
      <c r="K139" s="185">
        <f t="shared" si="85"/>
        <v>0</v>
      </c>
      <c r="L139" s="317">
        <f t="shared" si="98"/>
        <v>10</v>
      </c>
      <c r="M139" s="317">
        <f t="shared" si="74"/>
        <v>123</v>
      </c>
      <c r="N139" s="185">
        <f t="shared" si="75"/>
        <v>977467.78999999957</v>
      </c>
      <c r="O139" s="185">
        <f t="shared" si="107"/>
        <v>19533.41</v>
      </c>
      <c r="P139" s="185">
        <f t="shared" si="86"/>
        <v>187.68999999999869</v>
      </c>
      <c r="Q139" s="185">
        <f t="shared" si="108"/>
        <v>19345.72</v>
      </c>
      <c r="R139" s="185">
        <f t="shared" si="111"/>
        <v>134.16999999999999</v>
      </c>
      <c r="S139" s="185">
        <f t="shared" si="111"/>
        <v>188.55</v>
      </c>
      <c r="T139" s="185">
        <f t="shared" si="101"/>
        <v>19856.129999999997</v>
      </c>
      <c r="U139" s="185">
        <f t="shared" si="87"/>
        <v>8819.8999999999905</v>
      </c>
      <c r="V139" s="185">
        <f t="shared" si="88"/>
        <v>2413322.9400000009</v>
      </c>
      <c r="W139" s="185">
        <f t="shared" si="89"/>
        <v>977280.09999999963</v>
      </c>
      <c r="X139" s="401" t="str">
        <f t="shared" si="76"/>
        <v xml:space="preserve"> </v>
      </c>
      <c r="Y139" s="185">
        <f t="shared" si="109"/>
        <v>918466.01000000024</v>
      </c>
      <c r="Z139" s="393">
        <f t="shared" si="66"/>
        <v>0.13125000000000001</v>
      </c>
      <c r="AA139" s="185">
        <f t="shared" si="67"/>
        <v>10874</v>
      </c>
      <c r="AB139" s="185">
        <f t="shared" si="68"/>
        <v>828.28000000000065</v>
      </c>
      <c r="AC139" s="185">
        <f t="shared" si="69"/>
        <v>10045.719999999999</v>
      </c>
      <c r="AD139" s="185">
        <f t="shared" si="102"/>
        <v>134.16999999999999</v>
      </c>
      <c r="AE139" s="185">
        <f t="shared" si="102"/>
        <v>188.55</v>
      </c>
      <c r="AF139" s="185">
        <f t="shared" si="70"/>
        <v>11196.72</v>
      </c>
      <c r="AG139" s="185">
        <f t="shared" si="90"/>
        <v>68080.360000000015</v>
      </c>
      <c r="AH139" s="185">
        <f t="shared" si="91"/>
        <v>1165522.6400000004</v>
      </c>
      <c r="AI139" s="411">
        <f t="shared" si="103"/>
        <v>1158586.0200000003</v>
      </c>
      <c r="AJ139" s="411">
        <f t="shared" si="93"/>
        <v>59642.369999999413</v>
      </c>
      <c r="AK139" s="411">
        <f t="shared" si="104"/>
        <v>1218228.3899999997</v>
      </c>
      <c r="AL139" s="185">
        <f t="shared" si="110"/>
        <v>917637.73000000021</v>
      </c>
      <c r="AM139" s="317">
        <f t="shared" si="77"/>
        <v>10</v>
      </c>
      <c r="AN139" s="14">
        <f t="shared" si="105"/>
        <v>19533.41</v>
      </c>
      <c r="AO139" s="14">
        <f t="shared" si="97"/>
        <v>977280.1</v>
      </c>
      <c r="AP139" s="14">
        <f t="shared" si="106"/>
        <v>10874</v>
      </c>
      <c r="AS139" s="14">
        <f t="shared" si="72"/>
        <v>19533.41</v>
      </c>
      <c r="AT139" s="14">
        <f t="shared" si="78"/>
        <v>2421662.2799999984</v>
      </c>
      <c r="AU139" s="185">
        <f t="shared" si="79"/>
        <v>3351.5049596896133</v>
      </c>
      <c r="AV139" s="185">
        <f t="shared" si="80"/>
        <v>357853.4888355349</v>
      </c>
    </row>
    <row r="140" spans="1:48">
      <c r="A140" s="401" t="str">
        <f t="shared" si="81"/>
        <v xml:space="preserve"> </v>
      </c>
      <c r="B140" s="185">
        <f t="shared" si="73"/>
        <v>0</v>
      </c>
      <c r="C140" s="14">
        <f t="shared" si="63"/>
        <v>0</v>
      </c>
      <c r="D140" s="14">
        <f t="shared" si="82"/>
        <v>0</v>
      </c>
      <c r="E140" s="14">
        <f t="shared" si="64"/>
        <v>0</v>
      </c>
      <c r="F140" s="14">
        <f t="shared" si="112"/>
        <v>0</v>
      </c>
      <c r="G140" s="14">
        <f t="shared" si="112"/>
        <v>0</v>
      </c>
      <c r="H140" s="14">
        <f t="shared" si="100"/>
        <v>0</v>
      </c>
      <c r="I140" s="185">
        <f t="shared" si="83"/>
        <v>0</v>
      </c>
      <c r="J140" s="185">
        <f t="shared" si="84"/>
        <v>0</v>
      </c>
      <c r="K140" s="185">
        <f t="shared" si="85"/>
        <v>0</v>
      </c>
      <c r="L140" s="317">
        <f t="shared" si="98"/>
        <v>10</v>
      </c>
      <c r="M140" s="317">
        <f t="shared" si="74"/>
        <v>124</v>
      </c>
      <c r="N140" s="185">
        <f t="shared" si="75"/>
        <v>977280.09999999963</v>
      </c>
      <c r="O140" s="185">
        <f t="shared" si="107"/>
        <v>19533.41</v>
      </c>
      <c r="P140" s="185">
        <f t="shared" si="86"/>
        <v>191.40999999999985</v>
      </c>
      <c r="Q140" s="185">
        <f t="shared" si="108"/>
        <v>19342</v>
      </c>
      <c r="R140" s="185">
        <f t="shared" si="111"/>
        <v>134.16999999999999</v>
      </c>
      <c r="S140" s="185">
        <f t="shared" si="111"/>
        <v>188.55</v>
      </c>
      <c r="T140" s="185">
        <f t="shared" si="101"/>
        <v>19856.129999999997</v>
      </c>
      <c r="U140" s="185">
        <f t="shared" si="87"/>
        <v>9011.3099999999904</v>
      </c>
      <c r="V140" s="185">
        <f t="shared" si="88"/>
        <v>2432664.9400000009</v>
      </c>
      <c r="W140" s="185">
        <f t="shared" si="89"/>
        <v>977088.68999999959</v>
      </c>
      <c r="X140" s="401" t="str">
        <f t="shared" si="76"/>
        <v xml:space="preserve"> </v>
      </c>
      <c r="Y140" s="185">
        <f t="shared" si="109"/>
        <v>917637.73000000021</v>
      </c>
      <c r="Z140" s="393">
        <f t="shared" si="66"/>
        <v>0.13125000000000001</v>
      </c>
      <c r="AA140" s="185">
        <f t="shared" si="67"/>
        <v>10874</v>
      </c>
      <c r="AB140" s="185">
        <f t="shared" si="68"/>
        <v>837.34000000000015</v>
      </c>
      <c r="AC140" s="185">
        <f t="shared" si="69"/>
        <v>10036.66</v>
      </c>
      <c r="AD140" s="185">
        <f t="shared" si="102"/>
        <v>134.16999999999999</v>
      </c>
      <c r="AE140" s="185">
        <f t="shared" si="102"/>
        <v>188.55</v>
      </c>
      <c r="AF140" s="185">
        <f t="shared" si="70"/>
        <v>11196.72</v>
      </c>
      <c r="AG140" s="185">
        <f t="shared" si="90"/>
        <v>68917.700000000012</v>
      </c>
      <c r="AH140" s="185">
        <f t="shared" si="91"/>
        <v>1175559.3000000003</v>
      </c>
      <c r="AI140" s="411">
        <f t="shared" si="103"/>
        <v>1167245.4300000002</v>
      </c>
      <c r="AJ140" s="411">
        <f t="shared" si="93"/>
        <v>60288.299999999348</v>
      </c>
      <c r="AK140" s="411">
        <f t="shared" si="104"/>
        <v>1227533.7299999995</v>
      </c>
      <c r="AL140" s="185">
        <f t="shared" si="110"/>
        <v>916800.39000000025</v>
      </c>
      <c r="AM140" s="317">
        <f t="shared" si="77"/>
        <v>10</v>
      </c>
      <c r="AN140" s="14">
        <f t="shared" si="105"/>
        <v>19533.41</v>
      </c>
      <c r="AO140" s="14">
        <f t="shared" si="97"/>
        <v>977088.69000000006</v>
      </c>
      <c r="AP140" s="14">
        <f t="shared" si="106"/>
        <v>10874</v>
      </c>
      <c r="AS140" s="14">
        <f t="shared" si="72"/>
        <v>19533.41</v>
      </c>
      <c r="AT140" s="14">
        <f t="shared" si="78"/>
        <v>2441195.6899999985</v>
      </c>
      <c r="AU140" s="185">
        <f t="shared" si="79"/>
        <v>3359.8837220888377</v>
      </c>
      <c r="AV140" s="185">
        <f t="shared" si="80"/>
        <v>361213.37255762372</v>
      </c>
    </row>
    <row r="141" spans="1:48">
      <c r="A141" s="401" t="str">
        <f t="shared" si="81"/>
        <v xml:space="preserve"> </v>
      </c>
      <c r="B141" s="185">
        <f t="shared" si="73"/>
        <v>0</v>
      </c>
      <c r="C141" s="14">
        <f t="shared" si="63"/>
        <v>0</v>
      </c>
      <c r="D141" s="14">
        <f t="shared" si="82"/>
        <v>0</v>
      </c>
      <c r="E141" s="14">
        <f t="shared" si="64"/>
        <v>0</v>
      </c>
      <c r="F141" s="14">
        <f t="shared" si="112"/>
        <v>0</v>
      </c>
      <c r="G141" s="14">
        <f t="shared" si="112"/>
        <v>0</v>
      </c>
      <c r="H141" s="14">
        <f t="shared" si="100"/>
        <v>0</v>
      </c>
      <c r="I141" s="185">
        <f t="shared" si="83"/>
        <v>0</v>
      </c>
      <c r="J141" s="185">
        <f t="shared" si="84"/>
        <v>0</v>
      </c>
      <c r="K141" s="185">
        <f t="shared" si="85"/>
        <v>0</v>
      </c>
      <c r="L141" s="317">
        <f t="shared" si="98"/>
        <v>10</v>
      </c>
      <c r="M141" s="317">
        <f t="shared" si="74"/>
        <v>125</v>
      </c>
      <c r="N141" s="185">
        <f t="shared" si="75"/>
        <v>977088.68999999959</v>
      </c>
      <c r="O141" s="185">
        <f t="shared" si="107"/>
        <v>19533.41</v>
      </c>
      <c r="P141" s="185">
        <f t="shared" si="86"/>
        <v>195.20000000000073</v>
      </c>
      <c r="Q141" s="185">
        <f t="shared" si="108"/>
        <v>19338.21</v>
      </c>
      <c r="R141" s="185">
        <f t="shared" si="111"/>
        <v>134.16999999999999</v>
      </c>
      <c r="S141" s="185">
        <f t="shared" si="111"/>
        <v>188.55</v>
      </c>
      <c r="T141" s="185">
        <f t="shared" si="101"/>
        <v>19856.129999999997</v>
      </c>
      <c r="U141" s="185">
        <f t="shared" si="87"/>
        <v>9206.5099999999911</v>
      </c>
      <c r="V141" s="185">
        <f t="shared" si="88"/>
        <v>2452003.1500000008</v>
      </c>
      <c r="W141" s="185">
        <f t="shared" si="89"/>
        <v>976893.48999999964</v>
      </c>
      <c r="X141" s="401" t="str">
        <f t="shared" si="76"/>
        <v xml:space="preserve"> </v>
      </c>
      <c r="Y141" s="185">
        <f t="shared" si="109"/>
        <v>916800.39000000025</v>
      </c>
      <c r="Z141" s="393">
        <f t="shared" si="66"/>
        <v>0.13125000000000001</v>
      </c>
      <c r="AA141" s="185">
        <f t="shared" si="67"/>
        <v>10874</v>
      </c>
      <c r="AB141" s="185">
        <f t="shared" si="68"/>
        <v>846.5</v>
      </c>
      <c r="AC141" s="185">
        <f t="shared" si="69"/>
        <v>10027.5</v>
      </c>
      <c r="AD141" s="185">
        <f t="shared" ref="AD141:AE156" si="113">+AD140</f>
        <v>134.16999999999999</v>
      </c>
      <c r="AE141" s="185">
        <f t="shared" si="113"/>
        <v>188.55</v>
      </c>
      <c r="AF141" s="185">
        <f t="shared" si="70"/>
        <v>11196.72</v>
      </c>
      <c r="AG141" s="185">
        <f t="shared" si="90"/>
        <v>69764.200000000012</v>
      </c>
      <c r="AH141" s="185">
        <f t="shared" si="91"/>
        <v>1185586.8000000003</v>
      </c>
      <c r="AI141" s="411">
        <f t="shared" si="103"/>
        <v>1175904.8400000001</v>
      </c>
      <c r="AJ141" s="411">
        <f t="shared" si="93"/>
        <v>60939.599999999395</v>
      </c>
      <c r="AK141" s="411">
        <f t="shared" si="104"/>
        <v>1236844.4399999995</v>
      </c>
      <c r="AL141" s="185">
        <f t="shared" si="110"/>
        <v>915953.89000000025</v>
      </c>
      <c r="AM141" s="317">
        <f t="shared" si="77"/>
        <v>10</v>
      </c>
      <c r="AN141" s="14">
        <f t="shared" si="105"/>
        <v>19533.41</v>
      </c>
      <c r="AO141" s="14">
        <f t="shared" si="97"/>
        <v>976893.49</v>
      </c>
      <c r="AP141" s="14">
        <f t="shared" si="106"/>
        <v>10874</v>
      </c>
      <c r="AS141" s="14">
        <f t="shared" si="72"/>
        <v>19533.41</v>
      </c>
      <c r="AT141" s="14">
        <f t="shared" si="78"/>
        <v>2460729.0999999987</v>
      </c>
      <c r="AU141" s="185">
        <f t="shared" si="79"/>
        <v>3368.2834313940589</v>
      </c>
      <c r="AV141" s="185">
        <f t="shared" si="80"/>
        <v>364581.6559890178</v>
      </c>
    </row>
    <row r="142" spans="1:48">
      <c r="A142" s="401" t="str">
        <f t="shared" si="81"/>
        <v xml:space="preserve"> </v>
      </c>
      <c r="B142" s="185">
        <f t="shared" si="73"/>
        <v>0</v>
      </c>
      <c r="C142" s="14">
        <f t="shared" si="63"/>
        <v>0</v>
      </c>
      <c r="D142" s="14">
        <f t="shared" si="82"/>
        <v>0</v>
      </c>
      <c r="E142" s="14">
        <f t="shared" si="64"/>
        <v>0</v>
      </c>
      <c r="F142" s="14">
        <f t="shared" si="112"/>
        <v>0</v>
      </c>
      <c r="G142" s="14">
        <f t="shared" si="112"/>
        <v>0</v>
      </c>
      <c r="H142" s="14">
        <f t="shared" si="100"/>
        <v>0</v>
      </c>
      <c r="I142" s="185">
        <f t="shared" si="83"/>
        <v>0</v>
      </c>
      <c r="J142" s="185">
        <f t="shared" si="84"/>
        <v>0</v>
      </c>
      <c r="K142" s="185">
        <f t="shared" si="85"/>
        <v>0</v>
      </c>
      <c r="L142" s="317">
        <f t="shared" si="98"/>
        <v>10</v>
      </c>
      <c r="M142" s="317">
        <f t="shared" si="74"/>
        <v>126</v>
      </c>
      <c r="N142" s="185">
        <f t="shared" si="75"/>
        <v>976893.48999999964</v>
      </c>
      <c r="O142" s="185">
        <f t="shared" si="107"/>
        <v>19533.41</v>
      </c>
      <c r="P142" s="185">
        <f t="shared" si="86"/>
        <v>199.06000000000131</v>
      </c>
      <c r="Q142" s="185">
        <f t="shared" si="108"/>
        <v>19334.349999999999</v>
      </c>
      <c r="R142" s="185">
        <f t="shared" si="111"/>
        <v>134.16999999999999</v>
      </c>
      <c r="S142" s="185">
        <f t="shared" si="111"/>
        <v>188.55</v>
      </c>
      <c r="T142" s="185">
        <f t="shared" si="101"/>
        <v>19856.129999999997</v>
      </c>
      <c r="U142" s="185">
        <f t="shared" si="87"/>
        <v>9405.5699999999924</v>
      </c>
      <c r="V142" s="185">
        <f t="shared" si="88"/>
        <v>2471337.5000000009</v>
      </c>
      <c r="W142" s="185">
        <f t="shared" si="89"/>
        <v>976694.42999999959</v>
      </c>
      <c r="X142" s="401" t="str">
        <f t="shared" si="76"/>
        <v xml:space="preserve"> </v>
      </c>
      <c r="Y142" s="185">
        <f t="shared" si="109"/>
        <v>915953.89000000025</v>
      </c>
      <c r="Z142" s="393">
        <f t="shared" si="66"/>
        <v>0.13125000000000001</v>
      </c>
      <c r="AA142" s="185">
        <f t="shared" si="67"/>
        <v>10874</v>
      </c>
      <c r="AB142" s="185">
        <f t="shared" si="68"/>
        <v>855.75</v>
      </c>
      <c r="AC142" s="185">
        <f t="shared" si="69"/>
        <v>10018.25</v>
      </c>
      <c r="AD142" s="185">
        <f t="shared" si="113"/>
        <v>134.16999999999999</v>
      </c>
      <c r="AE142" s="185">
        <f t="shared" si="113"/>
        <v>188.55</v>
      </c>
      <c r="AF142" s="185">
        <f t="shared" si="70"/>
        <v>11196.72</v>
      </c>
      <c r="AG142" s="185">
        <f t="shared" si="90"/>
        <v>70619.950000000012</v>
      </c>
      <c r="AH142" s="185">
        <f t="shared" si="91"/>
        <v>1195605.0500000003</v>
      </c>
      <c r="AI142" s="411">
        <f t="shared" si="103"/>
        <v>1184564.25</v>
      </c>
      <c r="AJ142" s="411">
        <f t="shared" si="93"/>
        <v>61596.289999999339</v>
      </c>
      <c r="AK142" s="411">
        <f t="shared" si="104"/>
        <v>1246160.5399999993</v>
      </c>
      <c r="AL142" s="185">
        <f t="shared" si="110"/>
        <v>915098.14000000025</v>
      </c>
      <c r="AM142" s="317">
        <f t="shared" si="77"/>
        <v>10</v>
      </c>
      <c r="AN142" s="14">
        <f t="shared" si="105"/>
        <v>19533.41</v>
      </c>
      <c r="AO142" s="14">
        <f t="shared" si="97"/>
        <v>976694.43</v>
      </c>
      <c r="AP142" s="14">
        <f t="shared" si="106"/>
        <v>10874</v>
      </c>
      <c r="AS142" s="14">
        <f t="shared" si="72"/>
        <v>19533.41</v>
      </c>
      <c r="AT142" s="14">
        <f t="shared" si="78"/>
        <v>2480262.5099999988</v>
      </c>
      <c r="AU142" s="185">
        <f t="shared" si="79"/>
        <v>3376.7041399725445</v>
      </c>
      <c r="AV142" s="185">
        <f t="shared" si="80"/>
        <v>367958.36012899037</v>
      </c>
    </row>
    <row r="143" spans="1:48">
      <c r="A143" s="401" t="str">
        <f t="shared" si="81"/>
        <v xml:space="preserve"> </v>
      </c>
      <c r="B143" s="185">
        <f t="shared" si="73"/>
        <v>0</v>
      </c>
      <c r="C143" s="14">
        <f t="shared" si="63"/>
        <v>0</v>
      </c>
      <c r="D143" s="14">
        <f t="shared" si="82"/>
        <v>0</v>
      </c>
      <c r="E143" s="14">
        <f t="shared" si="64"/>
        <v>0</v>
      </c>
      <c r="F143" s="14">
        <f t="shared" si="112"/>
        <v>0</v>
      </c>
      <c r="G143" s="14">
        <f t="shared" si="112"/>
        <v>0</v>
      </c>
      <c r="H143" s="14">
        <f t="shared" si="100"/>
        <v>0</v>
      </c>
      <c r="I143" s="185">
        <f t="shared" si="83"/>
        <v>0</v>
      </c>
      <c r="J143" s="185">
        <f t="shared" si="84"/>
        <v>0</v>
      </c>
      <c r="K143" s="185">
        <f t="shared" si="85"/>
        <v>0</v>
      </c>
      <c r="L143" s="317">
        <f t="shared" si="98"/>
        <v>10</v>
      </c>
      <c r="M143" s="317">
        <f t="shared" si="74"/>
        <v>127</v>
      </c>
      <c r="N143" s="185">
        <f t="shared" si="75"/>
        <v>976694.42999999959</v>
      </c>
      <c r="O143" s="185">
        <f t="shared" si="107"/>
        <v>19533.41</v>
      </c>
      <c r="P143" s="185">
        <f t="shared" si="86"/>
        <v>203</v>
      </c>
      <c r="Q143" s="185">
        <f t="shared" si="108"/>
        <v>19330.41</v>
      </c>
      <c r="R143" s="185">
        <f t="shared" si="111"/>
        <v>134.16999999999999</v>
      </c>
      <c r="S143" s="185">
        <f t="shared" si="111"/>
        <v>188.55</v>
      </c>
      <c r="T143" s="185">
        <f t="shared" si="101"/>
        <v>19856.129999999997</v>
      </c>
      <c r="U143" s="185">
        <f t="shared" si="87"/>
        <v>9608.5699999999924</v>
      </c>
      <c r="V143" s="185">
        <f t="shared" si="88"/>
        <v>2490667.9100000011</v>
      </c>
      <c r="W143" s="185">
        <f t="shared" si="89"/>
        <v>976491.42999999959</v>
      </c>
      <c r="X143" s="401" t="str">
        <f t="shared" si="76"/>
        <v xml:space="preserve"> </v>
      </c>
      <c r="Y143" s="185">
        <f t="shared" si="109"/>
        <v>915098.14000000025</v>
      </c>
      <c r="Z143" s="393">
        <f t="shared" si="66"/>
        <v>0.13125000000000001</v>
      </c>
      <c r="AA143" s="185">
        <f t="shared" si="67"/>
        <v>10874</v>
      </c>
      <c r="AB143" s="185">
        <f t="shared" si="68"/>
        <v>865.11000000000058</v>
      </c>
      <c r="AC143" s="185">
        <f t="shared" si="69"/>
        <v>10008.89</v>
      </c>
      <c r="AD143" s="185">
        <f t="shared" si="113"/>
        <v>134.16999999999999</v>
      </c>
      <c r="AE143" s="185">
        <f t="shared" si="113"/>
        <v>188.55</v>
      </c>
      <c r="AF143" s="185">
        <f t="shared" si="70"/>
        <v>11196.72</v>
      </c>
      <c r="AG143" s="185">
        <f t="shared" si="90"/>
        <v>71485.060000000012</v>
      </c>
      <c r="AH143" s="185">
        <f t="shared" si="91"/>
        <v>1205613.9400000002</v>
      </c>
      <c r="AI143" s="411">
        <f t="shared" si="103"/>
        <v>1193223.6599999999</v>
      </c>
      <c r="AJ143" s="411">
        <f t="shared" si="93"/>
        <v>62258.399999999325</v>
      </c>
      <c r="AK143" s="411">
        <f t="shared" si="104"/>
        <v>1255482.0599999991</v>
      </c>
      <c r="AL143" s="185">
        <f t="shared" si="110"/>
        <v>914233.03000000026</v>
      </c>
      <c r="AM143" s="317">
        <f t="shared" si="77"/>
        <v>10</v>
      </c>
      <c r="AN143" s="14">
        <f t="shared" si="105"/>
        <v>19533.41</v>
      </c>
      <c r="AO143" s="14">
        <f t="shared" si="97"/>
        <v>976491.43</v>
      </c>
      <c r="AP143" s="14">
        <f t="shared" si="106"/>
        <v>10874</v>
      </c>
      <c r="AS143" s="14">
        <f t="shared" si="72"/>
        <v>19533.41</v>
      </c>
      <c r="AT143" s="14">
        <f t="shared" si="78"/>
        <v>2499795.919999999</v>
      </c>
      <c r="AU143" s="185">
        <f t="shared" si="79"/>
        <v>3385.1459003224759</v>
      </c>
      <c r="AV143" s="185">
        <f t="shared" si="80"/>
        <v>371343.50602931285</v>
      </c>
    </row>
    <row r="144" spans="1:48">
      <c r="A144" s="401" t="str">
        <f t="shared" si="81"/>
        <v xml:space="preserve"> </v>
      </c>
      <c r="B144" s="185">
        <f t="shared" si="73"/>
        <v>0</v>
      </c>
      <c r="C144" s="14">
        <f t="shared" ref="C144:C207" si="114">IF(+$K143&lt;=0,0,$C$6)</f>
        <v>0</v>
      </c>
      <c r="D144" s="14">
        <f t="shared" si="82"/>
        <v>0</v>
      </c>
      <c r="E144" s="14">
        <f t="shared" ref="E144:E207" si="115">ROUND($B144*($C$4/12), 2)</f>
        <v>0</v>
      </c>
      <c r="F144" s="14">
        <f t="shared" si="112"/>
        <v>0</v>
      </c>
      <c r="G144" s="14">
        <f t="shared" si="112"/>
        <v>0</v>
      </c>
      <c r="H144" s="14">
        <f t="shared" si="100"/>
        <v>0</v>
      </c>
      <c r="I144" s="185">
        <f t="shared" si="83"/>
        <v>0</v>
      </c>
      <c r="J144" s="185">
        <f t="shared" si="84"/>
        <v>0</v>
      </c>
      <c r="K144" s="185">
        <f t="shared" si="85"/>
        <v>0</v>
      </c>
      <c r="L144" s="317">
        <f t="shared" si="98"/>
        <v>10</v>
      </c>
      <c r="M144" s="317">
        <f t="shared" si="74"/>
        <v>128</v>
      </c>
      <c r="N144" s="185">
        <f t="shared" si="75"/>
        <v>976491.42999999959</v>
      </c>
      <c r="O144" s="185">
        <f t="shared" si="107"/>
        <v>19533.41</v>
      </c>
      <c r="P144" s="185">
        <f t="shared" si="86"/>
        <v>207.02000000000044</v>
      </c>
      <c r="Q144" s="185">
        <f t="shared" si="108"/>
        <v>19326.39</v>
      </c>
      <c r="R144" s="185">
        <f t="shared" ref="R144:S159" si="116">+R143</f>
        <v>134.16999999999999</v>
      </c>
      <c r="S144" s="185">
        <f t="shared" si="116"/>
        <v>188.55</v>
      </c>
      <c r="T144" s="185">
        <f t="shared" si="101"/>
        <v>19856.129999999997</v>
      </c>
      <c r="U144" s="185">
        <f t="shared" si="87"/>
        <v>9815.5899999999929</v>
      </c>
      <c r="V144" s="185">
        <f t="shared" si="88"/>
        <v>2509994.3000000012</v>
      </c>
      <c r="W144" s="185">
        <f t="shared" si="89"/>
        <v>976284.40999999957</v>
      </c>
      <c r="X144" s="401" t="str">
        <f t="shared" si="76"/>
        <v xml:space="preserve"> </v>
      </c>
      <c r="Y144" s="185">
        <f t="shared" si="109"/>
        <v>914233.03000000026</v>
      </c>
      <c r="Z144" s="393">
        <f t="shared" ref="Z144:Z207" si="117">IF(L144&gt;4,$AA$10,$AA$9)</f>
        <v>0.13125000000000001</v>
      </c>
      <c r="AA144" s="185">
        <f t="shared" ref="AA144:AA207" si="118">IF($O$11&lt;=$A144,IF(+AL143&lt;=0,0,IF(Z144=$AA$9,$Z$9,$Z$10)),0)</f>
        <v>10874</v>
      </c>
      <c r="AB144" s="185">
        <f t="shared" ref="AB144:AB207" si="119">+AA144-AC144</f>
        <v>874.57999999999993</v>
      </c>
      <c r="AC144" s="185">
        <f t="shared" ref="AC144:AC207" si="120">IF($O$11&lt;=$A144,ROUND(Y144*(Z144/12),2),0)</f>
        <v>9999.42</v>
      </c>
      <c r="AD144" s="185">
        <f t="shared" si="113"/>
        <v>134.16999999999999</v>
      </c>
      <c r="AE144" s="185">
        <f t="shared" si="113"/>
        <v>188.55</v>
      </c>
      <c r="AF144" s="185">
        <f t="shared" ref="AF144:AF207" si="121">SUM(AB144:AE144)</f>
        <v>11196.72</v>
      </c>
      <c r="AG144" s="185">
        <f t="shared" si="90"/>
        <v>72359.640000000014</v>
      </c>
      <c r="AH144" s="185">
        <f t="shared" si="91"/>
        <v>1215613.3600000001</v>
      </c>
      <c r="AI144" s="411">
        <f t="shared" si="103"/>
        <v>1201883.0699999998</v>
      </c>
      <c r="AJ144" s="411">
        <f t="shared" si="93"/>
        <v>62925.959999999264</v>
      </c>
      <c r="AK144" s="411">
        <f t="shared" si="104"/>
        <v>1264809.0299999991</v>
      </c>
      <c r="AL144" s="185">
        <f t="shared" si="110"/>
        <v>913358.4500000003</v>
      </c>
      <c r="AM144" s="317">
        <f t="shared" si="77"/>
        <v>10</v>
      </c>
      <c r="AN144" s="14">
        <f t="shared" si="105"/>
        <v>19533.41</v>
      </c>
      <c r="AO144" s="14">
        <f t="shared" si="97"/>
        <v>976284.41</v>
      </c>
      <c r="AP144" s="14">
        <f t="shared" si="106"/>
        <v>10874</v>
      </c>
      <c r="AS144" s="14">
        <f t="shared" ref="AS144:AS207" si="122">+AN144-AR144</f>
        <v>19533.41</v>
      </c>
      <c r="AT144" s="14">
        <f t="shared" si="78"/>
        <v>2519329.3299999991</v>
      </c>
      <c r="AU144" s="185">
        <f t="shared" si="79"/>
        <v>3393.6087650732825</v>
      </c>
      <c r="AV144" s="185">
        <f t="shared" si="80"/>
        <v>374737.11479438614</v>
      </c>
    </row>
    <row r="145" spans="1:48">
      <c r="A145" s="401" t="str">
        <f t="shared" si="81"/>
        <v xml:space="preserve"> </v>
      </c>
      <c r="B145" s="185">
        <f t="shared" ref="B145:B208" si="123">IF(+K144&lt;0,0,+K144)</f>
        <v>0</v>
      </c>
      <c r="C145" s="14">
        <f t="shared" si="114"/>
        <v>0</v>
      </c>
      <c r="D145" s="14">
        <f t="shared" si="82"/>
        <v>0</v>
      </c>
      <c r="E145" s="14">
        <f t="shared" si="115"/>
        <v>0</v>
      </c>
      <c r="F145" s="14">
        <f t="shared" si="112"/>
        <v>0</v>
      </c>
      <c r="G145" s="14">
        <f t="shared" si="112"/>
        <v>0</v>
      </c>
      <c r="H145" s="14">
        <f t="shared" si="100"/>
        <v>0</v>
      </c>
      <c r="I145" s="185">
        <f t="shared" si="83"/>
        <v>0</v>
      </c>
      <c r="J145" s="185">
        <f t="shared" si="84"/>
        <v>0</v>
      </c>
      <c r="K145" s="185">
        <f t="shared" si="85"/>
        <v>0</v>
      </c>
      <c r="L145" s="317">
        <f t="shared" si="98"/>
        <v>10</v>
      </c>
      <c r="M145" s="317">
        <f t="shared" ref="M145:M208" si="124">IF(N145&lt;&gt;"",IF(N145=$O$5,0,+M144+1),0)</f>
        <v>129</v>
      </c>
      <c r="N145" s="185">
        <f t="shared" ref="N145:N208" si="125">IF(+W144&lt;0,0,+W144)</f>
        <v>976284.40999999957</v>
      </c>
      <c r="O145" s="185">
        <f t="shared" si="107"/>
        <v>19533.41</v>
      </c>
      <c r="P145" s="185">
        <f t="shared" si="86"/>
        <v>211.11000000000058</v>
      </c>
      <c r="Q145" s="185">
        <f t="shared" si="108"/>
        <v>19322.3</v>
      </c>
      <c r="R145" s="185">
        <f t="shared" si="116"/>
        <v>134.16999999999999</v>
      </c>
      <c r="S145" s="185">
        <f t="shared" si="116"/>
        <v>188.55</v>
      </c>
      <c r="T145" s="185">
        <f t="shared" si="101"/>
        <v>19856.129999999997</v>
      </c>
      <c r="U145" s="185">
        <f t="shared" si="87"/>
        <v>10026.699999999993</v>
      </c>
      <c r="V145" s="185">
        <f t="shared" si="88"/>
        <v>2529316.600000001</v>
      </c>
      <c r="W145" s="185">
        <f t="shared" si="89"/>
        <v>976073.29999999958</v>
      </c>
      <c r="X145" s="401" t="str">
        <f t="shared" ref="X145:X208" si="126">+A145</f>
        <v xml:space="preserve"> </v>
      </c>
      <c r="Y145" s="185">
        <f t="shared" si="109"/>
        <v>913358.4500000003</v>
      </c>
      <c r="Z145" s="393">
        <f t="shared" si="117"/>
        <v>0.13125000000000001</v>
      </c>
      <c r="AA145" s="185">
        <f t="shared" si="118"/>
        <v>10874</v>
      </c>
      <c r="AB145" s="185">
        <f t="shared" si="119"/>
        <v>884.13999999999942</v>
      </c>
      <c r="AC145" s="185">
        <f t="shared" si="120"/>
        <v>9989.86</v>
      </c>
      <c r="AD145" s="185">
        <f t="shared" si="113"/>
        <v>134.16999999999999</v>
      </c>
      <c r="AE145" s="185">
        <f t="shared" si="113"/>
        <v>188.55</v>
      </c>
      <c r="AF145" s="185">
        <f t="shared" si="121"/>
        <v>11196.72</v>
      </c>
      <c r="AG145" s="185">
        <f t="shared" si="90"/>
        <v>73243.780000000013</v>
      </c>
      <c r="AH145" s="185">
        <f t="shared" si="91"/>
        <v>1225603.2200000002</v>
      </c>
      <c r="AI145" s="411">
        <f t="shared" si="103"/>
        <v>1210542.4799999997</v>
      </c>
      <c r="AJ145" s="411">
        <f t="shared" si="93"/>
        <v>63598.989999999292</v>
      </c>
      <c r="AK145" s="411">
        <f t="shared" si="104"/>
        <v>1274141.469999999</v>
      </c>
      <c r="AL145" s="185">
        <f t="shared" si="110"/>
        <v>912474.31000000029</v>
      </c>
      <c r="AM145" s="317">
        <f t="shared" ref="AM145:AM208" si="127">+L145</f>
        <v>10</v>
      </c>
      <c r="AN145" s="14">
        <f t="shared" si="105"/>
        <v>19533.41</v>
      </c>
      <c r="AO145" s="14">
        <f t="shared" si="97"/>
        <v>976073.3</v>
      </c>
      <c r="AP145" s="14">
        <f t="shared" si="106"/>
        <v>10874</v>
      </c>
      <c r="AS145" s="14">
        <f t="shared" si="122"/>
        <v>19533.41</v>
      </c>
      <c r="AT145" s="14">
        <f t="shared" ref="AT145:AT208" si="128">IF(W145&lt;=0,0,+AS145+AT144)</f>
        <v>2538862.7399999993</v>
      </c>
      <c r="AU145" s="185">
        <f t="shared" ref="AU145:AU208" si="129">IF(W145&lt;=0,0,+($O$5+AV144)*$AQ$2/12)</f>
        <v>3402.0927869859647</v>
      </c>
      <c r="AV145" s="185">
        <f t="shared" ref="AV145:AV208" si="130">IF(W145&lt;=0,0,+AV144+AU145)</f>
        <v>378139.20758137212</v>
      </c>
    </row>
    <row r="146" spans="1:48">
      <c r="A146" s="401" t="str">
        <f t="shared" ref="A146:A209" si="131">IF(K146&lt;=0," ",+A145+30)</f>
        <v xml:space="preserve"> </v>
      </c>
      <c r="B146" s="185">
        <f t="shared" si="123"/>
        <v>0</v>
      </c>
      <c r="C146" s="14">
        <f t="shared" si="114"/>
        <v>0</v>
      </c>
      <c r="D146" s="14">
        <f t="shared" ref="D146:D209" si="132">+C146-E146</f>
        <v>0</v>
      </c>
      <c r="E146" s="14">
        <f t="shared" si="115"/>
        <v>0</v>
      </c>
      <c r="F146" s="14">
        <f t="shared" si="112"/>
        <v>0</v>
      </c>
      <c r="G146" s="14">
        <f t="shared" si="112"/>
        <v>0</v>
      </c>
      <c r="H146" s="14">
        <f t="shared" si="100"/>
        <v>0</v>
      </c>
      <c r="I146" s="185">
        <f t="shared" ref="I146:I209" si="133">$D146+$I145</f>
        <v>0</v>
      </c>
      <c r="J146" s="185">
        <f t="shared" ref="J146:J209" si="134">$E146+$J145</f>
        <v>0</v>
      </c>
      <c r="K146" s="185">
        <f t="shared" ref="K146:K209" si="135">+B146-D146</f>
        <v>0</v>
      </c>
      <c r="L146" s="317">
        <f t="shared" si="98"/>
        <v>10</v>
      </c>
      <c r="M146" s="317">
        <f t="shared" si="124"/>
        <v>130</v>
      </c>
      <c r="N146" s="185">
        <f t="shared" si="125"/>
        <v>976073.29999999958</v>
      </c>
      <c r="O146" s="185">
        <f t="shared" si="107"/>
        <v>19533.41</v>
      </c>
      <c r="P146" s="185">
        <f t="shared" ref="P146:P209" si="136">+O146-Q146</f>
        <v>215.29000000000087</v>
      </c>
      <c r="Q146" s="185">
        <f t="shared" si="108"/>
        <v>19318.12</v>
      </c>
      <c r="R146" s="185">
        <f t="shared" si="116"/>
        <v>134.16999999999999</v>
      </c>
      <c r="S146" s="185">
        <f t="shared" si="116"/>
        <v>188.55</v>
      </c>
      <c r="T146" s="185">
        <f t="shared" si="101"/>
        <v>19856.129999999997</v>
      </c>
      <c r="U146" s="185">
        <f t="shared" ref="U146:U209" si="137">+P146+U145</f>
        <v>10241.989999999994</v>
      </c>
      <c r="V146" s="185">
        <f t="shared" ref="V146:V209" si="138">+V145+Q146</f>
        <v>2548634.7200000011</v>
      </c>
      <c r="W146" s="185">
        <f t="shared" ref="W146:W209" si="139">+N146-P146</f>
        <v>975858.00999999954</v>
      </c>
      <c r="X146" s="401" t="str">
        <f t="shared" si="126"/>
        <v xml:space="preserve"> </v>
      </c>
      <c r="Y146" s="185">
        <f t="shared" si="109"/>
        <v>912474.31000000029</v>
      </c>
      <c r="Z146" s="393">
        <f t="shared" si="117"/>
        <v>0.13125000000000001</v>
      </c>
      <c r="AA146" s="185">
        <f t="shared" si="118"/>
        <v>10874</v>
      </c>
      <c r="AB146" s="185">
        <f t="shared" si="119"/>
        <v>893.80999999999949</v>
      </c>
      <c r="AC146" s="185">
        <f t="shared" si="120"/>
        <v>9980.19</v>
      </c>
      <c r="AD146" s="185">
        <f t="shared" si="113"/>
        <v>134.16999999999999</v>
      </c>
      <c r="AE146" s="185">
        <f t="shared" si="113"/>
        <v>188.55</v>
      </c>
      <c r="AF146" s="185">
        <f t="shared" si="121"/>
        <v>11196.72</v>
      </c>
      <c r="AG146" s="185">
        <f t="shared" ref="AG146:AG209" si="140">+AB146+AG145</f>
        <v>74137.590000000011</v>
      </c>
      <c r="AH146" s="185">
        <f t="shared" ref="AH146:AH209" si="141">+AH145+AC146</f>
        <v>1235583.4100000001</v>
      </c>
      <c r="AI146" s="411">
        <f t="shared" si="103"/>
        <v>1219201.8899999997</v>
      </c>
      <c r="AJ146" s="411">
        <f t="shared" si="93"/>
        <v>64277.509999999311</v>
      </c>
      <c r="AK146" s="411">
        <f t="shared" si="104"/>
        <v>1283479.399999999</v>
      </c>
      <c r="AL146" s="185">
        <f t="shared" si="110"/>
        <v>911580.50000000023</v>
      </c>
      <c r="AM146" s="317">
        <f t="shared" si="127"/>
        <v>10</v>
      </c>
      <c r="AN146" s="14">
        <f t="shared" si="105"/>
        <v>19533.41</v>
      </c>
      <c r="AO146" s="14">
        <f t="shared" si="97"/>
        <v>975858.01</v>
      </c>
      <c r="AP146" s="14">
        <f t="shared" si="106"/>
        <v>10874</v>
      </c>
      <c r="AS146" s="14">
        <f t="shared" si="122"/>
        <v>19533.41</v>
      </c>
      <c r="AT146" s="14">
        <f t="shared" si="128"/>
        <v>2558396.1499999994</v>
      </c>
      <c r="AU146" s="185">
        <f t="shared" si="129"/>
        <v>3410.5980189534298</v>
      </c>
      <c r="AV146" s="185">
        <f t="shared" si="130"/>
        <v>381549.80560032552</v>
      </c>
    </row>
    <row r="147" spans="1:48" ht="15.75" thickBot="1">
      <c r="A147" s="404" t="str">
        <f t="shared" si="131"/>
        <v xml:space="preserve"> </v>
      </c>
      <c r="B147" s="237">
        <f t="shared" si="123"/>
        <v>0</v>
      </c>
      <c r="C147" s="21">
        <f t="shared" si="114"/>
        <v>0</v>
      </c>
      <c r="D147" s="21">
        <f t="shared" si="132"/>
        <v>0</v>
      </c>
      <c r="E147" s="21">
        <f t="shared" si="115"/>
        <v>0</v>
      </c>
      <c r="F147" s="21">
        <f t="shared" si="112"/>
        <v>0</v>
      </c>
      <c r="G147" s="21">
        <f t="shared" si="112"/>
        <v>0</v>
      </c>
      <c r="H147" s="21">
        <f t="shared" si="100"/>
        <v>0</v>
      </c>
      <c r="I147" s="237">
        <f t="shared" si="133"/>
        <v>0</v>
      </c>
      <c r="J147" s="237">
        <f t="shared" si="134"/>
        <v>0</v>
      </c>
      <c r="K147" s="237">
        <f t="shared" si="135"/>
        <v>0</v>
      </c>
      <c r="L147" s="318">
        <f t="shared" si="98"/>
        <v>10</v>
      </c>
      <c r="M147" s="318">
        <f t="shared" si="124"/>
        <v>131</v>
      </c>
      <c r="N147" s="237">
        <f t="shared" si="125"/>
        <v>975858.00999999954</v>
      </c>
      <c r="O147" s="237">
        <f t="shared" si="107"/>
        <v>19533.41</v>
      </c>
      <c r="P147" s="237">
        <f t="shared" si="136"/>
        <v>219.54999999999927</v>
      </c>
      <c r="Q147" s="237">
        <f t="shared" si="108"/>
        <v>19313.86</v>
      </c>
      <c r="R147" s="237">
        <f t="shared" si="116"/>
        <v>134.16999999999999</v>
      </c>
      <c r="S147" s="237">
        <f t="shared" si="116"/>
        <v>188.55</v>
      </c>
      <c r="T147" s="237">
        <f t="shared" si="101"/>
        <v>19856.129999999997</v>
      </c>
      <c r="U147" s="237">
        <f t="shared" si="137"/>
        <v>10461.539999999994</v>
      </c>
      <c r="V147" s="237">
        <f t="shared" si="138"/>
        <v>2567948.580000001</v>
      </c>
      <c r="W147" s="237">
        <f t="shared" si="139"/>
        <v>975638.4599999995</v>
      </c>
      <c r="X147" s="404" t="str">
        <f t="shared" si="126"/>
        <v xml:space="preserve"> </v>
      </c>
      <c r="Y147" s="237">
        <f t="shared" si="109"/>
        <v>911580.50000000023</v>
      </c>
      <c r="Z147" s="394">
        <f t="shared" si="117"/>
        <v>0.13125000000000001</v>
      </c>
      <c r="AA147" s="237">
        <f t="shared" si="118"/>
        <v>10874</v>
      </c>
      <c r="AB147" s="237">
        <f t="shared" si="119"/>
        <v>903.59000000000015</v>
      </c>
      <c r="AC147" s="237">
        <f t="shared" si="120"/>
        <v>9970.41</v>
      </c>
      <c r="AD147" s="237">
        <f t="shared" si="113"/>
        <v>134.16999999999999</v>
      </c>
      <c r="AE147" s="237">
        <f t="shared" si="113"/>
        <v>188.55</v>
      </c>
      <c r="AF147" s="237">
        <f t="shared" si="121"/>
        <v>11196.72</v>
      </c>
      <c r="AG147" s="237">
        <f t="shared" si="140"/>
        <v>75041.180000000008</v>
      </c>
      <c r="AH147" s="237">
        <f t="shared" si="141"/>
        <v>1245553.82</v>
      </c>
      <c r="AI147" s="412">
        <f t="shared" si="103"/>
        <v>1227861.2999999996</v>
      </c>
      <c r="AJ147" s="412">
        <f t="shared" si="93"/>
        <v>64961.549999999232</v>
      </c>
      <c r="AK147" s="412">
        <f t="shared" si="104"/>
        <v>1292822.8499999987</v>
      </c>
      <c r="AL147" s="237">
        <f t="shared" si="110"/>
        <v>910676.91000000027</v>
      </c>
      <c r="AM147" s="318">
        <f t="shared" si="127"/>
        <v>10</v>
      </c>
      <c r="AN147" s="21">
        <f t="shared" si="105"/>
        <v>19533.41</v>
      </c>
      <c r="AO147" s="21">
        <f t="shared" si="97"/>
        <v>975638.46</v>
      </c>
      <c r="AP147" s="21">
        <f t="shared" si="106"/>
        <v>10874</v>
      </c>
      <c r="AQ147" s="21"/>
      <c r="AR147" s="23"/>
      <c r="AS147" s="21">
        <f t="shared" si="122"/>
        <v>19533.41</v>
      </c>
      <c r="AT147" s="21">
        <f t="shared" si="128"/>
        <v>2577929.5599999996</v>
      </c>
      <c r="AU147" s="237">
        <f t="shared" si="129"/>
        <v>3419.1245140008141</v>
      </c>
      <c r="AV147" s="237">
        <f t="shared" si="130"/>
        <v>384968.93011432636</v>
      </c>
    </row>
    <row r="148" spans="1:48">
      <c r="A148" s="401" t="str">
        <f t="shared" si="131"/>
        <v xml:space="preserve"> </v>
      </c>
      <c r="B148" s="185">
        <f t="shared" si="123"/>
        <v>0</v>
      </c>
      <c r="C148" s="14">
        <f t="shared" si="114"/>
        <v>0</v>
      </c>
      <c r="D148" s="14">
        <f t="shared" si="132"/>
        <v>0</v>
      </c>
      <c r="E148" s="14">
        <f t="shared" si="115"/>
        <v>0</v>
      </c>
      <c r="F148" s="14">
        <f t="shared" si="112"/>
        <v>0</v>
      </c>
      <c r="G148" s="14">
        <f t="shared" si="112"/>
        <v>0</v>
      </c>
      <c r="H148" s="14">
        <f t="shared" si="100"/>
        <v>0</v>
      </c>
      <c r="I148" s="185">
        <f t="shared" si="133"/>
        <v>0</v>
      </c>
      <c r="J148" s="185">
        <f t="shared" si="134"/>
        <v>0</v>
      </c>
      <c r="K148" s="185">
        <f t="shared" si="135"/>
        <v>0</v>
      </c>
      <c r="L148" s="317">
        <f t="shared" si="98"/>
        <v>11</v>
      </c>
      <c r="M148" s="317">
        <f t="shared" si="124"/>
        <v>132</v>
      </c>
      <c r="N148" s="185">
        <f t="shared" si="125"/>
        <v>975638.4599999995</v>
      </c>
      <c r="O148" s="185">
        <f t="shared" si="107"/>
        <v>19533.41</v>
      </c>
      <c r="P148" s="185">
        <f t="shared" si="136"/>
        <v>223.90000000000146</v>
      </c>
      <c r="Q148" s="185">
        <f t="shared" si="108"/>
        <v>19309.509999999998</v>
      </c>
      <c r="R148" s="185">
        <f t="shared" si="116"/>
        <v>134.16999999999999</v>
      </c>
      <c r="S148" s="185">
        <f t="shared" si="116"/>
        <v>188.55</v>
      </c>
      <c r="T148" s="185">
        <f t="shared" si="101"/>
        <v>19856.129999999997</v>
      </c>
      <c r="U148" s="185">
        <f t="shared" si="137"/>
        <v>10685.439999999995</v>
      </c>
      <c r="V148" s="185">
        <f t="shared" si="138"/>
        <v>2587258.0900000008</v>
      </c>
      <c r="W148" s="185">
        <f t="shared" si="139"/>
        <v>975414.55999999947</v>
      </c>
      <c r="X148" s="401" t="str">
        <f t="shared" si="126"/>
        <v xml:space="preserve"> </v>
      </c>
      <c r="Y148" s="185">
        <f t="shared" si="109"/>
        <v>910676.91000000027</v>
      </c>
      <c r="Z148" s="393">
        <f t="shared" si="117"/>
        <v>0.13125000000000001</v>
      </c>
      <c r="AA148" s="185">
        <f t="shared" si="118"/>
        <v>10874</v>
      </c>
      <c r="AB148" s="185">
        <f t="shared" si="119"/>
        <v>913.46999999999935</v>
      </c>
      <c r="AC148" s="185">
        <f t="shared" si="120"/>
        <v>9960.5300000000007</v>
      </c>
      <c r="AD148" s="185">
        <f t="shared" si="113"/>
        <v>134.16999999999999</v>
      </c>
      <c r="AE148" s="185">
        <f t="shared" si="113"/>
        <v>188.55</v>
      </c>
      <c r="AF148" s="185">
        <f t="shared" si="121"/>
        <v>11196.72</v>
      </c>
      <c r="AG148" s="185">
        <f t="shared" si="140"/>
        <v>75954.650000000009</v>
      </c>
      <c r="AH148" s="185">
        <f t="shared" si="141"/>
        <v>1255514.3500000001</v>
      </c>
      <c r="AI148" s="411">
        <f t="shared" si="103"/>
        <v>1236520.7099999995</v>
      </c>
      <c r="AJ148" s="411">
        <f t="shared" si="93"/>
        <v>65651.11999999918</v>
      </c>
      <c r="AK148" s="411">
        <f t="shared" si="104"/>
        <v>1302171.8299999987</v>
      </c>
      <c r="AL148" s="185">
        <f t="shared" si="110"/>
        <v>909763.44000000029</v>
      </c>
      <c r="AM148" s="317">
        <f t="shared" si="127"/>
        <v>11</v>
      </c>
      <c r="AN148" s="14">
        <f t="shared" si="105"/>
        <v>19533.41</v>
      </c>
      <c r="AO148" s="14">
        <f t="shared" si="97"/>
        <v>975414.56</v>
      </c>
      <c r="AP148" s="14">
        <f t="shared" si="106"/>
        <v>10874</v>
      </c>
      <c r="AS148" s="14">
        <f t="shared" si="122"/>
        <v>19533.41</v>
      </c>
      <c r="AT148" s="14">
        <f t="shared" si="128"/>
        <v>2597462.9699999997</v>
      </c>
      <c r="AU148" s="185">
        <f t="shared" si="129"/>
        <v>3427.6723252858155</v>
      </c>
      <c r="AV148" s="185">
        <f t="shared" si="130"/>
        <v>388396.60243961215</v>
      </c>
    </row>
    <row r="149" spans="1:48">
      <c r="A149" s="401" t="str">
        <f t="shared" si="131"/>
        <v xml:space="preserve"> </v>
      </c>
      <c r="B149" s="185">
        <f t="shared" si="123"/>
        <v>0</v>
      </c>
      <c r="C149" s="14">
        <f t="shared" si="114"/>
        <v>0</v>
      </c>
      <c r="D149" s="14">
        <f t="shared" si="132"/>
        <v>0</v>
      </c>
      <c r="E149" s="14">
        <f t="shared" si="115"/>
        <v>0</v>
      </c>
      <c r="F149" s="14">
        <f t="shared" si="112"/>
        <v>0</v>
      </c>
      <c r="G149" s="14">
        <f t="shared" si="112"/>
        <v>0</v>
      </c>
      <c r="H149" s="14">
        <f t="shared" si="100"/>
        <v>0</v>
      </c>
      <c r="I149" s="185">
        <f t="shared" si="133"/>
        <v>0</v>
      </c>
      <c r="J149" s="185">
        <f t="shared" si="134"/>
        <v>0</v>
      </c>
      <c r="K149" s="185">
        <f t="shared" si="135"/>
        <v>0</v>
      </c>
      <c r="L149" s="317">
        <f t="shared" si="98"/>
        <v>11</v>
      </c>
      <c r="M149" s="317">
        <f t="shared" si="124"/>
        <v>133</v>
      </c>
      <c r="N149" s="185">
        <f t="shared" si="125"/>
        <v>975414.55999999947</v>
      </c>
      <c r="O149" s="185">
        <f t="shared" si="107"/>
        <v>19533.41</v>
      </c>
      <c r="P149" s="185">
        <f t="shared" si="136"/>
        <v>228.32999999999811</v>
      </c>
      <c r="Q149" s="185">
        <f t="shared" si="108"/>
        <v>19305.080000000002</v>
      </c>
      <c r="R149" s="185">
        <f t="shared" si="116"/>
        <v>134.16999999999999</v>
      </c>
      <c r="S149" s="185">
        <f t="shared" si="116"/>
        <v>188.55</v>
      </c>
      <c r="T149" s="185">
        <f t="shared" si="101"/>
        <v>19856.129999999997</v>
      </c>
      <c r="U149" s="185">
        <f t="shared" si="137"/>
        <v>10913.769999999993</v>
      </c>
      <c r="V149" s="185">
        <f t="shared" si="138"/>
        <v>2606563.1700000009</v>
      </c>
      <c r="W149" s="185">
        <f t="shared" si="139"/>
        <v>975186.22999999952</v>
      </c>
      <c r="X149" s="401" t="str">
        <f t="shared" si="126"/>
        <v xml:space="preserve"> </v>
      </c>
      <c r="Y149" s="185">
        <f t="shared" si="109"/>
        <v>909763.44000000029</v>
      </c>
      <c r="Z149" s="393">
        <f t="shared" si="117"/>
        <v>0.13125000000000001</v>
      </c>
      <c r="AA149" s="185">
        <f t="shared" si="118"/>
        <v>10874</v>
      </c>
      <c r="AB149" s="185">
        <f t="shared" si="119"/>
        <v>923.45999999999913</v>
      </c>
      <c r="AC149" s="185">
        <f t="shared" si="120"/>
        <v>9950.5400000000009</v>
      </c>
      <c r="AD149" s="185">
        <f t="shared" si="113"/>
        <v>134.16999999999999</v>
      </c>
      <c r="AE149" s="185">
        <f t="shared" si="113"/>
        <v>188.55</v>
      </c>
      <c r="AF149" s="185">
        <f t="shared" si="121"/>
        <v>11196.72</v>
      </c>
      <c r="AG149" s="185">
        <f t="shared" si="140"/>
        <v>76878.110000000015</v>
      </c>
      <c r="AH149" s="185">
        <f t="shared" si="141"/>
        <v>1265464.8900000001</v>
      </c>
      <c r="AI149" s="411">
        <f t="shared" si="103"/>
        <v>1245180.1199999994</v>
      </c>
      <c r="AJ149" s="411">
        <f t="shared" si="93"/>
        <v>66346.249999999185</v>
      </c>
      <c r="AK149" s="411">
        <f t="shared" si="104"/>
        <v>1311526.3699999987</v>
      </c>
      <c r="AL149" s="185">
        <f t="shared" si="110"/>
        <v>908839.98000000033</v>
      </c>
      <c r="AM149" s="317">
        <f t="shared" si="127"/>
        <v>11</v>
      </c>
      <c r="AN149" s="14">
        <f t="shared" si="105"/>
        <v>19533.41</v>
      </c>
      <c r="AO149" s="14">
        <f t="shared" si="97"/>
        <v>975186.23</v>
      </c>
      <c r="AP149" s="14">
        <f t="shared" si="106"/>
        <v>10874</v>
      </c>
      <c r="AS149" s="14">
        <f t="shared" si="122"/>
        <v>19533.41</v>
      </c>
      <c r="AT149" s="14">
        <f t="shared" si="128"/>
        <v>2616996.38</v>
      </c>
      <c r="AU149" s="185">
        <f t="shared" si="129"/>
        <v>3436.2415060990302</v>
      </c>
      <c r="AV149" s="185">
        <f t="shared" si="130"/>
        <v>391832.84394571115</v>
      </c>
    </row>
    <row r="150" spans="1:48">
      <c r="A150" s="401" t="str">
        <f t="shared" si="131"/>
        <v xml:space="preserve"> </v>
      </c>
      <c r="B150" s="185">
        <f t="shared" si="123"/>
        <v>0</v>
      </c>
      <c r="C150" s="14">
        <f t="shared" si="114"/>
        <v>0</v>
      </c>
      <c r="D150" s="14">
        <f t="shared" si="132"/>
        <v>0</v>
      </c>
      <c r="E150" s="14">
        <f t="shared" si="115"/>
        <v>0</v>
      </c>
      <c r="F150" s="14">
        <f t="shared" si="112"/>
        <v>0</v>
      </c>
      <c r="G150" s="14">
        <f t="shared" si="112"/>
        <v>0</v>
      </c>
      <c r="H150" s="14">
        <f t="shared" si="100"/>
        <v>0</v>
      </c>
      <c r="I150" s="185">
        <f t="shared" si="133"/>
        <v>0</v>
      </c>
      <c r="J150" s="185">
        <f t="shared" si="134"/>
        <v>0</v>
      </c>
      <c r="K150" s="185">
        <f t="shared" si="135"/>
        <v>0</v>
      </c>
      <c r="L150" s="317">
        <f t="shared" si="98"/>
        <v>11</v>
      </c>
      <c r="M150" s="317">
        <f t="shared" si="124"/>
        <v>134</v>
      </c>
      <c r="N150" s="185">
        <f t="shared" si="125"/>
        <v>975186.22999999952</v>
      </c>
      <c r="O150" s="185">
        <f t="shared" si="107"/>
        <v>19533.41</v>
      </c>
      <c r="P150" s="185">
        <f t="shared" si="136"/>
        <v>232.84999999999854</v>
      </c>
      <c r="Q150" s="185">
        <f t="shared" si="108"/>
        <v>19300.560000000001</v>
      </c>
      <c r="R150" s="185">
        <f t="shared" si="116"/>
        <v>134.16999999999999</v>
      </c>
      <c r="S150" s="185">
        <f t="shared" si="116"/>
        <v>188.55</v>
      </c>
      <c r="T150" s="185">
        <f t="shared" si="101"/>
        <v>19856.129999999997</v>
      </c>
      <c r="U150" s="185">
        <f t="shared" si="137"/>
        <v>11146.619999999992</v>
      </c>
      <c r="V150" s="185">
        <f t="shared" si="138"/>
        <v>2625863.7300000009</v>
      </c>
      <c r="W150" s="185">
        <f t="shared" si="139"/>
        <v>974953.37999999954</v>
      </c>
      <c r="X150" s="401" t="str">
        <f t="shared" si="126"/>
        <v xml:space="preserve"> </v>
      </c>
      <c r="Y150" s="185">
        <f t="shared" si="109"/>
        <v>908839.98000000033</v>
      </c>
      <c r="Z150" s="393">
        <f t="shared" si="117"/>
        <v>0.13125000000000001</v>
      </c>
      <c r="AA150" s="185">
        <f t="shared" si="118"/>
        <v>10874</v>
      </c>
      <c r="AB150" s="185">
        <f t="shared" si="119"/>
        <v>933.55999999999949</v>
      </c>
      <c r="AC150" s="185">
        <f t="shared" si="120"/>
        <v>9940.44</v>
      </c>
      <c r="AD150" s="185">
        <f t="shared" si="113"/>
        <v>134.16999999999999</v>
      </c>
      <c r="AE150" s="185">
        <f t="shared" si="113"/>
        <v>188.55</v>
      </c>
      <c r="AF150" s="185">
        <f t="shared" si="121"/>
        <v>11196.72</v>
      </c>
      <c r="AG150" s="185">
        <f t="shared" si="140"/>
        <v>77811.670000000013</v>
      </c>
      <c r="AH150" s="185">
        <f t="shared" si="141"/>
        <v>1275405.33</v>
      </c>
      <c r="AI150" s="411">
        <f t="shared" si="103"/>
        <v>1253839.5299999993</v>
      </c>
      <c r="AJ150" s="411">
        <f t="shared" si="93"/>
        <v>67046.959999999264</v>
      </c>
      <c r="AK150" s="411">
        <f t="shared" si="104"/>
        <v>1320886.4899999986</v>
      </c>
      <c r="AL150" s="185">
        <f t="shared" si="110"/>
        <v>907906.42000000027</v>
      </c>
      <c r="AM150" s="317">
        <f t="shared" si="127"/>
        <v>11</v>
      </c>
      <c r="AN150" s="14">
        <f t="shared" si="105"/>
        <v>19533.41</v>
      </c>
      <c r="AO150" s="14">
        <f t="shared" si="97"/>
        <v>974953.38</v>
      </c>
      <c r="AP150" s="14">
        <f t="shared" si="106"/>
        <v>10874</v>
      </c>
      <c r="AS150" s="14">
        <f t="shared" si="122"/>
        <v>19533.41</v>
      </c>
      <c r="AT150" s="14">
        <f t="shared" si="128"/>
        <v>2636529.79</v>
      </c>
      <c r="AU150" s="185">
        <f t="shared" si="129"/>
        <v>3444.8321098642778</v>
      </c>
      <c r="AV150" s="185">
        <f t="shared" si="130"/>
        <v>395277.67605557543</v>
      </c>
    </row>
    <row r="151" spans="1:48">
      <c r="A151" s="401" t="str">
        <f t="shared" si="131"/>
        <v xml:space="preserve"> </v>
      </c>
      <c r="B151" s="185">
        <f t="shared" si="123"/>
        <v>0</v>
      </c>
      <c r="C151" s="14">
        <f t="shared" si="114"/>
        <v>0</v>
      </c>
      <c r="D151" s="14">
        <f t="shared" si="132"/>
        <v>0</v>
      </c>
      <c r="E151" s="14">
        <f t="shared" si="115"/>
        <v>0</v>
      </c>
      <c r="F151" s="14">
        <f t="shared" si="112"/>
        <v>0</v>
      </c>
      <c r="G151" s="14">
        <f t="shared" si="112"/>
        <v>0</v>
      </c>
      <c r="H151" s="14">
        <f t="shared" si="100"/>
        <v>0</v>
      </c>
      <c r="I151" s="185">
        <f t="shared" si="133"/>
        <v>0</v>
      </c>
      <c r="J151" s="185">
        <f t="shared" si="134"/>
        <v>0</v>
      </c>
      <c r="K151" s="185">
        <f t="shared" si="135"/>
        <v>0</v>
      </c>
      <c r="L151" s="317">
        <f t="shared" si="98"/>
        <v>11</v>
      </c>
      <c r="M151" s="317">
        <f t="shared" si="124"/>
        <v>135</v>
      </c>
      <c r="N151" s="185">
        <f t="shared" si="125"/>
        <v>974953.37999999954</v>
      </c>
      <c r="O151" s="185">
        <f t="shared" si="107"/>
        <v>19533.41</v>
      </c>
      <c r="P151" s="185">
        <f t="shared" si="136"/>
        <v>237.45999999999913</v>
      </c>
      <c r="Q151" s="185">
        <f t="shared" si="108"/>
        <v>19295.95</v>
      </c>
      <c r="R151" s="185">
        <f t="shared" si="116"/>
        <v>134.16999999999999</v>
      </c>
      <c r="S151" s="185">
        <f t="shared" si="116"/>
        <v>188.55</v>
      </c>
      <c r="T151" s="185">
        <f t="shared" si="101"/>
        <v>19856.129999999997</v>
      </c>
      <c r="U151" s="185">
        <f t="shared" si="137"/>
        <v>11384.079999999991</v>
      </c>
      <c r="V151" s="185">
        <f t="shared" si="138"/>
        <v>2645159.6800000011</v>
      </c>
      <c r="W151" s="185">
        <f t="shared" si="139"/>
        <v>974715.91999999958</v>
      </c>
      <c r="X151" s="401" t="str">
        <f t="shared" si="126"/>
        <v xml:space="preserve"> </v>
      </c>
      <c r="Y151" s="185">
        <f t="shared" si="109"/>
        <v>907906.42000000027</v>
      </c>
      <c r="Z151" s="393">
        <f t="shared" si="117"/>
        <v>0.13125000000000001</v>
      </c>
      <c r="AA151" s="185">
        <f t="shared" si="118"/>
        <v>10874</v>
      </c>
      <c r="AB151" s="185">
        <f t="shared" si="119"/>
        <v>943.77000000000044</v>
      </c>
      <c r="AC151" s="185">
        <f t="shared" si="120"/>
        <v>9930.23</v>
      </c>
      <c r="AD151" s="185">
        <f t="shared" si="113"/>
        <v>134.16999999999999</v>
      </c>
      <c r="AE151" s="185">
        <f t="shared" si="113"/>
        <v>188.55</v>
      </c>
      <c r="AF151" s="185">
        <f t="shared" si="121"/>
        <v>11196.72</v>
      </c>
      <c r="AG151" s="185">
        <f t="shared" si="140"/>
        <v>78755.440000000017</v>
      </c>
      <c r="AH151" s="185">
        <f t="shared" si="141"/>
        <v>1285335.56</v>
      </c>
      <c r="AI151" s="411">
        <f t="shared" si="103"/>
        <v>1262498.9399999992</v>
      </c>
      <c r="AJ151" s="411">
        <f t="shared" si="93"/>
        <v>67753.26999999932</v>
      </c>
      <c r="AK151" s="411">
        <f t="shared" si="104"/>
        <v>1330252.2099999986</v>
      </c>
      <c r="AL151" s="185">
        <f t="shared" si="110"/>
        <v>906962.65000000026</v>
      </c>
      <c r="AM151" s="317">
        <f t="shared" si="127"/>
        <v>11</v>
      </c>
      <c r="AN151" s="14">
        <f t="shared" si="105"/>
        <v>19533.41</v>
      </c>
      <c r="AO151" s="14">
        <f t="shared" si="97"/>
        <v>974715.92</v>
      </c>
      <c r="AP151" s="14">
        <f t="shared" si="106"/>
        <v>10874</v>
      </c>
      <c r="AS151" s="14">
        <f t="shared" si="122"/>
        <v>19533.41</v>
      </c>
      <c r="AT151" s="14">
        <f t="shared" si="128"/>
        <v>2656063.2000000002</v>
      </c>
      <c r="AU151" s="185">
        <f t="shared" si="129"/>
        <v>3453.4441901389387</v>
      </c>
      <c r="AV151" s="185">
        <f t="shared" si="130"/>
        <v>398731.12024571438</v>
      </c>
    </row>
    <row r="152" spans="1:48">
      <c r="A152" s="401" t="str">
        <f t="shared" si="131"/>
        <v xml:space="preserve"> </v>
      </c>
      <c r="B152" s="185">
        <f t="shared" si="123"/>
        <v>0</v>
      </c>
      <c r="C152" s="14">
        <f t="shared" si="114"/>
        <v>0</v>
      </c>
      <c r="D152" s="14">
        <f t="shared" si="132"/>
        <v>0</v>
      </c>
      <c r="E152" s="14">
        <f t="shared" si="115"/>
        <v>0</v>
      </c>
      <c r="F152" s="14">
        <f t="shared" si="112"/>
        <v>0</v>
      </c>
      <c r="G152" s="14">
        <f t="shared" si="112"/>
        <v>0</v>
      </c>
      <c r="H152" s="14">
        <f t="shared" si="100"/>
        <v>0</v>
      </c>
      <c r="I152" s="185">
        <f t="shared" si="133"/>
        <v>0</v>
      </c>
      <c r="J152" s="185">
        <f t="shared" si="134"/>
        <v>0</v>
      </c>
      <c r="K152" s="185">
        <f t="shared" si="135"/>
        <v>0</v>
      </c>
      <c r="L152" s="317">
        <f t="shared" si="98"/>
        <v>11</v>
      </c>
      <c r="M152" s="317">
        <f t="shared" si="124"/>
        <v>136</v>
      </c>
      <c r="N152" s="185">
        <f t="shared" si="125"/>
        <v>974715.91999999958</v>
      </c>
      <c r="O152" s="185">
        <f t="shared" si="107"/>
        <v>19533.41</v>
      </c>
      <c r="P152" s="185">
        <f t="shared" si="136"/>
        <v>242.15999999999985</v>
      </c>
      <c r="Q152" s="185">
        <f t="shared" si="108"/>
        <v>19291.25</v>
      </c>
      <c r="R152" s="185">
        <f t="shared" si="116"/>
        <v>134.16999999999999</v>
      </c>
      <c r="S152" s="185">
        <f t="shared" si="116"/>
        <v>188.55</v>
      </c>
      <c r="T152" s="185">
        <f t="shared" si="101"/>
        <v>19856.129999999997</v>
      </c>
      <c r="U152" s="185">
        <f t="shared" si="137"/>
        <v>11626.239999999991</v>
      </c>
      <c r="V152" s="185">
        <f t="shared" si="138"/>
        <v>2664450.9300000011</v>
      </c>
      <c r="W152" s="185">
        <f t="shared" si="139"/>
        <v>974473.75999999954</v>
      </c>
      <c r="X152" s="401" t="str">
        <f t="shared" si="126"/>
        <v xml:space="preserve"> </v>
      </c>
      <c r="Y152" s="185">
        <f t="shared" si="109"/>
        <v>906962.65000000026</v>
      </c>
      <c r="Z152" s="393">
        <f t="shared" si="117"/>
        <v>0.13125000000000001</v>
      </c>
      <c r="AA152" s="185">
        <f t="shared" si="118"/>
        <v>10874</v>
      </c>
      <c r="AB152" s="185">
        <f t="shared" si="119"/>
        <v>954.10000000000036</v>
      </c>
      <c r="AC152" s="185">
        <f t="shared" si="120"/>
        <v>9919.9</v>
      </c>
      <c r="AD152" s="185">
        <f t="shared" si="113"/>
        <v>134.16999999999999</v>
      </c>
      <c r="AE152" s="185">
        <f t="shared" si="113"/>
        <v>188.55</v>
      </c>
      <c r="AF152" s="185">
        <f t="shared" si="121"/>
        <v>11196.72</v>
      </c>
      <c r="AG152" s="185">
        <f t="shared" si="140"/>
        <v>79709.540000000023</v>
      </c>
      <c r="AH152" s="185">
        <f t="shared" si="141"/>
        <v>1295255.46</v>
      </c>
      <c r="AI152" s="411">
        <f t="shared" si="103"/>
        <v>1271158.3499999992</v>
      </c>
      <c r="AJ152" s="411">
        <f t="shared" si="93"/>
        <v>68465.209999999264</v>
      </c>
      <c r="AK152" s="411">
        <f t="shared" si="104"/>
        <v>1339623.5599999984</v>
      </c>
      <c r="AL152" s="185">
        <f t="shared" si="110"/>
        <v>906008.55000000028</v>
      </c>
      <c r="AM152" s="317">
        <f t="shared" si="127"/>
        <v>11</v>
      </c>
      <c r="AN152" s="14">
        <f t="shared" si="105"/>
        <v>19533.41</v>
      </c>
      <c r="AO152" s="14">
        <f t="shared" si="97"/>
        <v>974473.76</v>
      </c>
      <c r="AP152" s="14">
        <f t="shared" si="106"/>
        <v>10874</v>
      </c>
      <c r="AS152" s="14">
        <f t="shared" si="122"/>
        <v>19533.41</v>
      </c>
      <c r="AT152" s="14">
        <f t="shared" si="128"/>
        <v>2675596.6100000003</v>
      </c>
      <c r="AU152" s="185">
        <f t="shared" si="129"/>
        <v>3462.0778006142859</v>
      </c>
      <c r="AV152" s="185">
        <f t="shared" si="130"/>
        <v>402193.19804632867</v>
      </c>
    </row>
    <row r="153" spans="1:48">
      <c r="A153" s="401" t="str">
        <f t="shared" si="131"/>
        <v xml:space="preserve"> </v>
      </c>
      <c r="B153" s="185">
        <f t="shared" si="123"/>
        <v>0</v>
      </c>
      <c r="C153" s="14">
        <f t="shared" si="114"/>
        <v>0</v>
      </c>
      <c r="D153" s="14">
        <f t="shared" si="132"/>
        <v>0</v>
      </c>
      <c r="E153" s="14">
        <f t="shared" si="115"/>
        <v>0</v>
      </c>
      <c r="F153" s="14">
        <f t="shared" si="112"/>
        <v>0</v>
      </c>
      <c r="G153" s="14">
        <f t="shared" si="112"/>
        <v>0</v>
      </c>
      <c r="H153" s="14">
        <f t="shared" si="100"/>
        <v>0</v>
      </c>
      <c r="I153" s="185">
        <f t="shared" si="133"/>
        <v>0</v>
      </c>
      <c r="J153" s="185">
        <f t="shared" si="134"/>
        <v>0</v>
      </c>
      <c r="K153" s="185">
        <f t="shared" si="135"/>
        <v>0</v>
      </c>
      <c r="L153" s="317">
        <f t="shared" si="98"/>
        <v>11</v>
      </c>
      <c r="M153" s="317">
        <f t="shared" si="124"/>
        <v>137</v>
      </c>
      <c r="N153" s="185">
        <f t="shared" si="125"/>
        <v>974473.75999999954</v>
      </c>
      <c r="O153" s="185">
        <f t="shared" si="107"/>
        <v>19533.41</v>
      </c>
      <c r="P153" s="185">
        <f t="shared" si="136"/>
        <v>246.95000000000073</v>
      </c>
      <c r="Q153" s="185">
        <f t="shared" si="108"/>
        <v>19286.46</v>
      </c>
      <c r="R153" s="185">
        <f t="shared" si="116"/>
        <v>134.16999999999999</v>
      </c>
      <c r="S153" s="185">
        <f t="shared" si="116"/>
        <v>188.55</v>
      </c>
      <c r="T153" s="185">
        <f t="shared" si="101"/>
        <v>19856.129999999997</v>
      </c>
      <c r="U153" s="185">
        <f t="shared" si="137"/>
        <v>11873.189999999991</v>
      </c>
      <c r="V153" s="185">
        <f t="shared" si="138"/>
        <v>2683737.3900000011</v>
      </c>
      <c r="W153" s="185">
        <f t="shared" si="139"/>
        <v>974226.80999999959</v>
      </c>
      <c r="X153" s="401" t="str">
        <f t="shared" si="126"/>
        <v xml:space="preserve"> </v>
      </c>
      <c r="Y153" s="185">
        <f t="shared" si="109"/>
        <v>906008.55000000028</v>
      </c>
      <c r="Z153" s="393">
        <f t="shared" si="117"/>
        <v>0.13125000000000001</v>
      </c>
      <c r="AA153" s="185">
        <f t="shared" si="118"/>
        <v>10874</v>
      </c>
      <c r="AB153" s="185">
        <f t="shared" si="119"/>
        <v>964.53000000000065</v>
      </c>
      <c r="AC153" s="185">
        <f t="shared" si="120"/>
        <v>9909.4699999999993</v>
      </c>
      <c r="AD153" s="185">
        <f t="shared" si="113"/>
        <v>134.16999999999999</v>
      </c>
      <c r="AE153" s="185">
        <f t="shared" si="113"/>
        <v>188.55</v>
      </c>
      <c r="AF153" s="185">
        <f t="shared" si="121"/>
        <v>11196.72</v>
      </c>
      <c r="AG153" s="185">
        <f t="shared" si="140"/>
        <v>80674.070000000022</v>
      </c>
      <c r="AH153" s="185">
        <f t="shared" si="141"/>
        <v>1305164.93</v>
      </c>
      <c r="AI153" s="411">
        <f t="shared" si="103"/>
        <v>1279817.7599999991</v>
      </c>
      <c r="AJ153" s="411">
        <f t="shared" si="93"/>
        <v>69182.789999999339</v>
      </c>
      <c r="AK153" s="411">
        <f t="shared" si="104"/>
        <v>1349000.5499999984</v>
      </c>
      <c r="AL153" s="185">
        <f t="shared" si="110"/>
        <v>905044.02000000025</v>
      </c>
      <c r="AM153" s="317">
        <f t="shared" si="127"/>
        <v>11</v>
      </c>
      <c r="AN153" s="14">
        <f t="shared" si="105"/>
        <v>19533.41</v>
      </c>
      <c r="AO153" s="14">
        <f t="shared" si="97"/>
        <v>974226.81</v>
      </c>
      <c r="AP153" s="14">
        <f t="shared" si="106"/>
        <v>10874</v>
      </c>
      <c r="AS153" s="14">
        <f t="shared" si="122"/>
        <v>19533.41</v>
      </c>
      <c r="AT153" s="14">
        <f t="shared" si="128"/>
        <v>2695130.0200000005</v>
      </c>
      <c r="AU153" s="185">
        <f t="shared" si="129"/>
        <v>3470.7329951158213</v>
      </c>
      <c r="AV153" s="185">
        <f t="shared" si="130"/>
        <v>405663.93104144448</v>
      </c>
    </row>
    <row r="154" spans="1:48">
      <c r="A154" s="401" t="str">
        <f t="shared" si="131"/>
        <v xml:space="preserve"> </v>
      </c>
      <c r="B154" s="185">
        <f t="shared" si="123"/>
        <v>0</v>
      </c>
      <c r="C154" s="14">
        <f t="shared" si="114"/>
        <v>0</v>
      </c>
      <c r="D154" s="14">
        <f t="shared" si="132"/>
        <v>0</v>
      </c>
      <c r="E154" s="14">
        <f t="shared" si="115"/>
        <v>0</v>
      </c>
      <c r="F154" s="14">
        <f t="shared" si="112"/>
        <v>0</v>
      </c>
      <c r="G154" s="14">
        <f t="shared" si="112"/>
        <v>0</v>
      </c>
      <c r="H154" s="14">
        <f t="shared" si="100"/>
        <v>0</v>
      </c>
      <c r="I154" s="185">
        <f t="shared" si="133"/>
        <v>0</v>
      </c>
      <c r="J154" s="185">
        <f t="shared" si="134"/>
        <v>0</v>
      </c>
      <c r="K154" s="185">
        <f t="shared" si="135"/>
        <v>0</v>
      </c>
      <c r="L154" s="317">
        <f t="shared" si="98"/>
        <v>11</v>
      </c>
      <c r="M154" s="317">
        <f t="shared" si="124"/>
        <v>138</v>
      </c>
      <c r="N154" s="185">
        <f t="shared" si="125"/>
        <v>974226.80999999959</v>
      </c>
      <c r="O154" s="185">
        <f t="shared" si="107"/>
        <v>19533.41</v>
      </c>
      <c r="P154" s="185">
        <f t="shared" si="136"/>
        <v>251.84000000000015</v>
      </c>
      <c r="Q154" s="185">
        <f t="shared" si="108"/>
        <v>19281.57</v>
      </c>
      <c r="R154" s="185">
        <f t="shared" si="116"/>
        <v>134.16999999999999</v>
      </c>
      <c r="S154" s="185">
        <f t="shared" si="116"/>
        <v>188.55</v>
      </c>
      <c r="T154" s="185">
        <f t="shared" si="101"/>
        <v>19856.129999999997</v>
      </c>
      <c r="U154" s="185">
        <f t="shared" si="137"/>
        <v>12125.029999999992</v>
      </c>
      <c r="V154" s="185">
        <f t="shared" si="138"/>
        <v>2703018.9600000009</v>
      </c>
      <c r="W154" s="185">
        <f t="shared" si="139"/>
        <v>973974.96999999962</v>
      </c>
      <c r="X154" s="401" t="str">
        <f t="shared" si="126"/>
        <v xml:space="preserve"> </v>
      </c>
      <c r="Y154" s="185">
        <f t="shared" si="109"/>
        <v>905044.02000000025</v>
      </c>
      <c r="Z154" s="393">
        <f t="shared" si="117"/>
        <v>0.13125000000000001</v>
      </c>
      <c r="AA154" s="185">
        <f t="shared" si="118"/>
        <v>10874</v>
      </c>
      <c r="AB154" s="185">
        <f t="shared" si="119"/>
        <v>975.07999999999993</v>
      </c>
      <c r="AC154" s="185">
        <f t="shared" si="120"/>
        <v>9898.92</v>
      </c>
      <c r="AD154" s="185">
        <f t="shared" si="113"/>
        <v>134.16999999999999</v>
      </c>
      <c r="AE154" s="185">
        <f t="shared" si="113"/>
        <v>188.55</v>
      </c>
      <c r="AF154" s="185">
        <f t="shared" si="121"/>
        <v>11196.72</v>
      </c>
      <c r="AG154" s="185">
        <f t="shared" si="140"/>
        <v>81649.150000000023</v>
      </c>
      <c r="AH154" s="185">
        <f t="shared" si="141"/>
        <v>1315063.8499999999</v>
      </c>
      <c r="AI154" s="411">
        <f t="shared" si="103"/>
        <v>1288477.169999999</v>
      </c>
      <c r="AJ154" s="411">
        <f t="shared" si="93"/>
        <v>69906.029999999329</v>
      </c>
      <c r="AK154" s="411">
        <f t="shared" si="104"/>
        <v>1358383.1999999983</v>
      </c>
      <c r="AL154" s="185">
        <f t="shared" si="110"/>
        <v>904068.94000000029</v>
      </c>
      <c r="AM154" s="317">
        <f t="shared" si="127"/>
        <v>11</v>
      </c>
      <c r="AN154" s="14">
        <f t="shared" si="105"/>
        <v>19533.41</v>
      </c>
      <c r="AO154" s="14">
        <f t="shared" si="97"/>
        <v>973974.97</v>
      </c>
      <c r="AP154" s="14">
        <f t="shared" si="106"/>
        <v>10874</v>
      </c>
      <c r="AS154" s="14">
        <f t="shared" si="122"/>
        <v>19533.41</v>
      </c>
      <c r="AT154" s="14">
        <f t="shared" si="128"/>
        <v>2714663.4300000006</v>
      </c>
      <c r="AU154" s="185">
        <f t="shared" si="129"/>
        <v>3479.4098276036111</v>
      </c>
      <c r="AV154" s="185">
        <f t="shared" si="130"/>
        <v>409143.34086904809</v>
      </c>
    </row>
    <row r="155" spans="1:48">
      <c r="A155" s="401" t="str">
        <f t="shared" si="131"/>
        <v xml:space="preserve"> </v>
      </c>
      <c r="B155" s="185">
        <f t="shared" si="123"/>
        <v>0</v>
      </c>
      <c r="C155" s="14">
        <f t="shared" si="114"/>
        <v>0</v>
      </c>
      <c r="D155" s="14">
        <f t="shared" si="132"/>
        <v>0</v>
      </c>
      <c r="E155" s="14">
        <f t="shared" si="115"/>
        <v>0</v>
      </c>
      <c r="F155" s="14">
        <f t="shared" ref="F155:G170" si="142">+F154</f>
        <v>0</v>
      </c>
      <c r="G155" s="14">
        <f t="shared" si="142"/>
        <v>0</v>
      </c>
      <c r="H155" s="14">
        <f t="shared" si="100"/>
        <v>0</v>
      </c>
      <c r="I155" s="185">
        <f t="shared" si="133"/>
        <v>0</v>
      </c>
      <c r="J155" s="185">
        <f t="shared" si="134"/>
        <v>0</v>
      </c>
      <c r="K155" s="185">
        <f t="shared" si="135"/>
        <v>0</v>
      </c>
      <c r="L155" s="317">
        <f t="shared" si="98"/>
        <v>11</v>
      </c>
      <c r="M155" s="317">
        <f t="shared" si="124"/>
        <v>139</v>
      </c>
      <c r="N155" s="185">
        <f t="shared" si="125"/>
        <v>973974.96999999962</v>
      </c>
      <c r="O155" s="185">
        <f t="shared" si="107"/>
        <v>19533.41</v>
      </c>
      <c r="P155" s="185">
        <f t="shared" si="136"/>
        <v>256.81999999999971</v>
      </c>
      <c r="Q155" s="185">
        <f t="shared" si="108"/>
        <v>19276.59</v>
      </c>
      <c r="R155" s="185">
        <f t="shared" si="116"/>
        <v>134.16999999999999</v>
      </c>
      <c r="S155" s="185">
        <f t="shared" si="116"/>
        <v>188.55</v>
      </c>
      <c r="T155" s="185">
        <f t="shared" si="101"/>
        <v>19856.129999999997</v>
      </c>
      <c r="U155" s="185">
        <f t="shared" si="137"/>
        <v>12381.849999999991</v>
      </c>
      <c r="V155" s="185">
        <f t="shared" si="138"/>
        <v>2722295.5500000007</v>
      </c>
      <c r="W155" s="185">
        <f t="shared" si="139"/>
        <v>973718.14999999967</v>
      </c>
      <c r="X155" s="401" t="str">
        <f t="shared" si="126"/>
        <v xml:space="preserve"> </v>
      </c>
      <c r="Y155" s="185">
        <f t="shared" si="109"/>
        <v>904068.94000000029</v>
      </c>
      <c r="Z155" s="393">
        <f t="shared" si="117"/>
        <v>0.13125000000000001</v>
      </c>
      <c r="AA155" s="185">
        <f t="shared" si="118"/>
        <v>10874</v>
      </c>
      <c r="AB155" s="185">
        <f t="shared" si="119"/>
        <v>985.75</v>
      </c>
      <c r="AC155" s="185">
        <f t="shared" si="120"/>
        <v>9888.25</v>
      </c>
      <c r="AD155" s="185">
        <f t="shared" si="113"/>
        <v>134.16999999999999</v>
      </c>
      <c r="AE155" s="185">
        <f t="shared" si="113"/>
        <v>188.55</v>
      </c>
      <c r="AF155" s="185">
        <f t="shared" si="121"/>
        <v>11196.72</v>
      </c>
      <c r="AG155" s="185">
        <f t="shared" si="140"/>
        <v>82634.900000000023</v>
      </c>
      <c r="AH155" s="185">
        <f t="shared" si="141"/>
        <v>1324952.0999999999</v>
      </c>
      <c r="AI155" s="411">
        <f t="shared" si="103"/>
        <v>1297136.5799999989</v>
      </c>
      <c r="AJ155" s="411">
        <f t="shared" si="93"/>
        <v>70634.959999999381</v>
      </c>
      <c r="AK155" s="411">
        <f t="shared" si="104"/>
        <v>1367771.5399999982</v>
      </c>
      <c r="AL155" s="185">
        <f t="shared" si="110"/>
        <v>903083.19000000029</v>
      </c>
      <c r="AM155" s="317">
        <f t="shared" si="127"/>
        <v>11</v>
      </c>
      <c r="AN155" s="14">
        <f t="shared" si="105"/>
        <v>19533.41</v>
      </c>
      <c r="AO155" s="14">
        <f t="shared" si="97"/>
        <v>973718.15</v>
      </c>
      <c r="AP155" s="14">
        <f t="shared" si="106"/>
        <v>10874</v>
      </c>
      <c r="AS155" s="14">
        <f t="shared" si="122"/>
        <v>19533.41</v>
      </c>
      <c r="AT155" s="14">
        <f t="shared" si="128"/>
        <v>2734196.8400000008</v>
      </c>
      <c r="AU155" s="185">
        <f t="shared" si="129"/>
        <v>3488.10835217262</v>
      </c>
      <c r="AV155" s="185">
        <f t="shared" si="130"/>
        <v>412631.44922122068</v>
      </c>
    </row>
    <row r="156" spans="1:48">
      <c r="A156" s="401" t="str">
        <f t="shared" si="131"/>
        <v xml:space="preserve"> </v>
      </c>
      <c r="B156" s="185">
        <f t="shared" si="123"/>
        <v>0</v>
      </c>
      <c r="C156" s="14">
        <f t="shared" si="114"/>
        <v>0</v>
      </c>
      <c r="D156" s="14">
        <f t="shared" si="132"/>
        <v>0</v>
      </c>
      <c r="E156" s="14">
        <f t="shared" si="115"/>
        <v>0</v>
      </c>
      <c r="F156" s="14">
        <f t="shared" si="142"/>
        <v>0</v>
      </c>
      <c r="G156" s="14">
        <f t="shared" si="142"/>
        <v>0</v>
      </c>
      <c r="H156" s="14">
        <f t="shared" si="100"/>
        <v>0</v>
      </c>
      <c r="I156" s="185">
        <f t="shared" si="133"/>
        <v>0</v>
      </c>
      <c r="J156" s="185">
        <f t="shared" si="134"/>
        <v>0</v>
      </c>
      <c r="K156" s="185">
        <f t="shared" si="135"/>
        <v>0</v>
      </c>
      <c r="L156" s="317">
        <f t="shared" si="98"/>
        <v>11</v>
      </c>
      <c r="M156" s="317">
        <f t="shared" si="124"/>
        <v>140</v>
      </c>
      <c r="N156" s="185">
        <f t="shared" si="125"/>
        <v>973718.14999999967</v>
      </c>
      <c r="O156" s="185">
        <f t="shared" si="107"/>
        <v>19533.41</v>
      </c>
      <c r="P156" s="185">
        <f t="shared" si="136"/>
        <v>261.90000000000146</v>
      </c>
      <c r="Q156" s="185">
        <f t="shared" si="108"/>
        <v>19271.509999999998</v>
      </c>
      <c r="R156" s="185">
        <f t="shared" si="116"/>
        <v>134.16999999999999</v>
      </c>
      <c r="S156" s="185">
        <f t="shared" si="116"/>
        <v>188.55</v>
      </c>
      <c r="T156" s="185">
        <f t="shared" si="101"/>
        <v>19856.129999999997</v>
      </c>
      <c r="U156" s="185">
        <f t="shared" si="137"/>
        <v>12643.749999999993</v>
      </c>
      <c r="V156" s="185">
        <f t="shared" si="138"/>
        <v>2741567.0600000005</v>
      </c>
      <c r="W156" s="185">
        <f t="shared" si="139"/>
        <v>973456.24999999965</v>
      </c>
      <c r="X156" s="401" t="str">
        <f t="shared" si="126"/>
        <v xml:space="preserve"> </v>
      </c>
      <c r="Y156" s="185">
        <f t="shared" si="109"/>
        <v>903083.19000000029</v>
      </c>
      <c r="Z156" s="393">
        <f t="shared" si="117"/>
        <v>0.13125000000000001</v>
      </c>
      <c r="AA156" s="185">
        <f t="shared" si="118"/>
        <v>10874</v>
      </c>
      <c r="AB156" s="185">
        <f t="shared" si="119"/>
        <v>996.53000000000065</v>
      </c>
      <c r="AC156" s="185">
        <f t="shared" si="120"/>
        <v>9877.4699999999993</v>
      </c>
      <c r="AD156" s="185">
        <f t="shared" si="113"/>
        <v>134.16999999999999</v>
      </c>
      <c r="AE156" s="185">
        <f t="shared" si="113"/>
        <v>188.55</v>
      </c>
      <c r="AF156" s="185">
        <f t="shared" si="121"/>
        <v>11196.72</v>
      </c>
      <c r="AG156" s="185">
        <f t="shared" si="140"/>
        <v>83631.430000000022</v>
      </c>
      <c r="AH156" s="185">
        <f t="shared" si="141"/>
        <v>1334829.5699999998</v>
      </c>
      <c r="AI156" s="411">
        <f t="shared" si="103"/>
        <v>1305795.9899999988</v>
      </c>
      <c r="AJ156" s="411">
        <f t="shared" ref="AJ156:AJ219" si="143">+W156-AL156</f>
        <v>71369.589999999385</v>
      </c>
      <c r="AK156" s="411">
        <f t="shared" si="104"/>
        <v>1377165.5799999982</v>
      </c>
      <c r="AL156" s="185">
        <f t="shared" si="110"/>
        <v>902086.66000000027</v>
      </c>
      <c r="AM156" s="317">
        <f t="shared" si="127"/>
        <v>11</v>
      </c>
      <c r="AN156" s="14">
        <f t="shared" si="105"/>
        <v>19533.41</v>
      </c>
      <c r="AO156" s="14">
        <f t="shared" si="97"/>
        <v>973456.25</v>
      </c>
      <c r="AP156" s="14">
        <f t="shared" si="106"/>
        <v>10874</v>
      </c>
      <c r="AS156" s="14">
        <f t="shared" si="122"/>
        <v>19533.41</v>
      </c>
      <c r="AT156" s="14">
        <f t="shared" si="128"/>
        <v>2753730.2500000009</v>
      </c>
      <c r="AU156" s="185">
        <f t="shared" si="129"/>
        <v>3496.8286230530521</v>
      </c>
      <c r="AV156" s="185">
        <f t="shared" si="130"/>
        <v>416128.27784427372</v>
      </c>
    </row>
    <row r="157" spans="1:48">
      <c r="A157" s="401" t="str">
        <f t="shared" si="131"/>
        <v xml:space="preserve"> </v>
      </c>
      <c r="B157" s="185">
        <f t="shared" si="123"/>
        <v>0</v>
      </c>
      <c r="C157" s="14">
        <f t="shared" si="114"/>
        <v>0</v>
      </c>
      <c r="D157" s="14">
        <f t="shared" si="132"/>
        <v>0</v>
      </c>
      <c r="E157" s="14">
        <f t="shared" si="115"/>
        <v>0</v>
      </c>
      <c r="F157" s="14">
        <f t="shared" si="142"/>
        <v>0</v>
      </c>
      <c r="G157" s="14">
        <f t="shared" si="142"/>
        <v>0</v>
      </c>
      <c r="H157" s="14">
        <f t="shared" si="100"/>
        <v>0</v>
      </c>
      <c r="I157" s="185">
        <f t="shared" si="133"/>
        <v>0</v>
      </c>
      <c r="J157" s="185">
        <f t="shared" si="134"/>
        <v>0</v>
      </c>
      <c r="K157" s="185">
        <f t="shared" si="135"/>
        <v>0</v>
      </c>
      <c r="L157" s="317">
        <f t="shared" si="98"/>
        <v>11</v>
      </c>
      <c r="M157" s="317">
        <f t="shared" si="124"/>
        <v>141</v>
      </c>
      <c r="N157" s="185">
        <f t="shared" si="125"/>
        <v>973456.24999999965</v>
      </c>
      <c r="O157" s="185">
        <f t="shared" si="107"/>
        <v>19533.41</v>
      </c>
      <c r="P157" s="185">
        <f t="shared" si="136"/>
        <v>267.09000000000015</v>
      </c>
      <c r="Q157" s="185">
        <f t="shared" si="108"/>
        <v>19266.32</v>
      </c>
      <c r="R157" s="185">
        <f t="shared" si="116"/>
        <v>134.16999999999999</v>
      </c>
      <c r="S157" s="185">
        <f t="shared" si="116"/>
        <v>188.55</v>
      </c>
      <c r="T157" s="185">
        <f t="shared" si="101"/>
        <v>19856.129999999997</v>
      </c>
      <c r="U157" s="185">
        <f t="shared" si="137"/>
        <v>12910.839999999993</v>
      </c>
      <c r="V157" s="185">
        <f t="shared" si="138"/>
        <v>2760833.3800000004</v>
      </c>
      <c r="W157" s="185">
        <f t="shared" si="139"/>
        <v>973189.15999999968</v>
      </c>
      <c r="X157" s="401" t="str">
        <f t="shared" si="126"/>
        <v xml:space="preserve"> </v>
      </c>
      <c r="Y157" s="185">
        <f t="shared" si="109"/>
        <v>902086.66000000027</v>
      </c>
      <c r="Z157" s="393">
        <f t="shared" si="117"/>
        <v>0.13125000000000001</v>
      </c>
      <c r="AA157" s="185">
        <f t="shared" si="118"/>
        <v>10874</v>
      </c>
      <c r="AB157" s="185">
        <f t="shared" si="119"/>
        <v>1007.4300000000003</v>
      </c>
      <c r="AC157" s="185">
        <f t="shared" si="120"/>
        <v>9866.57</v>
      </c>
      <c r="AD157" s="185">
        <f t="shared" ref="AD157:AE172" si="144">+AD156</f>
        <v>134.16999999999999</v>
      </c>
      <c r="AE157" s="185">
        <f t="shared" si="144"/>
        <v>188.55</v>
      </c>
      <c r="AF157" s="185">
        <f t="shared" si="121"/>
        <v>11196.72</v>
      </c>
      <c r="AG157" s="185">
        <f t="shared" si="140"/>
        <v>84638.860000000015</v>
      </c>
      <c r="AH157" s="185">
        <f t="shared" si="141"/>
        <v>1344696.14</v>
      </c>
      <c r="AI157" s="411">
        <f t="shared" si="103"/>
        <v>1314455.3999999987</v>
      </c>
      <c r="AJ157" s="411">
        <f t="shared" si="143"/>
        <v>72109.929999999469</v>
      </c>
      <c r="AK157" s="411">
        <f t="shared" si="104"/>
        <v>1386565.3299999982</v>
      </c>
      <c r="AL157" s="185">
        <f t="shared" si="110"/>
        <v>901079.23000000021</v>
      </c>
      <c r="AM157" s="317">
        <f t="shared" si="127"/>
        <v>11</v>
      </c>
      <c r="AN157" s="14">
        <f t="shared" si="105"/>
        <v>19533.41</v>
      </c>
      <c r="AO157" s="14">
        <f t="shared" si="97"/>
        <v>973189.16</v>
      </c>
      <c r="AP157" s="14">
        <f t="shared" si="106"/>
        <v>10874</v>
      </c>
      <c r="AS157" s="14">
        <f t="shared" si="122"/>
        <v>19533.41</v>
      </c>
      <c r="AT157" s="14">
        <f t="shared" si="128"/>
        <v>2773263.6600000011</v>
      </c>
      <c r="AU157" s="185">
        <f t="shared" si="129"/>
        <v>3505.5706946106843</v>
      </c>
      <c r="AV157" s="185">
        <f t="shared" si="130"/>
        <v>419633.84853888443</v>
      </c>
    </row>
    <row r="158" spans="1:48">
      <c r="A158" s="401" t="str">
        <f t="shared" si="131"/>
        <v xml:space="preserve"> </v>
      </c>
      <c r="B158" s="185">
        <f t="shared" si="123"/>
        <v>0</v>
      </c>
      <c r="C158" s="14">
        <f t="shared" si="114"/>
        <v>0</v>
      </c>
      <c r="D158" s="14">
        <f t="shared" si="132"/>
        <v>0</v>
      </c>
      <c r="E158" s="14">
        <f t="shared" si="115"/>
        <v>0</v>
      </c>
      <c r="F158" s="14">
        <f t="shared" si="142"/>
        <v>0</v>
      </c>
      <c r="G158" s="14">
        <f t="shared" si="142"/>
        <v>0</v>
      </c>
      <c r="H158" s="14">
        <f t="shared" si="100"/>
        <v>0</v>
      </c>
      <c r="I158" s="185">
        <f t="shared" si="133"/>
        <v>0</v>
      </c>
      <c r="J158" s="185">
        <f t="shared" si="134"/>
        <v>0</v>
      </c>
      <c r="K158" s="185">
        <f t="shared" si="135"/>
        <v>0</v>
      </c>
      <c r="L158" s="317">
        <f t="shared" si="98"/>
        <v>11</v>
      </c>
      <c r="M158" s="317">
        <f t="shared" si="124"/>
        <v>142</v>
      </c>
      <c r="N158" s="185">
        <f t="shared" si="125"/>
        <v>973189.15999999968</v>
      </c>
      <c r="O158" s="185">
        <f t="shared" si="107"/>
        <v>19533.41</v>
      </c>
      <c r="P158" s="185">
        <f t="shared" si="136"/>
        <v>272.36999999999898</v>
      </c>
      <c r="Q158" s="185">
        <f t="shared" si="108"/>
        <v>19261.04</v>
      </c>
      <c r="R158" s="185">
        <f t="shared" si="116"/>
        <v>134.16999999999999</v>
      </c>
      <c r="S158" s="185">
        <f t="shared" si="116"/>
        <v>188.55</v>
      </c>
      <c r="T158" s="185">
        <f t="shared" si="101"/>
        <v>19856.129999999997</v>
      </c>
      <c r="U158" s="185">
        <f t="shared" si="137"/>
        <v>13183.209999999992</v>
      </c>
      <c r="V158" s="185">
        <f t="shared" si="138"/>
        <v>2780094.4200000004</v>
      </c>
      <c r="W158" s="185">
        <f t="shared" si="139"/>
        <v>972916.78999999969</v>
      </c>
      <c r="X158" s="401" t="str">
        <f t="shared" si="126"/>
        <v xml:space="preserve"> </v>
      </c>
      <c r="Y158" s="185">
        <f t="shared" si="109"/>
        <v>901079.23000000021</v>
      </c>
      <c r="Z158" s="393">
        <f t="shared" si="117"/>
        <v>0.13125000000000001</v>
      </c>
      <c r="AA158" s="185">
        <f t="shared" si="118"/>
        <v>10874</v>
      </c>
      <c r="AB158" s="185">
        <f t="shared" si="119"/>
        <v>1018.4500000000007</v>
      </c>
      <c r="AC158" s="185">
        <f t="shared" si="120"/>
        <v>9855.5499999999993</v>
      </c>
      <c r="AD158" s="185">
        <f t="shared" si="144"/>
        <v>134.16999999999999</v>
      </c>
      <c r="AE158" s="185">
        <f t="shared" si="144"/>
        <v>188.55</v>
      </c>
      <c r="AF158" s="185">
        <f t="shared" si="121"/>
        <v>11196.72</v>
      </c>
      <c r="AG158" s="185">
        <f t="shared" si="140"/>
        <v>85657.310000000012</v>
      </c>
      <c r="AH158" s="185">
        <f t="shared" si="141"/>
        <v>1354551.69</v>
      </c>
      <c r="AI158" s="411">
        <f t="shared" si="103"/>
        <v>1323114.8099999987</v>
      </c>
      <c r="AJ158" s="411">
        <f t="shared" si="143"/>
        <v>72856.009999999427</v>
      </c>
      <c r="AK158" s="411">
        <f t="shared" si="104"/>
        <v>1395970.819999998</v>
      </c>
      <c r="AL158" s="185">
        <f t="shared" si="110"/>
        <v>900060.78000000026</v>
      </c>
      <c r="AM158" s="317">
        <f t="shared" si="127"/>
        <v>11</v>
      </c>
      <c r="AN158" s="14">
        <f t="shared" si="105"/>
        <v>19533.41</v>
      </c>
      <c r="AO158" s="14">
        <f t="shared" si="97"/>
        <v>972916.79</v>
      </c>
      <c r="AP158" s="14">
        <f t="shared" si="106"/>
        <v>10874</v>
      </c>
      <c r="AS158" s="14">
        <f t="shared" si="122"/>
        <v>19533.41</v>
      </c>
      <c r="AT158" s="14">
        <f t="shared" si="128"/>
        <v>2792797.0700000012</v>
      </c>
      <c r="AU158" s="185">
        <f t="shared" si="129"/>
        <v>3514.3346213472109</v>
      </c>
      <c r="AV158" s="185">
        <f t="shared" si="130"/>
        <v>423148.18316023162</v>
      </c>
    </row>
    <row r="159" spans="1:48" ht="15.75" thickBot="1">
      <c r="A159" s="404" t="str">
        <f t="shared" si="131"/>
        <v xml:space="preserve"> </v>
      </c>
      <c r="B159" s="237">
        <f t="shared" si="123"/>
        <v>0</v>
      </c>
      <c r="C159" s="21">
        <f t="shared" si="114"/>
        <v>0</v>
      </c>
      <c r="D159" s="21">
        <f t="shared" si="132"/>
        <v>0</v>
      </c>
      <c r="E159" s="21">
        <f t="shared" si="115"/>
        <v>0</v>
      </c>
      <c r="F159" s="21">
        <f t="shared" si="142"/>
        <v>0</v>
      </c>
      <c r="G159" s="21">
        <f t="shared" si="142"/>
        <v>0</v>
      </c>
      <c r="H159" s="21">
        <f t="shared" si="100"/>
        <v>0</v>
      </c>
      <c r="I159" s="237">
        <f t="shared" si="133"/>
        <v>0</v>
      </c>
      <c r="J159" s="237">
        <f t="shared" si="134"/>
        <v>0</v>
      </c>
      <c r="K159" s="237">
        <f t="shared" si="135"/>
        <v>0</v>
      </c>
      <c r="L159" s="318">
        <f t="shared" si="98"/>
        <v>11</v>
      </c>
      <c r="M159" s="318">
        <f t="shared" si="124"/>
        <v>143</v>
      </c>
      <c r="N159" s="237">
        <f t="shared" si="125"/>
        <v>972916.78999999969</v>
      </c>
      <c r="O159" s="237">
        <f t="shared" si="107"/>
        <v>19533.41</v>
      </c>
      <c r="P159" s="237">
        <f t="shared" si="136"/>
        <v>277.77000000000044</v>
      </c>
      <c r="Q159" s="237">
        <f t="shared" si="108"/>
        <v>19255.64</v>
      </c>
      <c r="R159" s="237">
        <f t="shared" si="116"/>
        <v>134.16999999999999</v>
      </c>
      <c r="S159" s="237">
        <f t="shared" si="116"/>
        <v>188.55</v>
      </c>
      <c r="T159" s="237">
        <f t="shared" si="101"/>
        <v>19856.129999999997</v>
      </c>
      <c r="U159" s="237">
        <f t="shared" si="137"/>
        <v>13460.979999999992</v>
      </c>
      <c r="V159" s="237">
        <f t="shared" si="138"/>
        <v>2799350.0600000005</v>
      </c>
      <c r="W159" s="237">
        <f t="shared" si="139"/>
        <v>972639.01999999967</v>
      </c>
      <c r="X159" s="404" t="str">
        <f t="shared" si="126"/>
        <v xml:space="preserve"> </v>
      </c>
      <c r="Y159" s="237">
        <f t="shared" si="109"/>
        <v>900060.78000000026</v>
      </c>
      <c r="Z159" s="394">
        <f t="shared" si="117"/>
        <v>0.13125000000000001</v>
      </c>
      <c r="AA159" s="237">
        <f t="shared" si="118"/>
        <v>10874</v>
      </c>
      <c r="AB159" s="237">
        <f t="shared" si="119"/>
        <v>1029.5900000000001</v>
      </c>
      <c r="AC159" s="237">
        <f t="shared" si="120"/>
        <v>9844.41</v>
      </c>
      <c r="AD159" s="237">
        <f t="shared" si="144"/>
        <v>134.16999999999999</v>
      </c>
      <c r="AE159" s="237">
        <f t="shared" si="144"/>
        <v>188.55</v>
      </c>
      <c r="AF159" s="237">
        <f t="shared" si="121"/>
        <v>11196.72</v>
      </c>
      <c r="AG159" s="237">
        <f t="shared" si="140"/>
        <v>86686.900000000009</v>
      </c>
      <c r="AH159" s="237">
        <f t="shared" si="141"/>
        <v>1364396.0999999999</v>
      </c>
      <c r="AI159" s="412">
        <f t="shared" si="103"/>
        <v>1331774.2199999986</v>
      </c>
      <c r="AJ159" s="412">
        <f t="shared" si="143"/>
        <v>73607.829999999376</v>
      </c>
      <c r="AK159" s="412">
        <f t="shared" si="104"/>
        <v>1405382.049999998</v>
      </c>
      <c r="AL159" s="237">
        <f t="shared" si="110"/>
        <v>899031.19000000029</v>
      </c>
      <c r="AM159" s="318">
        <f t="shared" si="127"/>
        <v>11</v>
      </c>
      <c r="AN159" s="21">
        <f t="shared" si="105"/>
        <v>19533.41</v>
      </c>
      <c r="AO159" s="21">
        <f t="shared" si="97"/>
        <v>972639.02</v>
      </c>
      <c r="AP159" s="21">
        <f t="shared" si="106"/>
        <v>10874</v>
      </c>
      <c r="AQ159" s="21"/>
      <c r="AR159" s="23"/>
      <c r="AS159" s="21">
        <f t="shared" si="122"/>
        <v>19533.41</v>
      </c>
      <c r="AT159" s="21">
        <f t="shared" si="128"/>
        <v>2812330.4800000014</v>
      </c>
      <c r="AU159" s="237">
        <f t="shared" si="129"/>
        <v>3523.1204579005789</v>
      </c>
      <c r="AV159" s="237">
        <f t="shared" si="130"/>
        <v>426671.30361813219</v>
      </c>
    </row>
    <row r="160" spans="1:48">
      <c r="A160" s="401" t="str">
        <f t="shared" si="131"/>
        <v xml:space="preserve"> </v>
      </c>
      <c r="B160" s="185">
        <f t="shared" si="123"/>
        <v>0</v>
      </c>
      <c r="C160" s="14">
        <f t="shared" si="114"/>
        <v>0</v>
      </c>
      <c r="D160" s="14">
        <f t="shared" si="132"/>
        <v>0</v>
      </c>
      <c r="E160" s="14">
        <f t="shared" si="115"/>
        <v>0</v>
      </c>
      <c r="F160" s="14">
        <f t="shared" si="142"/>
        <v>0</v>
      </c>
      <c r="G160" s="14">
        <f t="shared" si="142"/>
        <v>0</v>
      </c>
      <c r="H160" s="14">
        <f t="shared" si="100"/>
        <v>0</v>
      </c>
      <c r="I160" s="185">
        <f t="shared" si="133"/>
        <v>0</v>
      </c>
      <c r="J160" s="185">
        <f t="shared" si="134"/>
        <v>0</v>
      </c>
      <c r="K160" s="185">
        <f t="shared" si="135"/>
        <v>0</v>
      </c>
      <c r="L160" s="317">
        <f t="shared" si="98"/>
        <v>12</v>
      </c>
      <c r="M160" s="317">
        <f t="shared" si="124"/>
        <v>144</v>
      </c>
      <c r="N160" s="185">
        <f t="shared" si="125"/>
        <v>972639.01999999967</v>
      </c>
      <c r="O160" s="185">
        <f t="shared" si="107"/>
        <v>19533.41</v>
      </c>
      <c r="P160" s="185">
        <f t="shared" si="136"/>
        <v>283.2599999999984</v>
      </c>
      <c r="Q160" s="185">
        <f t="shared" si="108"/>
        <v>19250.150000000001</v>
      </c>
      <c r="R160" s="185">
        <f t="shared" ref="R160:S175" si="145">+R159</f>
        <v>134.16999999999999</v>
      </c>
      <c r="S160" s="185">
        <f t="shared" si="145"/>
        <v>188.55</v>
      </c>
      <c r="T160" s="185">
        <f t="shared" si="101"/>
        <v>19856.129999999997</v>
      </c>
      <c r="U160" s="185">
        <f t="shared" si="137"/>
        <v>13744.239999999991</v>
      </c>
      <c r="V160" s="185">
        <f t="shared" si="138"/>
        <v>2818600.2100000004</v>
      </c>
      <c r="W160" s="185">
        <f t="shared" si="139"/>
        <v>972355.75999999966</v>
      </c>
      <c r="X160" s="401" t="str">
        <f t="shared" si="126"/>
        <v xml:space="preserve"> </v>
      </c>
      <c r="Y160" s="185">
        <f t="shared" si="109"/>
        <v>899031.19000000029</v>
      </c>
      <c r="Z160" s="393">
        <f t="shared" si="117"/>
        <v>0.13125000000000001</v>
      </c>
      <c r="AA160" s="185">
        <f t="shared" si="118"/>
        <v>10874</v>
      </c>
      <c r="AB160" s="185">
        <f t="shared" si="119"/>
        <v>1040.8500000000004</v>
      </c>
      <c r="AC160" s="185">
        <f t="shared" si="120"/>
        <v>9833.15</v>
      </c>
      <c r="AD160" s="185">
        <f t="shared" si="144"/>
        <v>134.16999999999999</v>
      </c>
      <c r="AE160" s="185">
        <f t="shared" si="144"/>
        <v>188.55</v>
      </c>
      <c r="AF160" s="185">
        <f t="shared" si="121"/>
        <v>11196.72</v>
      </c>
      <c r="AG160" s="185">
        <f t="shared" si="140"/>
        <v>87727.750000000015</v>
      </c>
      <c r="AH160" s="185">
        <f t="shared" si="141"/>
        <v>1374229.2499999998</v>
      </c>
      <c r="AI160" s="411">
        <f t="shared" si="103"/>
        <v>1340433.6299999985</v>
      </c>
      <c r="AJ160" s="411">
        <f t="shared" si="143"/>
        <v>74365.419999999343</v>
      </c>
      <c r="AK160" s="411">
        <f t="shared" si="104"/>
        <v>1414799.049999998</v>
      </c>
      <c r="AL160" s="185">
        <f t="shared" si="110"/>
        <v>897990.34000000032</v>
      </c>
      <c r="AM160" s="317">
        <f t="shared" si="127"/>
        <v>12</v>
      </c>
      <c r="AN160" s="14">
        <f t="shared" si="105"/>
        <v>19533.41</v>
      </c>
      <c r="AO160" s="14">
        <f t="shared" si="97"/>
        <v>972355.76</v>
      </c>
      <c r="AP160" s="14">
        <f t="shared" si="106"/>
        <v>10874</v>
      </c>
      <c r="AS160" s="14">
        <f t="shared" si="122"/>
        <v>19533.41</v>
      </c>
      <c r="AT160" s="14">
        <f t="shared" si="128"/>
        <v>2831863.8900000015</v>
      </c>
      <c r="AU160" s="185">
        <f t="shared" si="129"/>
        <v>3531.9282590453299</v>
      </c>
      <c r="AV160" s="185">
        <f t="shared" si="130"/>
        <v>430203.23187717755</v>
      </c>
    </row>
    <row r="161" spans="1:48">
      <c r="A161" s="401" t="str">
        <f t="shared" si="131"/>
        <v xml:space="preserve"> </v>
      </c>
      <c r="B161" s="185">
        <f t="shared" si="123"/>
        <v>0</v>
      </c>
      <c r="C161" s="14">
        <f t="shared" si="114"/>
        <v>0</v>
      </c>
      <c r="D161" s="14">
        <f t="shared" si="132"/>
        <v>0</v>
      </c>
      <c r="E161" s="14">
        <f t="shared" si="115"/>
        <v>0</v>
      </c>
      <c r="F161" s="14">
        <f t="shared" si="142"/>
        <v>0</v>
      </c>
      <c r="G161" s="14">
        <f t="shared" si="142"/>
        <v>0</v>
      </c>
      <c r="H161" s="14">
        <f t="shared" si="100"/>
        <v>0</v>
      </c>
      <c r="I161" s="185">
        <f t="shared" si="133"/>
        <v>0</v>
      </c>
      <c r="J161" s="185">
        <f t="shared" si="134"/>
        <v>0</v>
      </c>
      <c r="K161" s="185">
        <f t="shared" si="135"/>
        <v>0</v>
      </c>
      <c r="L161" s="317">
        <f t="shared" si="98"/>
        <v>12</v>
      </c>
      <c r="M161" s="317">
        <f t="shared" si="124"/>
        <v>145</v>
      </c>
      <c r="N161" s="185">
        <f t="shared" si="125"/>
        <v>972355.75999999966</v>
      </c>
      <c r="O161" s="185">
        <f t="shared" si="107"/>
        <v>19533.41</v>
      </c>
      <c r="P161" s="185">
        <f t="shared" si="136"/>
        <v>288.86999999999898</v>
      </c>
      <c r="Q161" s="185">
        <f t="shared" si="108"/>
        <v>19244.54</v>
      </c>
      <c r="R161" s="185">
        <f t="shared" si="145"/>
        <v>134.16999999999999</v>
      </c>
      <c r="S161" s="185">
        <f t="shared" si="145"/>
        <v>188.55</v>
      </c>
      <c r="T161" s="185">
        <f t="shared" si="101"/>
        <v>19856.129999999997</v>
      </c>
      <c r="U161" s="185">
        <f t="shared" si="137"/>
        <v>14033.10999999999</v>
      </c>
      <c r="V161" s="185">
        <f t="shared" si="138"/>
        <v>2837844.7500000005</v>
      </c>
      <c r="W161" s="185">
        <f t="shared" si="139"/>
        <v>972066.88999999966</v>
      </c>
      <c r="X161" s="401" t="str">
        <f t="shared" si="126"/>
        <v xml:space="preserve"> </v>
      </c>
      <c r="Y161" s="185">
        <f t="shared" si="109"/>
        <v>897990.34000000032</v>
      </c>
      <c r="Z161" s="393">
        <f t="shared" si="117"/>
        <v>0.13125000000000001</v>
      </c>
      <c r="AA161" s="185">
        <f t="shared" si="118"/>
        <v>10874</v>
      </c>
      <c r="AB161" s="185">
        <f t="shared" si="119"/>
        <v>1052.2299999999996</v>
      </c>
      <c r="AC161" s="185">
        <f t="shared" si="120"/>
        <v>9821.77</v>
      </c>
      <c r="AD161" s="185">
        <f t="shared" si="144"/>
        <v>134.16999999999999</v>
      </c>
      <c r="AE161" s="185">
        <f t="shared" si="144"/>
        <v>188.55</v>
      </c>
      <c r="AF161" s="185">
        <f t="shared" si="121"/>
        <v>11196.72</v>
      </c>
      <c r="AG161" s="185">
        <f t="shared" si="140"/>
        <v>88779.98000000001</v>
      </c>
      <c r="AH161" s="185">
        <f t="shared" si="141"/>
        <v>1384051.0199999998</v>
      </c>
      <c r="AI161" s="411">
        <f t="shared" si="103"/>
        <v>1349093.0399999984</v>
      </c>
      <c r="AJ161" s="411">
        <f t="shared" si="143"/>
        <v>75128.779999999329</v>
      </c>
      <c r="AK161" s="411">
        <f t="shared" si="104"/>
        <v>1424221.8199999977</v>
      </c>
      <c r="AL161" s="185">
        <f t="shared" si="110"/>
        <v>896938.11000000034</v>
      </c>
      <c r="AM161" s="317">
        <f t="shared" si="127"/>
        <v>12</v>
      </c>
      <c r="AN161" s="14">
        <f t="shared" si="105"/>
        <v>19533.41</v>
      </c>
      <c r="AO161" s="14">
        <f t="shared" si="97"/>
        <v>972066.89</v>
      </c>
      <c r="AP161" s="14">
        <f t="shared" si="106"/>
        <v>10874</v>
      </c>
      <c r="AS161" s="14">
        <f t="shared" si="122"/>
        <v>19533.41</v>
      </c>
      <c r="AT161" s="14">
        <f t="shared" si="128"/>
        <v>2851397.3000000017</v>
      </c>
      <c r="AU161" s="185">
        <f t="shared" si="129"/>
        <v>3540.7580796929437</v>
      </c>
      <c r="AV161" s="185">
        <f t="shared" si="130"/>
        <v>433743.9899568705</v>
      </c>
    </row>
    <row r="162" spans="1:48">
      <c r="A162" s="401" t="str">
        <f t="shared" si="131"/>
        <v xml:space="preserve"> </v>
      </c>
      <c r="B162" s="185">
        <f t="shared" si="123"/>
        <v>0</v>
      </c>
      <c r="C162" s="14">
        <f t="shared" si="114"/>
        <v>0</v>
      </c>
      <c r="D162" s="14">
        <f t="shared" si="132"/>
        <v>0</v>
      </c>
      <c r="E162" s="14">
        <f t="shared" si="115"/>
        <v>0</v>
      </c>
      <c r="F162" s="14">
        <f t="shared" si="142"/>
        <v>0</v>
      </c>
      <c r="G162" s="14">
        <f t="shared" si="142"/>
        <v>0</v>
      </c>
      <c r="H162" s="14">
        <f t="shared" si="100"/>
        <v>0</v>
      </c>
      <c r="I162" s="185">
        <f t="shared" si="133"/>
        <v>0</v>
      </c>
      <c r="J162" s="185">
        <f t="shared" si="134"/>
        <v>0</v>
      </c>
      <c r="K162" s="185">
        <f t="shared" si="135"/>
        <v>0</v>
      </c>
      <c r="L162" s="317">
        <f t="shared" si="98"/>
        <v>12</v>
      </c>
      <c r="M162" s="317">
        <f t="shared" si="124"/>
        <v>146</v>
      </c>
      <c r="N162" s="185">
        <f t="shared" si="125"/>
        <v>972066.88999999966</v>
      </c>
      <c r="O162" s="185">
        <f t="shared" si="107"/>
        <v>19533.41</v>
      </c>
      <c r="P162" s="185">
        <f t="shared" si="136"/>
        <v>294.59000000000015</v>
      </c>
      <c r="Q162" s="185">
        <f t="shared" si="108"/>
        <v>19238.82</v>
      </c>
      <c r="R162" s="185">
        <f t="shared" si="145"/>
        <v>134.16999999999999</v>
      </c>
      <c r="S162" s="185">
        <f t="shared" si="145"/>
        <v>188.55</v>
      </c>
      <c r="T162" s="185">
        <f t="shared" si="101"/>
        <v>19856.129999999997</v>
      </c>
      <c r="U162" s="185">
        <f t="shared" si="137"/>
        <v>14327.69999999999</v>
      </c>
      <c r="V162" s="185">
        <f t="shared" si="138"/>
        <v>2857083.5700000003</v>
      </c>
      <c r="W162" s="185">
        <f t="shared" si="139"/>
        <v>971772.2999999997</v>
      </c>
      <c r="X162" s="401" t="str">
        <f t="shared" si="126"/>
        <v xml:space="preserve"> </v>
      </c>
      <c r="Y162" s="185">
        <f t="shared" si="109"/>
        <v>896938.11000000034</v>
      </c>
      <c r="Z162" s="393">
        <f t="shared" si="117"/>
        <v>0.13125000000000001</v>
      </c>
      <c r="AA162" s="185">
        <f t="shared" si="118"/>
        <v>10874</v>
      </c>
      <c r="AB162" s="185">
        <f t="shared" si="119"/>
        <v>1063.7399999999998</v>
      </c>
      <c r="AC162" s="185">
        <f t="shared" si="120"/>
        <v>9810.26</v>
      </c>
      <c r="AD162" s="185">
        <f t="shared" si="144"/>
        <v>134.16999999999999</v>
      </c>
      <c r="AE162" s="185">
        <f t="shared" si="144"/>
        <v>188.55</v>
      </c>
      <c r="AF162" s="185">
        <f t="shared" si="121"/>
        <v>11196.72</v>
      </c>
      <c r="AG162" s="185">
        <f t="shared" si="140"/>
        <v>89843.720000000016</v>
      </c>
      <c r="AH162" s="185">
        <f t="shared" si="141"/>
        <v>1393861.2799999998</v>
      </c>
      <c r="AI162" s="411">
        <f t="shared" si="103"/>
        <v>1357752.4499999983</v>
      </c>
      <c r="AJ162" s="411">
        <f t="shared" si="143"/>
        <v>75897.929999999353</v>
      </c>
      <c r="AK162" s="411">
        <f t="shared" si="104"/>
        <v>1433650.3799999976</v>
      </c>
      <c r="AL162" s="185">
        <f t="shared" si="110"/>
        <v>895874.37000000034</v>
      </c>
      <c r="AM162" s="317">
        <f t="shared" si="127"/>
        <v>12</v>
      </c>
      <c r="AN162" s="14">
        <f t="shared" si="105"/>
        <v>19533.41</v>
      </c>
      <c r="AO162" s="14">
        <f t="shared" si="97"/>
        <v>971772.3</v>
      </c>
      <c r="AP162" s="14">
        <f t="shared" si="106"/>
        <v>10874</v>
      </c>
      <c r="AS162" s="14">
        <f t="shared" si="122"/>
        <v>19533.41</v>
      </c>
      <c r="AT162" s="14">
        <f t="shared" si="128"/>
        <v>2870930.7100000018</v>
      </c>
      <c r="AU162" s="185">
        <f t="shared" si="129"/>
        <v>3549.6099748921756</v>
      </c>
      <c r="AV162" s="185">
        <f t="shared" si="130"/>
        <v>437293.59993176267</v>
      </c>
    </row>
    <row r="163" spans="1:48">
      <c r="A163" s="401" t="str">
        <f t="shared" si="131"/>
        <v xml:space="preserve"> </v>
      </c>
      <c r="B163" s="185">
        <f t="shared" si="123"/>
        <v>0</v>
      </c>
      <c r="C163" s="14">
        <f t="shared" si="114"/>
        <v>0</v>
      </c>
      <c r="D163" s="14">
        <f t="shared" si="132"/>
        <v>0</v>
      </c>
      <c r="E163" s="14">
        <f t="shared" si="115"/>
        <v>0</v>
      </c>
      <c r="F163" s="14">
        <f t="shared" si="142"/>
        <v>0</v>
      </c>
      <c r="G163" s="14">
        <f t="shared" si="142"/>
        <v>0</v>
      </c>
      <c r="H163" s="14">
        <f t="shared" si="100"/>
        <v>0</v>
      </c>
      <c r="I163" s="185">
        <f t="shared" si="133"/>
        <v>0</v>
      </c>
      <c r="J163" s="185">
        <f t="shared" si="134"/>
        <v>0</v>
      </c>
      <c r="K163" s="185">
        <f t="shared" si="135"/>
        <v>0</v>
      </c>
      <c r="L163" s="317">
        <f t="shared" si="98"/>
        <v>12</v>
      </c>
      <c r="M163" s="317">
        <f t="shared" si="124"/>
        <v>147</v>
      </c>
      <c r="N163" s="185">
        <f t="shared" si="125"/>
        <v>971772.2999999997</v>
      </c>
      <c r="O163" s="185">
        <f t="shared" si="107"/>
        <v>19533.41</v>
      </c>
      <c r="P163" s="185">
        <f t="shared" si="136"/>
        <v>300.41999999999825</v>
      </c>
      <c r="Q163" s="185">
        <f t="shared" si="108"/>
        <v>19232.990000000002</v>
      </c>
      <c r="R163" s="185">
        <f t="shared" si="145"/>
        <v>134.16999999999999</v>
      </c>
      <c r="S163" s="185">
        <f t="shared" si="145"/>
        <v>188.55</v>
      </c>
      <c r="T163" s="185">
        <f t="shared" si="101"/>
        <v>19856.129999999997</v>
      </c>
      <c r="U163" s="185">
        <f t="shared" si="137"/>
        <v>14628.119999999988</v>
      </c>
      <c r="V163" s="185">
        <f t="shared" si="138"/>
        <v>2876316.5600000005</v>
      </c>
      <c r="W163" s="185">
        <f t="shared" si="139"/>
        <v>971471.87999999966</v>
      </c>
      <c r="X163" s="401" t="str">
        <f t="shared" si="126"/>
        <v xml:space="preserve"> </v>
      </c>
      <c r="Y163" s="185">
        <f t="shared" si="109"/>
        <v>895874.37000000034</v>
      </c>
      <c r="Z163" s="393">
        <f t="shared" si="117"/>
        <v>0.13125000000000001</v>
      </c>
      <c r="AA163" s="185">
        <f t="shared" si="118"/>
        <v>10874</v>
      </c>
      <c r="AB163" s="185">
        <f t="shared" si="119"/>
        <v>1075.3700000000008</v>
      </c>
      <c r="AC163" s="185">
        <f t="shared" si="120"/>
        <v>9798.6299999999992</v>
      </c>
      <c r="AD163" s="185">
        <f t="shared" si="144"/>
        <v>134.16999999999999</v>
      </c>
      <c r="AE163" s="185">
        <f t="shared" si="144"/>
        <v>188.55</v>
      </c>
      <c r="AF163" s="185">
        <f t="shared" si="121"/>
        <v>11196.72</v>
      </c>
      <c r="AG163" s="185">
        <f t="shared" si="140"/>
        <v>90919.090000000011</v>
      </c>
      <c r="AH163" s="185">
        <f t="shared" si="141"/>
        <v>1403659.9099999997</v>
      </c>
      <c r="AI163" s="411">
        <f t="shared" si="103"/>
        <v>1366411.8599999982</v>
      </c>
      <c r="AJ163" s="411">
        <f t="shared" si="143"/>
        <v>76672.879999999306</v>
      </c>
      <c r="AK163" s="411">
        <f t="shared" si="104"/>
        <v>1443084.7399999974</v>
      </c>
      <c r="AL163" s="185">
        <f t="shared" si="110"/>
        <v>894799.00000000035</v>
      </c>
      <c r="AM163" s="317">
        <f t="shared" si="127"/>
        <v>12</v>
      </c>
      <c r="AN163" s="14">
        <f t="shared" si="105"/>
        <v>19533.41</v>
      </c>
      <c r="AO163" s="14">
        <f t="shared" si="97"/>
        <v>971471.88</v>
      </c>
      <c r="AP163" s="14">
        <f t="shared" si="106"/>
        <v>10874</v>
      </c>
      <c r="AS163" s="14">
        <f t="shared" si="122"/>
        <v>19533.41</v>
      </c>
      <c r="AT163" s="14">
        <f t="shared" si="128"/>
        <v>2890464.120000002</v>
      </c>
      <c r="AU163" s="185">
        <f t="shared" si="129"/>
        <v>3558.4839998294065</v>
      </c>
      <c r="AV163" s="185">
        <f t="shared" si="130"/>
        <v>440852.08393159206</v>
      </c>
    </row>
    <row r="164" spans="1:48">
      <c r="A164" s="401" t="str">
        <f t="shared" si="131"/>
        <v xml:space="preserve"> </v>
      </c>
      <c r="B164" s="185">
        <f t="shared" si="123"/>
        <v>0</v>
      </c>
      <c r="C164" s="14">
        <f t="shared" si="114"/>
        <v>0</v>
      </c>
      <c r="D164" s="14">
        <f t="shared" si="132"/>
        <v>0</v>
      </c>
      <c r="E164" s="14">
        <f t="shared" si="115"/>
        <v>0</v>
      </c>
      <c r="F164" s="14">
        <f t="shared" si="142"/>
        <v>0</v>
      </c>
      <c r="G164" s="14">
        <f t="shared" si="142"/>
        <v>0</v>
      </c>
      <c r="H164" s="14">
        <f t="shared" si="100"/>
        <v>0</v>
      </c>
      <c r="I164" s="185">
        <f t="shared" si="133"/>
        <v>0</v>
      </c>
      <c r="J164" s="185">
        <f t="shared" si="134"/>
        <v>0</v>
      </c>
      <c r="K164" s="185">
        <f t="shared" si="135"/>
        <v>0</v>
      </c>
      <c r="L164" s="317">
        <f t="shared" si="98"/>
        <v>12</v>
      </c>
      <c r="M164" s="317">
        <f t="shared" si="124"/>
        <v>148</v>
      </c>
      <c r="N164" s="185">
        <f t="shared" si="125"/>
        <v>971471.87999999966</v>
      </c>
      <c r="O164" s="185">
        <f t="shared" si="107"/>
        <v>19533.41</v>
      </c>
      <c r="P164" s="185">
        <f t="shared" si="136"/>
        <v>306.36000000000058</v>
      </c>
      <c r="Q164" s="185">
        <f t="shared" si="108"/>
        <v>19227.05</v>
      </c>
      <c r="R164" s="185">
        <f t="shared" si="145"/>
        <v>134.16999999999999</v>
      </c>
      <c r="S164" s="185">
        <f t="shared" si="145"/>
        <v>188.55</v>
      </c>
      <c r="T164" s="185">
        <f t="shared" si="101"/>
        <v>19856.129999999997</v>
      </c>
      <c r="U164" s="185">
        <f t="shared" si="137"/>
        <v>14934.479999999989</v>
      </c>
      <c r="V164" s="185">
        <f t="shared" si="138"/>
        <v>2895543.6100000003</v>
      </c>
      <c r="W164" s="185">
        <f t="shared" si="139"/>
        <v>971165.51999999967</v>
      </c>
      <c r="X164" s="401" t="str">
        <f t="shared" si="126"/>
        <v xml:space="preserve"> </v>
      </c>
      <c r="Y164" s="185">
        <f t="shared" si="109"/>
        <v>894799.00000000035</v>
      </c>
      <c r="Z164" s="393">
        <f t="shared" si="117"/>
        <v>0.13125000000000001</v>
      </c>
      <c r="AA164" s="185">
        <f t="shared" si="118"/>
        <v>10874</v>
      </c>
      <c r="AB164" s="185">
        <f t="shared" si="119"/>
        <v>1087.1399999999994</v>
      </c>
      <c r="AC164" s="185">
        <f t="shared" si="120"/>
        <v>9786.86</v>
      </c>
      <c r="AD164" s="185">
        <f t="shared" si="144"/>
        <v>134.16999999999999</v>
      </c>
      <c r="AE164" s="185">
        <f t="shared" si="144"/>
        <v>188.55</v>
      </c>
      <c r="AF164" s="185">
        <f t="shared" si="121"/>
        <v>11196.72</v>
      </c>
      <c r="AG164" s="185">
        <f t="shared" si="140"/>
        <v>92006.23000000001</v>
      </c>
      <c r="AH164" s="185">
        <f t="shared" si="141"/>
        <v>1413446.7699999998</v>
      </c>
      <c r="AI164" s="411">
        <f t="shared" si="103"/>
        <v>1375071.2699999982</v>
      </c>
      <c r="AJ164" s="411">
        <f t="shared" si="143"/>
        <v>77453.659999999334</v>
      </c>
      <c r="AK164" s="411">
        <f t="shared" si="104"/>
        <v>1452524.9299999974</v>
      </c>
      <c r="AL164" s="185">
        <f t="shared" si="110"/>
        <v>893711.86000000034</v>
      </c>
      <c r="AM164" s="317">
        <f t="shared" si="127"/>
        <v>12</v>
      </c>
      <c r="AN164" s="14">
        <f t="shared" si="105"/>
        <v>19533.41</v>
      </c>
      <c r="AO164" s="14">
        <f t="shared" si="97"/>
        <v>971165.52</v>
      </c>
      <c r="AP164" s="14">
        <f t="shared" si="106"/>
        <v>10874</v>
      </c>
      <c r="AS164" s="14">
        <f t="shared" si="122"/>
        <v>19533.41</v>
      </c>
      <c r="AT164" s="14">
        <f t="shared" si="128"/>
        <v>2909997.5300000021</v>
      </c>
      <c r="AU164" s="185">
        <f t="shared" si="129"/>
        <v>3567.3802098289798</v>
      </c>
      <c r="AV164" s="185">
        <f t="shared" si="130"/>
        <v>444419.46414142102</v>
      </c>
    </row>
    <row r="165" spans="1:48">
      <c r="A165" s="401" t="str">
        <f t="shared" si="131"/>
        <v xml:space="preserve"> </v>
      </c>
      <c r="B165" s="185">
        <f t="shared" si="123"/>
        <v>0</v>
      </c>
      <c r="C165" s="14">
        <f t="shared" si="114"/>
        <v>0</v>
      </c>
      <c r="D165" s="14">
        <f t="shared" si="132"/>
        <v>0</v>
      </c>
      <c r="E165" s="14">
        <f t="shared" si="115"/>
        <v>0</v>
      </c>
      <c r="F165" s="14">
        <f t="shared" si="142"/>
        <v>0</v>
      </c>
      <c r="G165" s="14">
        <f t="shared" si="142"/>
        <v>0</v>
      </c>
      <c r="H165" s="14">
        <f t="shared" si="100"/>
        <v>0</v>
      </c>
      <c r="I165" s="185">
        <f t="shared" si="133"/>
        <v>0</v>
      </c>
      <c r="J165" s="185">
        <f t="shared" si="134"/>
        <v>0</v>
      </c>
      <c r="K165" s="185">
        <f t="shared" si="135"/>
        <v>0</v>
      </c>
      <c r="L165" s="317">
        <f t="shared" si="98"/>
        <v>12</v>
      </c>
      <c r="M165" s="317">
        <f t="shared" si="124"/>
        <v>149</v>
      </c>
      <c r="N165" s="185">
        <f t="shared" si="125"/>
        <v>971165.51999999967</v>
      </c>
      <c r="O165" s="185">
        <f t="shared" si="107"/>
        <v>19533.41</v>
      </c>
      <c r="P165" s="185">
        <f t="shared" si="136"/>
        <v>312.43000000000029</v>
      </c>
      <c r="Q165" s="185">
        <f t="shared" si="108"/>
        <v>19220.98</v>
      </c>
      <c r="R165" s="185">
        <f t="shared" si="145"/>
        <v>134.16999999999999</v>
      </c>
      <c r="S165" s="185">
        <f t="shared" si="145"/>
        <v>188.55</v>
      </c>
      <c r="T165" s="185">
        <f t="shared" si="101"/>
        <v>19856.129999999997</v>
      </c>
      <c r="U165" s="185">
        <f t="shared" si="137"/>
        <v>15246.909999999989</v>
      </c>
      <c r="V165" s="185">
        <f t="shared" si="138"/>
        <v>2914764.5900000003</v>
      </c>
      <c r="W165" s="185">
        <f t="shared" si="139"/>
        <v>970853.08999999962</v>
      </c>
      <c r="X165" s="401" t="str">
        <f t="shared" si="126"/>
        <v xml:space="preserve"> </v>
      </c>
      <c r="Y165" s="185">
        <f t="shared" si="109"/>
        <v>893711.86000000034</v>
      </c>
      <c r="Z165" s="393">
        <f t="shared" si="117"/>
        <v>0.13125000000000001</v>
      </c>
      <c r="AA165" s="185">
        <f t="shared" si="118"/>
        <v>10874</v>
      </c>
      <c r="AB165" s="185">
        <f t="shared" si="119"/>
        <v>1099.0300000000007</v>
      </c>
      <c r="AC165" s="185">
        <f t="shared" si="120"/>
        <v>9774.9699999999993</v>
      </c>
      <c r="AD165" s="185">
        <f t="shared" si="144"/>
        <v>134.16999999999999</v>
      </c>
      <c r="AE165" s="185">
        <f t="shared" si="144"/>
        <v>188.55</v>
      </c>
      <c r="AF165" s="185">
        <f t="shared" si="121"/>
        <v>11196.72</v>
      </c>
      <c r="AG165" s="185">
        <f t="shared" si="140"/>
        <v>93105.260000000009</v>
      </c>
      <c r="AH165" s="185">
        <f t="shared" si="141"/>
        <v>1423221.7399999998</v>
      </c>
      <c r="AI165" s="411">
        <f t="shared" si="103"/>
        <v>1383730.6799999981</v>
      </c>
      <c r="AJ165" s="411">
        <f t="shared" si="143"/>
        <v>78240.259999999311</v>
      </c>
      <c r="AK165" s="411">
        <f t="shared" si="104"/>
        <v>1461970.9399999974</v>
      </c>
      <c r="AL165" s="185">
        <f t="shared" si="110"/>
        <v>892612.83000000031</v>
      </c>
      <c r="AM165" s="317">
        <f t="shared" si="127"/>
        <v>12</v>
      </c>
      <c r="AN165" s="14">
        <f t="shared" si="105"/>
        <v>19533.41</v>
      </c>
      <c r="AO165" s="14">
        <f t="shared" si="97"/>
        <v>970853.09</v>
      </c>
      <c r="AP165" s="14">
        <f t="shared" si="106"/>
        <v>10874</v>
      </c>
      <c r="AS165" s="14">
        <f t="shared" si="122"/>
        <v>19533.41</v>
      </c>
      <c r="AT165" s="14">
        <f t="shared" si="128"/>
        <v>2929530.9400000023</v>
      </c>
      <c r="AU165" s="185">
        <f t="shared" si="129"/>
        <v>3576.2986603535523</v>
      </c>
      <c r="AV165" s="185">
        <f t="shared" si="130"/>
        <v>447995.76280177454</v>
      </c>
    </row>
    <row r="166" spans="1:48">
      <c r="A166" s="401" t="str">
        <f t="shared" si="131"/>
        <v xml:space="preserve"> </v>
      </c>
      <c r="B166" s="185">
        <f t="shared" si="123"/>
        <v>0</v>
      </c>
      <c r="C166" s="14">
        <f t="shared" si="114"/>
        <v>0</v>
      </c>
      <c r="D166" s="14">
        <f t="shared" si="132"/>
        <v>0</v>
      </c>
      <c r="E166" s="14">
        <f t="shared" si="115"/>
        <v>0</v>
      </c>
      <c r="F166" s="14">
        <f t="shared" si="142"/>
        <v>0</v>
      </c>
      <c r="G166" s="14">
        <f t="shared" si="142"/>
        <v>0</v>
      </c>
      <c r="H166" s="14">
        <f t="shared" si="100"/>
        <v>0</v>
      </c>
      <c r="I166" s="185">
        <f t="shared" si="133"/>
        <v>0</v>
      </c>
      <c r="J166" s="185">
        <f t="shared" si="134"/>
        <v>0</v>
      </c>
      <c r="K166" s="185">
        <f t="shared" si="135"/>
        <v>0</v>
      </c>
      <c r="L166" s="317">
        <f t="shared" si="98"/>
        <v>12</v>
      </c>
      <c r="M166" s="317">
        <f t="shared" si="124"/>
        <v>150</v>
      </c>
      <c r="N166" s="185">
        <f t="shared" si="125"/>
        <v>970853.08999999962</v>
      </c>
      <c r="O166" s="185">
        <f t="shared" si="107"/>
        <v>19533.41</v>
      </c>
      <c r="P166" s="185">
        <f t="shared" si="136"/>
        <v>318.61000000000058</v>
      </c>
      <c r="Q166" s="185">
        <f t="shared" si="108"/>
        <v>19214.8</v>
      </c>
      <c r="R166" s="185">
        <f t="shared" si="145"/>
        <v>134.16999999999999</v>
      </c>
      <c r="S166" s="185">
        <f t="shared" si="145"/>
        <v>188.55</v>
      </c>
      <c r="T166" s="185">
        <f t="shared" si="101"/>
        <v>19856.129999999997</v>
      </c>
      <c r="U166" s="185">
        <f t="shared" si="137"/>
        <v>15565.51999999999</v>
      </c>
      <c r="V166" s="185">
        <f t="shared" si="138"/>
        <v>2933979.39</v>
      </c>
      <c r="W166" s="185">
        <f t="shared" si="139"/>
        <v>970534.47999999963</v>
      </c>
      <c r="X166" s="401" t="str">
        <f t="shared" si="126"/>
        <v xml:space="preserve"> </v>
      </c>
      <c r="Y166" s="185">
        <f t="shared" si="109"/>
        <v>892612.83000000031</v>
      </c>
      <c r="Z166" s="393">
        <f t="shared" si="117"/>
        <v>0.13125000000000001</v>
      </c>
      <c r="AA166" s="185">
        <f t="shared" si="118"/>
        <v>10874</v>
      </c>
      <c r="AB166" s="185">
        <f t="shared" si="119"/>
        <v>1111.0499999999993</v>
      </c>
      <c r="AC166" s="185">
        <f t="shared" si="120"/>
        <v>9762.9500000000007</v>
      </c>
      <c r="AD166" s="185">
        <f t="shared" si="144"/>
        <v>134.16999999999999</v>
      </c>
      <c r="AE166" s="185">
        <f t="shared" si="144"/>
        <v>188.55</v>
      </c>
      <c r="AF166" s="185">
        <f t="shared" si="121"/>
        <v>11196.72</v>
      </c>
      <c r="AG166" s="185">
        <f t="shared" si="140"/>
        <v>94216.310000000012</v>
      </c>
      <c r="AH166" s="185">
        <f t="shared" si="141"/>
        <v>1432984.6899999997</v>
      </c>
      <c r="AI166" s="411">
        <f t="shared" si="103"/>
        <v>1392390.089999998</v>
      </c>
      <c r="AJ166" s="411">
        <f t="shared" si="143"/>
        <v>79032.699999999371</v>
      </c>
      <c r="AK166" s="411">
        <f t="shared" si="104"/>
        <v>1471422.7899999972</v>
      </c>
      <c r="AL166" s="185">
        <f t="shared" si="110"/>
        <v>891501.78000000026</v>
      </c>
      <c r="AM166" s="317">
        <f t="shared" si="127"/>
        <v>12</v>
      </c>
      <c r="AN166" s="14">
        <f t="shared" si="105"/>
        <v>19533.41</v>
      </c>
      <c r="AO166" s="14">
        <f t="shared" si="97"/>
        <v>970534.48</v>
      </c>
      <c r="AP166" s="14">
        <f t="shared" si="106"/>
        <v>10874</v>
      </c>
      <c r="AS166" s="14">
        <f t="shared" si="122"/>
        <v>19533.41</v>
      </c>
      <c r="AT166" s="14">
        <f t="shared" si="128"/>
        <v>2949064.3500000024</v>
      </c>
      <c r="AU166" s="185">
        <f t="shared" si="129"/>
        <v>3585.2394070044361</v>
      </c>
      <c r="AV166" s="185">
        <f t="shared" si="130"/>
        <v>451581.00220877898</v>
      </c>
    </row>
    <row r="167" spans="1:48">
      <c r="A167" s="401" t="str">
        <f t="shared" si="131"/>
        <v xml:space="preserve"> </v>
      </c>
      <c r="B167" s="185">
        <f t="shared" si="123"/>
        <v>0</v>
      </c>
      <c r="C167" s="14">
        <f t="shared" si="114"/>
        <v>0</v>
      </c>
      <c r="D167" s="14">
        <f t="shared" si="132"/>
        <v>0</v>
      </c>
      <c r="E167" s="14">
        <f t="shared" si="115"/>
        <v>0</v>
      </c>
      <c r="F167" s="14">
        <f t="shared" si="142"/>
        <v>0</v>
      </c>
      <c r="G167" s="14">
        <f t="shared" si="142"/>
        <v>0</v>
      </c>
      <c r="H167" s="14">
        <f t="shared" si="100"/>
        <v>0</v>
      </c>
      <c r="I167" s="185">
        <f t="shared" si="133"/>
        <v>0</v>
      </c>
      <c r="J167" s="185">
        <f t="shared" si="134"/>
        <v>0</v>
      </c>
      <c r="K167" s="185">
        <f t="shared" si="135"/>
        <v>0</v>
      </c>
      <c r="L167" s="317">
        <f t="shared" si="98"/>
        <v>12</v>
      </c>
      <c r="M167" s="317">
        <f t="shared" si="124"/>
        <v>151</v>
      </c>
      <c r="N167" s="185">
        <f t="shared" si="125"/>
        <v>970534.47999999963</v>
      </c>
      <c r="O167" s="185">
        <f t="shared" si="107"/>
        <v>19533.41</v>
      </c>
      <c r="P167" s="185">
        <f t="shared" si="136"/>
        <v>324.91999999999825</v>
      </c>
      <c r="Q167" s="185">
        <f t="shared" si="108"/>
        <v>19208.490000000002</v>
      </c>
      <c r="R167" s="185">
        <f t="shared" si="145"/>
        <v>134.16999999999999</v>
      </c>
      <c r="S167" s="185">
        <f t="shared" si="145"/>
        <v>188.55</v>
      </c>
      <c r="T167" s="185">
        <f t="shared" si="101"/>
        <v>19856.129999999997</v>
      </c>
      <c r="U167" s="185">
        <f t="shared" si="137"/>
        <v>15890.439999999988</v>
      </c>
      <c r="V167" s="185">
        <f t="shared" si="138"/>
        <v>2953187.8800000004</v>
      </c>
      <c r="W167" s="185">
        <f t="shared" si="139"/>
        <v>970209.55999999959</v>
      </c>
      <c r="X167" s="401" t="str">
        <f t="shared" si="126"/>
        <v xml:space="preserve"> </v>
      </c>
      <c r="Y167" s="185">
        <f t="shared" si="109"/>
        <v>891501.78000000026</v>
      </c>
      <c r="Z167" s="393">
        <f t="shared" si="117"/>
        <v>0.13125000000000001</v>
      </c>
      <c r="AA167" s="185">
        <f t="shared" si="118"/>
        <v>10874</v>
      </c>
      <c r="AB167" s="185">
        <f t="shared" si="119"/>
        <v>1123.2000000000007</v>
      </c>
      <c r="AC167" s="185">
        <f t="shared" si="120"/>
        <v>9750.7999999999993</v>
      </c>
      <c r="AD167" s="185">
        <f t="shared" si="144"/>
        <v>134.16999999999999</v>
      </c>
      <c r="AE167" s="185">
        <f t="shared" si="144"/>
        <v>188.55</v>
      </c>
      <c r="AF167" s="185">
        <f t="shared" si="121"/>
        <v>11196.72</v>
      </c>
      <c r="AG167" s="185">
        <f t="shared" si="140"/>
        <v>95339.510000000009</v>
      </c>
      <c r="AH167" s="185">
        <f t="shared" si="141"/>
        <v>1442735.4899999998</v>
      </c>
      <c r="AI167" s="411">
        <f t="shared" si="103"/>
        <v>1401049.4999999979</v>
      </c>
      <c r="AJ167" s="411">
        <f t="shared" si="143"/>
        <v>79830.979999999283</v>
      </c>
      <c r="AK167" s="411">
        <f t="shared" si="104"/>
        <v>1480880.4799999972</v>
      </c>
      <c r="AL167" s="185">
        <f t="shared" si="110"/>
        <v>890378.58000000031</v>
      </c>
      <c r="AM167" s="317">
        <f t="shared" si="127"/>
        <v>12</v>
      </c>
      <c r="AN167" s="14">
        <f t="shared" si="105"/>
        <v>19533.41</v>
      </c>
      <c r="AO167" s="14">
        <f t="shared" si="97"/>
        <v>970209.56</v>
      </c>
      <c r="AP167" s="14">
        <f t="shared" si="106"/>
        <v>10874</v>
      </c>
      <c r="AS167" s="14">
        <f t="shared" si="122"/>
        <v>19533.41</v>
      </c>
      <c r="AT167" s="14">
        <f t="shared" si="128"/>
        <v>2968597.7600000026</v>
      </c>
      <c r="AU167" s="185">
        <f t="shared" si="129"/>
        <v>3594.2025055219474</v>
      </c>
      <c r="AV167" s="185">
        <f t="shared" si="130"/>
        <v>455175.20471430093</v>
      </c>
    </row>
    <row r="168" spans="1:48">
      <c r="A168" s="401" t="str">
        <f t="shared" si="131"/>
        <v xml:space="preserve"> </v>
      </c>
      <c r="B168" s="185">
        <f t="shared" si="123"/>
        <v>0</v>
      </c>
      <c r="C168" s="14">
        <f t="shared" si="114"/>
        <v>0</v>
      </c>
      <c r="D168" s="14">
        <f t="shared" si="132"/>
        <v>0</v>
      </c>
      <c r="E168" s="14">
        <f t="shared" si="115"/>
        <v>0</v>
      </c>
      <c r="F168" s="14">
        <f t="shared" si="142"/>
        <v>0</v>
      </c>
      <c r="G168" s="14">
        <f t="shared" si="142"/>
        <v>0</v>
      </c>
      <c r="H168" s="14">
        <f t="shared" si="100"/>
        <v>0</v>
      </c>
      <c r="I168" s="185">
        <f t="shared" si="133"/>
        <v>0</v>
      </c>
      <c r="J168" s="185">
        <f t="shared" si="134"/>
        <v>0</v>
      </c>
      <c r="K168" s="185">
        <f t="shared" si="135"/>
        <v>0</v>
      </c>
      <c r="L168" s="317">
        <f t="shared" si="98"/>
        <v>12</v>
      </c>
      <c r="M168" s="317">
        <f t="shared" si="124"/>
        <v>152</v>
      </c>
      <c r="N168" s="185">
        <f t="shared" si="125"/>
        <v>970209.55999999959</v>
      </c>
      <c r="O168" s="185">
        <f t="shared" si="107"/>
        <v>19533.41</v>
      </c>
      <c r="P168" s="185">
        <f t="shared" si="136"/>
        <v>331.34999999999854</v>
      </c>
      <c r="Q168" s="185">
        <f t="shared" si="108"/>
        <v>19202.060000000001</v>
      </c>
      <c r="R168" s="185">
        <f t="shared" si="145"/>
        <v>134.16999999999999</v>
      </c>
      <c r="S168" s="185">
        <f t="shared" si="145"/>
        <v>188.55</v>
      </c>
      <c r="T168" s="185">
        <f t="shared" si="101"/>
        <v>19856.129999999997</v>
      </c>
      <c r="U168" s="185">
        <f t="shared" si="137"/>
        <v>16221.789999999986</v>
      </c>
      <c r="V168" s="185">
        <f t="shared" si="138"/>
        <v>2972389.9400000004</v>
      </c>
      <c r="W168" s="185">
        <f t="shared" si="139"/>
        <v>969878.20999999961</v>
      </c>
      <c r="X168" s="401" t="str">
        <f t="shared" si="126"/>
        <v xml:space="preserve"> </v>
      </c>
      <c r="Y168" s="185">
        <f t="shared" si="109"/>
        <v>890378.58000000031</v>
      </c>
      <c r="Z168" s="393">
        <f t="shared" si="117"/>
        <v>0.13125000000000001</v>
      </c>
      <c r="AA168" s="185">
        <f t="shared" si="118"/>
        <v>10874</v>
      </c>
      <c r="AB168" s="185">
        <f t="shared" si="119"/>
        <v>1135.4799999999996</v>
      </c>
      <c r="AC168" s="185">
        <f t="shared" si="120"/>
        <v>9738.52</v>
      </c>
      <c r="AD168" s="185">
        <f t="shared" si="144"/>
        <v>134.16999999999999</v>
      </c>
      <c r="AE168" s="185">
        <f t="shared" si="144"/>
        <v>188.55</v>
      </c>
      <c r="AF168" s="185">
        <f t="shared" si="121"/>
        <v>11196.72</v>
      </c>
      <c r="AG168" s="185">
        <f t="shared" si="140"/>
        <v>96474.99</v>
      </c>
      <c r="AH168" s="185">
        <f t="shared" si="141"/>
        <v>1452474.0099999998</v>
      </c>
      <c r="AI168" s="411">
        <f t="shared" si="103"/>
        <v>1409708.9099999978</v>
      </c>
      <c r="AJ168" s="411">
        <f t="shared" si="143"/>
        <v>80635.109999999288</v>
      </c>
      <c r="AK168" s="411">
        <f t="shared" si="104"/>
        <v>1490344.0199999972</v>
      </c>
      <c r="AL168" s="185">
        <f t="shared" si="110"/>
        <v>889243.10000000033</v>
      </c>
      <c r="AM168" s="317">
        <f t="shared" si="127"/>
        <v>12</v>
      </c>
      <c r="AN168" s="14">
        <f t="shared" si="105"/>
        <v>19533.41</v>
      </c>
      <c r="AO168" s="14">
        <f t="shared" si="97"/>
        <v>969878.21</v>
      </c>
      <c r="AP168" s="14">
        <f t="shared" si="106"/>
        <v>10874</v>
      </c>
      <c r="AS168" s="14">
        <f t="shared" si="122"/>
        <v>19533.41</v>
      </c>
      <c r="AT168" s="14">
        <f t="shared" si="128"/>
        <v>2988131.1700000027</v>
      </c>
      <c r="AU168" s="185">
        <f t="shared" si="129"/>
        <v>3603.1880117857527</v>
      </c>
      <c r="AV168" s="185">
        <f t="shared" si="130"/>
        <v>458778.39272608666</v>
      </c>
    </row>
    <row r="169" spans="1:48">
      <c r="A169" s="401" t="str">
        <f t="shared" si="131"/>
        <v xml:space="preserve"> </v>
      </c>
      <c r="B169" s="185">
        <f t="shared" si="123"/>
        <v>0</v>
      </c>
      <c r="C169" s="14">
        <f t="shared" si="114"/>
        <v>0</v>
      </c>
      <c r="D169" s="14">
        <f t="shared" si="132"/>
        <v>0</v>
      </c>
      <c r="E169" s="14">
        <f t="shared" si="115"/>
        <v>0</v>
      </c>
      <c r="F169" s="14">
        <f t="shared" si="142"/>
        <v>0</v>
      </c>
      <c r="G169" s="14">
        <f t="shared" si="142"/>
        <v>0</v>
      </c>
      <c r="H169" s="14">
        <f t="shared" si="100"/>
        <v>0</v>
      </c>
      <c r="I169" s="185">
        <f t="shared" si="133"/>
        <v>0</v>
      </c>
      <c r="J169" s="185">
        <f t="shared" si="134"/>
        <v>0</v>
      </c>
      <c r="K169" s="185">
        <f t="shared" si="135"/>
        <v>0</v>
      </c>
      <c r="L169" s="317">
        <f t="shared" si="98"/>
        <v>12</v>
      </c>
      <c r="M169" s="317">
        <f t="shared" si="124"/>
        <v>153</v>
      </c>
      <c r="N169" s="185">
        <f t="shared" si="125"/>
        <v>969878.20999999961</v>
      </c>
      <c r="O169" s="185">
        <f t="shared" si="107"/>
        <v>19533.41</v>
      </c>
      <c r="P169" s="185">
        <f t="shared" si="136"/>
        <v>337.90000000000146</v>
      </c>
      <c r="Q169" s="185">
        <f t="shared" si="108"/>
        <v>19195.509999999998</v>
      </c>
      <c r="R169" s="185">
        <f t="shared" si="145"/>
        <v>134.16999999999999</v>
      </c>
      <c r="S169" s="185">
        <f t="shared" si="145"/>
        <v>188.55</v>
      </c>
      <c r="T169" s="185">
        <f t="shared" si="101"/>
        <v>19856.129999999997</v>
      </c>
      <c r="U169" s="185">
        <f t="shared" si="137"/>
        <v>16559.689999999988</v>
      </c>
      <c r="V169" s="185">
        <f t="shared" si="138"/>
        <v>2991585.45</v>
      </c>
      <c r="W169" s="185">
        <f t="shared" si="139"/>
        <v>969540.30999999959</v>
      </c>
      <c r="X169" s="401" t="str">
        <f t="shared" si="126"/>
        <v xml:space="preserve"> </v>
      </c>
      <c r="Y169" s="185">
        <f t="shared" si="109"/>
        <v>889243.10000000033</v>
      </c>
      <c r="Z169" s="393">
        <f t="shared" si="117"/>
        <v>0.13125000000000001</v>
      </c>
      <c r="AA169" s="185">
        <f t="shared" si="118"/>
        <v>10874</v>
      </c>
      <c r="AB169" s="185">
        <f t="shared" si="119"/>
        <v>1147.8999999999996</v>
      </c>
      <c r="AC169" s="185">
        <f t="shared" si="120"/>
        <v>9726.1</v>
      </c>
      <c r="AD169" s="185">
        <f t="shared" si="144"/>
        <v>134.16999999999999</v>
      </c>
      <c r="AE169" s="185">
        <f t="shared" si="144"/>
        <v>188.55</v>
      </c>
      <c r="AF169" s="185">
        <f t="shared" si="121"/>
        <v>11196.72</v>
      </c>
      <c r="AG169" s="185">
        <f t="shared" si="140"/>
        <v>97622.89</v>
      </c>
      <c r="AH169" s="185">
        <f t="shared" si="141"/>
        <v>1462200.1099999999</v>
      </c>
      <c r="AI169" s="411">
        <f t="shared" si="103"/>
        <v>1418368.3199999977</v>
      </c>
      <c r="AJ169" s="411">
        <f t="shared" si="143"/>
        <v>81445.109999999288</v>
      </c>
      <c r="AK169" s="411">
        <f t="shared" si="104"/>
        <v>1499813.4299999969</v>
      </c>
      <c r="AL169" s="185">
        <f t="shared" si="110"/>
        <v>888095.2000000003</v>
      </c>
      <c r="AM169" s="317">
        <f t="shared" si="127"/>
        <v>12</v>
      </c>
      <c r="AN169" s="14">
        <f t="shared" si="105"/>
        <v>19533.41</v>
      </c>
      <c r="AO169" s="14">
        <f t="shared" si="97"/>
        <v>969540.31</v>
      </c>
      <c r="AP169" s="14">
        <f t="shared" si="106"/>
        <v>10874</v>
      </c>
      <c r="AS169" s="14">
        <f t="shared" si="122"/>
        <v>19533.41</v>
      </c>
      <c r="AT169" s="14">
        <f t="shared" si="128"/>
        <v>3007664.5800000029</v>
      </c>
      <c r="AU169" s="185">
        <f t="shared" si="129"/>
        <v>3612.1959818152159</v>
      </c>
      <c r="AV169" s="185">
        <f t="shared" si="130"/>
        <v>462390.58870790189</v>
      </c>
    </row>
    <row r="170" spans="1:48">
      <c r="A170" s="401" t="str">
        <f t="shared" si="131"/>
        <v xml:space="preserve"> </v>
      </c>
      <c r="B170" s="185">
        <f t="shared" si="123"/>
        <v>0</v>
      </c>
      <c r="C170" s="14">
        <f t="shared" si="114"/>
        <v>0</v>
      </c>
      <c r="D170" s="14">
        <f t="shared" si="132"/>
        <v>0</v>
      </c>
      <c r="E170" s="14">
        <f t="shared" si="115"/>
        <v>0</v>
      </c>
      <c r="F170" s="14">
        <f t="shared" si="142"/>
        <v>0</v>
      </c>
      <c r="G170" s="14">
        <f t="shared" si="142"/>
        <v>0</v>
      </c>
      <c r="H170" s="14">
        <f t="shared" si="100"/>
        <v>0</v>
      </c>
      <c r="I170" s="185">
        <f t="shared" si="133"/>
        <v>0</v>
      </c>
      <c r="J170" s="185">
        <f t="shared" si="134"/>
        <v>0</v>
      </c>
      <c r="K170" s="185">
        <f t="shared" si="135"/>
        <v>0</v>
      </c>
      <c r="L170" s="317">
        <f t="shared" si="98"/>
        <v>12</v>
      </c>
      <c r="M170" s="317">
        <f t="shared" si="124"/>
        <v>154</v>
      </c>
      <c r="N170" s="185">
        <f t="shared" si="125"/>
        <v>969540.30999999959</v>
      </c>
      <c r="O170" s="185">
        <f t="shared" si="107"/>
        <v>19533.41</v>
      </c>
      <c r="P170" s="185">
        <f t="shared" si="136"/>
        <v>344.59000000000015</v>
      </c>
      <c r="Q170" s="185">
        <f t="shared" si="108"/>
        <v>19188.82</v>
      </c>
      <c r="R170" s="185">
        <f t="shared" si="145"/>
        <v>134.16999999999999</v>
      </c>
      <c r="S170" s="185">
        <f t="shared" si="145"/>
        <v>188.55</v>
      </c>
      <c r="T170" s="185">
        <f t="shared" si="101"/>
        <v>19856.129999999997</v>
      </c>
      <c r="U170" s="185">
        <f t="shared" si="137"/>
        <v>16904.279999999988</v>
      </c>
      <c r="V170" s="185">
        <f t="shared" si="138"/>
        <v>3010774.27</v>
      </c>
      <c r="W170" s="185">
        <f t="shared" si="139"/>
        <v>969195.71999999962</v>
      </c>
      <c r="X170" s="401" t="str">
        <f t="shared" si="126"/>
        <v xml:space="preserve"> </v>
      </c>
      <c r="Y170" s="185">
        <f t="shared" si="109"/>
        <v>888095.2000000003</v>
      </c>
      <c r="Z170" s="393">
        <f t="shared" si="117"/>
        <v>0.13125000000000001</v>
      </c>
      <c r="AA170" s="185">
        <f t="shared" si="118"/>
        <v>10874</v>
      </c>
      <c r="AB170" s="185">
        <f t="shared" si="119"/>
        <v>1160.4599999999991</v>
      </c>
      <c r="AC170" s="185">
        <f t="shared" si="120"/>
        <v>9713.5400000000009</v>
      </c>
      <c r="AD170" s="185">
        <f t="shared" si="144"/>
        <v>134.16999999999999</v>
      </c>
      <c r="AE170" s="185">
        <f t="shared" si="144"/>
        <v>188.55</v>
      </c>
      <c r="AF170" s="185">
        <f t="shared" si="121"/>
        <v>11196.72</v>
      </c>
      <c r="AG170" s="185">
        <f t="shared" si="140"/>
        <v>98783.35</v>
      </c>
      <c r="AH170" s="185">
        <f t="shared" si="141"/>
        <v>1471913.65</v>
      </c>
      <c r="AI170" s="411">
        <f t="shared" si="103"/>
        <v>1427027.7299999977</v>
      </c>
      <c r="AJ170" s="411">
        <f t="shared" si="143"/>
        <v>82260.979999999283</v>
      </c>
      <c r="AK170" s="411">
        <f t="shared" si="104"/>
        <v>1509288.7099999969</v>
      </c>
      <c r="AL170" s="185">
        <f t="shared" si="110"/>
        <v>886934.74000000034</v>
      </c>
      <c r="AM170" s="317">
        <f t="shared" si="127"/>
        <v>12</v>
      </c>
      <c r="AN170" s="14">
        <f t="shared" si="105"/>
        <v>19533.41</v>
      </c>
      <c r="AO170" s="14">
        <f t="shared" si="97"/>
        <v>969195.72</v>
      </c>
      <c r="AP170" s="14">
        <f t="shared" si="106"/>
        <v>10874</v>
      </c>
      <c r="AS170" s="14">
        <f t="shared" si="122"/>
        <v>19533.41</v>
      </c>
      <c r="AT170" s="14">
        <f t="shared" si="128"/>
        <v>3027197.990000003</v>
      </c>
      <c r="AU170" s="185">
        <f t="shared" si="129"/>
        <v>3621.2264717697549</v>
      </c>
      <c r="AV170" s="185">
        <f t="shared" si="130"/>
        <v>466011.81517967163</v>
      </c>
    </row>
    <row r="171" spans="1:48" ht="15.75" thickBot="1">
      <c r="A171" s="404" t="str">
        <f t="shared" si="131"/>
        <v xml:space="preserve"> </v>
      </c>
      <c r="B171" s="237">
        <f t="shared" si="123"/>
        <v>0</v>
      </c>
      <c r="C171" s="21">
        <f t="shared" si="114"/>
        <v>0</v>
      </c>
      <c r="D171" s="21">
        <f t="shared" si="132"/>
        <v>0</v>
      </c>
      <c r="E171" s="21">
        <f t="shared" si="115"/>
        <v>0</v>
      </c>
      <c r="F171" s="21">
        <f t="shared" ref="F171:G186" si="146">+F170</f>
        <v>0</v>
      </c>
      <c r="G171" s="21">
        <f t="shared" si="146"/>
        <v>0</v>
      </c>
      <c r="H171" s="21">
        <f t="shared" si="100"/>
        <v>0</v>
      </c>
      <c r="I171" s="237">
        <f t="shared" si="133"/>
        <v>0</v>
      </c>
      <c r="J171" s="237">
        <f t="shared" si="134"/>
        <v>0</v>
      </c>
      <c r="K171" s="237">
        <f t="shared" si="135"/>
        <v>0</v>
      </c>
      <c r="L171" s="318">
        <f t="shared" si="98"/>
        <v>12</v>
      </c>
      <c r="M171" s="318">
        <f t="shared" si="124"/>
        <v>155</v>
      </c>
      <c r="N171" s="237">
        <f t="shared" si="125"/>
        <v>969195.71999999962</v>
      </c>
      <c r="O171" s="237">
        <f t="shared" si="107"/>
        <v>19533.41</v>
      </c>
      <c r="P171" s="237">
        <f t="shared" si="136"/>
        <v>351.40999999999985</v>
      </c>
      <c r="Q171" s="237">
        <f t="shared" si="108"/>
        <v>19182</v>
      </c>
      <c r="R171" s="237">
        <f t="shared" si="145"/>
        <v>134.16999999999999</v>
      </c>
      <c r="S171" s="237">
        <f t="shared" si="145"/>
        <v>188.55</v>
      </c>
      <c r="T171" s="237">
        <f t="shared" si="101"/>
        <v>19856.129999999997</v>
      </c>
      <c r="U171" s="237">
        <f t="shared" si="137"/>
        <v>17255.689999999988</v>
      </c>
      <c r="V171" s="237">
        <f t="shared" si="138"/>
        <v>3029956.27</v>
      </c>
      <c r="W171" s="237">
        <f t="shared" si="139"/>
        <v>968844.30999999959</v>
      </c>
      <c r="X171" s="404" t="str">
        <f t="shared" si="126"/>
        <v xml:space="preserve"> </v>
      </c>
      <c r="Y171" s="237">
        <f t="shared" si="109"/>
        <v>886934.74000000034</v>
      </c>
      <c r="Z171" s="394">
        <f t="shared" si="117"/>
        <v>0.13125000000000001</v>
      </c>
      <c r="AA171" s="237">
        <f t="shared" si="118"/>
        <v>10874</v>
      </c>
      <c r="AB171" s="237">
        <f t="shared" si="119"/>
        <v>1173.1499999999996</v>
      </c>
      <c r="AC171" s="237">
        <f t="shared" si="120"/>
        <v>9700.85</v>
      </c>
      <c r="AD171" s="237">
        <f t="shared" si="144"/>
        <v>134.16999999999999</v>
      </c>
      <c r="AE171" s="237">
        <f t="shared" si="144"/>
        <v>188.55</v>
      </c>
      <c r="AF171" s="237">
        <f t="shared" si="121"/>
        <v>11196.72</v>
      </c>
      <c r="AG171" s="237">
        <f t="shared" si="140"/>
        <v>99956.5</v>
      </c>
      <c r="AH171" s="237">
        <f t="shared" si="141"/>
        <v>1481614.5</v>
      </c>
      <c r="AI171" s="412">
        <f t="shared" si="103"/>
        <v>1435687.1399999976</v>
      </c>
      <c r="AJ171" s="412">
        <f t="shared" si="143"/>
        <v>83082.719999999274</v>
      </c>
      <c r="AK171" s="411">
        <f t="shared" si="104"/>
        <v>1518769.8599999968</v>
      </c>
      <c r="AL171" s="237">
        <f t="shared" si="110"/>
        <v>885761.59000000032</v>
      </c>
      <c r="AM171" s="318">
        <f t="shared" si="127"/>
        <v>12</v>
      </c>
      <c r="AN171" s="21">
        <f t="shared" si="105"/>
        <v>19533.41</v>
      </c>
      <c r="AO171" s="21">
        <f t="shared" si="97"/>
        <v>968844.31</v>
      </c>
      <c r="AP171" s="21">
        <f t="shared" si="106"/>
        <v>10874</v>
      </c>
      <c r="AQ171" s="21"/>
      <c r="AR171" s="23"/>
      <c r="AS171" s="21">
        <f t="shared" si="122"/>
        <v>19533.41</v>
      </c>
      <c r="AT171" s="21">
        <f t="shared" si="128"/>
        <v>3046731.4000000032</v>
      </c>
      <c r="AU171" s="237">
        <f t="shared" si="129"/>
        <v>3630.2795379491786</v>
      </c>
      <c r="AV171" s="237">
        <f t="shared" si="130"/>
        <v>469642.09471762081</v>
      </c>
    </row>
    <row r="172" spans="1:48">
      <c r="A172" s="401" t="str">
        <f t="shared" si="131"/>
        <v xml:space="preserve"> </v>
      </c>
      <c r="B172" s="185">
        <f t="shared" si="123"/>
        <v>0</v>
      </c>
      <c r="C172" s="14">
        <f t="shared" si="114"/>
        <v>0</v>
      </c>
      <c r="D172" s="14">
        <f t="shared" si="132"/>
        <v>0</v>
      </c>
      <c r="E172" s="14">
        <f t="shared" si="115"/>
        <v>0</v>
      </c>
      <c r="F172" s="14">
        <f t="shared" si="146"/>
        <v>0</v>
      </c>
      <c r="G172" s="14">
        <f t="shared" si="146"/>
        <v>0</v>
      </c>
      <c r="H172" s="14">
        <f t="shared" si="100"/>
        <v>0</v>
      </c>
      <c r="I172" s="185">
        <f t="shared" si="133"/>
        <v>0</v>
      </c>
      <c r="J172" s="185">
        <f t="shared" si="134"/>
        <v>0</v>
      </c>
      <c r="K172" s="185">
        <f t="shared" si="135"/>
        <v>0</v>
      </c>
      <c r="L172" s="317">
        <f t="shared" si="98"/>
        <v>13</v>
      </c>
      <c r="M172" s="317">
        <f t="shared" si="124"/>
        <v>156</v>
      </c>
      <c r="N172" s="185">
        <f t="shared" si="125"/>
        <v>968844.30999999959</v>
      </c>
      <c r="O172" s="185">
        <f t="shared" si="107"/>
        <v>19533.41</v>
      </c>
      <c r="P172" s="185">
        <f t="shared" si="136"/>
        <v>358.36999999999898</v>
      </c>
      <c r="Q172" s="185">
        <f t="shared" si="108"/>
        <v>19175.04</v>
      </c>
      <c r="R172" s="185">
        <f t="shared" si="145"/>
        <v>134.16999999999999</v>
      </c>
      <c r="S172" s="185">
        <f t="shared" si="145"/>
        <v>188.55</v>
      </c>
      <c r="T172" s="185">
        <f t="shared" si="101"/>
        <v>19856.129999999997</v>
      </c>
      <c r="U172" s="185">
        <f t="shared" si="137"/>
        <v>17614.059999999987</v>
      </c>
      <c r="V172" s="185">
        <f t="shared" si="138"/>
        <v>3049131.31</v>
      </c>
      <c r="W172" s="185">
        <f t="shared" si="139"/>
        <v>968485.93999999959</v>
      </c>
      <c r="X172" s="401" t="str">
        <f t="shared" si="126"/>
        <v xml:space="preserve"> </v>
      </c>
      <c r="Y172" s="185">
        <f t="shared" si="109"/>
        <v>885761.59000000032</v>
      </c>
      <c r="Z172" s="393">
        <f t="shared" si="117"/>
        <v>0.13125000000000001</v>
      </c>
      <c r="AA172" s="185">
        <f t="shared" si="118"/>
        <v>10874</v>
      </c>
      <c r="AB172" s="185">
        <f t="shared" si="119"/>
        <v>1185.9799999999996</v>
      </c>
      <c r="AC172" s="185">
        <f t="shared" si="120"/>
        <v>9688.02</v>
      </c>
      <c r="AD172" s="185">
        <f t="shared" si="144"/>
        <v>134.16999999999999</v>
      </c>
      <c r="AE172" s="185">
        <f t="shared" si="144"/>
        <v>188.55</v>
      </c>
      <c r="AF172" s="185">
        <f t="shared" si="121"/>
        <v>11196.72</v>
      </c>
      <c r="AG172" s="185">
        <f t="shared" si="140"/>
        <v>101142.48</v>
      </c>
      <c r="AH172" s="185">
        <f t="shared" si="141"/>
        <v>1491302.52</v>
      </c>
      <c r="AI172" s="411">
        <f t="shared" si="103"/>
        <v>1444346.5499999975</v>
      </c>
      <c r="AJ172" s="411">
        <f t="shared" si="143"/>
        <v>83910.32999999926</v>
      </c>
      <c r="AK172" s="411">
        <f t="shared" si="104"/>
        <v>1528256.8799999966</v>
      </c>
      <c r="AL172" s="185">
        <f t="shared" si="110"/>
        <v>884575.61000000034</v>
      </c>
      <c r="AM172" s="317">
        <f t="shared" si="127"/>
        <v>13</v>
      </c>
      <c r="AN172" s="14">
        <f t="shared" si="105"/>
        <v>19533.41</v>
      </c>
      <c r="AO172" s="14">
        <f t="shared" si="97"/>
        <v>968485.94000000006</v>
      </c>
      <c r="AP172" s="14">
        <f t="shared" si="106"/>
        <v>10874</v>
      </c>
      <c r="AS172" s="14">
        <f t="shared" si="122"/>
        <v>19533.41</v>
      </c>
      <c r="AT172" s="14">
        <f t="shared" si="128"/>
        <v>3066264.8100000033</v>
      </c>
      <c r="AU172" s="185">
        <f t="shared" si="129"/>
        <v>3639.355236794052</v>
      </c>
      <c r="AV172" s="185">
        <f t="shared" si="130"/>
        <v>473281.44995441486</v>
      </c>
    </row>
    <row r="173" spans="1:48">
      <c r="A173" s="401" t="str">
        <f t="shared" si="131"/>
        <v xml:space="preserve"> </v>
      </c>
      <c r="B173" s="185">
        <f t="shared" si="123"/>
        <v>0</v>
      </c>
      <c r="C173" s="14">
        <f t="shared" si="114"/>
        <v>0</v>
      </c>
      <c r="D173" s="14">
        <f t="shared" si="132"/>
        <v>0</v>
      </c>
      <c r="E173" s="14">
        <f t="shared" si="115"/>
        <v>0</v>
      </c>
      <c r="F173" s="14">
        <f t="shared" si="146"/>
        <v>0</v>
      </c>
      <c r="G173" s="14">
        <f t="shared" si="146"/>
        <v>0</v>
      </c>
      <c r="H173" s="14">
        <f t="shared" si="100"/>
        <v>0</v>
      </c>
      <c r="I173" s="185">
        <f t="shared" si="133"/>
        <v>0</v>
      </c>
      <c r="J173" s="185">
        <f t="shared" si="134"/>
        <v>0</v>
      </c>
      <c r="K173" s="185">
        <f t="shared" si="135"/>
        <v>0</v>
      </c>
      <c r="L173" s="317">
        <f t="shared" si="98"/>
        <v>13</v>
      </c>
      <c r="M173" s="317">
        <f t="shared" si="124"/>
        <v>157</v>
      </c>
      <c r="N173" s="185">
        <f t="shared" si="125"/>
        <v>968485.93999999959</v>
      </c>
      <c r="O173" s="185">
        <f t="shared" si="107"/>
        <v>19533.41</v>
      </c>
      <c r="P173" s="185">
        <f t="shared" si="136"/>
        <v>365.45999999999913</v>
      </c>
      <c r="Q173" s="185">
        <f t="shared" si="108"/>
        <v>19167.95</v>
      </c>
      <c r="R173" s="185">
        <f t="shared" si="145"/>
        <v>134.16999999999999</v>
      </c>
      <c r="S173" s="185">
        <f t="shared" si="145"/>
        <v>188.55</v>
      </c>
      <c r="T173" s="185">
        <f t="shared" si="101"/>
        <v>19856.129999999997</v>
      </c>
      <c r="U173" s="185">
        <f t="shared" si="137"/>
        <v>17979.519999999986</v>
      </c>
      <c r="V173" s="185">
        <f t="shared" si="138"/>
        <v>3068299.2600000002</v>
      </c>
      <c r="W173" s="185">
        <f t="shared" si="139"/>
        <v>968120.47999999963</v>
      </c>
      <c r="X173" s="401" t="str">
        <f t="shared" si="126"/>
        <v xml:space="preserve"> </v>
      </c>
      <c r="Y173" s="185">
        <f t="shared" si="109"/>
        <v>884575.61000000034</v>
      </c>
      <c r="Z173" s="393">
        <f t="shared" si="117"/>
        <v>0.13125000000000001</v>
      </c>
      <c r="AA173" s="185">
        <f t="shared" si="118"/>
        <v>10874</v>
      </c>
      <c r="AB173" s="185">
        <f t="shared" si="119"/>
        <v>1198.9500000000007</v>
      </c>
      <c r="AC173" s="185">
        <f t="shared" si="120"/>
        <v>9675.0499999999993</v>
      </c>
      <c r="AD173" s="185">
        <f t="shared" ref="AD173:AE188" si="147">+AD172</f>
        <v>134.16999999999999</v>
      </c>
      <c r="AE173" s="185">
        <f t="shared" si="147"/>
        <v>188.55</v>
      </c>
      <c r="AF173" s="185">
        <f t="shared" si="121"/>
        <v>11196.72</v>
      </c>
      <c r="AG173" s="185">
        <f t="shared" si="140"/>
        <v>102341.43</v>
      </c>
      <c r="AH173" s="185">
        <f t="shared" si="141"/>
        <v>1500977.57</v>
      </c>
      <c r="AI173" s="411">
        <f t="shared" si="103"/>
        <v>1453005.9599999974</v>
      </c>
      <c r="AJ173" s="411">
        <f t="shared" si="143"/>
        <v>84743.81999999925</v>
      </c>
      <c r="AK173" s="411">
        <f t="shared" si="104"/>
        <v>1537749.7799999965</v>
      </c>
      <c r="AL173" s="185">
        <f t="shared" si="110"/>
        <v>883376.66000000038</v>
      </c>
      <c r="AM173" s="317">
        <f t="shared" si="127"/>
        <v>13</v>
      </c>
      <c r="AN173" s="14">
        <f t="shared" si="105"/>
        <v>19533.41</v>
      </c>
      <c r="AO173" s="14">
        <f t="shared" si="97"/>
        <v>968120.48</v>
      </c>
      <c r="AP173" s="14">
        <f t="shared" si="106"/>
        <v>10874</v>
      </c>
      <c r="AS173" s="14">
        <f t="shared" si="122"/>
        <v>19533.41</v>
      </c>
      <c r="AT173" s="14">
        <f t="shared" si="128"/>
        <v>3085798.2200000035</v>
      </c>
      <c r="AU173" s="185">
        <f t="shared" si="129"/>
        <v>3648.4536248860368</v>
      </c>
      <c r="AV173" s="185">
        <f t="shared" si="130"/>
        <v>476929.90357930091</v>
      </c>
    </row>
    <row r="174" spans="1:48">
      <c r="A174" s="401" t="str">
        <f t="shared" si="131"/>
        <v xml:space="preserve"> </v>
      </c>
      <c r="B174" s="185">
        <f t="shared" si="123"/>
        <v>0</v>
      </c>
      <c r="C174" s="14">
        <f t="shared" si="114"/>
        <v>0</v>
      </c>
      <c r="D174" s="14">
        <f t="shared" si="132"/>
        <v>0</v>
      </c>
      <c r="E174" s="14">
        <f t="shared" si="115"/>
        <v>0</v>
      </c>
      <c r="F174" s="14">
        <f t="shared" si="146"/>
        <v>0</v>
      </c>
      <c r="G174" s="14">
        <f t="shared" si="146"/>
        <v>0</v>
      </c>
      <c r="H174" s="14">
        <f t="shared" si="100"/>
        <v>0</v>
      </c>
      <c r="I174" s="185">
        <f t="shared" si="133"/>
        <v>0</v>
      </c>
      <c r="J174" s="185">
        <f t="shared" si="134"/>
        <v>0</v>
      </c>
      <c r="K174" s="185">
        <f t="shared" si="135"/>
        <v>0</v>
      </c>
      <c r="L174" s="317">
        <f t="shared" si="98"/>
        <v>13</v>
      </c>
      <c r="M174" s="317">
        <f t="shared" si="124"/>
        <v>158</v>
      </c>
      <c r="N174" s="185">
        <f t="shared" si="125"/>
        <v>968120.47999999963</v>
      </c>
      <c r="O174" s="185">
        <f t="shared" si="107"/>
        <v>19533.41</v>
      </c>
      <c r="P174" s="185">
        <f t="shared" si="136"/>
        <v>372.68999999999869</v>
      </c>
      <c r="Q174" s="185">
        <f t="shared" si="108"/>
        <v>19160.72</v>
      </c>
      <c r="R174" s="185">
        <f t="shared" si="145"/>
        <v>134.16999999999999</v>
      </c>
      <c r="S174" s="185">
        <f t="shared" si="145"/>
        <v>188.55</v>
      </c>
      <c r="T174" s="185">
        <f t="shared" si="101"/>
        <v>19856.129999999997</v>
      </c>
      <c r="U174" s="185">
        <f t="shared" si="137"/>
        <v>18352.209999999985</v>
      </c>
      <c r="V174" s="185">
        <f t="shared" si="138"/>
        <v>3087459.9800000004</v>
      </c>
      <c r="W174" s="185">
        <f t="shared" si="139"/>
        <v>967747.78999999969</v>
      </c>
      <c r="X174" s="401" t="str">
        <f t="shared" si="126"/>
        <v xml:space="preserve"> </v>
      </c>
      <c r="Y174" s="185">
        <f t="shared" si="109"/>
        <v>883376.66000000038</v>
      </c>
      <c r="Z174" s="393">
        <f t="shared" si="117"/>
        <v>0.13125000000000001</v>
      </c>
      <c r="AA174" s="185">
        <f t="shared" si="118"/>
        <v>10874</v>
      </c>
      <c r="AB174" s="185">
        <f t="shared" si="119"/>
        <v>1212.0699999999997</v>
      </c>
      <c r="AC174" s="185">
        <f t="shared" si="120"/>
        <v>9661.93</v>
      </c>
      <c r="AD174" s="185">
        <f t="shared" si="147"/>
        <v>134.16999999999999</v>
      </c>
      <c r="AE174" s="185">
        <f t="shared" si="147"/>
        <v>188.55</v>
      </c>
      <c r="AF174" s="185">
        <f t="shared" si="121"/>
        <v>11196.72</v>
      </c>
      <c r="AG174" s="185">
        <f t="shared" si="140"/>
        <v>103553.5</v>
      </c>
      <c r="AH174" s="185">
        <f t="shared" si="141"/>
        <v>1510639.5</v>
      </c>
      <c r="AI174" s="411">
        <f t="shared" si="103"/>
        <v>1461665.3699999973</v>
      </c>
      <c r="AJ174" s="411">
        <f t="shared" si="143"/>
        <v>85583.199999999255</v>
      </c>
      <c r="AK174" s="411">
        <f t="shared" si="104"/>
        <v>1547248.5699999966</v>
      </c>
      <c r="AL174" s="185">
        <f t="shared" si="110"/>
        <v>882164.59000000043</v>
      </c>
      <c r="AM174" s="317">
        <f t="shared" si="127"/>
        <v>13</v>
      </c>
      <c r="AN174" s="14">
        <f t="shared" si="105"/>
        <v>19533.41</v>
      </c>
      <c r="AO174" s="14">
        <f t="shared" ref="AO174:AO237" si="148">IF(W174&lt;=0,0,+$AA$6-$C$2+I174-U174)</f>
        <v>967747.79</v>
      </c>
      <c r="AP174" s="14">
        <f t="shared" si="106"/>
        <v>10874</v>
      </c>
      <c r="AS174" s="14">
        <f t="shared" si="122"/>
        <v>19533.41</v>
      </c>
      <c r="AT174" s="14">
        <f t="shared" si="128"/>
        <v>3105331.6300000036</v>
      </c>
      <c r="AU174" s="185">
        <f t="shared" si="129"/>
        <v>3657.5747589482526</v>
      </c>
      <c r="AV174" s="185">
        <f t="shared" si="130"/>
        <v>480587.47833824914</v>
      </c>
    </row>
    <row r="175" spans="1:48">
      <c r="A175" s="401" t="str">
        <f t="shared" si="131"/>
        <v xml:space="preserve"> </v>
      </c>
      <c r="B175" s="185">
        <f t="shared" si="123"/>
        <v>0</v>
      </c>
      <c r="C175" s="14">
        <f t="shared" si="114"/>
        <v>0</v>
      </c>
      <c r="D175" s="14">
        <f t="shared" si="132"/>
        <v>0</v>
      </c>
      <c r="E175" s="14">
        <f t="shared" si="115"/>
        <v>0</v>
      </c>
      <c r="F175" s="14">
        <f t="shared" si="146"/>
        <v>0</v>
      </c>
      <c r="G175" s="14">
        <f t="shared" si="146"/>
        <v>0</v>
      </c>
      <c r="H175" s="14">
        <f t="shared" si="100"/>
        <v>0</v>
      </c>
      <c r="I175" s="185">
        <f t="shared" si="133"/>
        <v>0</v>
      </c>
      <c r="J175" s="185">
        <f t="shared" si="134"/>
        <v>0</v>
      </c>
      <c r="K175" s="185">
        <f t="shared" si="135"/>
        <v>0</v>
      </c>
      <c r="L175" s="317">
        <f t="shared" si="98"/>
        <v>13</v>
      </c>
      <c r="M175" s="317">
        <f t="shared" si="124"/>
        <v>159</v>
      </c>
      <c r="N175" s="185">
        <f t="shared" si="125"/>
        <v>967747.78999999969</v>
      </c>
      <c r="O175" s="185">
        <f t="shared" si="107"/>
        <v>19533.41</v>
      </c>
      <c r="P175" s="185">
        <f t="shared" si="136"/>
        <v>380.06999999999971</v>
      </c>
      <c r="Q175" s="185">
        <f t="shared" si="108"/>
        <v>19153.34</v>
      </c>
      <c r="R175" s="185">
        <f t="shared" si="145"/>
        <v>134.16999999999999</v>
      </c>
      <c r="S175" s="185">
        <f t="shared" si="145"/>
        <v>188.55</v>
      </c>
      <c r="T175" s="185">
        <f t="shared" si="101"/>
        <v>19856.129999999997</v>
      </c>
      <c r="U175" s="185">
        <f t="shared" si="137"/>
        <v>18732.279999999984</v>
      </c>
      <c r="V175" s="185">
        <f t="shared" si="138"/>
        <v>3106613.3200000003</v>
      </c>
      <c r="W175" s="185">
        <f t="shared" si="139"/>
        <v>967367.71999999974</v>
      </c>
      <c r="X175" s="401" t="str">
        <f t="shared" si="126"/>
        <v xml:space="preserve"> </v>
      </c>
      <c r="Y175" s="185">
        <f t="shared" si="109"/>
        <v>882164.59000000043</v>
      </c>
      <c r="Z175" s="393">
        <f t="shared" si="117"/>
        <v>0.13125000000000001</v>
      </c>
      <c r="AA175" s="185">
        <f t="shared" si="118"/>
        <v>10874</v>
      </c>
      <c r="AB175" s="185">
        <f t="shared" si="119"/>
        <v>1225.3199999999997</v>
      </c>
      <c r="AC175" s="185">
        <f t="shared" si="120"/>
        <v>9648.68</v>
      </c>
      <c r="AD175" s="185">
        <f t="shared" si="147"/>
        <v>134.16999999999999</v>
      </c>
      <c r="AE175" s="185">
        <f t="shared" si="147"/>
        <v>188.55</v>
      </c>
      <c r="AF175" s="185">
        <f t="shared" si="121"/>
        <v>11196.72</v>
      </c>
      <c r="AG175" s="185">
        <f t="shared" si="140"/>
        <v>104778.82</v>
      </c>
      <c r="AH175" s="185">
        <f t="shared" si="141"/>
        <v>1520288.18</v>
      </c>
      <c r="AI175" s="411">
        <f t="shared" si="103"/>
        <v>1470324.7799999972</v>
      </c>
      <c r="AJ175" s="411">
        <f t="shared" si="143"/>
        <v>86428.449999999255</v>
      </c>
      <c r="AK175" s="411">
        <f t="shared" si="104"/>
        <v>1556753.2299999965</v>
      </c>
      <c r="AL175" s="185">
        <f t="shared" si="110"/>
        <v>880939.27000000048</v>
      </c>
      <c r="AM175" s="317">
        <f t="shared" si="127"/>
        <v>13</v>
      </c>
      <c r="AN175" s="14">
        <f t="shared" si="105"/>
        <v>19533.41</v>
      </c>
      <c r="AO175" s="14">
        <f t="shared" si="148"/>
        <v>967367.72</v>
      </c>
      <c r="AP175" s="14">
        <f t="shared" si="106"/>
        <v>10874</v>
      </c>
      <c r="AS175" s="14">
        <f t="shared" si="122"/>
        <v>19533.41</v>
      </c>
      <c r="AT175" s="14">
        <f t="shared" si="128"/>
        <v>3124865.0400000038</v>
      </c>
      <c r="AU175" s="185">
        <f t="shared" si="129"/>
        <v>3666.7186958456223</v>
      </c>
      <c r="AV175" s="185">
        <f t="shared" si="130"/>
        <v>484254.19703409477</v>
      </c>
    </row>
    <row r="176" spans="1:48">
      <c r="A176" s="401" t="str">
        <f t="shared" si="131"/>
        <v xml:space="preserve"> </v>
      </c>
      <c r="B176" s="185">
        <f t="shared" si="123"/>
        <v>0</v>
      </c>
      <c r="C176" s="14">
        <f t="shared" si="114"/>
        <v>0</v>
      </c>
      <c r="D176" s="14">
        <f t="shared" si="132"/>
        <v>0</v>
      </c>
      <c r="E176" s="14">
        <f t="shared" si="115"/>
        <v>0</v>
      </c>
      <c r="F176" s="14">
        <f t="shared" si="146"/>
        <v>0</v>
      </c>
      <c r="G176" s="14">
        <f t="shared" si="146"/>
        <v>0</v>
      </c>
      <c r="H176" s="14">
        <f t="shared" si="100"/>
        <v>0</v>
      </c>
      <c r="I176" s="185">
        <f t="shared" si="133"/>
        <v>0</v>
      </c>
      <c r="J176" s="185">
        <f t="shared" si="134"/>
        <v>0</v>
      </c>
      <c r="K176" s="185">
        <f t="shared" si="135"/>
        <v>0</v>
      </c>
      <c r="L176" s="317">
        <f t="shared" ref="L176:L239" si="149">IF(MOD(M176,12)=0,M176/12,L175)</f>
        <v>13</v>
      </c>
      <c r="M176" s="317">
        <f t="shared" si="124"/>
        <v>160</v>
      </c>
      <c r="N176" s="185">
        <f t="shared" si="125"/>
        <v>967367.71999999974</v>
      </c>
      <c r="O176" s="185">
        <f t="shared" si="107"/>
        <v>19533.41</v>
      </c>
      <c r="P176" s="185">
        <f t="shared" si="136"/>
        <v>387.59000000000015</v>
      </c>
      <c r="Q176" s="185">
        <f t="shared" si="108"/>
        <v>19145.82</v>
      </c>
      <c r="R176" s="185">
        <f t="shared" ref="R176:S191" si="150">+R175</f>
        <v>134.16999999999999</v>
      </c>
      <c r="S176" s="185">
        <f t="shared" si="150"/>
        <v>188.55</v>
      </c>
      <c r="T176" s="185">
        <f t="shared" si="101"/>
        <v>19856.129999999997</v>
      </c>
      <c r="U176" s="185">
        <f t="shared" si="137"/>
        <v>19119.869999999984</v>
      </c>
      <c r="V176" s="185">
        <f t="shared" si="138"/>
        <v>3125759.14</v>
      </c>
      <c r="W176" s="185">
        <f t="shared" si="139"/>
        <v>966980.12999999977</v>
      </c>
      <c r="X176" s="401" t="str">
        <f t="shared" si="126"/>
        <v xml:space="preserve"> </v>
      </c>
      <c r="Y176" s="185">
        <f t="shared" si="109"/>
        <v>880939.27000000048</v>
      </c>
      <c r="Z176" s="393">
        <f t="shared" si="117"/>
        <v>0.13125000000000001</v>
      </c>
      <c r="AA176" s="185">
        <f t="shared" si="118"/>
        <v>10874</v>
      </c>
      <c r="AB176" s="185">
        <f t="shared" si="119"/>
        <v>1238.7299999999996</v>
      </c>
      <c r="AC176" s="185">
        <f t="shared" si="120"/>
        <v>9635.27</v>
      </c>
      <c r="AD176" s="185">
        <f t="shared" si="147"/>
        <v>134.16999999999999</v>
      </c>
      <c r="AE176" s="185">
        <f t="shared" si="147"/>
        <v>188.55</v>
      </c>
      <c r="AF176" s="185">
        <f t="shared" si="121"/>
        <v>11196.72</v>
      </c>
      <c r="AG176" s="185">
        <f t="shared" si="140"/>
        <v>106017.55</v>
      </c>
      <c r="AH176" s="185">
        <f t="shared" si="141"/>
        <v>1529923.45</v>
      </c>
      <c r="AI176" s="411">
        <f t="shared" si="103"/>
        <v>1478984.1899999972</v>
      </c>
      <c r="AJ176" s="411">
        <f t="shared" si="143"/>
        <v>87279.589999999269</v>
      </c>
      <c r="AK176" s="411">
        <f t="shared" si="104"/>
        <v>1566263.7799999965</v>
      </c>
      <c r="AL176" s="185">
        <f t="shared" si="110"/>
        <v>879700.5400000005</v>
      </c>
      <c r="AM176" s="317">
        <f t="shared" si="127"/>
        <v>13</v>
      </c>
      <c r="AN176" s="14">
        <f t="shared" si="105"/>
        <v>19533.41</v>
      </c>
      <c r="AO176" s="14">
        <f t="shared" si="148"/>
        <v>966980.13</v>
      </c>
      <c r="AP176" s="14">
        <f t="shared" si="106"/>
        <v>10874</v>
      </c>
      <c r="AS176" s="14">
        <f t="shared" si="122"/>
        <v>19533.41</v>
      </c>
      <c r="AT176" s="14">
        <f t="shared" si="128"/>
        <v>3144398.4500000039</v>
      </c>
      <c r="AU176" s="185">
        <f t="shared" si="129"/>
        <v>3675.885492585237</v>
      </c>
      <c r="AV176" s="185">
        <f t="shared" si="130"/>
        <v>487930.08252668002</v>
      </c>
    </row>
    <row r="177" spans="1:48">
      <c r="A177" s="401" t="str">
        <f t="shared" si="131"/>
        <v xml:space="preserve"> </v>
      </c>
      <c r="B177" s="185">
        <f t="shared" si="123"/>
        <v>0</v>
      </c>
      <c r="C177" s="14">
        <f t="shared" si="114"/>
        <v>0</v>
      </c>
      <c r="D177" s="14">
        <f t="shared" si="132"/>
        <v>0</v>
      </c>
      <c r="E177" s="14">
        <f t="shared" si="115"/>
        <v>0</v>
      </c>
      <c r="F177" s="14">
        <f t="shared" si="146"/>
        <v>0</v>
      </c>
      <c r="G177" s="14">
        <f t="shared" si="146"/>
        <v>0</v>
      </c>
      <c r="H177" s="14">
        <f t="shared" si="100"/>
        <v>0</v>
      </c>
      <c r="I177" s="185">
        <f t="shared" si="133"/>
        <v>0</v>
      </c>
      <c r="J177" s="185">
        <f t="shared" si="134"/>
        <v>0</v>
      </c>
      <c r="K177" s="185">
        <f t="shared" si="135"/>
        <v>0</v>
      </c>
      <c r="L177" s="317">
        <f t="shared" si="149"/>
        <v>13</v>
      </c>
      <c r="M177" s="317">
        <f t="shared" si="124"/>
        <v>161</v>
      </c>
      <c r="N177" s="185">
        <f t="shared" si="125"/>
        <v>966980.12999999977</v>
      </c>
      <c r="O177" s="185">
        <f t="shared" si="107"/>
        <v>19533.41</v>
      </c>
      <c r="P177" s="185">
        <f t="shared" si="136"/>
        <v>395.2599999999984</v>
      </c>
      <c r="Q177" s="185">
        <f t="shared" si="108"/>
        <v>19138.150000000001</v>
      </c>
      <c r="R177" s="185">
        <f t="shared" si="150"/>
        <v>134.16999999999999</v>
      </c>
      <c r="S177" s="185">
        <f t="shared" si="150"/>
        <v>188.55</v>
      </c>
      <c r="T177" s="185">
        <f t="shared" si="101"/>
        <v>19856.129999999997</v>
      </c>
      <c r="U177" s="185">
        <f t="shared" si="137"/>
        <v>19515.129999999983</v>
      </c>
      <c r="V177" s="185">
        <f t="shared" si="138"/>
        <v>3144897.29</v>
      </c>
      <c r="W177" s="185">
        <f t="shared" si="139"/>
        <v>966584.86999999976</v>
      </c>
      <c r="X177" s="401" t="str">
        <f t="shared" si="126"/>
        <v xml:space="preserve"> </v>
      </c>
      <c r="Y177" s="185">
        <f t="shared" si="109"/>
        <v>879700.5400000005</v>
      </c>
      <c r="Z177" s="393">
        <f t="shared" si="117"/>
        <v>0.13125000000000001</v>
      </c>
      <c r="AA177" s="185">
        <f t="shared" si="118"/>
        <v>10874</v>
      </c>
      <c r="AB177" s="185">
        <f t="shared" si="119"/>
        <v>1252.2800000000007</v>
      </c>
      <c r="AC177" s="185">
        <f t="shared" si="120"/>
        <v>9621.7199999999993</v>
      </c>
      <c r="AD177" s="185">
        <f t="shared" si="147"/>
        <v>134.16999999999999</v>
      </c>
      <c r="AE177" s="185">
        <f t="shared" si="147"/>
        <v>188.55</v>
      </c>
      <c r="AF177" s="185">
        <f t="shared" si="121"/>
        <v>11196.72</v>
      </c>
      <c r="AG177" s="185">
        <f t="shared" si="140"/>
        <v>107269.83</v>
      </c>
      <c r="AH177" s="185">
        <f t="shared" si="141"/>
        <v>1539545.17</v>
      </c>
      <c r="AI177" s="411">
        <f t="shared" si="103"/>
        <v>1487643.5999999971</v>
      </c>
      <c r="AJ177" s="411">
        <f t="shared" si="143"/>
        <v>88136.609999999288</v>
      </c>
      <c r="AK177" s="411">
        <f t="shared" si="104"/>
        <v>1575780.2099999962</v>
      </c>
      <c r="AL177" s="185">
        <f t="shared" si="110"/>
        <v>878448.26000000047</v>
      </c>
      <c r="AM177" s="317">
        <f t="shared" si="127"/>
        <v>13</v>
      </c>
      <c r="AN177" s="14">
        <f t="shared" si="105"/>
        <v>19533.41</v>
      </c>
      <c r="AO177" s="14">
        <f t="shared" si="148"/>
        <v>966584.87</v>
      </c>
      <c r="AP177" s="14">
        <f t="shared" si="106"/>
        <v>10874</v>
      </c>
      <c r="AS177" s="14">
        <f t="shared" si="122"/>
        <v>19533.41</v>
      </c>
      <c r="AT177" s="14">
        <f t="shared" si="128"/>
        <v>3163931.8600000041</v>
      </c>
      <c r="AU177" s="185">
        <f t="shared" si="129"/>
        <v>3685.0752063167001</v>
      </c>
      <c r="AV177" s="185">
        <f t="shared" si="130"/>
        <v>491615.15773299674</v>
      </c>
    </row>
    <row r="178" spans="1:48">
      <c r="A178" s="401" t="str">
        <f t="shared" si="131"/>
        <v xml:space="preserve"> </v>
      </c>
      <c r="B178" s="185">
        <f t="shared" si="123"/>
        <v>0</v>
      </c>
      <c r="C178" s="14">
        <f t="shared" si="114"/>
        <v>0</v>
      </c>
      <c r="D178" s="14">
        <f t="shared" si="132"/>
        <v>0</v>
      </c>
      <c r="E178" s="14">
        <f t="shared" si="115"/>
        <v>0</v>
      </c>
      <c r="F178" s="14">
        <f t="shared" si="146"/>
        <v>0</v>
      </c>
      <c r="G178" s="14">
        <f t="shared" si="146"/>
        <v>0</v>
      </c>
      <c r="H178" s="14">
        <f t="shared" si="100"/>
        <v>0</v>
      </c>
      <c r="I178" s="185">
        <f t="shared" si="133"/>
        <v>0</v>
      </c>
      <c r="J178" s="185">
        <f t="shared" si="134"/>
        <v>0</v>
      </c>
      <c r="K178" s="185">
        <f t="shared" si="135"/>
        <v>0</v>
      </c>
      <c r="L178" s="317">
        <f t="shared" si="149"/>
        <v>13</v>
      </c>
      <c r="M178" s="317">
        <f t="shared" si="124"/>
        <v>162</v>
      </c>
      <c r="N178" s="185">
        <f t="shared" si="125"/>
        <v>966584.86999999976</v>
      </c>
      <c r="O178" s="185">
        <f t="shared" si="107"/>
        <v>19533.41</v>
      </c>
      <c r="P178" s="185">
        <f t="shared" si="136"/>
        <v>403.07999999999811</v>
      </c>
      <c r="Q178" s="185">
        <f t="shared" si="108"/>
        <v>19130.330000000002</v>
      </c>
      <c r="R178" s="185">
        <f t="shared" si="150"/>
        <v>134.16999999999999</v>
      </c>
      <c r="S178" s="185">
        <f t="shared" si="150"/>
        <v>188.55</v>
      </c>
      <c r="T178" s="185">
        <f t="shared" si="101"/>
        <v>19856.129999999997</v>
      </c>
      <c r="U178" s="185">
        <f t="shared" si="137"/>
        <v>19918.209999999981</v>
      </c>
      <c r="V178" s="185">
        <f t="shared" si="138"/>
        <v>3164027.62</v>
      </c>
      <c r="W178" s="185">
        <f t="shared" si="139"/>
        <v>966181.7899999998</v>
      </c>
      <c r="X178" s="401" t="str">
        <f t="shared" si="126"/>
        <v xml:space="preserve"> </v>
      </c>
      <c r="Y178" s="185">
        <f t="shared" si="109"/>
        <v>878448.26000000047</v>
      </c>
      <c r="Z178" s="393">
        <f t="shared" si="117"/>
        <v>0.13125000000000001</v>
      </c>
      <c r="AA178" s="185">
        <f t="shared" si="118"/>
        <v>10874</v>
      </c>
      <c r="AB178" s="185">
        <f t="shared" si="119"/>
        <v>1265.9699999999993</v>
      </c>
      <c r="AC178" s="185">
        <f t="shared" si="120"/>
        <v>9608.0300000000007</v>
      </c>
      <c r="AD178" s="185">
        <f t="shared" si="147"/>
        <v>134.16999999999999</v>
      </c>
      <c r="AE178" s="185">
        <f t="shared" si="147"/>
        <v>188.55</v>
      </c>
      <c r="AF178" s="185">
        <f t="shared" si="121"/>
        <v>11196.72</v>
      </c>
      <c r="AG178" s="185">
        <f t="shared" si="140"/>
        <v>108535.8</v>
      </c>
      <c r="AH178" s="185">
        <f t="shared" si="141"/>
        <v>1549153.2</v>
      </c>
      <c r="AI178" s="411">
        <f t="shared" si="103"/>
        <v>1496303.009999997</v>
      </c>
      <c r="AJ178" s="411">
        <f t="shared" si="143"/>
        <v>88999.499999999302</v>
      </c>
      <c r="AK178" s="411">
        <f t="shared" si="104"/>
        <v>1585302.5099999963</v>
      </c>
      <c r="AL178" s="185">
        <f t="shared" si="110"/>
        <v>877182.2900000005</v>
      </c>
      <c r="AM178" s="317">
        <f t="shared" si="127"/>
        <v>13</v>
      </c>
      <c r="AN178" s="14">
        <f t="shared" si="105"/>
        <v>19533.41</v>
      </c>
      <c r="AO178" s="14">
        <f t="shared" si="148"/>
        <v>966181.79</v>
      </c>
      <c r="AP178" s="14">
        <f t="shared" si="106"/>
        <v>10874</v>
      </c>
      <c r="AS178" s="14">
        <f t="shared" si="122"/>
        <v>19533.41</v>
      </c>
      <c r="AT178" s="14">
        <f t="shared" si="128"/>
        <v>3183465.2700000042</v>
      </c>
      <c r="AU178" s="185">
        <f t="shared" si="129"/>
        <v>3694.2878943324918</v>
      </c>
      <c r="AV178" s="185">
        <f t="shared" si="130"/>
        <v>495309.44562732923</v>
      </c>
    </row>
    <row r="179" spans="1:48">
      <c r="A179" s="401" t="str">
        <f t="shared" si="131"/>
        <v xml:space="preserve"> </v>
      </c>
      <c r="B179" s="185">
        <f t="shared" si="123"/>
        <v>0</v>
      </c>
      <c r="C179" s="14">
        <f t="shared" si="114"/>
        <v>0</v>
      </c>
      <c r="D179" s="14">
        <f t="shared" si="132"/>
        <v>0</v>
      </c>
      <c r="E179" s="14">
        <f t="shared" si="115"/>
        <v>0</v>
      </c>
      <c r="F179" s="14">
        <f t="shared" si="146"/>
        <v>0</v>
      </c>
      <c r="G179" s="14">
        <f t="shared" si="146"/>
        <v>0</v>
      </c>
      <c r="H179" s="14">
        <f t="shared" si="100"/>
        <v>0</v>
      </c>
      <c r="I179" s="185">
        <f t="shared" si="133"/>
        <v>0</v>
      </c>
      <c r="J179" s="185">
        <f t="shared" si="134"/>
        <v>0</v>
      </c>
      <c r="K179" s="185">
        <f t="shared" si="135"/>
        <v>0</v>
      </c>
      <c r="L179" s="317">
        <f t="shared" si="149"/>
        <v>13</v>
      </c>
      <c r="M179" s="317">
        <f t="shared" si="124"/>
        <v>163</v>
      </c>
      <c r="N179" s="185">
        <f t="shared" si="125"/>
        <v>966181.7899999998</v>
      </c>
      <c r="O179" s="185">
        <f t="shared" si="107"/>
        <v>19533.41</v>
      </c>
      <c r="P179" s="185">
        <f t="shared" si="136"/>
        <v>411.06000000000131</v>
      </c>
      <c r="Q179" s="185">
        <f t="shared" si="108"/>
        <v>19122.349999999999</v>
      </c>
      <c r="R179" s="185">
        <f t="shared" si="150"/>
        <v>134.16999999999999</v>
      </c>
      <c r="S179" s="185">
        <f t="shared" si="150"/>
        <v>188.55</v>
      </c>
      <c r="T179" s="185">
        <f t="shared" si="101"/>
        <v>19856.129999999997</v>
      </c>
      <c r="U179" s="185">
        <f t="shared" si="137"/>
        <v>20329.269999999982</v>
      </c>
      <c r="V179" s="185">
        <f t="shared" si="138"/>
        <v>3183149.97</v>
      </c>
      <c r="W179" s="185">
        <f t="shared" si="139"/>
        <v>965770.72999999975</v>
      </c>
      <c r="X179" s="401" t="str">
        <f t="shared" si="126"/>
        <v xml:space="preserve"> </v>
      </c>
      <c r="Y179" s="185">
        <f t="shared" si="109"/>
        <v>877182.2900000005</v>
      </c>
      <c r="Z179" s="393">
        <f t="shared" si="117"/>
        <v>0.13125000000000001</v>
      </c>
      <c r="AA179" s="185">
        <f t="shared" si="118"/>
        <v>10874</v>
      </c>
      <c r="AB179" s="185">
        <f t="shared" si="119"/>
        <v>1279.8199999999997</v>
      </c>
      <c r="AC179" s="185">
        <f t="shared" si="120"/>
        <v>9594.18</v>
      </c>
      <c r="AD179" s="185">
        <f t="shared" si="147"/>
        <v>134.16999999999999</v>
      </c>
      <c r="AE179" s="185">
        <f t="shared" si="147"/>
        <v>188.55</v>
      </c>
      <c r="AF179" s="185">
        <f t="shared" si="121"/>
        <v>11196.72</v>
      </c>
      <c r="AG179" s="185">
        <f t="shared" si="140"/>
        <v>109815.62</v>
      </c>
      <c r="AH179" s="185">
        <f t="shared" si="141"/>
        <v>1558747.38</v>
      </c>
      <c r="AI179" s="411">
        <f t="shared" si="103"/>
        <v>1504962.4199999969</v>
      </c>
      <c r="AJ179" s="411">
        <f t="shared" si="143"/>
        <v>89868.259999999194</v>
      </c>
      <c r="AK179" s="411">
        <f t="shared" si="104"/>
        <v>1594830.679999996</v>
      </c>
      <c r="AL179" s="185">
        <f t="shared" si="110"/>
        <v>875902.47000000055</v>
      </c>
      <c r="AM179" s="317">
        <f t="shared" si="127"/>
        <v>13</v>
      </c>
      <c r="AN179" s="14">
        <f t="shared" si="105"/>
        <v>19533.41</v>
      </c>
      <c r="AO179" s="14">
        <f t="shared" si="148"/>
        <v>965770.73</v>
      </c>
      <c r="AP179" s="14">
        <f t="shared" si="106"/>
        <v>10874</v>
      </c>
      <c r="AS179" s="14">
        <f t="shared" si="122"/>
        <v>19533.41</v>
      </c>
      <c r="AT179" s="14">
        <f t="shared" si="128"/>
        <v>3202998.6800000044</v>
      </c>
      <c r="AU179" s="185">
        <f t="shared" si="129"/>
        <v>3703.5236140683228</v>
      </c>
      <c r="AV179" s="185">
        <f t="shared" si="130"/>
        <v>499012.96924139757</v>
      </c>
    </row>
    <row r="180" spans="1:48">
      <c r="A180" s="401" t="str">
        <f t="shared" si="131"/>
        <v xml:space="preserve"> </v>
      </c>
      <c r="B180" s="185">
        <f t="shared" si="123"/>
        <v>0</v>
      </c>
      <c r="C180" s="14">
        <f t="shared" si="114"/>
        <v>0</v>
      </c>
      <c r="D180" s="14">
        <f t="shared" si="132"/>
        <v>0</v>
      </c>
      <c r="E180" s="14">
        <f t="shared" si="115"/>
        <v>0</v>
      </c>
      <c r="F180" s="14">
        <f t="shared" si="146"/>
        <v>0</v>
      </c>
      <c r="G180" s="14">
        <f t="shared" si="146"/>
        <v>0</v>
      </c>
      <c r="H180" s="14">
        <f t="shared" si="100"/>
        <v>0</v>
      </c>
      <c r="I180" s="185">
        <f t="shared" si="133"/>
        <v>0</v>
      </c>
      <c r="J180" s="185">
        <f t="shared" si="134"/>
        <v>0</v>
      </c>
      <c r="K180" s="185">
        <f t="shared" si="135"/>
        <v>0</v>
      </c>
      <c r="L180" s="317">
        <f t="shared" si="149"/>
        <v>13</v>
      </c>
      <c r="M180" s="317">
        <f t="shared" si="124"/>
        <v>164</v>
      </c>
      <c r="N180" s="185">
        <f t="shared" si="125"/>
        <v>965770.72999999975</v>
      </c>
      <c r="O180" s="185">
        <f t="shared" si="107"/>
        <v>19533.41</v>
      </c>
      <c r="P180" s="185">
        <f t="shared" si="136"/>
        <v>419.20000000000073</v>
      </c>
      <c r="Q180" s="185">
        <f t="shared" si="108"/>
        <v>19114.21</v>
      </c>
      <c r="R180" s="185">
        <f t="shared" si="150"/>
        <v>134.16999999999999</v>
      </c>
      <c r="S180" s="185">
        <f t="shared" si="150"/>
        <v>188.55</v>
      </c>
      <c r="T180" s="185">
        <f t="shared" si="101"/>
        <v>19856.129999999997</v>
      </c>
      <c r="U180" s="185">
        <f t="shared" si="137"/>
        <v>20748.469999999983</v>
      </c>
      <c r="V180" s="185">
        <f t="shared" si="138"/>
        <v>3202264.18</v>
      </c>
      <c r="W180" s="185">
        <f t="shared" si="139"/>
        <v>965351.5299999998</v>
      </c>
      <c r="X180" s="401" t="str">
        <f t="shared" si="126"/>
        <v xml:space="preserve"> </v>
      </c>
      <c r="Y180" s="185">
        <f t="shared" si="109"/>
        <v>875902.47000000055</v>
      </c>
      <c r="Z180" s="393">
        <f t="shared" si="117"/>
        <v>0.13125000000000001</v>
      </c>
      <c r="AA180" s="185">
        <f t="shared" si="118"/>
        <v>10874</v>
      </c>
      <c r="AB180" s="185">
        <f t="shared" si="119"/>
        <v>1293.8199999999997</v>
      </c>
      <c r="AC180" s="185">
        <f t="shared" si="120"/>
        <v>9580.18</v>
      </c>
      <c r="AD180" s="185">
        <f t="shared" si="147"/>
        <v>134.16999999999999</v>
      </c>
      <c r="AE180" s="185">
        <f t="shared" si="147"/>
        <v>188.55</v>
      </c>
      <c r="AF180" s="185">
        <f t="shared" si="121"/>
        <v>11196.72</v>
      </c>
      <c r="AG180" s="185">
        <f t="shared" si="140"/>
        <v>111109.44</v>
      </c>
      <c r="AH180" s="185">
        <f t="shared" si="141"/>
        <v>1568327.5599999998</v>
      </c>
      <c r="AI180" s="411">
        <f t="shared" si="103"/>
        <v>1513621.8299999968</v>
      </c>
      <c r="AJ180" s="411">
        <f t="shared" si="143"/>
        <v>90742.87999999919</v>
      </c>
      <c r="AK180" s="411">
        <f t="shared" si="104"/>
        <v>1604364.709999996</v>
      </c>
      <c r="AL180" s="185">
        <f t="shared" si="110"/>
        <v>874608.65000000061</v>
      </c>
      <c r="AM180" s="317">
        <f t="shared" si="127"/>
        <v>13</v>
      </c>
      <c r="AN180" s="14">
        <f t="shared" si="105"/>
        <v>19533.41</v>
      </c>
      <c r="AO180" s="14">
        <f t="shared" si="148"/>
        <v>965351.53</v>
      </c>
      <c r="AP180" s="14">
        <f t="shared" si="106"/>
        <v>10874</v>
      </c>
      <c r="AS180" s="14">
        <f t="shared" si="122"/>
        <v>19533.41</v>
      </c>
      <c r="AT180" s="14">
        <f t="shared" si="128"/>
        <v>3222532.0900000045</v>
      </c>
      <c r="AU180" s="185">
        <f t="shared" si="129"/>
        <v>3712.7824231034938</v>
      </c>
      <c r="AV180" s="185">
        <f t="shared" si="130"/>
        <v>502725.75166450109</v>
      </c>
    </row>
    <row r="181" spans="1:48">
      <c r="A181" s="401" t="str">
        <f t="shared" si="131"/>
        <v xml:space="preserve"> </v>
      </c>
      <c r="B181" s="185">
        <f t="shared" si="123"/>
        <v>0</v>
      </c>
      <c r="C181" s="14">
        <f t="shared" si="114"/>
        <v>0</v>
      </c>
      <c r="D181" s="14">
        <f t="shared" si="132"/>
        <v>0</v>
      </c>
      <c r="E181" s="14">
        <f t="shared" si="115"/>
        <v>0</v>
      </c>
      <c r="F181" s="14">
        <f t="shared" si="146"/>
        <v>0</v>
      </c>
      <c r="G181" s="14">
        <f t="shared" si="146"/>
        <v>0</v>
      </c>
      <c r="H181" s="14">
        <f t="shared" si="100"/>
        <v>0</v>
      </c>
      <c r="I181" s="185">
        <f t="shared" si="133"/>
        <v>0</v>
      </c>
      <c r="J181" s="185">
        <f t="shared" si="134"/>
        <v>0</v>
      </c>
      <c r="K181" s="185">
        <f t="shared" si="135"/>
        <v>0</v>
      </c>
      <c r="L181" s="317">
        <f t="shared" si="149"/>
        <v>13</v>
      </c>
      <c r="M181" s="317">
        <f t="shared" si="124"/>
        <v>165</v>
      </c>
      <c r="N181" s="185">
        <f t="shared" si="125"/>
        <v>965351.5299999998</v>
      </c>
      <c r="O181" s="185">
        <f t="shared" si="107"/>
        <v>19533.41</v>
      </c>
      <c r="P181" s="185">
        <f t="shared" si="136"/>
        <v>427.4900000000016</v>
      </c>
      <c r="Q181" s="185">
        <f t="shared" si="108"/>
        <v>19105.919999999998</v>
      </c>
      <c r="R181" s="185">
        <f t="shared" si="150"/>
        <v>134.16999999999999</v>
      </c>
      <c r="S181" s="185">
        <f t="shared" si="150"/>
        <v>188.55</v>
      </c>
      <c r="T181" s="185">
        <f t="shared" si="101"/>
        <v>19856.129999999997</v>
      </c>
      <c r="U181" s="185">
        <f t="shared" si="137"/>
        <v>21175.959999999985</v>
      </c>
      <c r="V181" s="185">
        <f t="shared" si="138"/>
        <v>3221370.1</v>
      </c>
      <c r="W181" s="185">
        <f t="shared" si="139"/>
        <v>964924.0399999998</v>
      </c>
      <c r="X181" s="401" t="str">
        <f t="shared" si="126"/>
        <v xml:space="preserve"> </v>
      </c>
      <c r="Y181" s="185">
        <f t="shared" si="109"/>
        <v>874608.65000000061</v>
      </c>
      <c r="Z181" s="393">
        <f t="shared" si="117"/>
        <v>0.13125000000000001</v>
      </c>
      <c r="AA181" s="185">
        <f t="shared" si="118"/>
        <v>10874</v>
      </c>
      <c r="AB181" s="185">
        <f t="shared" si="119"/>
        <v>1307.9699999999993</v>
      </c>
      <c r="AC181" s="185">
        <f t="shared" si="120"/>
        <v>9566.0300000000007</v>
      </c>
      <c r="AD181" s="185">
        <f t="shared" si="147"/>
        <v>134.16999999999999</v>
      </c>
      <c r="AE181" s="185">
        <f t="shared" si="147"/>
        <v>188.55</v>
      </c>
      <c r="AF181" s="185">
        <f t="shared" si="121"/>
        <v>11196.72</v>
      </c>
      <c r="AG181" s="185">
        <f t="shared" si="140"/>
        <v>112417.41</v>
      </c>
      <c r="AH181" s="185">
        <f t="shared" si="141"/>
        <v>1577893.5899999999</v>
      </c>
      <c r="AI181" s="411">
        <f t="shared" si="103"/>
        <v>1522281.2399999967</v>
      </c>
      <c r="AJ181" s="411">
        <f t="shared" si="143"/>
        <v>91623.359999999171</v>
      </c>
      <c r="AK181" s="411">
        <f t="shared" si="104"/>
        <v>1613904.5999999959</v>
      </c>
      <c r="AL181" s="185">
        <f t="shared" si="110"/>
        <v>873300.68000000063</v>
      </c>
      <c r="AM181" s="317">
        <f t="shared" si="127"/>
        <v>13</v>
      </c>
      <c r="AN181" s="14">
        <f t="shared" si="105"/>
        <v>19533.41</v>
      </c>
      <c r="AO181" s="14">
        <f t="shared" si="148"/>
        <v>964924.04</v>
      </c>
      <c r="AP181" s="14">
        <f t="shared" si="106"/>
        <v>10874</v>
      </c>
      <c r="AS181" s="14">
        <f t="shared" si="122"/>
        <v>19533.41</v>
      </c>
      <c r="AT181" s="14">
        <f t="shared" si="128"/>
        <v>3242065.5000000047</v>
      </c>
      <c r="AU181" s="185">
        <f t="shared" si="129"/>
        <v>3722.0643791612529</v>
      </c>
      <c r="AV181" s="185">
        <f t="shared" si="130"/>
        <v>506447.81604366237</v>
      </c>
    </row>
    <row r="182" spans="1:48">
      <c r="A182" s="401" t="str">
        <f t="shared" si="131"/>
        <v xml:space="preserve"> </v>
      </c>
      <c r="B182" s="185">
        <f t="shared" si="123"/>
        <v>0</v>
      </c>
      <c r="C182" s="14">
        <f t="shared" si="114"/>
        <v>0</v>
      </c>
      <c r="D182" s="14">
        <f t="shared" si="132"/>
        <v>0</v>
      </c>
      <c r="E182" s="14">
        <f t="shared" si="115"/>
        <v>0</v>
      </c>
      <c r="F182" s="14">
        <f t="shared" si="146"/>
        <v>0</v>
      </c>
      <c r="G182" s="14">
        <f t="shared" si="146"/>
        <v>0</v>
      </c>
      <c r="H182" s="14">
        <f t="shared" si="100"/>
        <v>0</v>
      </c>
      <c r="I182" s="185">
        <f t="shared" si="133"/>
        <v>0</v>
      </c>
      <c r="J182" s="185">
        <f t="shared" si="134"/>
        <v>0</v>
      </c>
      <c r="K182" s="185">
        <f t="shared" si="135"/>
        <v>0</v>
      </c>
      <c r="L182" s="317">
        <f t="shared" si="149"/>
        <v>13</v>
      </c>
      <c r="M182" s="317">
        <f t="shared" si="124"/>
        <v>166</v>
      </c>
      <c r="N182" s="185">
        <f t="shared" si="125"/>
        <v>964924.0399999998</v>
      </c>
      <c r="O182" s="185">
        <f t="shared" si="107"/>
        <v>19533.41</v>
      </c>
      <c r="P182" s="185">
        <f t="shared" si="136"/>
        <v>435.95999999999913</v>
      </c>
      <c r="Q182" s="185">
        <f t="shared" si="108"/>
        <v>19097.45</v>
      </c>
      <c r="R182" s="185">
        <f t="shared" si="150"/>
        <v>134.16999999999999</v>
      </c>
      <c r="S182" s="185">
        <f t="shared" si="150"/>
        <v>188.55</v>
      </c>
      <c r="T182" s="185">
        <f t="shared" si="101"/>
        <v>19856.129999999997</v>
      </c>
      <c r="U182" s="185">
        <f t="shared" si="137"/>
        <v>21611.919999999984</v>
      </c>
      <c r="V182" s="185">
        <f t="shared" si="138"/>
        <v>3240467.5500000003</v>
      </c>
      <c r="W182" s="185">
        <f t="shared" si="139"/>
        <v>964488.07999999984</v>
      </c>
      <c r="X182" s="401" t="str">
        <f t="shared" si="126"/>
        <v xml:space="preserve"> </v>
      </c>
      <c r="Y182" s="185">
        <f t="shared" si="109"/>
        <v>873300.68000000063</v>
      </c>
      <c r="Z182" s="393">
        <f t="shared" si="117"/>
        <v>0.13125000000000001</v>
      </c>
      <c r="AA182" s="185">
        <f t="shared" si="118"/>
        <v>10874</v>
      </c>
      <c r="AB182" s="185">
        <f t="shared" si="119"/>
        <v>1322.2700000000004</v>
      </c>
      <c r="AC182" s="185">
        <f t="shared" si="120"/>
        <v>9551.73</v>
      </c>
      <c r="AD182" s="185">
        <f t="shared" si="147"/>
        <v>134.16999999999999</v>
      </c>
      <c r="AE182" s="185">
        <f t="shared" si="147"/>
        <v>188.55</v>
      </c>
      <c r="AF182" s="185">
        <f t="shared" si="121"/>
        <v>11196.72</v>
      </c>
      <c r="AG182" s="185">
        <f t="shared" si="140"/>
        <v>113739.68000000001</v>
      </c>
      <c r="AH182" s="185">
        <f t="shared" si="141"/>
        <v>1587445.3199999998</v>
      </c>
      <c r="AI182" s="411">
        <f t="shared" si="103"/>
        <v>1530940.6499999966</v>
      </c>
      <c r="AJ182" s="411">
        <f t="shared" si="143"/>
        <v>92509.669999999227</v>
      </c>
      <c r="AK182" s="411">
        <f t="shared" si="104"/>
        <v>1623450.3199999959</v>
      </c>
      <c r="AL182" s="185">
        <f t="shared" si="110"/>
        <v>871978.41000000061</v>
      </c>
      <c r="AM182" s="317">
        <f t="shared" si="127"/>
        <v>13</v>
      </c>
      <c r="AN182" s="14">
        <f t="shared" si="105"/>
        <v>19533.41</v>
      </c>
      <c r="AO182" s="14">
        <f t="shared" si="148"/>
        <v>964488.08000000007</v>
      </c>
      <c r="AP182" s="14">
        <f t="shared" si="106"/>
        <v>10874</v>
      </c>
      <c r="AS182" s="14">
        <f t="shared" si="122"/>
        <v>19533.41</v>
      </c>
      <c r="AT182" s="14">
        <f t="shared" si="128"/>
        <v>3261598.9100000048</v>
      </c>
      <c r="AU182" s="185">
        <f t="shared" si="129"/>
        <v>3731.3695401091559</v>
      </c>
      <c r="AV182" s="185">
        <f t="shared" si="130"/>
        <v>510179.18558377156</v>
      </c>
    </row>
    <row r="183" spans="1:48" ht="15.75" thickBot="1">
      <c r="A183" s="404" t="str">
        <f t="shared" si="131"/>
        <v xml:space="preserve"> </v>
      </c>
      <c r="B183" s="237">
        <f t="shared" si="123"/>
        <v>0</v>
      </c>
      <c r="C183" s="21">
        <f t="shared" si="114"/>
        <v>0</v>
      </c>
      <c r="D183" s="21">
        <f t="shared" si="132"/>
        <v>0</v>
      </c>
      <c r="E183" s="21">
        <f t="shared" si="115"/>
        <v>0</v>
      </c>
      <c r="F183" s="21">
        <f t="shared" si="146"/>
        <v>0</v>
      </c>
      <c r="G183" s="21">
        <f t="shared" si="146"/>
        <v>0</v>
      </c>
      <c r="H183" s="21">
        <f t="shared" si="100"/>
        <v>0</v>
      </c>
      <c r="I183" s="237">
        <f t="shared" si="133"/>
        <v>0</v>
      </c>
      <c r="J183" s="237">
        <f t="shared" si="134"/>
        <v>0</v>
      </c>
      <c r="K183" s="237">
        <f t="shared" si="135"/>
        <v>0</v>
      </c>
      <c r="L183" s="318">
        <f t="shared" si="149"/>
        <v>13</v>
      </c>
      <c r="M183" s="318">
        <f t="shared" si="124"/>
        <v>167</v>
      </c>
      <c r="N183" s="237">
        <f t="shared" si="125"/>
        <v>964488.07999999984</v>
      </c>
      <c r="O183" s="237">
        <f t="shared" si="107"/>
        <v>19533.41</v>
      </c>
      <c r="P183" s="237">
        <f t="shared" si="136"/>
        <v>444.57999999999811</v>
      </c>
      <c r="Q183" s="237">
        <f t="shared" si="108"/>
        <v>19088.830000000002</v>
      </c>
      <c r="R183" s="237">
        <f t="shared" si="150"/>
        <v>134.16999999999999</v>
      </c>
      <c r="S183" s="237">
        <f t="shared" si="150"/>
        <v>188.55</v>
      </c>
      <c r="T183" s="237">
        <f t="shared" si="101"/>
        <v>19856.129999999997</v>
      </c>
      <c r="U183" s="237">
        <f t="shared" si="137"/>
        <v>22056.499999999982</v>
      </c>
      <c r="V183" s="237">
        <f t="shared" si="138"/>
        <v>3259556.3800000004</v>
      </c>
      <c r="W183" s="237">
        <f t="shared" si="139"/>
        <v>964043.49999999988</v>
      </c>
      <c r="X183" s="404" t="str">
        <f t="shared" si="126"/>
        <v xml:space="preserve"> </v>
      </c>
      <c r="Y183" s="237">
        <f t="shared" si="109"/>
        <v>871978.41000000061</v>
      </c>
      <c r="Z183" s="394">
        <f t="shared" si="117"/>
        <v>0.13125000000000001</v>
      </c>
      <c r="AA183" s="237">
        <f t="shared" si="118"/>
        <v>10874</v>
      </c>
      <c r="AB183" s="237">
        <f t="shared" si="119"/>
        <v>1336.7399999999998</v>
      </c>
      <c r="AC183" s="237">
        <f t="shared" si="120"/>
        <v>9537.26</v>
      </c>
      <c r="AD183" s="237">
        <f t="shared" si="147"/>
        <v>134.16999999999999</v>
      </c>
      <c r="AE183" s="237">
        <f t="shared" si="147"/>
        <v>188.55</v>
      </c>
      <c r="AF183" s="237">
        <f t="shared" si="121"/>
        <v>11196.72</v>
      </c>
      <c r="AG183" s="237">
        <f t="shared" si="140"/>
        <v>115076.42000000001</v>
      </c>
      <c r="AH183" s="237">
        <f t="shared" si="141"/>
        <v>1596982.5799999998</v>
      </c>
      <c r="AI183" s="412">
        <f t="shared" si="103"/>
        <v>1539600.0599999966</v>
      </c>
      <c r="AJ183" s="412">
        <f t="shared" si="143"/>
        <v>93401.82999999926</v>
      </c>
      <c r="AK183" s="411">
        <f t="shared" si="104"/>
        <v>1633001.8899999959</v>
      </c>
      <c r="AL183" s="237">
        <f t="shared" si="110"/>
        <v>870641.67000000062</v>
      </c>
      <c r="AM183" s="318">
        <f t="shared" si="127"/>
        <v>13</v>
      </c>
      <c r="AN183" s="21">
        <f t="shared" si="105"/>
        <v>19533.41</v>
      </c>
      <c r="AO183" s="21">
        <f t="shared" si="148"/>
        <v>964043.5</v>
      </c>
      <c r="AP183" s="21">
        <f t="shared" si="106"/>
        <v>10874</v>
      </c>
      <c r="AQ183" s="21"/>
      <c r="AR183" s="23"/>
      <c r="AS183" s="21">
        <f t="shared" si="122"/>
        <v>19533.41</v>
      </c>
      <c r="AT183" s="21">
        <f t="shared" si="128"/>
        <v>3281132.320000005</v>
      </c>
      <c r="AU183" s="237">
        <f t="shared" si="129"/>
        <v>3740.6979639594288</v>
      </c>
      <c r="AV183" s="237">
        <f t="shared" si="130"/>
        <v>513919.88354773098</v>
      </c>
    </row>
    <row r="184" spans="1:48">
      <c r="A184" s="401" t="str">
        <f t="shared" si="131"/>
        <v xml:space="preserve"> </v>
      </c>
      <c r="B184" s="185">
        <f t="shared" si="123"/>
        <v>0</v>
      </c>
      <c r="C184" s="14">
        <f t="shared" si="114"/>
        <v>0</v>
      </c>
      <c r="D184" s="14">
        <f t="shared" si="132"/>
        <v>0</v>
      </c>
      <c r="E184" s="14">
        <f t="shared" si="115"/>
        <v>0</v>
      </c>
      <c r="F184" s="14">
        <f t="shared" si="146"/>
        <v>0</v>
      </c>
      <c r="G184" s="14">
        <f t="shared" si="146"/>
        <v>0</v>
      </c>
      <c r="H184" s="14">
        <f t="shared" si="100"/>
        <v>0</v>
      </c>
      <c r="I184" s="185">
        <f t="shared" si="133"/>
        <v>0</v>
      </c>
      <c r="J184" s="185">
        <f t="shared" si="134"/>
        <v>0</v>
      </c>
      <c r="K184" s="185">
        <f t="shared" si="135"/>
        <v>0</v>
      </c>
      <c r="L184" s="317">
        <f t="shared" si="149"/>
        <v>14</v>
      </c>
      <c r="M184" s="317">
        <f t="shared" si="124"/>
        <v>168</v>
      </c>
      <c r="N184" s="185">
        <f t="shared" si="125"/>
        <v>964043.49999999988</v>
      </c>
      <c r="O184" s="185">
        <f t="shared" si="107"/>
        <v>19533.41</v>
      </c>
      <c r="P184" s="185">
        <f t="shared" si="136"/>
        <v>453.38000000000102</v>
      </c>
      <c r="Q184" s="185">
        <f t="shared" si="108"/>
        <v>19080.03</v>
      </c>
      <c r="R184" s="185">
        <f t="shared" si="150"/>
        <v>134.16999999999999</v>
      </c>
      <c r="S184" s="185">
        <f t="shared" si="150"/>
        <v>188.55</v>
      </c>
      <c r="T184" s="185">
        <f t="shared" si="101"/>
        <v>19856.129999999997</v>
      </c>
      <c r="U184" s="185">
        <f t="shared" si="137"/>
        <v>22509.879999999983</v>
      </c>
      <c r="V184" s="185">
        <f t="shared" si="138"/>
        <v>3278636.41</v>
      </c>
      <c r="W184" s="185">
        <f t="shared" si="139"/>
        <v>963590.11999999988</v>
      </c>
      <c r="X184" s="401" t="str">
        <f t="shared" si="126"/>
        <v xml:space="preserve"> </v>
      </c>
      <c r="Y184" s="185">
        <f t="shared" si="109"/>
        <v>870641.67000000062</v>
      </c>
      <c r="Z184" s="393">
        <f t="shared" si="117"/>
        <v>0.13125000000000001</v>
      </c>
      <c r="AA184" s="185">
        <f t="shared" si="118"/>
        <v>10874</v>
      </c>
      <c r="AB184" s="185">
        <f t="shared" si="119"/>
        <v>1351.3600000000006</v>
      </c>
      <c r="AC184" s="185">
        <f t="shared" si="120"/>
        <v>9522.64</v>
      </c>
      <c r="AD184" s="185">
        <f t="shared" si="147"/>
        <v>134.16999999999999</v>
      </c>
      <c r="AE184" s="185">
        <f t="shared" si="147"/>
        <v>188.55</v>
      </c>
      <c r="AF184" s="185">
        <f t="shared" si="121"/>
        <v>11196.72</v>
      </c>
      <c r="AG184" s="185">
        <f t="shared" si="140"/>
        <v>116427.78000000001</v>
      </c>
      <c r="AH184" s="185">
        <f t="shared" si="141"/>
        <v>1606505.2199999997</v>
      </c>
      <c r="AI184" s="411">
        <f t="shared" si="103"/>
        <v>1548259.4699999965</v>
      </c>
      <c r="AJ184" s="411">
        <f t="shared" si="143"/>
        <v>94299.809999999241</v>
      </c>
      <c r="AK184" s="411">
        <f t="shared" si="104"/>
        <v>1642559.2799999956</v>
      </c>
      <c r="AL184" s="185">
        <f t="shared" si="110"/>
        <v>869290.31000000064</v>
      </c>
      <c r="AM184" s="317">
        <f t="shared" si="127"/>
        <v>14</v>
      </c>
      <c r="AN184" s="14">
        <f t="shared" si="105"/>
        <v>19533.41</v>
      </c>
      <c r="AO184" s="14">
        <f t="shared" si="148"/>
        <v>963590.12</v>
      </c>
      <c r="AP184" s="14">
        <f t="shared" si="106"/>
        <v>10874</v>
      </c>
      <c r="AS184" s="14">
        <f t="shared" si="122"/>
        <v>19533.41</v>
      </c>
      <c r="AT184" s="14">
        <f t="shared" si="128"/>
        <v>3300665.7300000051</v>
      </c>
      <c r="AU184" s="185">
        <f t="shared" si="129"/>
        <v>3750.0497088693269</v>
      </c>
      <c r="AV184" s="185">
        <f t="shared" si="130"/>
        <v>517669.93325660028</v>
      </c>
    </row>
    <row r="185" spans="1:48">
      <c r="A185" s="401" t="str">
        <f t="shared" si="131"/>
        <v xml:space="preserve"> </v>
      </c>
      <c r="B185" s="185">
        <f t="shared" si="123"/>
        <v>0</v>
      </c>
      <c r="C185" s="14">
        <f t="shared" si="114"/>
        <v>0</v>
      </c>
      <c r="D185" s="14">
        <f t="shared" si="132"/>
        <v>0</v>
      </c>
      <c r="E185" s="14">
        <f t="shared" si="115"/>
        <v>0</v>
      </c>
      <c r="F185" s="14">
        <f t="shared" si="146"/>
        <v>0</v>
      </c>
      <c r="G185" s="14">
        <f t="shared" si="146"/>
        <v>0</v>
      </c>
      <c r="H185" s="14">
        <f t="shared" si="100"/>
        <v>0</v>
      </c>
      <c r="I185" s="185">
        <f t="shared" si="133"/>
        <v>0</v>
      </c>
      <c r="J185" s="185">
        <f t="shared" si="134"/>
        <v>0</v>
      </c>
      <c r="K185" s="185">
        <f t="shared" si="135"/>
        <v>0</v>
      </c>
      <c r="L185" s="317">
        <f t="shared" si="149"/>
        <v>14</v>
      </c>
      <c r="M185" s="317">
        <f t="shared" si="124"/>
        <v>169</v>
      </c>
      <c r="N185" s="185">
        <f t="shared" si="125"/>
        <v>963590.11999999988</v>
      </c>
      <c r="O185" s="185">
        <f t="shared" si="107"/>
        <v>19533.41</v>
      </c>
      <c r="P185" s="185">
        <f t="shared" si="136"/>
        <v>462.36000000000058</v>
      </c>
      <c r="Q185" s="185">
        <f t="shared" si="108"/>
        <v>19071.05</v>
      </c>
      <c r="R185" s="185">
        <f t="shared" si="150"/>
        <v>134.16999999999999</v>
      </c>
      <c r="S185" s="185">
        <f t="shared" si="150"/>
        <v>188.55</v>
      </c>
      <c r="T185" s="185">
        <f t="shared" si="101"/>
        <v>19856.129999999997</v>
      </c>
      <c r="U185" s="185">
        <f t="shared" si="137"/>
        <v>22972.239999999983</v>
      </c>
      <c r="V185" s="185">
        <f t="shared" si="138"/>
        <v>3297707.46</v>
      </c>
      <c r="W185" s="185">
        <f t="shared" si="139"/>
        <v>963127.75999999989</v>
      </c>
      <c r="X185" s="401" t="str">
        <f t="shared" si="126"/>
        <v xml:space="preserve"> </v>
      </c>
      <c r="Y185" s="185">
        <f t="shared" si="109"/>
        <v>869290.31000000064</v>
      </c>
      <c r="Z185" s="393">
        <f t="shared" si="117"/>
        <v>0.13125000000000001</v>
      </c>
      <c r="AA185" s="185">
        <f t="shared" si="118"/>
        <v>10874</v>
      </c>
      <c r="AB185" s="185">
        <f t="shared" si="119"/>
        <v>1366.1399999999994</v>
      </c>
      <c r="AC185" s="185">
        <f t="shared" si="120"/>
        <v>9507.86</v>
      </c>
      <c r="AD185" s="185">
        <f t="shared" si="147"/>
        <v>134.16999999999999</v>
      </c>
      <c r="AE185" s="185">
        <f t="shared" si="147"/>
        <v>188.55</v>
      </c>
      <c r="AF185" s="185">
        <f t="shared" si="121"/>
        <v>11196.72</v>
      </c>
      <c r="AG185" s="185">
        <f t="shared" si="140"/>
        <v>117793.92000000001</v>
      </c>
      <c r="AH185" s="185">
        <f t="shared" si="141"/>
        <v>1616013.0799999998</v>
      </c>
      <c r="AI185" s="411">
        <f t="shared" si="103"/>
        <v>1556918.8799999964</v>
      </c>
      <c r="AJ185" s="411">
        <f t="shared" si="143"/>
        <v>95203.589999999269</v>
      </c>
      <c r="AK185" s="411">
        <f t="shared" si="104"/>
        <v>1652122.4699999955</v>
      </c>
      <c r="AL185" s="185">
        <f t="shared" si="110"/>
        <v>867924.17000000062</v>
      </c>
      <c r="AM185" s="317">
        <f t="shared" si="127"/>
        <v>14</v>
      </c>
      <c r="AN185" s="14">
        <f t="shared" si="105"/>
        <v>19533.41</v>
      </c>
      <c r="AO185" s="14">
        <f t="shared" si="148"/>
        <v>963127.76</v>
      </c>
      <c r="AP185" s="14">
        <f t="shared" si="106"/>
        <v>10874</v>
      </c>
      <c r="AS185" s="14">
        <f t="shared" si="122"/>
        <v>19533.41</v>
      </c>
      <c r="AT185" s="14">
        <f t="shared" si="128"/>
        <v>3320199.1400000053</v>
      </c>
      <c r="AU185" s="185">
        <f t="shared" si="129"/>
        <v>3759.4248331415006</v>
      </c>
      <c r="AV185" s="185">
        <f t="shared" si="130"/>
        <v>521429.35808974179</v>
      </c>
    </row>
    <row r="186" spans="1:48">
      <c r="A186" s="401" t="str">
        <f t="shared" si="131"/>
        <v xml:space="preserve"> </v>
      </c>
      <c r="B186" s="185">
        <f t="shared" si="123"/>
        <v>0</v>
      </c>
      <c r="C186" s="14">
        <f t="shared" si="114"/>
        <v>0</v>
      </c>
      <c r="D186" s="14">
        <f t="shared" si="132"/>
        <v>0</v>
      </c>
      <c r="E186" s="14">
        <f t="shared" si="115"/>
        <v>0</v>
      </c>
      <c r="F186" s="14">
        <f t="shared" si="146"/>
        <v>0</v>
      </c>
      <c r="G186" s="14">
        <f t="shared" si="146"/>
        <v>0</v>
      </c>
      <c r="H186" s="14">
        <f t="shared" si="100"/>
        <v>0</v>
      </c>
      <c r="I186" s="185">
        <f t="shared" si="133"/>
        <v>0</v>
      </c>
      <c r="J186" s="185">
        <f t="shared" si="134"/>
        <v>0</v>
      </c>
      <c r="K186" s="185">
        <f t="shared" si="135"/>
        <v>0</v>
      </c>
      <c r="L186" s="317">
        <f t="shared" si="149"/>
        <v>14</v>
      </c>
      <c r="M186" s="317">
        <f t="shared" si="124"/>
        <v>170</v>
      </c>
      <c r="N186" s="185">
        <f t="shared" si="125"/>
        <v>963127.75999999989</v>
      </c>
      <c r="O186" s="185">
        <f t="shared" si="107"/>
        <v>19533.41</v>
      </c>
      <c r="P186" s="185">
        <f t="shared" si="136"/>
        <v>471.5099999999984</v>
      </c>
      <c r="Q186" s="185">
        <f t="shared" si="108"/>
        <v>19061.900000000001</v>
      </c>
      <c r="R186" s="185">
        <f t="shared" si="150"/>
        <v>134.16999999999999</v>
      </c>
      <c r="S186" s="185">
        <f t="shared" si="150"/>
        <v>188.55</v>
      </c>
      <c r="T186" s="185">
        <f t="shared" si="101"/>
        <v>19856.129999999997</v>
      </c>
      <c r="U186" s="185">
        <f t="shared" si="137"/>
        <v>23443.749999999982</v>
      </c>
      <c r="V186" s="185">
        <f t="shared" si="138"/>
        <v>3316769.36</v>
      </c>
      <c r="W186" s="185">
        <f t="shared" si="139"/>
        <v>962656.24999999988</v>
      </c>
      <c r="X186" s="401" t="str">
        <f t="shared" si="126"/>
        <v xml:space="preserve"> </v>
      </c>
      <c r="Y186" s="185">
        <f t="shared" si="109"/>
        <v>867924.17000000062</v>
      </c>
      <c r="Z186" s="393">
        <f t="shared" si="117"/>
        <v>0.13125000000000001</v>
      </c>
      <c r="AA186" s="185">
        <f t="shared" si="118"/>
        <v>10874</v>
      </c>
      <c r="AB186" s="185">
        <f t="shared" si="119"/>
        <v>1381.08</v>
      </c>
      <c r="AC186" s="185">
        <f t="shared" si="120"/>
        <v>9492.92</v>
      </c>
      <c r="AD186" s="185">
        <f t="shared" si="147"/>
        <v>134.16999999999999</v>
      </c>
      <c r="AE186" s="185">
        <f t="shared" si="147"/>
        <v>188.55</v>
      </c>
      <c r="AF186" s="185">
        <f t="shared" si="121"/>
        <v>11196.72</v>
      </c>
      <c r="AG186" s="185">
        <f t="shared" si="140"/>
        <v>119175.00000000001</v>
      </c>
      <c r="AH186" s="185">
        <f t="shared" si="141"/>
        <v>1625505.9999999998</v>
      </c>
      <c r="AI186" s="411">
        <f t="shared" si="103"/>
        <v>1565578.2899999963</v>
      </c>
      <c r="AJ186" s="411">
        <f t="shared" si="143"/>
        <v>96113.159999999218</v>
      </c>
      <c r="AK186" s="411">
        <f t="shared" si="104"/>
        <v>1661691.4499999955</v>
      </c>
      <c r="AL186" s="185">
        <f t="shared" si="110"/>
        <v>866543.09000000067</v>
      </c>
      <c r="AM186" s="317">
        <f t="shared" si="127"/>
        <v>14</v>
      </c>
      <c r="AN186" s="14">
        <f t="shared" si="105"/>
        <v>19533.41</v>
      </c>
      <c r="AO186" s="14">
        <f t="shared" si="148"/>
        <v>962656.25</v>
      </c>
      <c r="AP186" s="14">
        <f t="shared" si="106"/>
        <v>10874</v>
      </c>
      <c r="AS186" s="14">
        <f t="shared" si="122"/>
        <v>19533.41</v>
      </c>
      <c r="AT186" s="14">
        <f t="shared" si="128"/>
        <v>3339732.5500000054</v>
      </c>
      <c r="AU186" s="185">
        <f t="shared" si="129"/>
        <v>3768.823395224354</v>
      </c>
      <c r="AV186" s="185">
        <f t="shared" si="130"/>
        <v>525198.18148496619</v>
      </c>
    </row>
    <row r="187" spans="1:48">
      <c r="A187" s="401" t="str">
        <f t="shared" si="131"/>
        <v xml:space="preserve"> </v>
      </c>
      <c r="B187" s="185">
        <f t="shared" si="123"/>
        <v>0</v>
      </c>
      <c r="C187" s="14">
        <f t="shared" si="114"/>
        <v>0</v>
      </c>
      <c r="D187" s="14">
        <f t="shared" si="132"/>
        <v>0</v>
      </c>
      <c r="E187" s="14">
        <f t="shared" si="115"/>
        <v>0</v>
      </c>
      <c r="F187" s="14">
        <f t="shared" ref="F187:G202" si="151">+F186</f>
        <v>0</v>
      </c>
      <c r="G187" s="14">
        <f t="shared" si="151"/>
        <v>0</v>
      </c>
      <c r="H187" s="14">
        <f t="shared" si="100"/>
        <v>0</v>
      </c>
      <c r="I187" s="185">
        <f t="shared" si="133"/>
        <v>0</v>
      </c>
      <c r="J187" s="185">
        <f t="shared" si="134"/>
        <v>0</v>
      </c>
      <c r="K187" s="185">
        <f t="shared" si="135"/>
        <v>0</v>
      </c>
      <c r="L187" s="317">
        <f t="shared" si="149"/>
        <v>14</v>
      </c>
      <c r="M187" s="317">
        <f t="shared" si="124"/>
        <v>171</v>
      </c>
      <c r="N187" s="185">
        <f t="shared" si="125"/>
        <v>962656.24999999988</v>
      </c>
      <c r="O187" s="185">
        <f t="shared" si="107"/>
        <v>19533.41</v>
      </c>
      <c r="P187" s="185">
        <f t="shared" si="136"/>
        <v>480.84000000000015</v>
      </c>
      <c r="Q187" s="185">
        <f t="shared" si="108"/>
        <v>19052.57</v>
      </c>
      <c r="R187" s="185">
        <f t="shared" si="150"/>
        <v>134.16999999999999</v>
      </c>
      <c r="S187" s="185">
        <f t="shared" si="150"/>
        <v>188.55</v>
      </c>
      <c r="T187" s="185">
        <f t="shared" si="101"/>
        <v>19856.129999999997</v>
      </c>
      <c r="U187" s="185">
        <f t="shared" si="137"/>
        <v>23924.589999999982</v>
      </c>
      <c r="V187" s="185">
        <f t="shared" si="138"/>
        <v>3335821.9299999997</v>
      </c>
      <c r="W187" s="185">
        <f t="shared" si="139"/>
        <v>962175.40999999992</v>
      </c>
      <c r="X187" s="401" t="str">
        <f t="shared" si="126"/>
        <v xml:space="preserve"> </v>
      </c>
      <c r="Y187" s="185">
        <f t="shared" si="109"/>
        <v>866543.09000000067</v>
      </c>
      <c r="Z187" s="393">
        <f t="shared" si="117"/>
        <v>0.13125000000000001</v>
      </c>
      <c r="AA187" s="185">
        <f t="shared" si="118"/>
        <v>10874</v>
      </c>
      <c r="AB187" s="185">
        <f t="shared" si="119"/>
        <v>1396.1800000000003</v>
      </c>
      <c r="AC187" s="185">
        <f t="shared" si="120"/>
        <v>9477.82</v>
      </c>
      <c r="AD187" s="185">
        <f t="shared" si="147"/>
        <v>134.16999999999999</v>
      </c>
      <c r="AE187" s="185">
        <f t="shared" si="147"/>
        <v>188.55</v>
      </c>
      <c r="AF187" s="185">
        <f t="shared" si="121"/>
        <v>11196.72</v>
      </c>
      <c r="AG187" s="185">
        <f t="shared" si="140"/>
        <v>120571.18000000002</v>
      </c>
      <c r="AH187" s="185">
        <f t="shared" si="141"/>
        <v>1634983.8199999998</v>
      </c>
      <c r="AI187" s="411">
        <f t="shared" si="103"/>
        <v>1574237.6999999962</v>
      </c>
      <c r="AJ187" s="411">
        <f t="shared" si="143"/>
        <v>97028.499999999302</v>
      </c>
      <c r="AK187" s="411">
        <f t="shared" si="104"/>
        <v>1671266.1999999955</v>
      </c>
      <c r="AL187" s="185">
        <f t="shared" si="110"/>
        <v>865146.91000000061</v>
      </c>
      <c r="AM187" s="317">
        <f t="shared" si="127"/>
        <v>14</v>
      </c>
      <c r="AN187" s="14">
        <f t="shared" si="105"/>
        <v>19533.41</v>
      </c>
      <c r="AO187" s="14">
        <f t="shared" si="148"/>
        <v>962175.41</v>
      </c>
      <c r="AP187" s="14">
        <f t="shared" si="106"/>
        <v>10874</v>
      </c>
      <c r="AS187" s="14">
        <f t="shared" si="122"/>
        <v>19533.41</v>
      </c>
      <c r="AT187" s="14">
        <f t="shared" si="128"/>
        <v>3359265.9600000056</v>
      </c>
      <c r="AU187" s="185">
        <f t="shared" si="129"/>
        <v>3778.2454537124154</v>
      </c>
      <c r="AV187" s="185">
        <f t="shared" si="130"/>
        <v>528976.4269386786</v>
      </c>
    </row>
    <row r="188" spans="1:48">
      <c r="A188" s="401" t="str">
        <f t="shared" si="131"/>
        <v xml:space="preserve"> </v>
      </c>
      <c r="B188" s="185">
        <f t="shared" si="123"/>
        <v>0</v>
      </c>
      <c r="C188" s="14">
        <f t="shared" si="114"/>
        <v>0</v>
      </c>
      <c r="D188" s="14">
        <f t="shared" si="132"/>
        <v>0</v>
      </c>
      <c r="E188" s="14">
        <f t="shared" si="115"/>
        <v>0</v>
      </c>
      <c r="F188" s="14">
        <f t="shared" si="151"/>
        <v>0</v>
      </c>
      <c r="G188" s="14">
        <f t="shared" si="151"/>
        <v>0</v>
      </c>
      <c r="H188" s="14">
        <f t="shared" ref="H188:H251" si="152">SUM(D188:G188)</f>
        <v>0</v>
      </c>
      <c r="I188" s="185">
        <f t="shared" si="133"/>
        <v>0</v>
      </c>
      <c r="J188" s="185">
        <f t="shared" si="134"/>
        <v>0</v>
      </c>
      <c r="K188" s="185">
        <f t="shared" si="135"/>
        <v>0</v>
      </c>
      <c r="L188" s="317">
        <f t="shared" si="149"/>
        <v>14</v>
      </c>
      <c r="M188" s="317">
        <f t="shared" si="124"/>
        <v>172</v>
      </c>
      <c r="N188" s="185">
        <f t="shared" si="125"/>
        <v>962175.40999999992</v>
      </c>
      <c r="O188" s="185">
        <f t="shared" si="107"/>
        <v>19533.41</v>
      </c>
      <c r="P188" s="185">
        <f t="shared" si="136"/>
        <v>490.36000000000058</v>
      </c>
      <c r="Q188" s="185">
        <f t="shared" si="108"/>
        <v>19043.05</v>
      </c>
      <c r="R188" s="185">
        <f t="shared" si="150"/>
        <v>134.16999999999999</v>
      </c>
      <c r="S188" s="185">
        <f t="shared" si="150"/>
        <v>188.55</v>
      </c>
      <c r="T188" s="185">
        <f t="shared" ref="T188:T251" si="153">SUM(P188:S188)</f>
        <v>19856.129999999997</v>
      </c>
      <c r="U188" s="185">
        <f t="shared" si="137"/>
        <v>24414.949999999983</v>
      </c>
      <c r="V188" s="185">
        <f t="shared" si="138"/>
        <v>3354864.9799999995</v>
      </c>
      <c r="W188" s="185">
        <f t="shared" si="139"/>
        <v>961685.04999999993</v>
      </c>
      <c r="X188" s="401" t="str">
        <f t="shared" si="126"/>
        <v xml:space="preserve"> </v>
      </c>
      <c r="Y188" s="185">
        <f t="shared" si="109"/>
        <v>865146.91000000061</v>
      </c>
      <c r="Z188" s="393">
        <f t="shared" si="117"/>
        <v>0.13125000000000001</v>
      </c>
      <c r="AA188" s="185">
        <f t="shared" si="118"/>
        <v>10874</v>
      </c>
      <c r="AB188" s="185">
        <f t="shared" si="119"/>
        <v>1411.4599999999991</v>
      </c>
      <c r="AC188" s="185">
        <f t="shared" si="120"/>
        <v>9462.5400000000009</v>
      </c>
      <c r="AD188" s="185">
        <f t="shared" si="147"/>
        <v>134.16999999999999</v>
      </c>
      <c r="AE188" s="185">
        <f t="shared" si="147"/>
        <v>188.55</v>
      </c>
      <c r="AF188" s="185">
        <f t="shared" si="121"/>
        <v>11196.72</v>
      </c>
      <c r="AG188" s="185">
        <f t="shared" si="140"/>
        <v>121982.64000000001</v>
      </c>
      <c r="AH188" s="185">
        <f t="shared" si="141"/>
        <v>1644446.3599999999</v>
      </c>
      <c r="AI188" s="411">
        <f t="shared" si="103"/>
        <v>1582897.1099999961</v>
      </c>
      <c r="AJ188" s="411">
        <f t="shared" si="143"/>
        <v>97949.599999999278</v>
      </c>
      <c r="AK188" s="411">
        <f t="shared" si="104"/>
        <v>1680846.7099999953</v>
      </c>
      <c r="AL188" s="185">
        <f t="shared" si="110"/>
        <v>863735.45000000065</v>
      </c>
      <c r="AM188" s="317">
        <f t="shared" si="127"/>
        <v>14</v>
      </c>
      <c r="AN188" s="14">
        <f t="shared" si="105"/>
        <v>19533.41</v>
      </c>
      <c r="AO188" s="14">
        <f t="shared" si="148"/>
        <v>961685.05</v>
      </c>
      <c r="AP188" s="14">
        <f t="shared" si="106"/>
        <v>10874</v>
      </c>
      <c r="AS188" s="14">
        <f t="shared" si="122"/>
        <v>19533.41</v>
      </c>
      <c r="AT188" s="14">
        <f t="shared" si="128"/>
        <v>3378799.3700000057</v>
      </c>
      <c r="AU188" s="185">
        <f t="shared" si="129"/>
        <v>3787.6910673466959</v>
      </c>
      <c r="AV188" s="185">
        <f t="shared" si="130"/>
        <v>532764.11800602532</v>
      </c>
    </row>
    <row r="189" spans="1:48">
      <c r="A189" s="401" t="str">
        <f t="shared" si="131"/>
        <v xml:space="preserve"> </v>
      </c>
      <c r="B189" s="185">
        <f t="shared" si="123"/>
        <v>0</v>
      </c>
      <c r="C189" s="14">
        <f t="shared" si="114"/>
        <v>0</v>
      </c>
      <c r="D189" s="14">
        <f t="shared" si="132"/>
        <v>0</v>
      </c>
      <c r="E189" s="14">
        <f t="shared" si="115"/>
        <v>0</v>
      </c>
      <c r="F189" s="14">
        <f t="shared" si="151"/>
        <v>0</v>
      </c>
      <c r="G189" s="14">
        <f t="shared" si="151"/>
        <v>0</v>
      </c>
      <c r="H189" s="14">
        <f t="shared" si="152"/>
        <v>0</v>
      </c>
      <c r="I189" s="185">
        <f t="shared" si="133"/>
        <v>0</v>
      </c>
      <c r="J189" s="185">
        <f t="shared" si="134"/>
        <v>0</v>
      </c>
      <c r="K189" s="185">
        <f t="shared" si="135"/>
        <v>0</v>
      </c>
      <c r="L189" s="317">
        <f t="shared" si="149"/>
        <v>14</v>
      </c>
      <c r="M189" s="317">
        <f t="shared" si="124"/>
        <v>173</v>
      </c>
      <c r="N189" s="185">
        <f t="shared" si="125"/>
        <v>961685.04999999993</v>
      </c>
      <c r="O189" s="185">
        <f t="shared" si="107"/>
        <v>19533.41</v>
      </c>
      <c r="P189" s="185">
        <f t="shared" si="136"/>
        <v>500.06000000000131</v>
      </c>
      <c r="Q189" s="185">
        <f t="shared" si="108"/>
        <v>19033.349999999999</v>
      </c>
      <c r="R189" s="185">
        <f t="shared" si="150"/>
        <v>134.16999999999999</v>
      </c>
      <c r="S189" s="185">
        <f t="shared" si="150"/>
        <v>188.55</v>
      </c>
      <c r="T189" s="185">
        <f t="shared" si="153"/>
        <v>19856.129999999997</v>
      </c>
      <c r="U189" s="185">
        <f t="shared" si="137"/>
        <v>24915.009999999984</v>
      </c>
      <c r="V189" s="185">
        <f t="shared" si="138"/>
        <v>3373898.3299999996</v>
      </c>
      <c r="W189" s="185">
        <f t="shared" si="139"/>
        <v>961184.98999999987</v>
      </c>
      <c r="X189" s="401" t="str">
        <f t="shared" si="126"/>
        <v xml:space="preserve"> </v>
      </c>
      <c r="Y189" s="185">
        <f t="shared" si="109"/>
        <v>863735.45000000065</v>
      </c>
      <c r="Z189" s="393">
        <f t="shared" si="117"/>
        <v>0.13125000000000001</v>
      </c>
      <c r="AA189" s="185">
        <f t="shared" si="118"/>
        <v>10874</v>
      </c>
      <c r="AB189" s="185">
        <f t="shared" si="119"/>
        <v>1426.8899999999994</v>
      </c>
      <c r="AC189" s="185">
        <f t="shared" si="120"/>
        <v>9447.11</v>
      </c>
      <c r="AD189" s="185">
        <f t="shared" ref="AD189:AE204" si="154">+AD188</f>
        <v>134.16999999999999</v>
      </c>
      <c r="AE189" s="185">
        <f t="shared" si="154"/>
        <v>188.55</v>
      </c>
      <c r="AF189" s="185">
        <f t="shared" si="121"/>
        <v>11196.72</v>
      </c>
      <c r="AG189" s="185">
        <f t="shared" si="140"/>
        <v>123409.53000000001</v>
      </c>
      <c r="AH189" s="185">
        <f t="shared" si="141"/>
        <v>1653893.47</v>
      </c>
      <c r="AI189" s="411">
        <f t="shared" ref="AI189:AI252" si="155">O189-AA189+AI188</f>
        <v>1591556.5199999961</v>
      </c>
      <c r="AJ189" s="411">
        <f t="shared" si="143"/>
        <v>98876.429999999236</v>
      </c>
      <c r="AK189" s="411">
        <f t="shared" ref="AK189:AK252" si="156">SUM(AI189:AJ189)</f>
        <v>1690432.9499999953</v>
      </c>
      <c r="AL189" s="185">
        <f t="shared" si="110"/>
        <v>862308.56000000064</v>
      </c>
      <c r="AM189" s="317">
        <f t="shared" si="127"/>
        <v>14</v>
      </c>
      <c r="AN189" s="14">
        <f t="shared" ref="AN189:AN252" si="157">IF(O189=0,0,+O189-C189)</f>
        <v>19533.41</v>
      </c>
      <c r="AO189" s="14">
        <f t="shared" si="148"/>
        <v>961184.99</v>
      </c>
      <c r="AP189" s="14">
        <f t="shared" ref="AP189:AP252" si="158">IF($O189=0,0,+AA189-$C189)</f>
        <v>10874</v>
      </c>
      <c r="AS189" s="14">
        <f t="shared" si="122"/>
        <v>19533.41</v>
      </c>
      <c r="AT189" s="14">
        <f t="shared" si="128"/>
        <v>3398332.7800000058</v>
      </c>
      <c r="AU189" s="185">
        <f t="shared" si="129"/>
        <v>3797.1602950150632</v>
      </c>
      <c r="AV189" s="185">
        <f t="shared" si="130"/>
        <v>536561.27830104041</v>
      </c>
    </row>
    <row r="190" spans="1:48">
      <c r="A190" s="401" t="str">
        <f t="shared" si="131"/>
        <v xml:space="preserve"> </v>
      </c>
      <c r="B190" s="185">
        <f t="shared" si="123"/>
        <v>0</v>
      </c>
      <c r="C190" s="14">
        <f t="shared" si="114"/>
        <v>0</v>
      </c>
      <c r="D190" s="14">
        <f t="shared" si="132"/>
        <v>0</v>
      </c>
      <c r="E190" s="14">
        <f t="shared" si="115"/>
        <v>0</v>
      </c>
      <c r="F190" s="14">
        <f t="shared" si="151"/>
        <v>0</v>
      </c>
      <c r="G190" s="14">
        <f t="shared" si="151"/>
        <v>0</v>
      </c>
      <c r="H190" s="14">
        <f t="shared" si="152"/>
        <v>0</v>
      </c>
      <c r="I190" s="185">
        <f t="shared" si="133"/>
        <v>0</v>
      </c>
      <c r="J190" s="185">
        <f t="shared" si="134"/>
        <v>0</v>
      </c>
      <c r="K190" s="185">
        <f t="shared" si="135"/>
        <v>0</v>
      </c>
      <c r="L190" s="317">
        <f t="shared" si="149"/>
        <v>14</v>
      </c>
      <c r="M190" s="317">
        <f t="shared" si="124"/>
        <v>174</v>
      </c>
      <c r="N190" s="185">
        <f t="shared" si="125"/>
        <v>961184.98999999987</v>
      </c>
      <c r="O190" s="185">
        <f t="shared" si="107"/>
        <v>19533.41</v>
      </c>
      <c r="P190" s="185">
        <f t="shared" si="136"/>
        <v>509.95999999999913</v>
      </c>
      <c r="Q190" s="185">
        <f t="shared" si="108"/>
        <v>19023.45</v>
      </c>
      <c r="R190" s="185">
        <f t="shared" si="150"/>
        <v>134.16999999999999</v>
      </c>
      <c r="S190" s="185">
        <f t="shared" si="150"/>
        <v>188.55</v>
      </c>
      <c r="T190" s="185">
        <f t="shared" si="153"/>
        <v>19856.129999999997</v>
      </c>
      <c r="U190" s="185">
        <f t="shared" si="137"/>
        <v>25424.969999999983</v>
      </c>
      <c r="V190" s="185">
        <f t="shared" si="138"/>
        <v>3392921.78</v>
      </c>
      <c r="W190" s="185">
        <f t="shared" si="139"/>
        <v>960675.02999999991</v>
      </c>
      <c r="X190" s="401" t="str">
        <f t="shared" si="126"/>
        <v xml:space="preserve"> </v>
      </c>
      <c r="Y190" s="185">
        <f t="shared" si="109"/>
        <v>862308.56000000064</v>
      </c>
      <c r="Z190" s="393">
        <f t="shared" si="117"/>
        <v>0.13125000000000001</v>
      </c>
      <c r="AA190" s="185">
        <f t="shared" si="118"/>
        <v>10874</v>
      </c>
      <c r="AB190" s="185">
        <f t="shared" si="119"/>
        <v>1442.5</v>
      </c>
      <c r="AC190" s="185">
        <f t="shared" si="120"/>
        <v>9431.5</v>
      </c>
      <c r="AD190" s="185">
        <f t="shared" si="154"/>
        <v>134.16999999999999</v>
      </c>
      <c r="AE190" s="185">
        <f t="shared" si="154"/>
        <v>188.55</v>
      </c>
      <c r="AF190" s="185">
        <f t="shared" si="121"/>
        <v>11196.72</v>
      </c>
      <c r="AG190" s="185">
        <f t="shared" si="140"/>
        <v>124852.03000000001</v>
      </c>
      <c r="AH190" s="185">
        <f t="shared" si="141"/>
        <v>1663324.97</v>
      </c>
      <c r="AI190" s="411">
        <f t="shared" si="155"/>
        <v>1600215.929999996</v>
      </c>
      <c r="AJ190" s="411">
        <f t="shared" si="143"/>
        <v>99808.969999999274</v>
      </c>
      <c r="AK190" s="411">
        <f t="shared" si="156"/>
        <v>1700024.8999999953</v>
      </c>
      <c r="AL190" s="185">
        <f t="shared" si="110"/>
        <v>860866.06000000064</v>
      </c>
      <c r="AM190" s="317">
        <f t="shared" si="127"/>
        <v>14</v>
      </c>
      <c r="AN190" s="14">
        <f t="shared" si="157"/>
        <v>19533.41</v>
      </c>
      <c r="AO190" s="14">
        <f t="shared" si="148"/>
        <v>960675.03</v>
      </c>
      <c r="AP190" s="14">
        <f t="shared" si="158"/>
        <v>10874</v>
      </c>
      <c r="AS190" s="14">
        <f t="shared" si="122"/>
        <v>19533.41</v>
      </c>
      <c r="AT190" s="14">
        <f t="shared" si="128"/>
        <v>3417866.190000006</v>
      </c>
      <c r="AU190" s="185">
        <f t="shared" si="129"/>
        <v>3806.6531957526008</v>
      </c>
      <c r="AV190" s="185">
        <f t="shared" si="130"/>
        <v>540367.93149679305</v>
      </c>
    </row>
    <row r="191" spans="1:48">
      <c r="A191" s="401" t="str">
        <f t="shared" si="131"/>
        <v xml:space="preserve"> </v>
      </c>
      <c r="B191" s="185">
        <f t="shared" si="123"/>
        <v>0</v>
      </c>
      <c r="C191" s="14">
        <f t="shared" si="114"/>
        <v>0</v>
      </c>
      <c r="D191" s="14">
        <f t="shared" si="132"/>
        <v>0</v>
      </c>
      <c r="E191" s="14">
        <f t="shared" si="115"/>
        <v>0</v>
      </c>
      <c r="F191" s="14">
        <f t="shared" si="151"/>
        <v>0</v>
      </c>
      <c r="G191" s="14">
        <f t="shared" si="151"/>
        <v>0</v>
      </c>
      <c r="H191" s="14">
        <f t="shared" si="152"/>
        <v>0</v>
      </c>
      <c r="I191" s="185">
        <f t="shared" si="133"/>
        <v>0</v>
      </c>
      <c r="J191" s="185">
        <f t="shared" si="134"/>
        <v>0</v>
      </c>
      <c r="K191" s="185">
        <f t="shared" si="135"/>
        <v>0</v>
      </c>
      <c r="L191" s="317">
        <f t="shared" si="149"/>
        <v>14</v>
      </c>
      <c r="M191" s="317">
        <f t="shared" si="124"/>
        <v>175</v>
      </c>
      <c r="N191" s="185">
        <f t="shared" si="125"/>
        <v>960675.02999999991</v>
      </c>
      <c r="O191" s="185">
        <f t="shared" ref="O191:O254" si="159">IF($O$11&lt;=A191,IF(+$W190&lt;=0,0,$O$8),0)</f>
        <v>19533.41</v>
      </c>
      <c r="P191" s="185">
        <f t="shared" si="136"/>
        <v>520.04999999999927</v>
      </c>
      <c r="Q191" s="185">
        <f t="shared" ref="Q191:Q254" si="160">IF($O$11&lt;=A191,ROUND(N191*($O$7/12),2),0)</f>
        <v>19013.36</v>
      </c>
      <c r="R191" s="185">
        <f t="shared" si="150"/>
        <v>134.16999999999999</v>
      </c>
      <c r="S191" s="185">
        <f t="shared" si="150"/>
        <v>188.55</v>
      </c>
      <c r="T191" s="185">
        <f t="shared" si="153"/>
        <v>19856.129999999997</v>
      </c>
      <c r="U191" s="185">
        <f t="shared" si="137"/>
        <v>25945.019999999982</v>
      </c>
      <c r="V191" s="185">
        <f t="shared" si="138"/>
        <v>3411935.1399999997</v>
      </c>
      <c r="W191" s="185">
        <f t="shared" si="139"/>
        <v>960154.97999999986</v>
      </c>
      <c r="X191" s="401" t="str">
        <f t="shared" si="126"/>
        <v xml:space="preserve"> </v>
      </c>
      <c r="Y191" s="185">
        <f t="shared" ref="Y191:Y254" si="161">IF(+AL190&lt;0,0,+AL190)</f>
        <v>860866.06000000064</v>
      </c>
      <c r="Z191" s="393">
        <f t="shared" si="117"/>
        <v>0.13125000000000001</v>
      </c>
      <c r="AA191" s="185">
        <f t="shared" si="118"/>
        <v>10874</v>
      </c>
      <c r="AB191" s="185">
        <f t="shared" si="119"/>
        <v>1458.2800000000007</v>
      </c>
      <c r="AC191" s="185">
        <f t="shared" si="120"/>
        <v>9415.7199999999993</v>
      </c>
      <c r="AD191" s="185">
        <f t="shared" si="154"/>
        <v>134.16999999999999</v>
      </c>
      <c r="AE191" s="185">
        <f t="shared" si="154"/>
        <v>188.55</v>
      </c>
      <c r="AF191" s="185">
        <f t="shared" si="121"/>
        <v>11196.72</v>
      </c>
      <c r="AG191" s="185">
        <f t="shared" si="140"/>
        <v>126310.31000000001</v>
      </c>
      <c r="AH191" s="185">
        <f t="shared" si="141"/>
        <v>1672740.69</v>
      </c>
      <c r="AI191" s="411">
        <f t="shared" si="155"/>
        <v>1608875.3399999959</v>
      </c>
      <c r="AJ191" s="411">
        <f t="shared" si="143"/>
        <v>100747.19999999925</v>
      </c>
      <c r="AK191" s="411">
        <f t="shared" si="156"/>
        <v>1709622.5399999951</v>
      </c>
      <c r="AL191" s="185">
        <f t="shared" ref="AL191:AL254" si="162">+Y191-AB191</f>
        <v>859407.78000000061</v>
      </c>
      <c r="AM191" s="317">
        <f t="shared" si="127"/>
        <v>14</v>
      </c>
      <c r="AN191" s="14">
        <f t="shared" si="157"/>
        <v>19533.41</v>
      </c>
      <c r="AO191" s="14">
        <f t="shared" si="148"/>
        <v>960154.98</v>
      </c>
      <c r="AP191" s="14">
        <f t="shared" si="158"/>
        <v>10874</v>
      </c>
      <c r="AS191" s="14">
        <f t="shared" si="122"/>
        <v>19533.41</v>
      </c>
      <c r="AT191" s="14">
        <f t="shared" si="128"/>
        <v>3437399.6000000061</v>
      </c>
      <c r="AU191" s="185">
        <f t="shared" si="129"/>
        <v>3816.1698287419822</v>
      </c>
      <c r="AV191" s="185">
        <f t="shared" si="130"/>
        <v>544184.10132553498</v>
      </c>
    </row>
    <row r="192" spans="1:48">
      <c r="A192" s="401" t="str">
        <f t="shared" si="131"/>
        <v xml:space="preserve"> </v>
      </c>
      <c r="B192" s="185">
        <f t="shared" si="123"/>
        <v>0</v>
      </c>
      <c r="C192" s="14">
        <f t="shared" si="114"/>
        <v>0</v>
      </c>
      <c r="D192" s="14">
        <f t="shared" si="132"/>
        <v>0</v>
      </c>
      <c r="E192" s="14">
        <f t="shared" si="115"/>
        <v>0</v>
      </c>
      <c r="F192" s="14">
        <f t="shared" si="151"/>
        <v>0</v>
      </c>
      <c r="G192" s="14">
        <f t="shared" si="151"/>
        <v>0</v>
      </c>
      <c r="H192" s="14">
        <f t="shared" si="152"/>
        <v>0</v>
      </c>
      <c r="I192" s="185">
        <f t="shared" si="133"/>
        <v>0</v>
      </c>
      <c r="J192" s="185">
        <f t="shared" si="134"/>
        <v>0</v>
      </c>
      <c r="K192" s="185">
        <f t="shared" si="135"/>
        <v>0</v>
      </c>
      <c r="L192" s="317">
        <f t="shared" si="149"/>
        <v>14</v>
      </c>
      <c r="M192" s="317">
        <f t="shared" si="124"/>
        <v>176</v>
      </c>
      <c r="N192" s="185">
        <f t="shared" si="125"/>
        <v>960154.97999999986</v>
      </c>
      <c r="O192" s="185">
        <f t="shared" si="159"/>
        <v>19533.41</v>
      </c>
      <c r="P192" s="185">
        <f t="shared" si="136"/>
        <v>530.34000000000015</v>
      </c>
      <c r="Q192" s="185">
        <f t="shared" si="160"/>
        <v>19003.07</v>
      </c>
      <c r="R192" s="185">
        <f t="shared" ref="R192:S207" si="163">+R191</f>
        <v>134.16999999999999</v>
      </c>
      <c r="S192" s="185">
        <f t="shared" si="163"/>
        <v>188.55</v>
      </c>
      <c r="T192" s="185">
        <f t="shared" si="153"/>
        <v>19856.129999999997</v>
      </c>
      <c r="U192" s="185">
        <f t="shared" si="137"/>
        <v>26475.359999999982</v>
      </c>
      <c r="V192" s="185">
        <f t="shared" si="138"/>
        <v>3430938.2099999995</v>
      </c>
      <c r="W192" s="185">
        <f t="shared" si="139"/>
        <v>959624.6399999999</v>
      </c>
      <c r="X192" s="401" t="str">
        <f t="shared" si="126"/>
        <v xml:space="preserve"> </v>
      </c>
      <c r="Y192" s="185">
        <f t="shared" si="161"/>
        <v>859407.78000000061</v>
      </c>
      <c r="Z192" s="393">
        <f t="shared" si="117"/>
        <v>0.13125000000000001</v>
      </c>
      <c r="AA192" s="185">
        <f t="shared" si="118"/>
        <v>10874</v>
      </c>
      <c r="AB192" s="185">
        <f t="shared" si="119"/>
        <v>1474.2299999999996</v>
      </c>
      <c r="AC192" s="185">
        <f t="shared" si="120"/>
        <v>9399.77</v>
      </c>
      <c r="AD192" s="185">
        <f t="shared" si="154"/>
        <v>134.16999999999999</v>
      </c>
      <c r="AE192" s="185">
        <f t="shared" si="154"/>
        <v>188.55</v>
      </c>
      <c r="AF192" s="185">
        <f t="shared" si="121"/>
        <v>11196.72</v>
      </c>
      <c r="AG192" s="185">
        <f t="shared" si="140"/>
        <v>127784.54000000001</v>
      </c>
      <c r="AH192" s="185">
        <f t="shared" si="141"/>
        <v>1682140.46</v>
      </c>
      <c r="AI192" s="411">
        <f t="shared" si="155"/>
        <v>1617534.7499999958</v>
      </c>
      <c r="AJ192" s="411">
        <f t="shared" si="143"/>
        <v>101691.08999999927</v>
      </c>
      <c r="AK192" s="411">
        <f t="shared" si="156"/>
        <v>1719225.8399999952</v>
      </c>
      <c r="AL192" s="185">
        <f t="shared" si="162"/>
        <v>857933.55000000063</v>
      </c>
      <c r="AM192" s="317">
        <f t="shared" si="127"/>
        <v>14</v>
      </c>
      <c r="AN192" s="14">
        <f t="shared" si="157"/>
        <v>19533.41</v>
      </c>
      <c r="AO192" s="14">
        <f t="shared" si="148"/>
        <v>959624.64</v>
      </c>
      <c r="AP192" s="14">
        <f t="shared" si="158"/>
        <v>10874</v>
      </c>
      <c r="AS192" s="14">
        <f t="shared" si="122"/>
        <v>19533.41</v>
      </c>
      <c r="AT192" s="14">
        <f t="shared" si="128"/>
        <v>3456933.0100000063</v>
      </c>
      <c r="AU192" s="185">
        <f t="shared" si="129"/>
        <v>3825.7102533138373</v>
      </c>
      <c r="AV192" s="185">
        <f t="shared" si="130"/>
        <v>548009.81157884886</v>
      </c>
    </row>
    <row r="193" spans="1:48">
      <c r="A193" s="401" t="str">
        <f t="shared" si="131"/>
        <v xml:space="preserve"> </v>
      </c>
      <c r="B193" s="185">
        <f t="shared" si="123"/>
        <v>0</v>
      </c>
      <c r="C193" s="14">
        <f t="shared" si="114"/>
        <v>0</v>
      </c>
      <c r="D193" s="14">
        <f t="shared" si="132"/>
        <v>0</v>
      </c>
      <c r="E193" s="14">
        <f t="shared" si="115"/>
        <v>0</v>
      </c>
      <c r="F193" s="14">
        <f t="shared" si="151"/>
        <v>0</v>
      </c>
      <c r="G193" s="14">
        <f t="shared" si="151"/>
        <v>0</v>
      </c>
      <c r="H193" s="14">
        <f t="shared" si="152"/>
        <v>0</v>
      </c>
      <c r="I193" s="185">
        <f t="shared" si="133"/>
        <v>0</v>
      </c>
      <c r="J193" s="185">
        <f t="shared" si="134"/>
        <v>0</v>
      </c>
      <c r="K193" s="185">
        <f t="shared" si="135"/>
        <v>0</v>
      </c>
      <c r="L193" s="317">
        <f t="shared" si="149"/>
        <v>14</v>
      </c>
      <c r="M193" s="317">
        <f t="shared" si="124"/>
        <v>177</v>
      </c>
      <c r="N193" s="185">
        <f t="shared" si="125"/>
        <v>959624.6399999999</v>
      </c>
      <c r="O193" s="185">
        <f t="shared" si="159"/>
        <v>19533.41</v>
      </c>
      <c r="P193" s="185">
        <f t="shared" si="136"/>
        <v>540.84000000000015</v>
      </c>
      <c r="Q193" s="185">
        <f t="shared" si="160"/>
        <v>18992.57</v>
      </c>
      <c r="R193" s="185">
        <f t="shared" si="163"/>
        <v>134.16999999999999</v>
      </c>
      <c r="S193" s="185">
        <f t="shared" si="163"/>
        <v>188.55</v>
      </c>
      <c r="T193" s="185">
        <f t="shared" si="153"/>
        <v>19856.129999999997</v>
      </c>
      <c r="U193" s="185">
        <f t="shared" si="137"/>
        <v>27016.199999999983</v>
      </c>
      <c r="V193" s="185">
        <f t="shared" si="138"/>
        <v>3449930.7799999993</v>
      </c>
      <c r="W193" s="185">
        <f t="shared" si="139"/>
        <v>959083.79999999993</v>
      </c>
      <c r="X193" s="401" t="str">
        <f t="shared" si="126"/>
        <v xml:space="preserve"> </v>
      </c>
      <c r="Y193" s="185">
        <f t="shared" si="161"/>
        <v>857933.55000000063</v>
      </c>
      <c r="Z193" s="393">
        <f t="shared" si="117"/>
        <v>0.13125000000000001</v>
      </c>
      <c r="AA193" s="185">
        <f t="shared" si="118"/>
        <v>10874</v>
      </c>
      <c r="AB193" s="185">
        <f t="shared" si="119"/>
        <v>1490.3500000000004</v>
      </c>
      <c r="AC193" s="185">
        <f t="shared" si="120"/>
        <v>9383.65</v>
      </c>
      <c r="AD193" s="185">
        <f t="shared" si="154"/>
        <v>134.16999999999999</v>
      </c>
      <c r="AE193" s="185">
        <f t="shared" si="154"/>
        <v>188.55</v>
      </c>
      <c r="AF193" s="185">
        <f t="shared" si="121"/>
        <v>11196.72</v>
      </c>
      <c r="AG193" s="185">
        <f t="shared" si="140"/>
        <v>129274.89000000001</v>
      </c>
      <c r="AH193" s="185">
        <f t="shared" si="141"/>
        <v>1691524.1099999999</v>
      </c>
      <c r="AI193" s="411">
        <f t="shared" si="155"/>
        <v>1626194.1599999957</v>
      </c>
      <c r="AJ193" s="411">
        <f t="shared" si="143"/>
        <v>102640.59999999928</v>
      </c>
      <c r="AK193" s="411">
        <f t="shared" si="156"/>
        <v>1728834.7599999951</v>
      </c>
      <c r="AL193" s="185">
        <f t="shared" si="162"/>
        <v>856443.20000000065</v>
      </c>
      <c r="AM193" s="317">
        <f t="shared" si="127"/>
        <v>14</v>
      </c>
      <c r="AN193" s="14">
        <f t="shared" si="157"/>
        <v>19533.41</v>
      </c>
      <c r="AO193" s="14">
        <f t="shared" si="148"/>
        <v>959083.8</v>
      </c>
      <c r="AP193" s="14">
        <f t="shared" si="158"/>
        <v>10874</v>
      </c>
      <c r="AS193" s="14">
        <f t="shared" si="122"/>
        <v>19533.41</v>
      </c>
      <c r="AT193" s="14">
        <f t="shared" si="128"/>
        <v>3476466.4200000064</v>
      </c>
      <c r="AU193" s="185">
        <f t="shared" si="129"/>
        <v>3835.2745289471222</v>
      </c>
      <c r="AV193" s="185">
        <f t="shared" si="130"/>
        <v>551845.08610779594</v>
      </c>
    </row>
    <row r="194" spans="1:48">
      <c r="A194" s="401" t="str">
        <f t="shared" si="131"/>
        <v xml:space="preserve"> </v>
      </c>
      <c r="B194" s="185">
        <f t="shared" si="123"/>
        <v>0</v>
      </c>
      <c r="C194" s="14">
        <f t="shared" si="114"/>
        <v>0</v>
      </c>
      <c r="D194" s="14">
        <f t="shared" si="132"/>
        <v>0</v>
      </c>
      <c r="E194" s="14">
        <f t="shared" si="115"/>
        <v>0</v>
      </c>
      <c r="F194" s="14">
        <f t="shared" si="151"/>
        <v>0</v>
      </c>
      <c r="G194" s="14">
        <f t="shared" si="151"/>
        <v>0</v>
      </c>
      <c r="H194" s="14">
        <f t="shared" si="152"/>
        <v>0</v>
      </c>
      <c r="I194" s="185">
        <f t="shared" si="133"/>
        <v>0</v>
      </c>
      <c r="J194" s="185">
        <f t="shared" si="134"/>
        <v>0</v>
      </c>
      <c r="K194" s="185">
        <f t="shared" si="135"/>
        <v>0</v>
      </c>
      <c r="L194" s="317">
        <f t="shared" si="149"/>
        <v>14</v>
      </c>
      <c r="M194" s="317">
        <f t="shared" si="124"/>
        <v>178</v>
      </c>
      <c r="N194" s="185">
        <f t="shared" si="125"/>
        <v>959083.79999999993</v>
      </c>
      <c r="O194" s="185">
        <f t="shared" si="159"/>
        <v>19533.41</v>
      </c>
      <c r="P194" s="185">
        <f t="shared" si="136"/>
        <v>551.54000000000087</v>
      </c>
      <c r="Q194" s="185">
        <f t="shared" si="160"/>
        <v>18981.87</v>
      </c>
      <c r="R194" s="185">
        <f t="shared" si="163"/>
        <v>134.16999999999999</v>
      </c>
      <c r="S194" s="185">
        <f t="shared" si="163"/>
        <v>188.55</v>
      </c>
      <c r="T194" s="185">
        <f t="shared" si="153"/>
        <v>19856.129999999997</v>
      </c>
      <c r="U194" s="185">
        <f t="shared" si="137"/>
        <v>27567.739999999983</v>
      </c>
      <c r="V194" s="185">
        <f t="shared" si="138"/>
        <v>3468912.6499999994</v>
      </c>
      <c r="W194" s="185">
        <f t="shared" si="139"/>
        <v>958532.25999999989</v>
      </c>
      <c r="X194" s="401" t="str">
        <f t="shared" si="126"/>
        <v xml:space="preserve"> </v>
      </c>
      <c r="Y194" s="185">
        <f t="shared" si="161"/>
        <v>856443.20000000065</v>
      </c>
      <c r="Z194" s="393">
        <f t="shared" si="117"/>
        <v>0.13125000000000001</v>
      </c>
      <c r="AA194" s="185">
        <f t="shared" si="118"/>
        <v>10874</v>
      </c>
      <c r="AB194" s="185">
        <f t="shared" si="119"/>
        <v>1506.6499999999996</v>
      </c>
      <c r="AC194" s="185">
        <f t="shared" si="120"/>
        <v>9367.35</v>
      </c>
      <c r="AD194" s="185">
        <f t="shared" si="154"/>
        <v>134.16999999999999</v>
      </c>
      <c r="AE194" s="185">
        <f t="shared" si="154"/>
        <v>188.55</v>
      </c>
      <c r="AF194" s="185">
        <f t="shared" si="121"/>
        <v>11196.72</v>
      </c>
      <c r="AG194" s="185">
        <f t="shared" si="140"/>
        <v>130781.54000000001</v>
      </c>
      <c r="AH194" s="185">
        <f t="shared" si="141"/>
        <v>1700891.46</v>
      </c>
      <c r="AI194" s="411">
        <f t="shared" si="155"/>
        <v>1634853.5699999956</v>
      </c>
      <c r="AJ194" s="411">
        <f t="shared" si="143"/>
        <v>103595.70999999926</v>
      </c>
      <c r="AK194" s="411">
        <f t="shared" si="156"/>
        <v>1738449.2799999949</v>
      </c>
      <c r="AL194" s="185">
        <f t="shared" si="162"/>
        <v>854936.55000000063</v>
      </c>
      <c r="AM194" s="317">
        <f t="shared" si="127"/>
        <v>14</v>
      </c>
      <c r="AN194" s="14">
        <f t="shared" si="157"/>
        <v>19533.41</v>
      </c>
      <c r="AO194" s="14">
        <f t="shared" si="148"/>
        <v>958532.26</v>
      </c>
      <c r="AP194" s="14">
        <f t="shared" si="158"/>
        <v>10874</v>
      </c>
      <c r="AS194" s="14">
        <f t="shared" si="122"/>
        <v>19533.41</v>
      </c>
      <c r="AT194" s="14">
        <f t="shared" si="128"/>
        <v>3495999.8300000066</v>
      </c>
      <c r="AU194" s="185">
        <f t="shared" si="129"/>
        <v>3844.8627152694899</v>
      </c>
      <c r="AV194" s="185">
        <f t="shared" si="130"/>
        <v>555689.94882306538</v>
      </c>
    </row>
    <row r="195" spans="1:48" ht="15.75" thickBot="1">
      <c r="A195" s="404" t="str">
        <f t="shared" si="131"/>
        <v xml:space="preserve"> </v>
      </c>
      <c r="B195" s="237">
        <f t="shared" si="123"/>
        <v>0</v>
      </c>
      <c r="C195" s="21">
        <f t="shared" si="114"/>
        <v>0</v>
      </c>
      <c r="D195" s="21">
        <f t="shared" si="132"/>
        <v>0</v>
      </c>
      <c r="E195" s="21">
        <f t="shared" si="115"/>
        <v>0</v>
      </c>
      <c r="F195" s="21">
        <f t="shared" si="151"/>
        <v>0</v>
      </c>
      <c r="G195" s="21">
        <f t="shared" si="151"/>
        <v>0</v>
      </c>
      <c r="H195" s="21">
        <f t="shared" si="152"/>
        <v>0</v>
      </c>
      <c r="I195" s="237">
        <f t="shared" si="133"/>
        <v>0</v>
      </c>
      <c r="J195" s="237">
        <f t="shared" si="134"/>
        <v>0</v>
      </c>
      <c r="K195" s="237">
        <f t="shared" si="135"/>
        <v>0</v>
      </c>
      <c r="L195" s="318">
        <f t="shared" si="149"/>
        <v>14</v>
      </c>
      <c r="M195" s="318">
        <f t="shared" si="124"/>
        <v>179</v>
      </c>
      <c r="N195" s="237">
        <f t="shared" si="125"/>
        <v>958532.25999999989</v>
      </c>
      <c r="O195" s="237">
        <f t="shared" si="159"/>
        <v>19533.41</v>
      </c>
      <c r="P195" s="237">
        <f t="shared" si="136"/>
        <v>562.45999999999913</v>
      </c>
      <c r="Q195" s="237">
        <f t="shared" si="160"/>
        <v>18970.95</v>
      </c>
      <c r="R195" s="237">
        <f t="shared" si="163"/>
        <v>134.16999999999999</v>
      </c>
      <c r="S195" s="237">
        <f t="shared" si="163"/>
        <v>188.55</v>
      </c>
      <c r="T195" s="237">
        <f t="shared" si="153"/>
        <v>19856.129999999997</v>
      </c>
      <c r="U195" s="237">
        <f t="shared" si="137"/>
        <v>28130.199999999983</v>
      </c>
      <c r="V195" s="237">
        <f t="shared" si="138"/>
        <v>3487883.5999999996</v>
      </c>
      <c r="W195" s="237">
        <f t="shared" si="139"/>
        <v>957969.79999999993</v>
      </c>
      <c r="X195" s="404" t="str">
        <f t="shared" si="126"/>
        <v xml:space="preserve"> </v>
      </c>
      <c r="Y195" s="237">
        <f t="shared" si="161"/>
        <v>854936.55000000063</v>
      </c>
      <c r="Z195" s="394">
        <f t="shared" si="117"/>
        <v>0.13125000000000001</v>
      </c>
      <c r="AA195" s="237">
        <f t="shared" si="118"/>
        <v>10874</v>
      </c>
      <c r="AB195" s="237">
        <f t="shared" si="119"/>
        <v>1523.1299999999992</v>
      </c>
      <c r="AC195" s="237">
        <f t="shared" si="120"/>
        <v>9350.8700000000008</v>
      </c>
      <c r="AD195" s="237">
        <f t="shared" si="154"/>
        <v>134.16999999999999</v>
      </c>
      <c r="AE195" s="237">
        <f t="shared" si="154"/>
        <v>188.55</v>
      </c>
      <c r="AF195" s="237">
        <f t="shared" si="121"/>
        <v>11196.72</v>
      </c>
      <c r="AG195" s="237">
        <f t="shared" si="140"/>
        <v>132304.67000000001</v>
      </c>
      <c r="AH195" s="237">
        <f t="shared" si="141"/>
        <v>1710242.33</v>
      </c>
      <c r="AI195" s="412">
        <f t="shared" si="155"/>
        <v>1643512.9799999956</v>
      </c>
      <c r="AJ195" s="412">
        <f t="shared" si="143"/>
        <v>104556.37999999931</v>
      </c>
      <c r="AK195" s="411">
        <f t="shared" si="156"/>
        <v>1748069.3599999947</v>
      </c>
      <c r="AL195" s="237">
        <f t="shared" si="162"/>
        <v>853413.42000000062</v>
      </c>
      <c r="AM195" s="318">
        <f t="shared" si="127"/>
        <v>14</v>
      </c>
      <c r="AN195" s="21">
        <f t="shared" si="157"/>
        <v>19533.41</v>
      </c>
      <c r="AO195" s="21">
        <f t="shared" si="148"/>
        <v>957969.8</v>
      </c>
      <c r="AP195" s="21">
        <f t="shared" si="158"/>
        <v>10874</v>
      </c>
      <c r="AQ195" s="21"/>
      <c r="AR195" s="23"/>
      <c r="AS195" s="21">
        <f t="shared" si="122"/>
        <v>19533.41</v>
      </c>
      <c r="AT195" s="21">
        <f t="shared" si="128"/>
        <v>3515533.2400000067</v>
      </c>
      <c r="AU195" s="237">
        <f t="shared" si="129"/>
        <v>3854.474872057664</v>
      </c>
      <c r="AV195" s="237">
        <f t="shared" si="130"/>
        <v>559544.42369512306</v>
      </c>
    </row>
    <row r="196" spans="1:48">
      <c r="A196" s="401" t="str">
        <f t="shared" si="131"/>
        <v xml:space="preserve"> </v>
      </c>
      <c r="B196" s="185">
        <f t="shared" si="123"/>
        <v>0</v>
      </c>
      <c r="C196" s="14">
        <f t="shared" si="114"/>
        <v>0</v>
      </c>
      <c r="D196" s="14">
        <f t="shared" si="132"/>
        <v>0</v>
      </c>
      <c r="E196" s="14">
        <f t="shared" si="115"/>
        <v>0</v>
      </c>
      <c r="F196" s="14">
        <f t="shared" si="151"/>
        <v>0</v>
      </c>
      <c r="G196" s="14">
        <f t="shared" si="151"/>
        <v>0</v>
      </c>
      <c r="H196" s="14">
        <f t="shared" si="152"/>
        <v>0</v>
      </c>
      <c r="I196" s="185">
        <f t="shared" si="133"/>
        <v>0</v>
      </c>
      <c r="J196" s="185">
        <f t="shared" si="134"/>
        <v>0</v>
      </c>
      <c r="K196" s="185">
        <f t="shared" si="135"/>
        <v>0</v>
      </c>
      <c r="L196" s="317">
        <f t="shared" si="149"/>
        <v>15</v>
      </c>
      <c r="M196" s="317">
        <f t="shared" si="124"/>
        <v>180</v>
      </c>
      <c r="N196" s="185">
        <f t="shared" si="125"/>
        <v>957969.79999999993</v>
      </c>
      <c r="O196" s="185">
        <f t="shared" si="159"/>
        <v>19533.41</v>
      </c>
      <c r="P196" s="185">
        <f t="shared" si="136"/>
        <v>573.59000000000015</v>
      </c>
      <c r="Q196" s="185">
        <f t="shared" si="160"/>
        <v>18959.82</v>
      </c>
      <c r="R196" s="185">
        <f t="shared" si="163"/>
        <v>134.16999999999999</v>
      </c>
      <c r="S196" s="185">
        <f t="shared" si="163"/>
        <v>188.55</v>
      </c>
      <c r="T196" s="185">
        <f t="shared" si="153"/>
        <v>19856.129999999997</v>
      </c>
      <c r="U196" s="185">
        <f t="shared" si="137"/>
        <v>28703.789999999983</v>
      </c>
      <c r="V196" s="185">
        <f t="shared" si="138"/>
        <v>3506843.4199999995</v>
      </c>
      <c r="W196" s="185">
        <f t="shared" si="139"/>
        <v>957396.21</v>
      </c>
      <c r="X196" s="401" t="str">
        <f t="shared" si="126"/>
        <v xml:space="preserve"> </v>
      </c>
      <c r="Y196" s="185">
        <f t="shared" si="161"/>
        <v>853413.42000000062</v>
      </c>
      <c r="Z196" s="393">
        <f t="shared" si="117"/>
        <v>0.13125000000000001</v>
      </c>
      <c r="AA196" s="185">
        <f t="shared" si="118"/>
        <v>10874</v>
      </c>
      <c r="AB196" s="185">
        <f t="shared" si="119"/>
        <v>1539.7900000000009</v>
      </c>
      <c r="AC196" s="185">
        <f t="shared" si="120"/>
        <v>9334.2099999999991</v>
      </c>
      <c r="AD196" s="185">
        <f t="shared" si="154"/>
        <v>134.16999999999999</v>
      </c>
      <c r="AE196" s="185">
        <f t="shared" si="154"/>
        <v>188.55</v>
      </c>
      <c r="AF196" s="185">
        <f t="shared" si="121"/>
        <v>11196.72</v>
      </c>
      <c r="AG196" s="185">
        <f t="shared" si="140"/>
        <v>133844.46000000002</v>
      </c>
      <c r="AH196" s="185">
        <f t="shared" si="141"/>
        <v>1719576.54</v>
      </c>
      <c r="AI196" s="411">
        <f t="shared" si="155"/>
        <v>1652172.3899999955</v>
      </c>
      <c r="AJ196" s="411">
        <f t="shared" si="143"/>
        <v>105522.57999999938</v>
      </c>
      <c r="AK196" s="411">
        <f t="shared" si="156"/>
        <v>1757694.9699999948</v>
      </c>
      <c r="AL196" s="185">
        <f t="shared" si="162"/>
        <v>851873.63000000059</v>
      </c>
      <c r="AM196" s="317">
        <f t="shared" si="127"/>
        <v>15</v>
      </c>
      <c r="AN196" s="14">
        <f t="shared" si="157"/>
        <v>19533.41</v>
      </c>
      <c r="AO196" s="14">
        <f t="shared" si="148"/>
        <v>957396.21</v>
      </c>
      <c r="AP196" s="14">
        <f t="shared" si="158"/>
        <v>10874</v>
      </c>
      <c r="AS196" s="14">
        <f t="shared" si="122"/>
        <v>19533.41</v>
      </c>
      <c r="AT196" s="14">
        <f t="shared" si="128"/>
        <v>3535066.6500000069</v>
      </c>
      <c r="AU196" s="185">
        <f t="shared" si="129"/>
        <v>3864.1110592378077</v>
      </c>
      <c r="AV196" s="185">
        <f t="shared" si="130"/>
        <v>563408.53475436091</v>
      </c>
    </row>
    <row r="197" spans="1:48">
      <c r="A197" s="401" t="str">
        <f t="shared" si="131"/>
        <v xml:space="preserve"> </v>
      </c>
      <c r="B197" s="185">
        <f t="shared" si="123"/>
        <v>0</v>
      </c>
      <c r="C197" s="14">
        <f t="shared" si="114"/>
        <v>0</v>
      </c>
      <c r="D197" s="14">
        <f t="shared" si="132"/>
        <v>0</v>
      </c>
      <c r="E197" s="14">
        <f t="shared" si="115"/>
        <v>0</v>
      </c>
      <c r="F197" s="14">
        <f t="shared" si="151"/>
        <v>0</v>
      </c>
      <c r="G197" s="14">
        <f t="shared" si="151"/>
        <v>0</v>
      </c>
      <c r="H197" s="14">
        <f t="shared" si="152"/>
        <v>0</v>
      </c>
      <c r="I197" s="185">
        <f t="shared" si="133"/>
        <v>0</v>
      </c>
      <c r="J197" s="185">
        <f t="shared" si="134"/>
        <v>0</v>
      </c>
      <c r="K197" s="185">
        <f t="shared" si="135"/>
        <v>0</v>
      </c>
      <c r="L197" s="317">
        <f t="shared" si="149"/>
        <v>15</v>
      </c>
      <c r="M197" s="317">
        <f t="shared" si="124"/>
        <v>181</v>
      </c>
      <c r="N197" s="185">
        <f t="shared" si="125"/>
        <v>957396.21</v>
      </c>
      <c r="O197" s="185">
        <f t="shared" si="159"/>
        <v>19533.41</v>
      </c>
      <c r="P197" s="185">
        <f t="shared" si="136"/>
        <v>584.93999999999869</v>
      </c>
      <c r="Q197" s="185">
        <f t="shared" si="160"/>
        <v>18948.47</v>
      </c>
      <c r="R197" s="185">
        <f t="shared" si="163"/>
        <v>134.16999999999999</v>
      </c>
      <c r="S197" s="185">
        <f t="shared" si="163"/>
        <v>188.55</v>
      </c>
      <c r="T197" s="185">
        <f t="shared" si="153"/>
        <v>19856.129999999997</v>
      </c>
      <c r="U197" s="185">
        <f t="shared" si="137"/>
        <v>29288.729999999981</v>
      </c>
      <c r="V197" s="185">
        <f t="shared" si="138"/>
        <v>3525791.8899999997</v>
      </c>
      <c r="W197" s="185">
        <f t="shared" si="139"/>
        <v>956811.27</v>
      </c>
      <c r="X197" s="401" t="str">
        <f t="shared" si="126"/>
        <v xml:space="preserve"> </v>
      </c>
      <c r="Y197" s="185">
        <f t="shared" si="161"/>
        <v>851873.63000000059</v>
      </c>
      <c r="Z197" s="393">
        <f t="shared" si="117"/>
        <v>0.13125000000000001</v>
      </c>
      <c r="AA197" s="185">
        <f t="shared" si="118"/>
        <v>10874</v>
      </c>
      <c r="AB197" s="185">
        <f t="shared" si="119"/>
        <v>1556.6299999999992</v>
      </c>
      <c r="AC197" s="185">
        <f t="shared" si="120"/>
        <v>9317.3700000000008</v>
      </c>
      <c r="AD197" s="185">
        <f t="shared" si="154"/>
        <v>134.16999999999999</v>
      </c>
      <c r="AE197" s="185">
        <f t="shared" si="154"/>
        <v>188.55</v>
      </c>
      <c r="AF197" s="185">
        <f t="shared" si="121"/>
        <v>11196.72</v>
      </c>
      <c r="AG197" s="185">
        <f t="shared" si="140"/>
        <v>135401.09000000003</v>
      </c>
      <c r="AH197" s="185">
        <f t="shared" si="141"/>
        <v>1728893.9100000001</v>
      </c>
      <c r="AI197" s="411">
        <f t="shared" si="155"/>
        <v>1660831.7999999954</v>
      </c>
      <c r="AJ197" s="411">
        <f t="shared" si="143"/>
        <v>106494.26999999944</v>
      </c>
      <c r="AK197" s="411">
        <f t="shared" si="156"/>
        <v>1767326.0699999947</v>
      </c>
      <c r="AL197" s="185">
        <f t="shared" si="162"/>
        <v>850317.00000000058</v>
      </c>
      <c r="AM197" s="317">
        <f t="shared" si="127"/>
        <v>15</v>
      </c>
      <c r="AN197" s="14">
        <f t="shared" si="157"/>
        <v>19533.41</v>
      </c>
      <c r="AO197" s="14">
        <f t="shared" si="148"/>
        <v>956811.27</v>
      </c>
      <c r="AP197" s="14">
        <f t="shared" si="158"/>
        <v>10874</v>
      </c>
      <c r="AS197" s="14">
        <f t="shared" si="122"/>
        <v>19533.41</v>
      </c>
      <c r="AT197" s="14">
        <f t="shared" si="128"/>
        <v>3554600.060000007</v>
      </c>
      <c r="AU197" s="185">
        <f t="shared" si="129"/>
        <v>3873.7713368859022</v>
      </c>
      <c r="AV197" s="185">
        <f t="shared" si="130"/>
        <v>567282.30609124678</v>
      </c>
    </row>
    <row r="198" spans="1:48">
      <c r="A198" s="401" t="str">
        <f t="shared" si="131"/>
        <v xml:space="preserve"> </v>
      </c>
      <c r="B198" s="185">
        <f t="shared" si="123"/>
        <v>0</v>
      </c>
      <c r="C198" s="14">
        <f t="shared" si="114"/>
        <v>0</v>
      </c>
      <c r="D198" s="14">
        <f t="shared" si="132"/>
        <v>0</v>
      </c>
      <c r="E198" s="14">
        <f t="shared" si="115"/>
        <v>0</v>
      </c>
      <c r="F198" s="14">
        <f t="shared" si="151"/>
        <v>0</v>
      </c>
      <c r="G198" s="14">
        <f t="shared" si="151"/>
        <v>0</v>
      </c>
      <c r="H198" s="14">
        <f t="shared" si="152"/>
        <v>0</v>
      </c>
      <c r="I198" s="185">
        <f t="shared" si="133"/>
        <v>0</v>
      </c>
      <c r="J198" s="185">
        <f t="shared" si="134"/>
        <v>0</v>
      </c>
      <c r="K198" s="185">
        <f t="shared" si="135"/>
        <v>0</v>
      </c>
      <c r="L198" s="317">
        <f t="shared" si="149"/>
        <v>15</v>
      </c>
      <c r="M198" s="317">
        <f t="shared" si="124"/>
        <v>182</v>
      </c>
      <c r="N198" s="185">
        <f t="shared" si="125"/>
        <v>956811.27</v>
      </c>
      <c r="O198" s="185">
        <f t="shared" si="159"/>
        <v>19533.41</v>
      </c>
      <c r="P198" s="185">
        <f t="shared" si="136"/>
        <v>596.52000000000044</v>
      </c>
      <c r="Q198" s="185">
        <f t="shared" si="160"/>
        <v>18936.89</v>
      </c>
      <c r="R198" s="185">
        <f t="shared" si="163"/>
        <v>134.16999999999999</v>
      </c>
      <c r="S198" s="185">
        <f t="shared" si="163"/>
        <v>188.55</v>
      </c>
      <c r="T198" s="185">
        <f t="shared" si="153"/>
        <v>19856.129999999997</v>
      </c>
      <c r="U198" s="185">
        <f t="shared" si="137"/>
        <v>29885.249999999982</v>
      </c>
      <c r="V198" s="185">
        <f t="shared" si="138"/>
        <v>3544728.78</v>
      </c>
      <c r="W198" s="185">
        <f t="shared" si="139"/>
        <v>956214.75</v>
      </c>
      <c r="X198" s="401" t="str">
        <f t="shared" si="126"/>
        <v xml:space="preserve"> </v>
      </c>
      <c r="Y198" s="185">
        <f t="shared" si="161"/>
        <v>850317.00000000058</v>
      </c>
      <c r="Z198" s="393">
        <f t="shared" si="117"/>
        <v>0.13125000000000001</v>
      </c>
      <c r="AA198" s="185">
        <f t="shared" si="118"/>
        <v>10874</v>
      </c>
      <c r="AB198" s="185">
        <f t="shared" si="119"/>
        <v>1573.6599999999999</v>
      </c>
      <c r="AC198" s="185">
        <f t="shared" si="120"/>
        <v>9300.34</v>
      </c>
      <c r="AD198" s="185">
        <f t="shared" si="154"/>
        <v>134.16999999999999</v>
      </c>
      <c r="AE198" s="185">
        <f t="shared" si="154"/>
        <v>188.55</v>
      </c>
      <c r="AF198" s="185">
        <f t="shared" si="121"/>
        <v>11196.72</v>
      </c>
      <c r="AG198" s="185">
        <f t="shared" si="140"/>
        <v>136974.75000000003</v>
      </c>
      <c r="AH198" s="185">
        <f t="shared" si="141"/>
        <v>1738194.2500000002</v>
      </c>
      <c r="AI198" s="411">
        <f t="shared" si="155"/>
        <v>1669491.2099999953</v>
      </c>
      <c r="AJ198" s="411">
        <f t="shared" si="143"/>
        <v>107471.40999999945</v>
      </c>
      <c r="AK198" s="411">
        <f t="shared" si="156"/>
        <v>1776962.6199999948</v>
      </c>
      <c r="AL198" s="185">
        <f t="shared" si="162"/>
        <v>848743.34000000055</v>
      </c>
      <c r="AM198" s="317">
        <f t="shared" si="127"/>
        <v>15</v>
      </c>
      <c r="AN198" s="14">
        <f t="shared" si="157"/>
        <v>19533.41</v>
      </c>
      <c r="AO198" s="14">
        <f t="shared" si="148"/>
        <v>956214.75</v>
      </c>
      <c r="AP198" s="14">
        <f t="shared" si="158"/>
        <v>10874</v>
      </c>
      <c r="AS198" s="14">
        <f t="shared" si="122"/>
        <v>19533.41</v>
      </c>
      <c r="AT198" s="14">
        <f t="shared" si="128"/>
        <v>3574133.4700000072</v>
      </c>
      <c r="AU198" s="185">
        <f t="shared" si="129"/>
        <v>3883.4557652281164</v>
      </c>
      <c r="AV198" s="185">
        <f t="shared" si="130"/>
        <v>571165.76185647491</v>
      </c>
    </row>
    <row r="199" spans="1:48">
      <c r="A199" s="401" t="str">
        <f t="shared" si="131"/>
        <v xml:space="preserve"> </v>
      </c>
      <c r="B199" s="185">
        <f t="shared" si="123"/>
        <v>0</v>
      </c>
      <c r="C199" s="14">
        <f t="shared" si="114"/>
        <v>0</v>
      </c>
      <c r="D199" s="14">
        <f t="shared" si="132"/>
        <v>0</v>
      </c>
      <c r="E199" s="14">
        <f t="shared" si="115"/>
        <v>0</v>
      </c>
      <c r="F199" s="14">
        <f t="shared" si="151"/>
        <v>0</v>
      </c>
      <c r="G199" s="14">
        <f t="shared" si="151"/>
        <v>0</v>
      </c>
      <c r="H199" s="14">
        <f t="shared" si="152"/>
        <v>0</v>
      </c>
      <c r="I199" s="185">
        <f t="shared" si="133"/>
        <v>0</v>
      </c>
      <c r="J199" s="185">
        <f t="shared" si="134"/>
        <v>0</v>
      </c>
      <c r="K199" s="185">
        <f t="shared" si="135"/>
        <v>0</v>
      </c>
      <c r="L199" s="317">
        <f t="shared" si="149"/>
        <v>15</v>
      </c>
      <c r="M199" s="317">
        <f t="shared" si="124"/>
        <v>183</v>
      </c>
      <c r="N199" s="185">
        <f t="shared" si="125"/>
        <v>956214.75</v>
      </c>
      <c r="O199" s="185">
        <f t="shared" si="159"/>
        <v>19533.41</v>
      </c>
      <c r="P199" s="185">
        <f t="shared" si="136"/>
        <v>608.32999999999811</v>
      </c>
      <c r="Q199" s="185">
        <f t="shared" si="160"/>
        <v>18925.080000000002</v>
      </c>
      <c r="R199" s="185">
        <f t="shared" si="163"/>
        <v>134.16999999999999</v>
      </c>
      <c r="S199" s="185">
        <f t="shared" si="163"/>
        <v>188.55</v>
      </c>
      <c r="T199" s="185">
        <f t="shared" si="153"/>
        <v>19856.129999999997</v>
      </c>
      <c r="U199" s="185">
        <f t="shared" si="137"/>
        <v>30493.57999999998</v>
      </c>
      <c r="V199" s="185">
        <f t="shared" si="138"/>
        <v>3563653.86</v>
      </c>
      <c r="W199" s="185">
        <f t="shared" si="139"/>
        <v>955606.42</v>
      </c>
      <c r="X199" s="401" t="str">
        <f t="shared" si="126"/>
        <v xml:space="preserve"> </v>
      </c>
      <c r="Y199" s="185">
        <f t="shared" si="161"/>
        <v>848743.34000000055</v>
      </c>
      <c r="Z199" s="393">
        <f t="shared" si="117"/>
        <v>0.13125000000000001</v>
      </c>
      <c r="AA199" s="185">
        <f t="shared" si="118"/>
        <v>10874</v>
      </c>
      <c r="AB199" s="185">
        <f t="shared" si="119"/>
        <v>1590.8700000000008</v>
      </c>
      <c r="AC199" s="185">
        <f t="shared" si="120"/>
        <v>9283.1299999999992</v>
      </c>
      <c r="AD199" s="185">
        <f t="shared" si="154"/>
        <v>134.16999999999999</v>
      </c>
      <c r="AE199" s="185">
        <f t="shared" si="154"/>
        <v>188.55</v>
      </c>
      <c r="AF199" s="185">
        <f t="shared" si="121"/>
        <v>11196.72</v>
      </c>
      <c r="AG199" s="185">
        <f t="shared" si="140"/>
        <v>138565.62000000002</v>
      </c>
      <c r="AH199" s="185">
        <f t="shared" si="141"/>
        <v>1747477.3800000001</v>
      </c>
      <c r="AI199" s="411">
        <f t="shared" si="155"/>
        <v>1678150.6199999952</v>
      </c>
      <c r="AJ199" s="411">
        <f t="shared" si="143"/>
        <v>108453.94999999949</v>
      </c>
      <c r="AK199" s="411">
        <f t="shared" si="156"/>
        <v>1786604.5699999947</v>
      </c>
      <c r="AL199" s="185">
        <f t="shared" si="162"/>
        <v>847152.47000000055</v>
      </c>
      <c r="AM199" s="317">
        <f t="shared" si="127"/>
        <v>15</v>
      </c>
      <c r="AN199" s="14">
        <f t="shared" si="157"/>
        <v>19533.41</v>
      </c>
      <c r="AO199" s="14">
        <f t="shared" si="148"/>
        <v>955606.42</v>
      </c>
      <c r="AP199" s="14">
        <f t="shared" si="158"/>
        <v>10874</v>
      </c>
      <c r="AS199" s="14">
        <f t="shared" si="122"/>
        <v>19533.41</v>
      </c>
      <c r="AT199" s="14">
        <f t="shared" si="128"/>
        <v>3593666.8800000073</v>
      </c>
      <c r="AU199" s="185">
        <f t="shared" si="129"/>
        <v>3893.164404641187</v>
      </c>
      <c r="AV199" s="185">
        <f t="shared" si="130"/>
        <v>575058.92626111605</v>
      </c>
    </row>
    <row r="200" spans="1:48">
      <c r="A200" s="401" t="str">
        <f t="shared" si="131"/>
        <v xml:space="preserve"> </v>
      </c>
      <c r="B200" s="185">
        <f t="shared" si="123"/>
        <v>0</v>
      </c>
      <c r="C200" s="14">
        <f t="shared" si="114"/>
        <v>0</v>
      </c>
      <c r="D200" s="14">
        <f t="shared" si="132"/>
        <v>0</v>
      </c>
      <c r="E200" s="14">
        <f t="shared" si="115"/>
        <v>0</v>
      </c>
      <c r="F200" s="14">
        <f t="shared" si="151"/>
        <v>0</v>
      </c>
      <c r="G200" s="14">
        <f t="shared" si="151"/>
        <v>0</v>
      </c>
      <c r="H200" s="14">
        <f t="shared" si="152"/>
        <v>0</v>
      </c>
      <c r="I200" s="185">
        <f t="shared" si="133"/>
        <v>0</v>
      </c>
      <c r="J200" s="185">
        <f t="shared" si="134"/>
        <v>0</v>
      </c>
      <c r="K200" s="185">
        <f t="shared" si="135"/>
        <v>0</v>
      </c>
      <c r="L200" s="317">
        <f t="shared" si="149"/>
        <v>15</v>
      </c>
      <c r="M200" s="317">
        <f t="shared" si="124"/>
        <v>184</v>
      </c>
      <c r="N200" s="185">
        <f t="shared" si="125"/>
        <v>955606.42</v>
      </c>
      <c r="O200" s="185">
        <f t="shared" si="159"/>
        <v>19533.41</v>
      </c>
      <c r="P200" s="185">
        <f t="shared" si="136"/>
        <v>620.36999999999898</v>
      </c>
      <c r="Q200" s="185">
        <f t="shared" si="160"/>
        <v>18913.04</v>
      </c>
      <c r="R200" s="185">
        <f t="shared" si="163"/>
        <v>134.16999999999999</v>
      </c>
      <c r="S200" s="185">
        <f t="shared" si="163"/>
        <v>188.55</v>
      </c>
      <c r="T200" s="185">
        <f t="shared" si="153"/>
        <v>19856.129999999997</v>
      </c>
      <c r="U200" s="185">
        <f t="shared" si="137"/>
        <v>31113.949999999979</v>
      </c>
      <c r="V200" s="185">
        <f t="shared" si="138"/>
        <v>3582566.9</v>
      </c>
      <c r="W200" s="185">
        <f t="shared" si="139"/>
        <v>954986.05</v>
      </c>
      <c r="X200" s="401" t="str">
        <f t="shared" si="126"/>
        <v xml:space="preserve"> </v>
      </c>
      <c r="Y200" s="185">
        <f t="shared" si="161"/>
        <v>847152.47000000055</v>
      </c>
      <c r="Z200" s="393">
        <f t="shared" si="117"/>
        <v>0.13125000000000001</v>
      </c>
      <c r="AA200" s="185">
        <f t="shared" si="118"/>
        <v>10874</v>
      </c>
      <c r="AB200" s="185">
        <f t="shared" si="119"/>
        <v>1608.2700000000004</v>
      </c>
      <c r="AC200" s="185">
        <f t="shared" si="120"/>
        <v>9265.73</v>
      </c>
      <c r="AD200" s="185">
        <f t="shared" si="154"/>
        <v>134.16999999999999</v>
      </c>
      <c r="AE200" s="185">
        <f t="shared" si="154"/>
        <v>188.55</v>
      </c>
      <c r="AF200" s="185">
        <f t="shared" si="121"/>
        <v>11196.72</v>
      </c>
      <c r="AG200" s="185">
        <f t="shared" si="140"/>
        <v>140173.89000000001</v>
      </c>
      <c r="AH200" s="185">
        <f t="shared" si="141"/>
        <v>1756743.11</v>
      </c>
      <c r="AI200" s="411">
        <f t="shared" si="155"/>
        <v>1686810.0299999951</v>
      </c>
      <c r="AJ200" s="411">
        <f t="shared" si="143"/>
        <v>109441.84999999951</v>
      </c>
      <c r="AK200" s="411">
        <f t="shared" si="156"/>
        <v>1796251.8799999948</v>
      </c>
      <c r="AL200" s="185">
        <f t="shared" si="162"/>
        <v>845544.20000000054</v>
      </c>
      <c r="AM200" s="317">
        <f t="shared" si="127"/>
        <v>15</v>
      </c>
      <c r="AN200" s="14">
        <f t="shared" si="157"/>
        <v>19533.41</v>
      </c>
      <c r="AO200" s="14">
        <f t="shared" si="148"/>
        <v>954986.05</v>
      </c>
      <c r="AP200" s="14">
        <f t="shared" si="158"/>
        <v>10874</v>
      </c>
      <c r="AS200" s="14">
        <f t="shared" si="122"/>
        <v>19533.41</v>
      </c>
      <c r="AT200" s="14">
        <f t="shared" si="128"/>
        <v>3613200.2900000075</v>
      </c>
      <c r="AU200" s="185">
        <f t="shared" si="129"/>
        <v>3902.89731565279</v>
      </c>
      <c r="AV200" s="185">
        <f t="shared" si="130"/>
        <v>578961.82357676886</v>
      </c>
    </row>
    <row r="201" spans="1:48">
      <c r="A201" s="401" t="str">
        <f t="shared" si="131"/>
        <v xml:space="preserve"> </v>
      </c>
      <c r="B201" s="185">
        <f t="shared" si="123"/>
        <v>0</v>
      </c>
      <c r="C201" s="14">
        <f t="shared" si="114"/>
        <v>0</v>
      </c>
      <c r="D201" s="14">
        <f t="shared" si="132"/>
        <v>0</v>
      </c>
      <c r="E201" s="14">
        <f t="shared" si="115"/>
        <v>0</v>
      </c>
      <c r="F201" s="14">
        <f t="shared" si="151"/>
        <v>0</v>
      </c>
      <c r="G201" s="14">
        <f t="shared" si="151"/>
        <v>0</v>
      </c>
      <c r="H201" s="14">
        <f t="shared" si="152"/>
        <v>0</v>
      </c>
      <c r="I201" s="185">
        <f t="shared" si="133"/>
        <v>0</v>
      </c>
      <c r="J201" s="185">
        <f t="shared" si="134"/>
        <v>0</v>
      </c>
      <c r="K201" s="185">
        <f t="shared" si="135"/>
        <v>0</v>
      </c>
      <c r="L201" s="317">
        <f t="shared" si="149"/>
        <v>15</v>
      </c>
      <c r="M201" s="317">
        <f t="shared" si="124"/>
        <v>185</v>
      </c>
      <c r="N201" s="185">
        <f t="shared" si="125"/>
        <v>954986.05</v>
      </c>
      <c r="O201" s="185">
        <f t="shared" si="159"/>
        <v>19533.41</v>
      </c>
      <c r="P201" s="185">
        <f t="shared" si="136"/>
        <v>632.63999999999942</v>
      </c>
      <c r="Q201" s="185">
        <f t="shared" si="160"/>
        <v>18900.77</v>
      </c>
      <c r="R201" s="185">
        <f t="shared" si="163"/>
        <v>134.16999999999999</v>
      </c>
      <c r="S201" s="185">
        <f t="shared" si="163"/>
        <v>188.55</v>
      </c>
      <c r="T201" s="185">
        <f t="shared" si="153"/>
        <v>19856.129999999997</v>
      </c>
      <c r="U201" s="185">
        <f t="shared" si="137"/>
        <v>31746.589999999978</v>
      </c>
      <c r="V201" s="185">
        <f t="shared" si="138"/>
        <v>3601467.67</v>
      </c>
      <c r="W201" s="185">
        <f t="shared" si="139"/>
        <v>954353.41</v>
      </c>
      <c r="X201" s="401" t="str">
        <f t="shared" si="126"/>
        <v xml:space="preserve"> </v>
      </c>
      <c r="Y201" s="185">
        <f t="shared" si="161"/>
        <v>845544.20000000054</v>
      </c>
      <c r="Z201" s="393">
        <f t="shared" si="117"/>
        <v>0.13125000000000001</v>
      </c>
      <c r="AA201" s="185">
        <f t="shared" si="118"/>
        <v>10874</v>
      </c>
      <c r="AB201" s="185">
        <f t="shared" si="119"/>
        <v>1625.8600000000006</v>
      </c>
      <c r="AC201" s="185">
        <f t="shared" si="120"/>
        <v>9248.14</v>
      </c>
      <c r="AD201" s="185">
        <f t="shared" si="154"/>
        <v>134.16999999999999</v>
      </c>
      <c r="AE201" s="185">
        <f t="shared" si="154"/>
        <v>188.55</v>
      </c>
      <c r="AF201" s="185">
        <f t="shared" si="121"/>
        <v>11196.72</v>
      </c>
      <c r="AG201" s="185">
        <f t="shared" si="140"/>
        <v>141799.75</v>
      </c>
      <c r="AH201" s="185">
        <f t="shared" si="141"/>
        <v>1765991.25</v>
      </c>
      <c r="AI201" s="411">
        <f t="shared" si="155"/>
        <v>1695469.4399999951</v>
      </c>
      <c r="AJ201" s="411">
        <f t="shared" si="143"/>
        <v>110435.06999999948</v>
      </c>
      <c r="AK201" s="411">
        <f t="shared" si="156"/>
        <v>1805904.5099999947</v>
      </c>
      <c r="AL201" s="185">
        <f t="shared" si="162"/>
        <v>843918.34000000055</v>
      </c>
      <c r="AM201" s="317">
        <f t="shared" si="127"/>
        <v>15</v>
      </c>
      <c r="AN201" s="14">
        <f t="shared" si="157"/>
        <v>19533.41</v>
      </c>
      <c r="AO201" s="14">
        <f t="shared" si="148"/>
        <v>954353.41</v>
      </c>
      <c r="AP201" s="14">
        <f t="shared" si="158"/>
        <v>10874</v>
      </c>
      <c r="AS201" s="14">
        <f t="shared" si="122"/>
        <v>19533.41</v>
      </c>
      <c r="AT201" s="14">
        <f t="shared" si="128"/>
        <v>3632733.7000000076</v>
      </c>
      <c r="AU201" s="185">
        <f t="shared" si="129"/>
        <v>3912.654558941922</v>
      </c>
      <c r="AV201" s="185">
        <f t="shared" si="130"/>
        <v>582874.47813571081</v>
      </c>
    </row>
    <row r="202" spans="1:48">
      <c r="A202" s="401" t="str">
        <f t="shared" si="131"/>
        <v xml:space="preserve"> </v>
      </c>
      <c r="B202" s="185">
        <f t="shared" si="123"/>
        <v>0</v>
      </c>
      <c r="C202" s="14">
        <f t="shared" si="114"/>
        <v>0</v>
      </c>
      <c r="D202" s="14">
        <f t="shared" si="132"/>
        <v>0</v>
      </c>
      <c r="E202" s="14">
        <f t="shared" si="115"/>
        <v>0</v>
      </c>
      <c r="F202" s="14">
        <f t="shared" si="151"/>
        <v>0</v>
      </c>
      <c r="G202" s="14">
        <f t="shared" si="151"/>
        <v>0</v>
      </c>
      <c r="H202" s="14">
        <f t="shared" si="152"/>
        <v>0</v>
      </c>
      <c r="I202" s="185">
        <f t="shared" si="133"/>
        <v>0</v>
      </c>
      <c r="J202" s="185">
        <f t="shared" si="134"/>
        <v>0</v>
      </c>
      <c r="K202" s="185">
        <f t="shared" si="135"/>
        <v>0</v>
      </c>
      <c r="L202" s="317">
        <f t="shared" si="149"/>
        <v>15</v>
      </c>
      <c r="M202" s="317">
        <f t="shared" si="124"/>
        <v>186</v>
      </c>
      <c r="N202" s="185">
        <f t="shared" si="125"/>
        <v>954353.41</v>
      </c>
      <c r="O202" s="185">
        <f t="shared" si="159"/>
        <v>19533.41</v>
      </c>
      <c r="P202" s="185">
        <f t="shared" si="136"/>
        <v>645.16999999999825</v>
      </c>
      <c r="Q202" s="185">
        <f t="shared" si="160"/>
        <v>18888.240000000002</v>
      </c>
      <c r="R202" s="185">
        <f t="shared" si="163"/>
        <v>134.16999999999999</v>
      </c>
      <c r="S202" s="185">
        <f t="shared" si="163"/>
        <v>188.55</v>
      </c>
      <c r="T202" s="185">
        <f t="shared" si="153"/>
        <v>19856.129999999997</v>
      </c>
      <c r="U202" s="185">
        <f t="shared" si="137"/>
        <v>32391.759999999977</v>
      </c>
      <c r="V202" s="185">
        <f t="shared" si="138"/>
        <v>3620355.91</v>
      </c>
      <c r="W202" s="185">
        <f t="shared" si="139"/>
        <v>953708.24</v>
      </c>
      <c r="X202" s="401" t="str">
        <f t="shared" si="126"/>
        <v xml:space="preserve"> </v>
      </c>
      <c r="Y202" s="185">
        <f t="shared" si="161"/>
        <v>843918.34000000055</v>
      </c>
      <c r="Z202" s="393">
        <f t="shared" si="117"/>
        <v>0.13125000000000001</v>
      </c>
      <c r="AA202" s="185">
        <f t="shared" si="118"/>
        <v>10874</v>
      </c>
      <c r="AB202" s="185">
        <f t="shared" si="119"/>
        <v>1643.6399999999994</v>
      </c>
      <c r="AC202" s="185">
        <f t="shared" si="120"/>
        <v>9230.36</v>
      </c>
      <c r="AD202" s="185">
        <f t="shared" si="154"/>
        <v>134.16999999999999</v>
      </c>
      <c r="AE202" s="185">
        <f t="shared" si="154"/>
        <v>188.55</v>
      </c>
      <c r="AF202" s="185">
        <f t="shared" si="121"/>
        <v>11196.72</v>
      </c>
      <c r="AG202" s="185">
        <f t="shared" si="140"/>
        <v>143443.39000000001</v>
      </c>
      <c r="AH202" s="185">
        <f t="shared" si="141"/>
        <v>1775221.61</v>
      </c>
      <c r="AI202" s="411">
        <f t="shared" si="155"/>
        <v>1704128.849999995</v>
      </c>
      <c r="AJ202" s="411">
        <f t="shared" si="143"/>
        <v>111433.53999999946</v>
      </c>
      <c r="AK202" s="411">
        <f t="shared" si="156"/>
        <v>1815562.3899999945</v>
      </c>
      <c r="AL202" s="185">
        <f t="shared" si="162"/>
        <v>842274.70000000054</v>
      </c>
      <c r="AM202" s="317">
        <f t="shared" si="127"/>
        <v>15</v>
      </c>
      <c r="AN202" s="14">
        <f t="shared" si="157"/>
        <v>19533.41</v>
      </c>
      <c r="AO202" s="14">
        <f t="shared" si="148"/>
        <v>953708.24</v>
      </c>
      <c r="AP202" s="14">
        <f t="shared" si="158"/>
        <v>10874</v>
      </c>
      <c r="AS202" s="14">
        <f t="shared" si="122"/>
        <v>19533.41</v>
      </c>
      <c r="AT202" s="14">
        <f t="shared" si="128"/>
        <v>3652267.1100000078</v>
      </c>
      <c r="AU202" s="185">
        <f t="shared" si="129"/>
        <v>3922.4361953392768</v>
      </c>
      <c r="AV202" s="185">
        <f t="shared" si="130"/>
        <v>586796.91433105012</v>
      </c>
    </row>
    <row r="203" spans="1:48">
      <c r="A203" s="401" t="str">
        <f t="shared" si="131"/>
        <v xml:space="preserve"> </v>
      </c>
      <c r="B203" s="185">
        <f t="shared" si="123"/>
        <v>0</v>
      </c>
      <c r="C203" s="14">
        <f t="shared" si="114"/>
        <v>0</v>
      </c>
      <c r="D203" s="14">
        <f t="shared" si="132"/>
        <v>0</v>
      </c>
      <c r="E203" s="14">
        <f t="shared" si="115"/>
        <v>0</v>
      </c>
      <c r="F203" s="14">
        <f t="shared" ref="F203:G218" si="164">+F202</f>
        <v>0</v>
      </c>
      <c r="G203" s="14">
        <f t="shared" si="164"/>
        <v>0</v>
      </c>
      <c r="H203" s="14">
        <f t="shared" si="152"/>
        <v>0</v>
      </c>
      <c r="I203" s="185">
        <f t="shared" si="133"/>
        <v>0</v>
      </c>
      <c r="J203" s="185">
        <f t="shared" si="134"/>
        <v>0</v>
      </c>
      <c r="K203" s="185">
        <f t="shared" si="135"/>
        <v>0</v>
      </c>
      <c r="L203" s="317">
        <f t="shared" si="149"/>
        <v>15</v>
      </c>
      <c r="M203" s="317">
        <f t="shared" si="124"/>
        <v>187</v>
      </c>
      <c r="N203" s="185">
        <f t="shared" si="125"/>
        <v>953708.24</v>
      </c>
      <c r="O203" s="185">
        <f t="shared" si="159"/>
        <v>19533.41</v>
      </c>
      <c r="P203" s="185">
        <f t="shared" si="136"/>
        <v>657.93000000000029</v>
      </c>
      <c r="Q203" s="185">
        <f t="shared" si="160"/>
        <v>18875.48</v>
      </c>
      <c r="R203" s="185">
        <f t="shared" si="163"/>
        <v>134.16999999999999</v>
      </c>
      <c r="S203" s="185">
        <f t="shared" si="163"/>
        <v>188.55</v>
      </c>
      <c r="T203" s="185">
        <f t="shared" si="153"/>
        <v>19856.129999999997</v>
      </c>
      <c r="U203" s="185">
        <f t="shared" si="137"/>
        <v>33049.689999999973</v>
      </c>
      <c r="V203" s="185">
        <f t="shared" si="138"/>
        <v>3639231.39</v>
      </c>
      <c r="W203" s="185">
        <f t="shared" si="139"/>
        <v>953050.30999999994</v>
      </c>
      <c r="X203" s="401" t="str">
        <f t="shared" si="126"/>
        <v xml:space="preserve"> </v>
      </c>
      <c r="Y203" s="185">
        <f t="shared" si="161"/>
        <v>842274.70000000054</v>
      </c>
      <c r="Z203" s="393">
        <f t="shared" si="117"/>
        <v>0.13125000000000001</v>
      </c>
      <c r="AA203" s="185">
        <f t="shared" si="118"/>
        <v>10874</v>
      </c>
      <c r="AB203" s="185">
        <f t="shared" si="119"/>
        <v>1661.6200000000008</v>
      </c>
      <c r="AC203" s="185">
        <f t="shared" si="120"/>
        <v>9212.3799999999992</v>
      </c>
      <c r="AD203" s="185">
        <f t="shared" si="154"/>
        <v>134.16999999999999</v>
      </c>
      <c r="AE203" s="185">
        <f t="shared" si="154"/>
        <v>188.55</v>
      </c>
      <c r="AF203" s="185">
        <f t="shared" si="121"/>
        <v>11196.72</v>
      </c>
      <c r="AG203" s="185">
        <f t="shared" si="140"/>
        <v>145105.01</v>
      </c>
      <c r="AH203" s="185">
        <f t="shared" si="141"/>
        <v>1784433.99</v>
      </c>
      <c r="AI203" s="411">
        <f t="shared" si="155"/>
        <v>1712788.2599999949</v>
      </c>
      <c r="AJ203" s="411">
        <f t="shared" si="143"/>
        <v>112437.2299999994</v>
      </c>
      <c r="AK203" s="411">
        <f t="shared" si="156"/>
        <v>1825225.4899999942</v>
      </c>
      <c r="AL203" s="185">
        <f t="shared" si="162"/>
        <v>840613.08000000054</v>
      </c>
      <c r="AM203" s="317">
        <f t="shared" si="127"/>
        <v>15</v>
      </c>
      <c r="AN203" s="14">
        <f t="shared" si="157"/>
        <v>19533.41</v>
      </c>
      <c r="AO203" s="14">
        <f t="shared" si="148"/>
        <v>953050.31</v>
      </c>
      <c r="AP203" s="14">
        <f t="shared" si="158"/>
        <v>10874</v>
      </c>
      <c r="AS203" s="14">
        <f t="shared" si="122"/>
        <v>19533.41</v>
      </c>
      <c r="AT203" s="14">
        <f t="shared" si="128"/>
        <v>3671800.5200000079</v>
      </c>
      <c r="AU203" s="185">
        <f t="shared" si="129"/>
        <v>3932.2422858276254</v>
      </c>
      <c r="AV203" s="185">
        <f t="shared" si="130"/>
        <v>590729.15661687776</v>
      </c>
    </row>
    <row r="204" spans="1:48">
      <c r="A204" s="401" t="str">
        <f t="shared" si="131"/>
        <v xml:space="preserve"> </v>
      </c>
      <c r="B204" s="185">
        <f t="shared" si="123"/>
        <v>0</v>
      </c>
      <c r="C204" s="14">
        <f t="shared" si="114"/>
        <v>0</v>
      </c>
      <c r="D204" s="14">
        <f t="shared" si="132"/>
        <v>0</v>
      </c>
      <c r="E204" s="14">
        <f t="shared" si="115"/>
        <v>0</v>
      </c>
      <c r="F204" s="14">
        <f t="shared" si="164"/>
        <v>0</v>
      </c>
      <c r="G204" s="14">
        <f t="shared" si="164"/>
        <v>0</v>
      </c>
      <c r="H204" s="14">
        <f t="shared" si="152"/>
        <v>0</v>
      </c>
      <c r="I204" s="185">
        <f t="shared" si="133"/>
        <v>0</v>
      </c>
      <c r="J204" s="185">
        <f t="shared" si="134"/>
        <v>0</v>
      </c>
      <c r="K204" s="185">
        <f t="shared" si="135"/>
        <v>0</v>
      </c>
      <c r="L204" s="317">
        <f t="shared" si="149"/>
        <v>15</v>
      </c>
      <c r="M204" s="317">
        <f t="shared" si="124"/>
        <v>188</v>
      </c>
      <c r="N204" s="185">
        <f t="shared" si="125"/>
        <v>953050.30999999994</v>
      </c>
      <c r="O204" s="185">
        <f t="shared" si="159"/>
        <v>19533.41</v>
      </c>
      <c r="P204" s="185">
        <f t="shared" si="136"/>
        <v>670.95999999999913</v>
      </c>
      <c r="Q204" s="185">
        <f t="shared" si="160"/>
        <v>18862.45</v>
      </c>
      <c r="R204" s="185">
        <f t="shared" si="163"/>
        <v>134.16999999999999</v>
      </c>
      <c r="S204" s="185">
        <f t="shared" si="163"/>
        <v>188.55</v>
      </c>
      <c r="T204" s="185">
        <f t="shared" si="153"/>
        <v>19856.129999999997</v>
      </c>
      <c r="U204" s="185">
        <f t="shared" si="137"/>
        <v>33720.649999999972</v>
      </c>
      <c r="V204" s="185">
        <f t="shared" si="138"/>
        <v>3658093.8400000003</v>
      </c>
      <c r="W204" s="185">
        <f t="shared" si="139"/>
        <v>952379.35</v>
      </c>
      <c r="X204" s="401" t="str">
        <f t="shared" si="126"/>
        <v xml:space="preserve"> </v>
      </c>
      <c r="Y204" s="185">
        <f t="shared" si="161"/>
        <v>840613.08000000054</v>
      </c>
      <c r="Z204" s="393">
        <f t="shared" si="117"/>
        <v>0.13125000000000001</v>
      </c>
      <c r="AA204" s="185">
        <f t="shared" si="118"/>
        <v>10874</v>
      </c>
      <c r="AB204" s="185">
        <f t="shared" si="119"/>
        <v>1679.7900000000009</v>
      </c>
      <c r="AC204" s="185">
        <f t="shared" si="120"/>
        <v>9194.2099999999991</v>
      </c>
      <c r="AD204" s="185">
        <f t="shared" si="154"/>
        <v>134.16999999999999</v>
      </c>
      <c r="AE204" s="185">
        <f t="shared" si="154"/>
        <v>188.55</v>
      </c>
      <c r="AF204" s="185">
        <f t="shared" si="121"/>
        <v>11196.72</v>
      </c>
      <c r="AG204" s="185">
        <f t="shared" si="140"/>
        <v>146784.80000000002</v>
      </c>
      <c r="AH204" s="185">
        <f t="shared" si="141"/>
        <v>1793628.2</v>
      </c>
      <c r="AI204" s="411">
        <f t="shared" si="155"/>
        <v>1721447.6699999948</v>
      </c>
      <c r="AJ204" s="411">
        <f t="shared" si="143"/>
        <v>113446.05999999947</v>
      </c>
      <c r="AK204" s="411">
        <f t="shared" si="156"/>
        <v>1834893.7299999944</v>
      </c>
      <c r="AL204" s="185">
        <f t="shared" si="162"/>
        <v>838933.2900000005</v>
      </c>
      <c r="AM204" s="317">
        <f t="shared" si="127"/>
        <v>15</v>
      </c>
      <c r="AN204" s="14">
        <f t="shared" si="157"/>
        <v>19533.41</v>
      </c>
      <c r="AO204" s="14">
        <f t="shared" si="148"/>
        <v>952379.35</v>
      </c>
      <c r="AP204" s="14">
        <f t="shared" si="158"/>
        <v>10874</v>
      </c>
      <c r="AS204" s="14">
        <f t="shared" si="122"/>
        <v>19533.41</v>
      </c>
      <c r="AT204" s="14">
        <f t="shared" si="128"/>
        <v>3691333.9300000081</v>
      </c>
      <c r="AU204" s="185">
        <f t="shared" si="129"/>
        <v>3942.0728915421946</v>
      </c>
      <c r="AV204" s="185">
        <f t="shared" si="130"/>
        <v>594671.22950841999</v>
      </c>
    </row>
    <row r="205" spans="1:48">
      <c r="A205" s="401" t="str">
        <f t="shared" si="131"/>
        <v xml:space="preserve"> </v>
      </c>
      <c r="B205" s="185">
        <f t="shared" si="123"/>
        <v>0</v>
      </c>
      <c r="C205" s="14">
        <f t="shared" si="114"/>
        <v>0</v>
      </c>
      <c r="D205" s="14">
        <f t="shared" si="132"/>
        <v>0</v>
      </c>
      <c r="E205" s="14">
        <f t="shared" si="115"/>
        <v>0</v>
      </c>
      <c r="F205" s="14">
        <f t="shared" si="164"/>
        <v>0</v>
      </c>
      <c r="G205" s="14">
        <f t="shared" si="164"/>
        <v>0</v>
      </c>
      <c r="H205" s="14">
        <f t="shared" si="152"/>
        <v>0</v>
      </c>
      <c r="I205" s="185">
        <f t="shared" si="133"/>
        <v>0</v>
      </c>
      <c r="J205" s="185">
        <f t="shared" si="134"/>
        <v>0</v>
      </c>
      <c r="K205" s="185">
        <f t="shared" si="135"/>
        <v>0</v>
      </c>
      <c r="L205" s="317">
        <f t="shared" si="149"/>
        <v>15</v>
      </c>
      <c r="M205" s="317">
        <f t="shared" si="124"/>
        <v>189</v>
      </c>
      <c r="N205" s="185">
        <f t="shared" si="125"/>
        <v>952379.35</v>
      </c>
      <c r="O205" s="185">
        <f t="shared" si="159"/>
        <v>19533.41</v>
      </c>
      <c r="P205" s="185">
        <f t="shared" si="136"/>
        <v>684.2400000000016</v>
      </c>
      <c r="Q205" s="185">
        <f t="shared" si="160"/>
        <v>18849.169999999998</v>
      </c>
      <c r="R205" s="185">
        <f t="shared" si="163"/>
        <v>134.16999999999999</v>
      </c>
      <c r="S205" s="185">
        <f t="shared" si="163"/>
        <v>188.55</v>
      </c>
      <c r="T205" s="185">
        <f t="shared" si="153"/>
        <v>19856.129999999997</v>
      </c>
      <c r="U205" s="185">
        <f t="shared" si="137"/>
        <v>34404.88999999997</v>
      </c>
      <c r="V205" s="185">
        <f t="shared" si="138"/>
        <v>3676943.0100000002</v>
      </c>
      <c r="W205" s="185">
        <f t="shared" si="139"/>
        <v>951695.11</v>
      </c>
      <c r="X205" s="401" t="str">
        <f t="shared" si="126"/>
        <v xml:space="preserve"> </v>
      </c>
      <c r="Y205" s="185">
        <f t="shared" si="161"/>
        <v>838933.2900000005</v>
      </c>
      <c r="Z205" s="393">
        <f t="shared" si="117"/>
        <v>0.13125000000000001</v>
      </c>
      <c r="AA205" s="185">
        <f t="shared" si="118"/>
        <v>10874</v>
      </c>
      <c r="AB205" s="185">
        <f t="shared" si="119"/>
        <v>1698.17</v>
      </c>
      <c r="AC205" s="185">
        <f t="shared" si="120"/>
        <v>9175.83</v>
      </c>
      <c r="AD205" s="185">
        <f t="shared" ref="AD205:AE220" si="165">+AD204</f>
        <v>134.16999999999999</v>
      </c>
      <c r="AE205" s="185">
        <f t="shared" si="165"/>
        <v>188.55</v>
      </c>
      <c r="AF205" s="185">
        <f t="shared" si="121"/>
        <v>11196.72</v>
      </c>
      <c r="AG205" s="185">
        <f t="shared" si="140"/>
        <v>148482.97000000003</v>
      </c>
      <c r="AH205" s="185">
        <f t="shared" si="141"/>
        <v>1802804.03</v>
      </c>
      <c r="AI205" s="411">
        <f t="shared" si="155"/>
        <v>1730107.0799999947</v>
      </c>
      <c r="AJ205" s="411">
        <f t="shared" si="143"/>
        <v>114459.98999999953</v>
      </c>
      <c r="AK205" s="411">
        <f t="shared" si="156"/>
        <v>1844567.0699999942</v>
      </c>
      <c r="AL205" s="185">
        <f t="shared" si="162"/>
        <v>837235.12000000046</v>
      </c>
      <c r="AM205" s="317">
        <f t="shared" si="127"/>
        <v>15</v>
      </c>
      <c r="AN205" s="14">
        <f t="shared" si="157"/>
        <v>19533.41</v>
      </c>
      <c r="AO205" s="14">
        <f t="shared" si="148"/>
        <v>951695.11</v>
      </c>
      <c r="AP205" s="14">
        <f t="shared" si="158"/>
        <v>10874</v>
      </c>
      <c r="AS205" s="14">
        <f t="shared" si="122"/>
        <v>19533.41</v>
      </c>
      <c r="AT205" s="14">
        <f t="shared" si="128"/>
        <v>3710867.3400000082</v>
      </c>
      <c r="AU205" s="185">
        <f t="shared" si="129"/>
        <v>3951.9280737710501</v>
      </c>
      <c r="AV205" s="185">
        <f t="shared" si="130"/>
        <v>598623.15758219105</v>
      </c>
    </row>
    <row r="206" spans="1:48">
      <c r="A206" s="401" t="str">
        <f t="shared" si="131"/>
        <v xml:space="preserve"> </v>
      </c>
      <c r="B206" s="185">
        <f t="shared" si="123"/>
        <v>0</v>
      </c>
      <c r="C206" s="14">
        <f t="shared" si="114"/>
        <v>0</v>
      </c>
      <c r="D206" s="14">
        <f t="shared" si="132"/>
        <v>0</v>
      </c>
      <c r="E206" s="14">
        <f t="shared" si="115"/>
        <v>0</v>
      </c>
      <c r="F206" s="14">
        <f t="shared" si="164"/>
        <v>0</v>
      </c>
      <c r="G206" s="14">
        <f t="shared" si="164"/>
        <v>0</v>
      </c>
      <c r="H206" s="14">
        <f t="shared" si="152"/>
        <v>0</v>
      </c>
      <c r="I206" s="185">
        <f t="shared" si="133"/>
        <v>0</v>
      </c>
      <c r="J206" s="185">
        <f t="shared" si="134"/>
        <v>0</v>
      </c>
      <c r="K206" s="185">
        <f t="shared" si="135"/>
        <v>0</v>
      </c>
      <c r="L206" s="317">
        <f t="shared" si="149"/>
        <v>15</v>
      </c>
      <c r="M206" s="317">
        <f t="shared" si="124"/>
        <v>190</v>
      </c>
      <c r="N206" s="185">
        <f t="shared" si="125"/>
        <v>951695.11</v>
      </c>
      <c r="O206" s="185">
        <f t="shared" si="159"/>
        <v>19533.41</v>
      </c>
      <c r="P206" s="185">
        <f t="shared" si="136"/>
        <v>697.77999999999884</v>
      </c>
      <c r="Q206" s="185">
        <f t="shared" si="160"/>
        <v>18835.63</v>
      </c>
      <c r="R206" s="185">
        <f t="shared" si="163"/>
        <v>134.16999999999999</v>
      </c>
      <c r="S206" s="185">
        <f t="shared" si="163"/>
        <v>188.55</v>
      </c>
      <c r="T206" s="185">
        <f t="shared" si="153"/>
        <v>19856.129999999997</v>
      </c>
      <c r="U206" s="185">
        <f t="shared" si="137"/>
        <v>35102.669999999969</v>
      </c>
      <c r="V206" s="185">
        <f t="shared" si="138"/>
        <v>3695778.64</v>
      </c>
      <c r="W206" s="185">
        <f t="shared" si="139"/>
        <v>950997.33</v>
      </c>
      <c r="X206" s="401" t="str">
        <f t="shared" si="126"/>
        <v xml:space="preserve"> </v>
      </c>
      <c r="Y206" s="185">
        <f t="shared" si="161"/>
        <v>837235.12000000046</v>
      </c>
      <c r="Z206" s="393">
        <f t="shared" si="117"/>
        <v>0.13125000000000001</v>
      </c>
      <c r="AA206" s="185">
        <f t="shared" si="118"/>
        <v>10874</v>
      </c>
      <c r="AB206" s="185">
        <f t="shared" si="119"/>
        <v>1716.7399999999998</v>
      </c>
      <c r="AC206" s="185">
        <f t="shared" si="120"/>
        <v>9157.26</v>
      </c>
      <c r="AD206" s="185">
        <f t="shared" si="165"/>
        <v>134.16999999999999</v>
      </c>
      <c r="AE206" s="185">
        <f t="shared" si="165"/>
        <v>188.55</v>
      </c>
      <c r="AF206" s="185">
        <f t="shared" si="121"/>
        <v>11196.72</v>
      </c>
      <c r="AG206" s="185">
        <f t="shared" si="140"/>
        <v>150199.71000000002</v>
      </c>
      <c r="AH206" s="185">
        <f t="shared" si="141"/>
        <v>1811961.29</v>
      </c>
      <c r="AI206" s="411">
        <f t="shared" si="155"/>
        <v>1738766.4899999946</v>
      </c>
      <c r="AJ206" s="411">
        <f t="shared" si="143"/>
        <v>115478.94999999949</v>
      </c>
      <c r="AK206" s="411">
        <f t="shared" si="156"/>
        <v>1854245.4399999941</v>
      </c>
      <c r="AL206" s="185">
        <f t="shared" si="162"/>
        <v>835518.38000000047</v>
      </c>
      <c r="AM206" s="317">
        <f t="shared" si="127"/>
        <v>15</v>
      </c>
      <c r="AN206" s="14">
        <f t="shared" si="157"/>
        <v>19533.41</v>
      </c>
      <c r="AO206" s="14">
        <f t="shared" si="148"/>
        <v>950997.33000000007</v>
      </c>
      <c r="AP206" s="14">
        <f t="shared" si="158"/>
        <v>10874</v>
      </c>
      <c r="AS206" s="14">
        <f t="shared" si="122"/>
        <v>19533.41</v>
      </c>
      <c r="AT206" s="14">
        <f t="shared" si="128"/>
        <v>3730400.7500000084</v>
      </c>
      <c r="AU206" s="185">
        <f t="shared" si="129"/>
        <v>3961.8078939554775</v>
      </c>
      <c r="AV206" s="185">
        <f t="shared" si="130"/>
        <v>602584.96547614655</v>
      </c>
    </row>
    <row r="207" spans="1:48" ht="15.75" thickBot="1">
      <c r="A207" s="404" t="str">
        <f t="shared" si="131"/>
        <v xml:space="preserve"> </v>
      </c>
      <c r="B207" s="237">
        <f t="shared" si="123"/>
        <v>0</v>
      </c>
      <c r="C207" s="21">
        <f t="shared" si="114"/>
        <v>0</v>
      </c>
      <c r="D207" s="21">
        <f t="shared" si="132"/>
        <v>0</v>
      </c>
      <c r="E207" s="21">
        <f t="shared" si="115"/>
        <v>0</v>
      </c>
      <c r="F207" s="21">
        <f t="shared" si="164"/>
        <v>0</v>
      </c>
      <c r="G207" s="21">
        <f t="shared" si="164"/>
        <v>0</v>
      </c>
      <c r="H207" s="21">
        <f t="shared" si="152"/>
        <v>0</v>
      </c>
      <c r="I207" s="237">
        <f t="shared" si="133"/>
        <v>0</v>
      </c>
      <c r="J207" s="237">
        <f t="shared" si="134"/>
        <v>0</v>
      </c>
      <c r="K207" s="237">
        <f t="shared" si="135"/>
        <v>0</v>
      </c>
      <c r="L207" s="318">
        <f t="shared" si="149"/>
        <v>15</v>
      </c>
      <c r="M207" s="318">
        <f t="shared" si="124"/>
        <v>191</v>
      </c>
      <c r="N207" s="237">
        <f t="shared" si="125"/>
        <v>950997.33</v>
      </c>
      <c r="O207" s="237">
        <f t="shared" si="159"/>
        <v>19533.41</v>
      </c>
      <c r="P207" s="237">
        <f t="shared" si="136"/>
        <v>711.59000000000015</v>
      </c>
      <c r="Q207" s="237">
        <f t="shared" si="160"/>
        <v>18821.82</v>
      </c>
      <c r="R207" s="237">
        <f t="shared" si="163"/>
        <v>134.16999999999999</v>
      </c>
      <c r="S207" s="237">
        <f t="shared" si="163"/>
        <v>188.55</v>
      </c>
      <c r="T207" s="237">
        <f t="shared" si="153"/>
        <v>19856.129999999997</v>
      </c>
      <c r="U207" s="237">
        <f t="shared" si="137"/>
        <v>35814.259999999966</v>
      </c>
      <c r="V207" s="237">
        <f t="shared" si="138"/>
        <v>3714600.46</v>
      </c>
      <c r="W207" s="237">
        <f t="shared" si="139"/>
        <v>950285.74</v>
      </c>
      <c r="X207" s="404" t="str">
        <f t="shared" si="126"/>
        <v xml:space="preserve"> </v>
      </c>
      <c r="Y207" s="237">
        <f t="shared" si="161"/>
        <v>835518.38000000047</v>
      </c>
      <c r="Z207" s="394">
        <f t="shared" si="117"/>
        <v>0.13125000000000001</v>
      </c>
      <c r="AA207" s="237">
        <f t="shared" si="118"/>
        <v>10874</v>
      </c>
      <c r="AB207" s="237">
        <f t="shared" si="119"/>
        <v>1735.5200000000004</v>
      </c>
      <c r="AC207" s="237">
        <f t="shared" si="120"/>
        <v>9138.48</v>
      </c>
      <c r="AD207" s="237">
        <f t="shared" si="165"/>
        <v>134.16999999999999</v>
      </c>
      <c r="AE207" s="237">
        <f t="shared" si="165"/>
        <v>188.55</v>
      </c>
      <c r="AF207" s="237">
        <f t="shared" si="121"/>
        <v>11196.72</v>
      </c>
      <c r="AG207" s="237">
        <f t="shared" si="140"/>
        <v>151935.23000000001</v>
      </c>
      <c r="AH207" s="237">
        <f t="shared" si="141"/>
        <v>1821099.77</v>
      </c>
      <c r="AI207" s="412">
        <f t="shared" si="155"/>
        <v>1747425.8999999946</v>
      </c>
      <c r="AJ207" s="412">
        <f t="shared" si="143"/>
        <v>116502.87999999954</v>
      </c>
      <c r="AK207" s="411">
        <f t="shared" si="156"/>
        <v>1863928.7799999942</v>
      </c>
      <c r="AL207" s="237">
        <f t="shared" si="162"/>
        <v>833782.86000000045</v>
      </c>
      <c r="AM207" s="318">
        <f t="shared" si="127"/>
        <v>15</v>
      </c>
      <c r="AN207" s="21">
        <f t="shared" si="157"/>
        <v>19533.41</v>
      </c>
      <c r="AO207" s="21">
        <f t="shared" si="148"/>
        <v>950285.74</v>
      </c>
      <c r="AP207" s="21">
        <f t="shared" si="158"/>
        <v>10874</v>
      </c>
      <c r="AQ207" s="21"/>
      <c r="AR207" s="23"/>
      <c r="AS207" s="21">
        <f t="shared" si="122"/>
        <v>19533.41</v>
      </c>
      <c r="AT207" s="21">
        <f t="shared" si="128"/>
        <v>3749934.1600000085</v>
      </c>
      <c r="AU207" s="237">
        <f t="shared" si="129"/>
        <v>3971.7124136903658</v>
      </c>
      <c r="AV207" s="237">
        <f t="shared" si="130"/>
        <v>606556.67788983695</v>
      </c>
    </row>
    <row r="208" spans="1:48">
      <c r="A208" s="401" t="str">
        <f t="shared" si="131"/>
        <v xml:space="preserve"> </v>
      </c>
      <c r="B208" s="185">
        <f t="shared" si="123"/>
        <v>0</v>
      </c>
      <c r="C208" s="14">
        <f t="shared" ref="C208:C271" si="166">IF(+$K207&lt;=0,0,$C$6)</f>
        <v>0</v>
      </c>
      <c r="D208" s="14">
        <f t="shared" si="132"/>
        <v>0</v>
      </c>
      <c r="E208" s="14">
        <f t="shared" ref="E208:E271" si="167">ROUND($B208*($C$4/12), 2)</f>
        <v>0</v>
      </c>
      <c r="F208" s="14">
        <f t="shared" si="164"/>
        <v>0</v>
      </c>
      <c r="G208" s="14">
        <f t="shared" si="164"/>
        <v>0</v>
      </c>
      <c r="H208" s="14">
        <f t="shared" si="152"/>
        <v>0</v>
      </c>
      <c r="I208" s="185">
        <f t="shared" si="133"/>
        <v>0</v>
      </c>
      <c r="J208" s="185">
        <f t="shared" si="134"/>
        <v>0</v>
      </c>
      <c r="K208" s="185">
        <f t="shared" si="135"/>
        <v>0</v>
      </c>
      <c r="L208" s="317">
        <f t="shared" si="149"/>
        <v>16</v>
      </c>
      <c r="M208" s="317">
        <f t="shared" si="124"/>
        <v>192</v>
      </c>
      <c r="N208" s="185">
        <f t="shared" si="125"/>
        <v>950285.74</v>
      </c>
      <c r="O208" s="185">
        <f t="shared" si="159"/>
        <v>19533.41</v>
      </c>
      <c r="P208" s="185">
        <f t="shared" si="136"/>
        <v>725.66999999999825</v>
      </c>
      <c r="Q208" s="185">
        <f t="shared" si="160"/>
        <v>18807.740000000002</v>
      </c>
      <c r="R208" s="185">
        <f t="shared" ref="R208:S223" si="168">+R207</f>
        <v>134.16999999999999</v>
      </c>
      <c r="S208" s="185">
        <f t="shared" si="168"/>
        <v>188.55</v>
      </c>
      <c r="T208" s="185">
        <f t="shared" si="153"/>
        <v>19856.129999999997</v>
      </c>
      <c r="U208" s="185">
        <f t="shared" si="137"/>
        <v>36539.929999999964</v>
      </c>
      <c r="V208" s="185">
        <f t="shared" si="138"/>
        <v>3733408.2</v>
      </c>
      <c r="W208" s="185">
        <f t="shared" si="139"/>
        <v>949560.07</v>
      </c>
      <c r="X208" s="401" t="str">
        <f t="shared" si="126"/>
        <v xml:space="preserve"> </v>
      </c>
      <c r="Y208" s="185">
        <f t="shared" si="161"/>
        <v>833782.86000000045</v>
      </c>
      <c r="Z208" s="393">
        <f t="shared" ref="Z208:Z271" si="169">IF(L208&gt;4,$AA$10,$AA$9)</f>
        <v>0.13125000000000001</v>
      </c>
      <c r="AA208" s="185">
        <f t="shared" ref="AA208:AA271" si="170">IF($O$11&lt;=$A208,IF(+AL207&lt;=0,0,IF(Z208=$AA$9,$Z$9,$Z$10)),0)</f>
        <v>10874</v>
      </c>
      <c r="AB208" s="185">
        <f t="shared" ref="AB208:AB271" si="171">+AA208-AC208</f>
        <v>1754.5</v>
      </c>
      <c r="AC208" s="185">
        <f t="shared" ref="AC208:AC271" si="172">IF($O$11&lt;=$A208,ROUND(Y208*(Z208/12),2),0)</f>
        <v>9119.5</v>
      </c>
      <c r="AD208" s="185">
        <f t="shared" si="165"/>
        <v>134.16999999999999</v>
      </c>
      <c r="AE208" s="185">
        <f t="shared" si="165"/>
        <v>188.55</v>
      </c>
      <c r="AF208" s="185">
        <f t="shared" ref="AF208:AF271" si="173">SUM(AB208:AE208)</f>
        <v>11196.72</v>
      </c>
      <c r="AG208" s="185">
        <f t="shared" si="140"/>
        <v>153689.73000000001</v>
      </c>
      <c r="AH208" s="185">
        <f t="shared" si="141"/>
        <v>1830219.27</v>
      </c>
      <c r="AI208" s="411">
        <f t="shared" si="155"/>
        <v>1756085.3099999945</v>
      </c>
      <c r="AJ208" s="411">
        <f t="shared" si="143"/>
        <v>117531.7099999995</v>
      </c>
      <c r="AK208" s="411">
        <f t="shared" si="156"/>
        <v>1873617.019999994</v>
      </c>
      <c r="AL208" s="185">
        <f t="shared" si="162"/>
        <v>832028.36000000045</v>
      </c>
      <c r="AM208" s="317">
        <f t="shared" si="127"/>
        <v>16</v>
      </c>
      <c r="AN208" s="14">
        <f t="shared" si="157"/>
        <v>19533.41</v>
      </c>
      <c r="AO208" s="14">
        <f t="shared" si="148"/>
        <v>949560.07000000007</v>
      </c>
      <c r="AP208" s="14">
        <f t="shared" si="158"/>
        <v>10874</v>
      </c>
      <c r="AS208" s="14">
        <f t="shared" ref="AS208:AS271" si="174">+AN208-AR208</f>
        <v>19533.41</v>
      </c>
      <c r="AT208" s="14">
        <f t="shared" si="128"/>
        <v>3769467.5700000087</v>
      </c>
      <c r="AU208" s="185">
        <f t="shared" si="129"/>
        <v>3981.6416947245925</v>
      </c>
      <c r="AV208" s="185">
        <f t="shared" si="130"/>
        <v>610538.31958456151</v>
      </c>
    </row>
    <row r="209" spans="1:48">
      <c r="A209" s="401" t="str">
        <f t="shared" si="131"/>
        <v xml:space="preserve"> </v>
      </c>
      <c r="B209" s="185">
        <f t="shared" ref="B209:B272" si="175">IF(+K208&lt;0,0,+K208)</f>
        <v>0</v>
      </c>
      <c r="C209" s="14">
        <f t="shared" si="166"/>
        <v>0</v>
      </c>
      <c r="D209" s="14">
        <f t="shared" si="132"/>
        <v>0</v>
      </c>
      <c r="E209" s="14">
        <f t="shared" si="167"/>
        <v>0</v>
      </c>
      <c r="F209" s="14">
        <f t="shared" si="164"/>
        <v>0</v>
      </c>
      <c r="G209" s="14">
        <f t="shared" si="164"/>
        <v>0</v>
      </c>
      <c r="H209" s="14">
        <f t="shared" si="152"/>
        <v>0</v>
      </c>
      <c r="I209" s="185">
        <f t="shared" si="133"/>
        <v>0</v>
      </c>
      <c r="J209" s="185">
        <f t="shared" si="134"/>
        <v>0</v>
      </c>
      <c r="K209" s="185">
        <f t="shared" si="135"/>
        <v>0</v>
      </c>
      <c r="L209" s="317">
        <f t="shared" si="149"/>
        <v>16</v>
      </c>
      <c r="M209" s="317">
        <f t="shared" ref="M209:M272" si="176">IF(N209&lt;&gt;"",IF(N209=$O$5,0,+M208+1),0)</f>
        <v>193</v>
      </c>
      <c r="N209" s="185">
        <f t="shared" ref="N209:N272" si="177">IF(+W208&lt;0,0,+W208)</f>
        <v>949560.07</v>
      </c>
      <c r="O209" s="185">
        <f t="shared" si="159"/>
        <v>19533.41</v>
      </c>
      <c r="P209" s="185">
        <f t="shared" si="136"/>
        <v>740.02999999999884</v>
      </c>
      <c r="Q209" s="185">
        <f t="shared" si="160"/>
        <v>18793.38</v>
      </c>
      <c r="R209" s="185">
        <f t="shared" si="168"/>
        <v>134.16999999999999</v>
      </c>
      <c r="S209" s="185">
        <f t="shared" si="168"/>
        <v>188.55</v>
      </c>
      <c r="T209" s="185">
        <f t="shared" si="153"/>
        <v>19856.129999999997</v>
      </c>
      <c r="U209" s="185">
        <f t="shared" si="137"/>
        <v>37279.959999999963</v>
      </c>
      <c r="V209" s="185">
        <f t="shared" si="138"/>
        <v>3752201.58</v>
      </c>
      <c r="W209" s="185">
        <f t="shared" si="139"/>
        <v>948820.03999999992</v>
      </c>
      <c r="X209" s="401" t="str">
        <f t="shared" ref="X209:X272" si="178">+A209</f>
        <v xml:space="preserve"> </v>
      </c>
      <c r="Y209" s="185">
        <f t="shared" si="161"/>
        <v>832028.36000000045</v>
      </c>
      <c r="Z209" s="393">
        <f t="shared" si="169"/>
        <v>0.13125000000000001</v>
      </c>
      <c r="AA209" s="185">
        <f t="shared" si="170"/>
        <v>10874</v>
      </c>
      <c r="AB209" s="185">
        <f t="shared" si="171"/>
        <v>1773.6900000000005</v>
      </c>
      <c r="AC209" s="185">
        <f t="shared" si="172"/>
        <v>9100.31</v>
      </c>
      <c r="AD209" s="185">
        <f t="shared" si="165"/>
        <v>134.16999999999999</v>
      </c>
      <c r="AE209" s="185">
        <f t="shared" si="165"/>
        <v>188.55</v>
      </c>
      <c r="AF209" s="185">
        <f t="shared" si="173"/>
        <v>11196.72</v>
      </c>
      <c r="AG209" s="185">
        <f t="shared" si="140"/>
        <v>155463.42000000001</v>
      </c>
      <c r="AH209" s="185">
        <f t="shared" si="141"/>
        <v>1839319.58</v>
      </c>
      <c r="AI209" s="411">
        <f t="shared" si="155"/>
        <v>1764744.7199999944</v>
      </c>
      <c r="AJ209" s="411">
        <f t="shared" si="143"/>
        <v>118565.36999999941</v>
      </c>
      <c r="AK209" s="411">
        <f t="shared" si="156"/>
        <v>1883310.0899999938</v>
      </c>
      <c r="AL209" s="185">
        <f t="shared" si="162"/>
        <v>830254.67000000051</v>
      </c>
      <c r="AM209" s="317">
        <f t="shared" ref="AM209:AM272" si="179">+L209</f>
        <v>16</v>
      </c>
      <c r="AN209" s="14">
        <f t="shared" si="157"/>
        <v>19533.41</v>
      </c>
      <c r="AO209" s="14">
        <f t="shared" si="148"/>
        <v>948820.04</v>
      </c>
      <c r="AP209" s="14">
        <f t="shared" si="158"/>
        <v>10874</v>
      </c>
      <c r="AS209" s="14">
        <f t="shared" si="174"/>
        <v>19533.41</v>
      </c>
      <c r="AT209" s="14">
        <f t="shared" ref="AT209:AT272" si="180">IF(W209&lt;=0,0,+AS209+AT208)</f>
        <v>3789000.9800000088</v>
      </c>
      <c r="AU209" s="185">
        <f t="shared" ref="AU209:AU272" si="181">IF(W209&lt;=0,0,+($O$5+AV208)*$AQ$2/12)</f>
        <v>3991.5957989614035</v>
      </c>
      <c r="AV209" s="185">
        <f t="shared" ref="AV209:AV272" si="182">IF(W209&lt;=0,0,+AV208+AU209)</f>
        <v>614529.91538352286</v>
      </c>
    </row>
    <row r="210" spans="1:48">
      <c r="A210" s="401" t="str">
        <f t="shared" ref="A210:A273" si="183">IF(K210&lt;=0," ",+A209+30)</f>
        <v xml:space="preserve"> </v>
      </c>
      <c r="B210" s="185">
        <f t="shared" si="175"/>
        <v>0</v>
      </c>
      <c r="C210" s="14">
        <f t="shared" si="166"/>
        <v>0</v>
      </c>
      <c r="D210" s="14">
        <f t="shared" ref="D210:D273" si="184">+C210-E210</f>
        <v>0</v>
      </c>
      <c r="E210" s="14">
        <f t="shared" si="167"/>
        <v>0</v>
      </c>
      <c r="F210" s="14">
        <f t="shared" si="164"/>
        <v>0</v>
      </c>
      <c r="G210" s="14">
        <f t="shared" si="164"/>
        <v>0</v>
      </c>
      <c r="H210" s="14">
        <f t="shared" si="152"/>
        <v>0</v>
      </c>
      <c r="I210" s="185">
        <f t="shared" ref="I210:I273" si="185">$D210+$I209</f>
        <v>0</v>
      </c>
      <c r="J210" s="185">
        <f t="shared" ref="J210:J273" si="186">$E210+$J209</f>
        <v>0</v>
      </c>
      <c r="K210" s="185">
        <f t="shared" ref="K210:K273" si="187">+B210-D210</f>
        <v>0</v>
      </c>
      <c r="L210" s="317">
        <f t="shared" si="149"/>
        <v>16</v>
      </c>
      <c r="M210" s="317">
        <f t="shared" si="176"/>
        <v>194</v>
      </c>
      <c r="N210" s="185">
        <f t="shared" si="177"/>
        <v>948820.03999999992</v>
      </c>
      <c r="O210" s="185">
        <f t="shared" si="159"/>
        <v>19533.41</v>
      </c>
      <c r="P210" s="185">
        <f t="shared" ref="P210:P273" si="188">+O210-Q210</f>
        <v>754.68000000000029</v>
      </c>
      <c r="Q210" s="185">
        <f t="shared" si="160"/>
        <v>18778.73</v>
      </c>
      <c r="R210" s="185">
        <f t="shared" si="168"/>
        <v>134.16999999999999</v>
      </c>
      <c r="S210" s="185">
        <f t="shared" si="168"/>
        <v>188.55</v>
      </c>
      <c r="T210" s="185">
        <f t="shared" si="153"/>
        <v>19856.129999999997</v>
      </c>
      <c r="U210" s="185">
        <f t="shared" ref="U210:U273" si="189">+P210+U209</f>
        <v>38034.639999999963</v>
      </c>
      <c r="V210" s="185">
        <f t="shared" ref="V210:V273" si="190">+V209+Q210</f>
        <v>3770980.31</v>
      </c>
      <c r="W210" s="185">
        <f t="shared" ref="W210:W273" si="191">+N210-P210</f>
        <v>948065.35999999987</v>
      </c>
      <c r="X210" s="401" t="str">
        <f t="shared" si="178"/>
        <v xml:space="preserve"> </v>
      </c>
      <c r="Y210" s="185">
        <f t="shared" si="161"/>
        <v>830254.67000000051</v>
      </c>
      <c r="Z210" s="393">
        <f t="shared" si="169"/>
        <v>0.13125000000000001</v>
      </c>
      <c r="AA210" s="185">
        <f t="shared" si="170"/>
        <v>10874</v>
      </c>
      <c r="AB210" s="185">
        <f t="shared" si="171"/>
        <v>1793.0900000000001</v>
      </c>
      <c r="AC210" s="185">
        <f t="shared" si="172"/>
        <v>9080.91</v>
      </c>
      <c r="AD210" s="185">
        <f t="shared" si="165"/>
        <v>134.16999999999999</v>
      </c>
      <c r="AE210" s="185">
        <f t="shared" si="165"/>
        <v>188.55</v>
      </c>
      <c r="AF210" s="185">
        <f t="shared" si="173"/>
        <v>11196.72</v>
      </c>
      <c r="AG210" s="185">
        <f t="shared" ref="AG210:AG273" si="192">+AB210+AG209</f>
        <v>157256.51</v>
      </c>
      <c r="AH210" s="185">
        <f t="shared" ref="AH210:AH273" si="193">+AH209+AC210</f>
        <v>1848400.49</v>
      </c>
      <c r="AI210" s="411">
        <f t="shared" si="155"/>
        <v>1773404.1299999943</v>
      </c>
      <c r="AJ210" s="411">
        <f t="shared" si="143"/>
        <v>119603.77999999933</v>
      </c>
      <c r="AK210" s="411">
        <f t="shared" si="156"/>
        <v>1893007.9099999936</v>
      </c>
      <c r="AL210" s="185">
        <f t="shared" si="162"/>
        <v>828461.58000000054</v>
      </c>
      <c r="AM210" s="317">
        <f t="shared" si="179"/>
        <v>16</v>
      </c>
      <c r="AN210" s="14">
        <f t="shared" si="157"/>
        <v>19533.41</v>
      </c>
      <c r="AO210" s="14">
        <f t="shared" si="148"/>
        <v>948065.36</v>
      </c>
      <c r="AP210" s="14">
        <f t="shared" si="158"/>
        <v>10874</v>
      </c>
      <c r="AS210" s="14">
        <f t="shared" si="174"/>
        <v>19533.41</v>
      </c>
      <c r="AT210" s="14">
        <f t="shared" si="180"/>
        <v>3808534.390000009</v>
      </c>
      <c r="AU210" s="185">
        <f t="shared" si="181"/>
        <v>4001.5747884588072</v>
      </c>
      <c r="AV210" s="185">
        <f t="shared" si="182"/>
        <v>618531.49017198163</v>
      </c>
    </row>
    <row r="211" spans="1:48">
      <c r="A211" s="401" t="str">
        <f t="shared" si="183"/>
        <v xml:space="preserve"> </v>
      </c>
      <c r="B211" s="185">
        <f t="shared" si="175"/>
        <v>0</v>
      </c>
      <c r="C211" s="14">
        <f t="shared" si="166"/>
        <v>0</v>
      </c>
      <c r="D211" s="14">
        <f t="shared" si="184"/>
        <v>0</v>
      </c>
      <c r="E211" s="14">
        <f t="shared" si="167"/>
        <v>0</v>
      </c>
      <c r="F211" s="14">
        <f t="shared" si="164"/>
        <v>0</v>
      </c>
      <c r="G211" s="14">
        <f t="shared" si="164"/>
        <v>0</v>
      </c>
      <c r="H211" s="14">
        <f t="shared" si="152"/>
        <v>0</v>
      </c>
      <c r="I211" s="185">
        <f t="shared" si="185"/>
        <v>0</v>
      </c>
      <c r="J211" s="185">
        <f t="shared" si="186"/>
        <v>0</v>
      </c>
      <c r="K211" s="185">
        <f t="shared" si="187"/>
        <v>0</v>
      </c>
      <c r="L211" s="317">
        <f t="shared" si="149"/>
        <v>16</v>
      </c>
      <c r="M211" s="317">
        <f t="shared" si="176"/>
        <v>195</v>
      </c>
      <c r="N211" s="185">
        <f t="shared" si="177"/>
        <v>948065.35999999987</v>
      </c>
      <c r="O211" s="185">
        <f t="shared" si="159"/>
        <v>19533.41</v>
      </c>
      <c r="P211" s="185">
        <f t="shared" si="188"/>
        <v>769.61999999999898</v>
      </c>
      <c r="Q211" s="185">
        <f t="shared" si="160"/>
        <v>18763.79</v>
      </c>
      <c r="R211" s="185">
        <f t="shared" si="168"/>
        <v>134.16999999999999</v>
      </c>
      <c r="S211" s="185">
        <f t="shared" si="168"/>
        <v>188.55</v>
      </c>
      <c r="T211" s="185">
        <f t="shared" si="153"/>
        <v>19856.129999999997</v>
      </c>
      <c r="U211" s="185">
        <f t="shared" si="189"/>
        <v>38804.259999999966</v>
      </c>
      <c r="V211" s="185">
        <f t="shared" si="190"/>
        <v>3789744.1</v>
      </c>
      <c r="W211" s="185">
        <f t="shared" si="191"/>
        <v>947295.73999999987</v>
      </c>
      <c r="X211" s="401" t="str">
        <f t="shared" si="178"/>
        <v xml:space="preserve"> </v>
      </c>
      <c r="Y211" s="185">
        <f t="shared" si="161"/>
        <v>828461.58000000054</v>
      </c>
      <c r="Z211" s="393">
        <f t="shared" si="169"/>
        <v>0.13125000000000001</v>
      </c>
      <c r="AA211" s="185">
        <f t="shared" si="170"/>
        <v>10874</v>
      </c>
      <c r="AB211" s="185">
        <f t="shared" si="171"/>
        <v>1812.7000000000007</v>
      </c>
      <c r="AC211" s="185">
        <f t="shared" si="172"/>
        <v>9061.2999999999993</v>
      </c>
      <c r="AD211" s="185">
        <f t="shared" si="165"/>
        <v>134.16999999999999</v>
      </c>
      <c r="AE211" s="185">
        <f t="shared" si="165"/>
        <v>188.55</v>
      </c>
      <c r="AF211" s="185">
        <f t="shared" si="173"/>
        <v>11196.72</v>
      </c>
      <c r="AG211" s="185">
        <f t="shared" si="192"/>
        <v>159069.21000000002</v>
      </c>
      <c r="AH211" s="185">
        <f t="shared" si="193"/>
        <v>1857461.79</v>
      </c>
      <c r="AI211" s="411">
        <f t="shared" si="155"/>
        <v>1782063.5399999942</v>
      </c>
      <c r="AJ211" s="411">
        <f t="shared" si="143"/>
        <v>120646.85999999929</v>
      </c>
      <c r="AK211" s="411">
        <f t="shared" si="156"/>
        <v>1902710.3999999934</v>
      </c>
      <c r="AL211" s="185">
        <f t="shared" si="162"/>
        <v>826648.88000000059</v>
      </c>
      <c r="AM211" s="317">
        <f t="shared" si="179"/>
        <v>16</v>
      </c>
      <c r="AN211" s="14">
        <f t="shared" si="157"/>
        <v>19533.41</v>
      </c>
      <c r="AO211" s="14">
        <f t="shared" si="148"/>
        <v>947295.74</v>
      </c>
      <c r="AP211" s="14">
        <f t="shared" si="158"/>
        <v>10874</v>
      </c>
      <c r="AS211" s="14">
        <f t="shared" si="174"/>
        <v>19533.41</v>
      </c>
      <c r="AT211" s="14">
        <f t="shared" si="180"/>
        <v>3828067.8000000091</v>
      </c>
      <c r="AU211" s="185">
        <f t="shared" si="181"/>
        <v>4011.5787254299539</v>
      </c>
      <c r="AV211" s="185">
        <f t="shared" si="182"/>
        <v>622543.06889741158</v>
      </c>
    </row>
    <row r="212" spans="1:48">
      <c r="A212" s="401" t="str">
        <f t="shared" si="183"/>
        <v xml:space="preserve"> </v>
      </c>
      <c r="B212" s="185">
        <f t="shared" si="175"/>
        <v>0</v>
      </c>
      <c r="C212" s="14">
        <f t="shared" si="166"/>
        <v>0</v>
      </c>
      <c r="D212" s="14">
        <f t="shared" si="184"/>
        <v>0</v>
      </c>
      <c r="E212" s="14">
        <f t="shared" si="167"/>
        <v>0</v>
      </c>
      <c r="F212" s="14">
        <f t="shared" si="164"/>
        <v>0</v>
      </c>
      <c r="G212" s="14">
        <f t="shared" si="164"/>
        <v>0</v>
      </c>
      <c r="H212" s="14">
        <f t="shared" si="152"/>
        <v>0</v>
      </c>
      <c r="I212" s="185">
        <f t="shared" si="185"/>
        <v>0</v>
      </c>
      <c r="J212" s="185">
        <f t="shared" si="186"/>
        <v>0</v>
      </c>
      <c r="K212" s="185">
        <f t="shared" si="187"/>
        <v>0</v>
      </c>
      <c r="L212" s="317">
        <f t="shared" si="149"/>
        <v>16</v>
      </c>
      <c r="M212" s="317">
        <f t="shared" si="176"/>
        <v>196</v>
      </c>
      <c r="N212" s="185">
        <f t="shared" si="177"/>
        <v>947295.73999999987</v>
      </c>
      <c r="O212" s="185">
        <f t="shared" si="159"/>
        <v>19533.41</v>
      </c>
      <c r="P212" s="185">
        <f t="shared" si="188"/>
        <v>784.84999999999854</v>
      </c>
      <c r="Q212" s="185">
        <f t="shared" si="160"/>
        <v>18748.560000000001</v>
      </c>
      <c r="R212" s="185">
        <f t="shared" si="168"/>
        <v>134.16999999999999</v>
      </c>
      <c r="S212" s="185">
        <f t="shared" si="168"/>
        <v>188.55</v>
      </c>
      <c r="T212" s="185">
        <f t="shared" si="153"/>
        <v>19856.129999999997</v>
      </c>
      <c r="U212" s="185">
        <f t="shared" si="189"/>
        <v>39589.109999999964</v>
      </c>
      <c r="V212" s="185">
        <f t="shared" si="190"/>
        <v>3808492.66</v>
      </c>
      <c r="W212" s="185">
        <f t="shared" si="191"/>
        <v>946510.8899999999</v>
      </c>
      <c r="X212" s="401" t="str">
        <f t="shared" si="178"/>
        <v xml:space="preserve"> </v>
      </c>
      <c r="Y212" s="185">
        <f t="shared" si="161"/>
        <v>826648.88000000059</v>
      </c>
      <c r="Z212" s="393">
        <f t="shared" si="169"/>
        <v>0.13125000000000001</v>
      </c>
      <c r="AA212" s="185">
        <f t="shared" si="170"/>
        <v>10874</v>
      </c>
      <c r="AB212" s="185">
        <f t="shared" si="171"/>
        <v>1832.5300000000007</v>
      </c>
      <c r="AC212" s="185">
        <f t="shared" si="172"/>
        <v>9041.4699999999993</v>
      </c>
      <c r="AD212" s="185">
        <f t="shared" si="165"/>
        <v>134.16999999999999</v>
      </c>
      <c r="AE212" s="185">
        <f t="shared" si="165"/>
        <v>188.55</v>
      </c>
      <c r="AF212" s="185">
        <f t="shared" si="173"/>
        <v>11196.72</v>
      </c>
      <c r="AG212" s="185">
        <f t="shared" si="192"/>
        <v>160901.74000000002</v>
      </c>
      <c r="AH212" s="185">
        <f t="shared" si="193"/>
        <v>1866503.26</v>
      </c>
      <c r="AI212" s="411">
        <f t="shared" si="155"/>
        <v>1790722.9499999941</v>
      </c>
      <c r="AJ212" s="411">
        <f t="shared" si="143"/>
        <v>121694.53999999934</v>
      </c>
      <c r="AK212" s="411">
        <f t="shared" si="156"/>
        <v>1912417.4899999935</v>
      </c>
      <c r="AL212" s="185">
        <f t="shared" si="162"/>
        <v>824816.35000000056</v>
      </c>
      <c r="AM212" s="317">
        <f t="shared" si="179"/>
        <v>16</v>
      </c>
      <c r="AN212" s="14">
        <f t="shared" si="157"/>
        <v>19533.41</v>
      </c>
      <c r="AO212" s="14">
        <f t="shared" si="148"/>
        <v>946510.89</v>
      </c>
      <c r="AP212" s="14">
        <f t="shared" si="158"/>
        <v>10874</v>
      </c>
      <c r="AS212" s="14">
        <f t="shared" si="174"/>
        <v>19533.41</v>
      </c>
      <c r="AT212" s="14">
        <f t="shared" si="180"/>
        <v>3847601.2100000093</v>
      </c>
      <c r="AU212" s="185">
        <f t="shared" si="181"/>
        <v>4021.6076722435287</v>
      </c>
      <c r="AV212" s="185">
        <f t="shared" si="182"/>
        <v>626564.67656965507</v>
      </c>
    </row>
    <row r="213" spans="1:48">
      <c r="A213" s="401" t="str">
        <f t="shared" si="183"/>
        <v xml:space="preserve"> </v>
      </c>
      <c r="B213" s="185">
        <f t="shared" si="175"/>
        <v>0</v>
      </c>
      <c r="C213" s="14">
        <f t="shared" si="166"/>
        <v>0</v>
      </c>
      <c r="D213" s="14">
        <f t="shared" si="184"/>
        <v>0</v>
      </c>
      <c r="E213" s="14">
        <f t="shared" si="167"/>
        <v>0</v>
      </c>
      <c r="F213" s="14">
        <f t="shared" si="164"/>
        <v>0</v>
      </c>
      <c r="G213" s="14">
        <f t="shared" si="164"/>
        <v>0</v>
      </c>
      <c r="H213" s="14">
        <f t="shared" si="152"/>
        <v>0</v>
      </c>
      <c r="I213" s="185">
        <f t="shared" si="185"/>
        <v>0</v>
      </c>
      <c r="J213" s="185">
        <f t="shared" si="186"/>
        <v>0</v>
      </c>
      <c r="K213" s="185">
        <f t="shared" si="187"/>
        <v>0</v>
      </c>
      <c r="L213" s="317">
        <f t="shared" si="149"/>
        <v>16</v>
      </c>
      <c r="M213" s="317">
        <f t="shared" si="176"/>
        <v>197</v>
      </c>
      <c r="N213" s="185">
        <f t="shared" si="177"/>
        <v>946510.8899999999</v>
      </c>
      <c r="O213" s="185">
        <f t="shared" si="159"/>
        <v>19533.41</v>
      </c>
      <c r="P213" s="185">
        <f t="shared" si="188"/>
        <v>800.38000000000102</v>
      </c>
      <c r="Q213" s="185">
        <f t="shared" si="160"/>
        <v>18733.03</v>
      </c>
      <c r="R213" s="185">
        <f t="shared" si="168"/>
        <v>134.16999999999999</v>
      </c>
      <c r="S213" s="185">
        <f t="shared" si="168"/>
        <v>188.55</v>
      </c>
      <c r="T213" s="185">
        <f t="shared" si="153"/>
        <v>19856.129999999997</v>
      </c>
      <c r="U213" s="185">
        <f t="shared" si="189"/>
        <v>40389.489999999962</v>
      </c>
      <c r="V213" s="185">
        <f t="shared" si="190"/>
        <v>3827225.69</v>
      </c>
      <c r="W213" s="185">
        <f t="shared" si="191"/>
        <v>945710.50999999989</v>
      </c>
      <c r="X213" s="401" t="str">
        <f t="shared" si="178"/>
        <v xml:space="preserve"> </v>
      </c>
      <c r="Y213" s="185">
        <f t="shared" si="161"/>
        <v>824816.35000000056</v>
      </c>
      <c r="Z213" s="393">
        <f t="shared" si="169"/>
        <v>0.13125000000000001</v>
      </c>
      <c r="AA213" s="185">
        <f t="shared" si="170"/>
        <v>10874</v>
      </c>
      <c r="AB213" s="185">
        <f t="shared" si="171"/>
        <v>1852.5699999999997</v>
      </c>
      <c r="AC213" s="185">
        <f t="shared" si="172"/>
        <v>9021.43</v>
      </c>
      <c r="AD213" s="185">
        <f t="shared" si="165"/>
        <v>134.16999999999999</v>
      </c>
      <c r="AE213" s="185">
        <f t="shared" si="165"/>
        <v>188.55</v>
      </c>
      <c r="AF213" s="185">
        <f t="shared" si="173"/>
        <v>11196.72</v>
      </c>
      <c r="AG213" s="185">
        <f t="shared" si="192"/>
        <v>162754.31000000003</v>
      </c>
      <c r="AH213" s="185">
        <f t="shared" si="193"/>
        <v>1875524.69</v>
      </c>
      <c r="AI213" s="411">
        <f t="shared" si="155"/>
        <v>1799382.359999994</v>
      </c>
      <c r="AJ213" s="411">
        <f t="shared" si="143"/>
        <v>122746.72999999928</v>
      </c>
      <c r="AK213" s="411">
        <f t="shared" si="156"/>
        <v>1922129.0899999933</v>
      </c>
      <c r="AL213" s="185">
        <f t="shared" si="162"/>
        <v>822963.78000000061</v>
      </c>
      <c r="AM213" s="317">
        <f t="shared" si="179"/>
        <v>16</v>
      </c>
      <c r="AN213" s="14">
        <f t="shared" si="157"/>
        <v>19533.41</v>
      </c>
      <c r="AO213" s="14">
        <f t="shared" si="148"/>
        <v>945710.51</v>
      </c>
      <c r="AP213" s="14">
        <f t="shared" si="158"/>
        <v>10874</v>
      </c>
      <c r="AS213" s="14">
        <f t="shared" si="174"/>
        <v>19533.41</v>
      </c>
      <c r="AT213" s="14">
        <f t="shared" si="180"/>
        <v>3867134.6200000094</v>
      </c>
      <c r="AU213" s="185">
        <f t="shared" si="181"/>
        <v>4031.6616914241372</v>
      </c>
      <c r="AV213" s="185">
        <f t="shared" si="182"/>
        <v>630596.33826107916</v>
      </c>
    </row>
    <row r="214" spans="1:48">
      <c r="A214" s="401" t="str">
        <f t="shared" si="183"/>
        <v xml:space="preserve"> </v>
      </c>
      <c r="B214" s="185">
        <f t="shared" si="175"/>
        <v>0</v>
      </c>
      <c r="C214" s="14">
        <f t="shared" si="166"/>
        <v>0</v>
      </c>
      <c r="D214" s="14">
        <f t="shared" si="184"/>
        <v>0</v>
      </c>
      <c r="E214" s="14">
        <f t="shared" si="167"/>
        <v>0</v>
      </c>
      <c r="F214" s="14">
        <f t="shared" si="164"/>
        <v>0</v>
      </c>
      <c r="G214" s="14">
        <f t="shared" si="164"/>
        <v>0</v>
      </c>
      <c r="H214" s="14">
        <f t="shared" si="152"/>
        <v>0</v>
      </c>
      <c r="I214" s="185">
        <f t="shared" si="185"/>
        <v>0</v>
      </c>
      <c r="J214" s="185">
        <f t="shared" si="186"/>
        <v>0</v>
      </c>
      <c r="K214" s="185">
        <f t="shared" si="187"/>
        <v>0</v>
      </c>
      <c r="L214" s="317">
        <f t="shared" si="149"/>
        <v>16</v>
      </c>
      <c r="M214" s="317">
        <f t="shared" si="176"/>
        <v>198</v>
      </c>
      <c r="N214" s="185">
        <f t="shared" si="177"/>
        <v>945710.50999999989</v>
      </c>
      <c r="O214" s="185">
        <f t="shared" si="159"/>
        <v>19533.41</v>
      </c>
      <c r="P214" s="185">
        <f t="shared" si="188"/>
        <v>816.22000000000116</v>
      </c>
      <c r="Q214" s="185">
        <f t="shared" si="160"/>
        <v>18717.189999999999</v>
      </c>
      <c r="R214" s="185">
        <f t="shared" si="168"/>
        <v>134.16999999999999</v>
      </c>
      <c r="S214" s="185">
        <f t="shared" si="168"/>
        <v>188.55</v>
      </c>
      <c r="T214" s="185">
        <f t="shared" si="153"/>
        <v>19856.129999999997</v>
      </c>
      <c r="U214" s="185">
        <f t="shared" si="189"/>
        <v>41205.709999999963</v>
      </c>
      <c r="V214" s="185">
        <f t="shared" si="190"/>
        <v>3845942.88</v>
      </c>
      <c r="W214" s="185">
        <f t="shared" si="191"/>
        <v>944894.28999999992</v>
      </c>
      <c r="X214" s="401" t="str">
        <f t="shared" si="178"/>
        <v xml:space="preserve"> </v>
      </c>
      <c r="Y214" s="185">
        <f t="shared" si="161"/>
        <v>822963.78000000061</v>
      </c>
      <c r="Z214" s="393">
        <f t="shared" si="169"/>
        <v>0.13125000000000001</v>
      </c>
      <c r="AA214" s="185">
        <f t="shared" si="170"/>
        <v>10874</v>
      </c>
      <c r="AB214" s="185">
        <f t="shared" si="171"/>
        <v>1872.83</v>
      </c>
      <c r="AC214" s="185">
        <f t="shared" si="172"/>
        <v>9001.17</v>
      </c>
      <c r="AD214" s="185">
        <f t="shared" si="165"/>
        <v>134.16999999999999</v>
      </c>
      <c r="AE214" s="185">
        <f t="shared" si="165"/>
        <v>188.55</v>
      </c>
      <c r="AF214" s="185">
        <f t="shared" si="173"/>
        <v>11196.72</v>
      </c>
      <c r="AG214" s="185">
        <f t="shared" si="192"/>
        <v>164627.14000000001</v>
      </c>
      <c r="AH214" s="185">
        <f t="shared" si="193"/>
        <v>1884525.8599999999</v>
      </c>
      <c r="AI214" s="411">
        <f t="shared" si="155"/>
        <v>1808041.769999994</v>
      </c>
      <c r="AJ214" s="411">
        <f t="shared" si="143"/>
        <v>123803.33999999927</v>
      </c>
      <c r="AK214" s="411">
        <f t="shared" si="156"/>
        <v>1931845.1099999934</v>
      </c>
      <c r="AL214" s="185">
        <f t="shared" si="162"/>
        <v>821090.95000000065</v>
      </c>
      <c r="AM214" s="317">
        <f t="shared" si="179"/>
        <v>16</v>
      </c>
      <c r="AN214" s="14">
        <f t="shared" si="157"/>
        <v>19533.41</v>
      </c>
      <c r="AO214" s="14">
        <f t="shared" si="148"/>
        <v>944894.29</v>
      </c>
      <c r="AP214" s="14">
        <f t="shared" si="158"/>
        <v>10874</v>
      </c>
      <c r="AS214" s="14">
        <f t="shared" si="174"/>
        <v>19533.41</v>
      </c>
      <c r="AT214" s="14">
        <f t="shared" si="180"/>
        <v>3886668.0300000096</v>
      </c>
      <c r="AU214" s="185">
        <f t="shared" si="181"/>
        <v>4041.7408456526973</v>
      </c>
      <c r="AV214" s="185">
        <f t="shared" si="182"/>
        <v>634638.07910673181</v>
      </c>
    </row>
    <row r="215" spans="1:48">
      <c r="A215" s="401" t="str">
        <f t="shared" si="183"/>
        <v xml:space="preserve"> </v>
      </c>
      <c r="B215" s="185">
        <f t="shared" si="175"/>
        <v>0</v>
      </c>
      <c r="C215" s="14">
        <f t="shared" si="166"/>
        <v>0</v>
      </c>
      <c r="D215" s="14">
        <f t="shared" si="184"/>
        <v>0</v>
      </c>
      <c r="E215" s="14">
        <f t="shared" si="167"/>
        <v>0</v>
      </c>
      <c r="F215" s="14">
        <f t="shared" si="164"/>
        <v>0</v>
      </c>
      <c r="G215" s="14">
        <f t="shared" si="164"/>
        <v>0</v>
      </c>
      <c r="H215" s="14">
        <f t="shared" si="152"/>
        <v>0</v>
      </c>
      <c r="I215" s="185">
        <f t="shared" si="185"/>
        <v>0</v>
      </c>
      <c r="J215" s="185">
        <f t="shared" si="186"/>
        <v>0</v>
      </c>
      <c r="K215" s="185">
        <f t="shared" si="187"/>
        <v>0</v>
      </c>
      <c r="L215" s="317">
        <f t="shared" si="149"/>
        <v>16</v>
      </c>
      <c r="M215" s="317">
        <f t="shared" si="176"/>
        <v>199</v>
      </c>
      <c r="N215" s="185">
        <f t="shared" si="177"/>
        <v>944894.28999999992</v>
      </c>
      <c r="O215" s="185">
        <f t="shared" si="159"/>
        <v>19533.41</v>
      </c>
      <c r="P215" s="185">
        <f t="shared" si="188"/>
        <v>832.38000000000102</v>
      </c>
      <c r="Q215" s="185">
        <f t="shared" si="160"/>
        <v>18701.03</v>
      </c>
      <c r="R215" s="185">
        <f t="shared" si="168"/>
        <v>134.16999999999999</v>
      </c>
      <c r="S215" s="185">
        <f t="shared" si="168"/>
        <v>188.55</v>
      </c>
      <c r="T215" s="185">
        <f t="shared" si="153"/>
        <v>19856.129999999997</v>
      </c>
      <c r="U215" s="185">
        <f t="shared" si="189"/>
        <v>42038.089999999967</v>
      </c>
      <c r="V215" s="185">
        <f t="shared" si="190"/>
        <v>3864643.9099999997</v>
      </c>
      <c r="W215" s="185">
        <f t="shared" si="191"/>
        <v>944061.90999999992</v>
      </c>
      <c r="X215" s="401" t="str">
        <f t="shared" si="178"/>
        <v xml:space="preserve"> </v>
      </c>
      <c r="Y215" s="185">
        <f t="shared" si="161"/>
        <v>821090.95000000065</v>
      </c>
      <c r="Z215" s="393">
        <f t="shared" si="169"/>
        <v>0.13125000000000001</v>
      </c>
      <c r="AA215" s="185">
        <f t="shared" si="170"/>
        <v>10874</v>
      </c>
      <c r="AB215" s="185">
        <f t="shared" si="171"/>
        <v>1893.3199999999997</v>
      </c>
      <c r="AC215" s="185">
        <f t="shared" si="172"/>
        <v>8980.68</v>
      </c>
      <c r="AD215" s="185">
        <f t="shared" si="165"/>
        <v>134.16999999999999</v>
      </c>
      <c r="AE215" s="185">
        <f t="shared" si="165"/>
        <v>188.55</v>
      </c>
      <c r="AF215" s="185">
        <f t="shared" si="173"/>
        <v>11196.72</v>
      </c>
      <c r="AG215" s="185">
        <f t="shared" si="192"/>
        <v>166520.46000000002</v>
      </c>
      <c r="AH215" s="185">
        <f t="shared" si="193"/>
        <v>1893506.5399999998</v>
      </c>
      <c r="AI215" s="411">
        <f t="shared" si="155"/>
        <v>1816701.1799999939</v>
      </c>
      <c r="AJ215" s="411">
        <f t="shared" si="143"/>
        <v>124864.27999999921</v>
      </c>
      <c r="AK215" s="411">
        <f t="shared" si="156"/>
        <v>1941565.459999993</v>
      </c>
      <c r="AL215" s="185">
        <f t="shared" si="162"/>
        <v>819197.6300000007</v>
      </c>
      <c r="AM215" s="317">
        <f t="shared" si="179"/>
        <v>16</v>
      </c>
      <c r="AN215" s="14">
        <f t="shared" si="157"/>
        <v>19533.41</v>
      </c>
      <c r="AO215" s="14">
        <f t="shared" si="148"/>
        <v>944061.91</v>
      </c>
      <c r="AP215" s="14">
        <f t="shared" si="158"/>
        <v>10874</v>
      </c>
      <c r="AS215" s="14">
        <f t="shared" si="174"/>
        <v>19533.41</v>
      </c>
      <c r="AT215" s="14">
        <f t="shared" si="180"/>
        <v>3906201.4400000097</v>
      </c>
      <c r="AU215" s="185">
        <f t="shared" si="181"/>
        <v>4051.8451977668296</v>
      </c>
      <c r="AV215" s="185">
        <f t="shared" si="182"/>
        <v>638689.92430449859</v>
      </c>
    </row>
    <row r="216" spans="1:48">
      <c r="A216" s="401" t="str">
        <f t="shared" si="183"/>
        <v xml:space="preserve"> </v>
      </c>
      <c r="B216" s="185">
        <f t="shared" si="175"/>
        <v>0</v>
      </c>
      <c r="C216" s="14">
        <f t="shared" si="166"/>
        <v>0</v>
      </c>
      <c r="D216" s="14">
        <f t="shared" si="184"/>
        <v>0</v>
      </c>
      <c r="E216" s="14">
        <f t="shared" si="167"/>
        <v>0</v>
      </c>
      <c r="F216" s="14">
        <f t="shared" si="164"/>
        <v>0</v>
      </c>
      <c r="G216" s="14">
        <f t="shared" si="164"/>
        <v>0</v>
      </c>
      <c r="H216" s="14">
        <f t="shared" si="152"/>
        <v>0</v>
      </c>
      <c r="I216" s="185">
        <f t="shared" si="185"/>
        <v>0</v>
      </c>
      <c r="J216" s="185">
        <f t="shared" si="186"/>
        <v>0</v>
      </c>
      <c r="K216" s="185">
        <f t="shared" si="187"/>
        <v>0</v>
      </c>
      <c r="L216" s="317">
        <f t="shared" si="149"/>
        <v>16</v>
      </c>
      <c r="M216" s="317">
        <f t="shared" si="176"/>
        <v>200</v>
      </c>
      <c r="N216" s="185">
        <f t="shared" si="177"/>
        <v>944061.90999999992</v>
      </c>
      <c r="O216" s="185">
        <f t="shared" si="159"/>
        <v>19533.41</v>
      </c>
      <c r="P216" s="185">
        <f t="shared" si="188"/>
        <v>848.84999999999854</v>
      </c>
      <c r="Q216" s="185">
        <f t="shared" si="160"/>
        <v>18684.560000000001</v>
      </c>
      <c r="R216" s="185">
        <f t="shared" si="168"/>
        <v>134.16999999999999</v>
      </c>
      <c r="S216" s="185">
        <f t="shared" si="168"/>
        <v>188.55</v>
      </c>
      <c r="T216" s="185">
        <f t="shared" si="153"/>
        <v>19856.129999999997</v>
      </c>
      <c r="U216" s="185">
        <f t="shared" si="189"/>
        <v>42886.939999999966</v>
      </c>
      <c r="V216" s="185">
        <f t="shared" si="190"/>
        <v>3883328.4699999997</v>
      </c>
      <c r="W216" s="185">
        <f t="shared" si="191"/>
        <v>943213.05999999994</v>
      </c>
      <c r="X216" s="401" t="str">
        <f t="shared" si="178"/>
        <v xml:space="preserve"> </v>
      </c>
      <c r="Y216" s="185">
        <f t="shared" si="161"/>
        <v>819197.6300000007</v>
      </c>
      <c r="Z216" s="393">
        <f t="shared" si="169"/>
        <v>0.13125000000000001</v>
      </c>
      <c r="AA216" s="185">
        <f t="shared" si="170"/>
        <v>10874</v>
      </c>
      <c r="AB216" s="185">
        <f t="shared" si="171"/>
        <v>1914.0300000000007</v>
      </c>
      <c r="AC216" s="185">
        <f t="shared" si="172"/>
        <v>8959.9699999999993</v>
      </c>
      <c r="AD216" s="185">
        <f t="shared" si="165"/>
        <v>134.16999999999999</v>
      </c>
      <c r="AE216" s="185">
        <f t="shared" si="165"/>
        <v>188.55</v>
      </c>
      <c r="AF216" s="185">
        <f t="shared" si="173"/>
        <v>11196.72</v>
      </c>
      <c r="AG216" s="185">
        <f t="shared" si="192"/>
        <v>168434.49000000002</v>
      </c>
      <c r="AH216" s="185">
        <f t="shared" si="193"/>
        <v>1902466.5099999998</v>
      </c>
      <c r="AI216" s="411">
        <f t="shared" si="155"/>
        <v>1825360.5899999938</v>
      </c>
      <c r="AJ216" s="411">
        <f t="shared" si="143"/>
        <v>125929.45999999926</v>
      </c>
      <c r="AK216" s="411">
        <f t="shared" si="156"/>
        <v>1951290.0499999931</v>
      </c>
      <c r="AL216" s="185">
        <f t="shared" si="162"/>
        <v>817283.60000000068</v>
      </c>
      <c r="AM216" s="317">
        <f t="shared" si="179"/>
        <v>16</v>
      </c>
      <c r="AN216" s="14">
        <f t="shared" si="157"/>
        <v>19533.41</v>
      </c>
      <c r="AO216" s="14">
        <f t="shared" si="148"/>
        <v>943213.06</v>
      </c>
      <c r="AP216" s="14">
        <f t="shared" si="158"/>
        <v>10874</v>
      </c>
      <c r="AS216" s="14">
        <f t="shared" si="174"/>
        <v>19533.41</v>
      </c>
      <c r="AT216" s="14">
        <f t="shared" si="180"/>
        <v>3925734.8500000099</v>
      </c>
      <c r="AU216" s="185">
        <f t="shared" si="181"/>
        <v>4061.9748107612463</v>
      </c>
      <c r="AV216" s="185">
        <f t="shared" si="182"/>
        <v>642751.89911525988</v>
      </c>
    </row>
    <row r="217" spans="1:48">
      <c r="A217" s="401" t="str">
        <f t="shared" si="183"/>
        <v xml:space="preserve"> </v>
      </c>
      <c r="B217" s="185">
        <f t="shared" si="175"/>
        <v>0</v>
      </c>
      <c r="C217" s="14">
        <f t="shared" si="166"/>
        <v>0</v>
      </c>
      <c r="D217" s="14">
        <f t="shared" si="184"/>
        <v>0</v>
      </c>
      <c r="E217" s="14">
        <f t="shared" si="167"/>
        <v>0</v>
      </c>
      <c r="F217" s="14">
        <f t="shared" si="164"/>
        <v>0</v>
      </c>
      <c r="G217" s="14">
        <f t="shared" si="164"/>
        <v>0</v>
      </c>
      <c r="H217" s="14">
        <f t="shared" si="152"/>
        <v>0</v>
      </c>
      <c r="I217" s="185">
        <f t="shared" si="185"/>
        <v>0</v>
      </c>
      <c r="J217" s="185">
        <f t="shared" si="186"/>
        <v>0</v>
      </c>
      <c r="K217" s="185">
        <f t="shared" si="187"/>
        <v>0</v>
      </c>
      <c r="L217" s="317">
        <f t="shared" si="149"/>
        <v>16</v>
      </c>
      <c r="M217" s="317">
        <f t="shared" si="176"/>
        <v>201</v>
      </c>
      <c r="N217" s="185">
        <f t="shared" si="177"/>
        <v>943213.05999999994</v>
      </c>
      <c r="O217" s="185">
        <f t="shared" si="159"/>
        <v>19533.41</v>
      </c>
      <c r="P217" s="185">
        <f t="shared" si="188"/>
        <v>865.65000000000146</v>
      </c>
      <c r="Q217" s="185">
        <f t="shared" si="160"/>
        <v>18667.759999999998</v>
      </c>
      <c r="R217" s="185">
        <f t="shared" si="168"/>
        <v>134.16999999999999</v>
      </c>
      <c r="S217" s="185">
        <f t="shared" si="168"/>
        <v>188.55</v>
      </c>
      <c r="T217" s="185">
        <f t="shared" si="153"/>
        <v>19856.129999999997</v>
      </c>
      <c r="U217" s="185">
        <f t="shared" si="189"/>
        <v>43752.589999999967</v>
      </c>
      <c r="V217" s="185">
        <f t="shared" si="190"/>
        <v>3901996.2299999995</v>
      </c>
      <c r="W217" s="185">
        <f t="shared" si="191"/>
        <v>942347.40999999992</v>
      </c>
      <c r="X217" s="401" t="str">
        <f t="shared" si="178"/>
        <v xml:space="preserve"> </v>
      </c>
      <c r="Y217" s="185">
        <f t="shared" si="161"/>
        <v>817283.60000000068</v>
      </c>
      <c r="Z217" s="393">
        <f t="shared" si="169"/>
        <v>0.13125000000000001</v>
      </c>
      <c r="AA217" s="185">
        <f t="shared" si="170"/>
        <v>10874</v>
      </c>
      <c r="AB217" s="185">
        <f t="shared" si="171"/>
        <v>1934.9599999999991</v>
      </c>
      <c r="AC217" s="185">
        <f t="shared" si="172"/>
        <v>8939.0400000000009</v>
      </c>
      <c r="AD217" s="185">
        <f t="shared" si="165"/>
        <v>134.16999999999999</v>
      </c>
      <c r="AE217" s="185">
        <f t="shared" si="165"/>
        <v>188.55</v>
      </c>
      <c r="AF217" s="185">
        <f t="shared" si="173"/>
        <v>11196.72</v>
      </c>
      <c r="AG217" s="185">
        <f t="shared" si="192"/>
        <v>170369.45</v>
      </c>
      <c r="AH217" s="185">
        <f t="shared" si="193"/>
        <v>1911405.5499999998</v>
      </c>
      <c r="AI217" s="411">
        <f t="shared" si="155"/>
        <v>1834019.9999999937</v>
      </c>
      <c r="AJ217" s="411">
        <f t="shared" si="143"/>
        <v>126998.7699999992</v>
      </c>
      <c r="AK217" s="411">
        <f t="shared" si="156"/>
        <v>1961018.769999993</v>
      </c>
      <c r="AL217" s="185">
        <f t="shared" si="162"/>
        <v>815348.64000000071</v>
      </c>
      <c r="AM217" s="317">
        <f t="shared" si="179"/>
        <v>16</v>
      </c>
      <c r="AN217" s="14">
        <f t="shared" si="157"/>
        <v>19533.41</v>
      </c>
      <c r="AO217" s="14">
        <f t="shared" si="148"/>
        <v>942347.41</v>
      </c>
      <c r="AP217" s="14">
        <f t="shared" si="158"/>
        <v>10874</v>
      </c>
      <c r="AS217" s="14">
        <f t="shared" si="174"/>
        <v>19533.41</v>
      </c>
      <c r="AT217" s="14">
        <f t="shared" si="180"/>
        <v>3945268.26000001</v>
      </c>
      <c r="AU217" s="185">
        <f t="shared" si="181"/>
        <v>4072.129747788149</v>
      </c>
      <c r="AV217" s="185">
        <f t="shared" si="182"/>
        <v>646824.02886304806</v>
      </c>
    </row>
    <row r="218" spans="1:48">
      <c r="A218" s="401" t="str">
        <f t="shared" si="183"/>
        <v xml:space="preserve"> </v>
      </c>
      <c r="B218" s="185">
        <f t="shared" si="175"/>
        <v>0</v>
      </c>
      <c r="C218" s="14">
        <f t="shared" si="166"/>
        <v>0</v>
      </c>
      <c r="D218" s="14">
        <f t="shared" si="184"/>
        <v>0</v>
      </c>
      <c r="E218" s="14">
        <f t="shared" si="167"/>
        <v>0</v>
      </c>
      <c r="F218" s="14">
        <f t="shared" si="164"/>
        <v>0</v>
      </c>
      <c r="G218" s="14">
        <f t="shared" si="164"/>
        <v>0</v>
      </c>
      <c r="H218" s="14">
        <f t="shared" si="152"/>
        <v>0</v>
      </c>
      <c r="I218" s="185">
        <f t="shared" si="185"/>
        <v>0</v>
      </c>
      <c r="J218" s="185">
        <f t="shared" si="186"/>
        <v>0</v>
      </c>
      <c r="K218" s="185">
        <f t="shared" si="187"/>
        <v>0</v>
      </c>
      <c r="L218" s="317">
        <f t="shared" si="149"/>
        <v>16</v>
      </c>
      <c r="M218" s="317">
        <f t="shared" si="176"/>
        <v>202</v>
      </c>
      <c r="N218" s="185">
        <f t="shared" si="177"/>
        <v>942347.40999999992</v>
      </c>
      <c r="O218" s="185">
        <f t="shared" si="159"/>
        <v>19533.41</v>
      </c>
      <c r="P218" s="185">
        <f t="shared" si="188"/>
        <v>882.77999999999884</v>
      </c>
      <c r="Q218" s="185">
        <f t="shared" si="160"/>
        <v>18650.63</v>
      </c>
      <c r="R218" s="185">
        <f t="shared" si="168"/>
        <v>134.16999999999999</v>
      </c>
      <c r="S218" s="185">
        <f t="shared" si="168"/>
        <v>188.55</v>
      </c>
      <c r="T218" s="185">
        <f t="shared" si="153"/>
        <v>19856.129999999997</v>
      </c>
      <c r="U218" s="185">
        <f t="shared" si="189"/>
        <v>44635.369999999966</v>
      </c>
      <c r="V218" s="185">
        <f t="shared" si="190"/>
        <v>3920646.8599999994</v>
      </c>
      <c r="W218" s="185">
        <f t="shared" si="191"/>
        <v>941464.62999999989</v>
      </c>
      <c r="X218" s="401" t="str">
        <f t="shared" si="178"/>
        <v xml:space="preserve"> </v>
      </c>
      <c r="Y218" s="185">
        <f t="shared" si="161"/>
        <v>815348.64000000071</v>
      </c>
      <c r="Z218" s="393">
        <f t="shared" si="169"/>
        <v>0.13125000000000001</v>
      </c>
      <c r="AA218" s="185">
        <f t="shared" si="170"/>
        <v>10874</v>
      </c>
      <c r="AB218" s="185">
        <f t="shared" si="171"/>
        <v>1956.1200000000008</v>
      </c>
      <c r="AC218" s="185">
        <f t="shared" si="172"/>
        <v>8917.8799999999992</v>
      </c>
      <c r="AD218" s="185">
        <f t="shared" si="165"/>
        <v>134.16999999999999</v>
      </c>
      <c r="AE218" s="185">
        <f t="shared" si="165"/>
        <v>188.55</v>
      </c>
      <c r="AF218" s="185">
        <f t="shared" si="173"/>
        <v>11196.72</v>
      </c>
      <c r="AG218" s="185">
        <f t="shared" si="192"/>
        <v>172325.57</v>
      </c>
      <c r="AH218" s="185">
        <f t="shared" si="193"/>
        <v>1920323.4299999997</v>
      </c>
      <c r="AI218" s="411">
        <f t="shared" si="155"/>
        <v>1842679.4099999936</v>
      </c>
      <c r="AJ218" s="411">
        <f t="shared" si="143"/>
        <v>128072.10999999917</v>
      </c>
      <c r="AK218" s="411">
        <f t="shared" si="156"/>
        <v>1970751.5199999928</v>
      </c>
      <c r="AL218" s="185">
        <f t="shared" si="162"/>
        <v>813392.52000000072</v>
      </c>
      <c r="AM218" s="317">
        <f t="shared" si="179"/>
        <v>16</v>
      </c>
      <c r="AN218" s="14">
        <f t="shared" si="157"/>
        <v>19533.41</v>
      </c>
      <c r="AO218" s="14">
        <f t="shared" si="148"/>
        <v>941464.63</v>
      </c>
      <c r="AP218" s="14">
        <f t="shared" si="158"/>
        <v>10874</v>
      </c>
      <c r="AS218" s="14">
        <f t="shared" si="174"/>
        <v>19533.41</v>
      </c>
      <c r="AT218" s="14">
        <f t="shared" si="180"/>
        <v>3964801.6700000102</v>
      </c>
      <c r="AU218" s="185">
        <f t="shared" si="181"/>
        <v>4082.3100721576207</v>
      </c>
      <c r="AV218" s="185">
        <f t="shared" si="182"/>
        <v>650906.33893520571</v>
      </c>
    </row>
    <row r="219" spans="1:48" ht="15.75" thickBot="1">
      <c r="A219" s="404" t="str">
        <f t="shared" si="183"/>
        <v xml:space="preserve"> </v>
      </c>
      <c r="B219" s="237">
        <f t="shared" si="175"/>
        <v>0</v>
      </c>
      <c r="C219" s="21">
        <f t="shared" si="166"/>
        <v>0</v>
      </c>
      <c r="D219" s="21">
        <f t="shared" si="184"/>
        <v>0</v>
      </c>
      <c r="E219" s="21">
        <f t="shared" si="167"/>
        <v>0</v>
      </c>
      <c r="F219" s="21">
        <f t="shared" ref="F219:G234" si="194">+F218</f>
        <v>0</v>
      </c>
      <c r="G219" s="21">
        <f t="shared" si="194"/>
        <v>0</v>
      </c>
      <c r="H219" s="21">
        <f t="shared" si="152"/>
        <v>0</v>
      </c>
      <c r="I219" s="237">
        <f t="shared" si="185"/>
        <v>0</v>
      </c>
      <c r="J219" s="237">
        <f t="shared" si="186"/>
        <v>0</v>
      </c>
      <c r="K219" s="237">
        <f t="shared" si="187"/>
        <v>0</v>
      </c>
      <c r="L219" s="318">
        <f t="shared" si="149"/>
        <v>16</v>
      </c>
      <c r="M219" s="318">
        <f t="shared" si="176"/>
        <v>203</v>
      </c>
      <c r="N219" s="237">
        <f t="shared" si="177"/>
        <v>941464.62999999989</v>
      </c>
      <c r="O219" s="237">
        <f t="shared" si="159"/>
        <v>19533.41</v>
      </c>
      <c r="P219" s="237">
        <f t="shared" si="188"/>
        <v>900.2599999999984</v>
      </c>
      <c r="Q219" s="237">
        <f t="shared" si="160"/>
        <v>18633.150000000001</v>
      </c>
      <c r="R219" s="237">
        <f t="shared" si="168"/>
        <v>134.16999999999999</v>
      </c>
      <c r="S219" s="237">
        <f t="shared" si="168"/>
        <v>188.55</v>
      </c>
      <c r="T219" s="237">
        <f t="shared" si="153"/>
        <v>19856.129999999997</v>
      </c>
      <c r="U219" s="237">
        <f t="shared" si="189"/>
        <v>45535.629999999961</v>
      </c>
      <c r="V219" s="237">
        <f t="shared" si="190"/>
        <v>3939280.0099999993</v>
      </c>
      <c r="W219" s="237">
        <f t="shared" si="191"/>
        <v>940564.36999999988</v>
      </c>
      <c r="X219" s="404" t="str">
        <f t="shared" si="178"/>
        <v xml:space="preserve"> </v>
      </c>
      <c r="Y219" s="237">
        <f t="shared" si="161"/>
        <v>813392.52000000072</v>
      </c>
      <c r="Z219" s="394">
        <f t="shared" si="169"/>
        <v>0.13125000000000001</v>
      </c>
      <c r="AA219" s="237">
        <f t="shared" si="170"/>
        <v>10874</v>
      </c>
      <c r="AB219" s="237">
        <f t="shared" si="171"/>
        <v>1977.5200000000004</v>
      </c>
      <c r="AC219" s="237">
        <f t="shared" si="172"/>
        <v>8896.48</v>
      </c>
      <c r="AD219" s="237">
        <f t="shared" si="165"/>
        <v>134.16999999999999</v>
      </c>
      <c r="AE219" s="237">
        <f t="shared" si="165"/>
        <v>188.55</v>
      </c>
      <c r="AF219" s="237">
        <f t="shared" si="173"/>
        <v>11196.72</v>
      </c>
      <c r="AG219" s="237">
        <f t="shared" si="192"/>
        <v>174303.09</v>
      </c>
      <c r="AH219" s="237">
        <f t="shared" si="193"/>
        <v>1929219.9099999997</v>
      </c>
      <c r="AI219" s="412">
        <f t="shared" si="155"/>
        <v>1851338.8199999935</v>
      </c>
      <c r="AJ219" s="412">
        <f t="shared" si="143"/>
        <v>129149.36999999918</v>
      </c>
      <c r="AK219" s="411">
        <f t="shared" si="156"/>
        <v>1980488.1899999927</v>
      </c>
      <c r="AL219" s="237">
        <f t="shared" si="162"/>
        <v>811415.0000000007</v>
      </c>
      <c r="AM219" s="318">
        <f t="shared" si="179"/>
        <v>16</v>
      </c>
      <c r="AN219" s="21">
        <f t="shared" si="157"/>
        <v>19533.41</v>
      </c>
      <c r="AO219" s="21">
        <f t="shared" si="148"/>
        <v>940564.37</v>
      </c>
      <c r="AP219" s="21">
        <f t="shared" si="158"/>
        <v>10874</v>
      </c>
      <c r="AQ219" s="21"/>
      <c r="AR219" s="23"/>
      <c r="AS219" s="21">
        <f t="shared" si="174"/>
        <v>19533.41</v>
      </c>
      <c r="AT219" s="21">
        <f t="shared" si="180"/>
        <v>3984335.0800000103</v>
      </c>
      <c r="AU219" s="237">
        <f t="shared" si="181"/>
        <v>4092.5158473380143</v>
      </c>
      <c r="AV219" s="237">
        <f t="shared" si="182"/>
        <v>654998.85478254373</v>
      </c>
    </row>
    <row r="220" spans="1:48">
      <c r="A220" s="401" t="str">
        <f t="shared" si="183"/>
        <v xml:space="preserve"> </v>
      </c>
      <c r="B220" s="185">
        <f t="shared" si="175"/>
        <v>0</v>
      </c>
      <c r="C220" s="14">
        <f t="shared" si="166"/>
        <v>0</v>
      </c>
      <c r="D220" s="14">
        <f t="shared" si="184"/>
        <v>0</v>
      </c>
      <c r="E220" s="14">
        <f t="shared" si="167"/>
        <v>0</v>
      </c>
      <c r="F220" s="14">
        <f t="shared" si="194"/>
        <v>0</v>
      </c>
      <c r="G220" s="14">
        <f t="shared" si="194"/>
        <v>0</v>
      </c>
      <c r="H220" s="14">
        <f t="shared" si="152"/>
        <v>0</v>
      </c>
      <c r="I220" s="185">
        <f t="shared" si="185"/>
        <v>0</v>
      </c>
      <c r="J220" s="185">
        <f t="shared" si="186"/>
        <v>0</v>
      </c>
      <c r="K220" s="185">
        <f t="shared" si="187"/>
        <v>0</v>
      </c>
      <c r="L220" s="317">
        <f t="shared" si="149"/>
        <v>17</v>
      </c>
      <c r="M220" s="317">
        <f t="shared" si="176"/>
        <v>204</v>
      </c>
      <c r="N220" s="185">
        <f t="shared" si="177"/>
        <v>940564.36999999988</v>
      </c>
      <c r="O220" s="185">
        <f t="shared" si="159"/>
        <v>19533.41</v>
      </c>
      <c r="P220" s="185">
        <f t="shared" si="188"/>
        <v>918.06999999999971</v>
      </c>
      <c r="Q220" s="185">
        <f t="shared" si="160"/>
        <v>18615.34</v>
      </c>
      <c r="R220" s="185">
        <f t="shared" si="168"/>
        <v>134.16999999999999</v>
      </c>
      <c r="S220" s="185">
        <f t="shared" si="168"/>
        <v>188.55</v>
      </c>
      <c r="T220" s="185">
        <f t="shared" si="153"/>
        <v>19856.129999999997</v>
      </c>
      <c r="U220" s="185">
        <f t="shared" si="189"/>
        <v>46453.699999999961</v>
      </c>
      <c r="V220" s="185">
        <f t="shared" si="190"/>
        <v>3957895.3499999992</v>
      </c>
      <c r="W220" s="185">
        <f t="shared" si="191"/>
        <v>939646.29999999993</v>
      </c>
      <c r="X220" s="401" t="str">
        <f t="shared" si="178"/>
        <v xml:space="preserve"> </v>
      </c>
      <c r="Y220" s="185">
        <f t="shared" si="161"/>
        <v>811415.0000000007</v>
      </c>
      <c r="Z220" s="393">
        <f t="shared" si="169"/>
        <v>0.13125000000000001</v>
      </c>
      <c r="AA220" s="185">
        <f t="shared" si="170"/>
        <v>10874</v>
      </c>
      <c r="AB220" s="185">
        <f t="shared" si="171"/>
        <v>1999.1499999999996</v>
      </c>
      <c r="AC220" s="185">
        <f t="shared" si="172"/>
        <v>8874.85</v>
      </c>
      <c r="AD220" s="185">
        <f t="shared" si="165"/>
        <v>134.16999999999999</v>
      </c>
      <c r="AE220" s="185">
        <f t="shared" si="165"/>
        <v>188.55</v>
      </c>
      <c r="AF220" s="185">
        <f t="shared" si="173"/>
        <v>11196.72</v>
      </c>
      <c r="AG220" s="185">
        <f t="shared" si="192"/>
        <v>176302.24</v>
      </c>
      <c r="AH220" s="185">
        <f t="shared" si="193"/>
        <v>1938094.7599999998</v>
      </c>
      <c r="AI220" s="411">
        <f t="shared" si="155"/>
        <v>1859998.2299999935</v>
      </c>
      <c r="AJ220" s="411">
        <f t="shared" ref="AJ220:AJ283" si="195">+W220-AL220</f>
        <v>130230.44999999925</v>
      </c>
      <c r="AK220" s="411">
        <f t="shared" si="156"/>
        <v>1990228.6799999927</v>
      </c>
      <c r="AL220" s="185">
        <f t="shared" si="162"/>
        <v>809415.85000000068</v>
      </c>
      <c r="AM220" s="317">
        <f t="shared" si="179"/>
        <v>17</v>
      </c>
      <c r="AN220" s="14">
        <f t="shared" si="157"/>
        <v>19533.41</v>
      </c>
      <c r="AO220" s="14">
        <f t="shared" si="148"/>
        <v>939646.3</v>
      </c>
      <c r="AP220" s="14">
        <f t="shared" si="158"/>
        <v>10874</v>
      </c>
      <c r="AS220" s="14">
        <f t="shared" si="174"/>
        <v>19533.41</v>
      </c>
      <c r="AT220" s="14">
        <f t="shared" si="180"/>
        <v>4003868.4900000105</v>
      </c>
      <c r="AU220" s="185">
        <f t="shared" si="181"/>
        <v>4102.7471369563591</v>
      </c>
      <c r="AV220" s="185">
        <f t="shared" si="182"/>
        <v>659101.60191950004</v>
      </c>
    </row>
    <row r="221" spans="1:48">
      <c r="A221" s="401" t="str">
        <f t="shared" si="183"/>
        <v xml:space="preserve"> </v>
      </c>
      <c r="B221" s="185">
        <f t="shared" si="175"/>
        <v>0</v>
      </c>
      <c r="C221" s="14">
        <f t="shared" si="166"/>
        <v>0</v>
      </c>
      <c r="D221" s="14">
        <f t="shared" si="184"/>
        <v>0</v>
      </c>
      <c r="E221" s="14">
        <f t="shared" si="167"/>
        <v>0</v>
      </c>
      <c r="F221" s="14">
        <f t="shared" si="194"/>
        <v>0</v>
      </c>
      <c r="G221" s="14">
        <f t="shared" si="194"/>
        <v>0</v>
      </c>
      <c r="H221" s="14">
        <f t="shared" si="152"/>
        <v>0</v>
      </c>
      <c r="I221" s="185">
        <f t="shared" si="185"/>
        <v>0</v>
      </c>
      <c r="J221" s="185">
        <f t="shared" si="186"/>
        <v>0</v>
      </c>
      <c r="K221" s="185">
        <f t="shared" si="187"/>
        <v>0</v>
      </c>
      <c r="L221" s="317">
        <f t="shared" si="149"/>
        <v>17</v>
      </c>
      <c r="M221" s="317">
        <f t="shared" si="176"/>
        <v>205</v>
      </c>
      <c r="N221" s="185">
        <f t="shared" si="177"/>
        <v>939646.29999999993</v>
      </c>
      <c r="O221" s="185">
        <f t="shared" si="159"/>
        <v>19533.41</v>
      </c>
      <c r="P221" s="185">
        <f t="shared" si="188"/>
        <v>936.2400000000016</v>
      </c>
      <c r="Q221" s="185">
        <f t="shared" si="160"/>
        <v>18597.169999999998</v>
      </c>
      <c r="R221" s="185">
        <f t="shared" si="168"/>
        <v>134.16999999999999</v>
      </c>
      <c r="S221" s="185">
        <f t="shared" si="168"/>
        <v>188.55</v>
      </c>
      <c r="T221" s="185">
        <f t="shared" si="153"/>
        <v>19856.129999999997</v>
      </c>
      <c r="U221" s="185">
        <f t="shared" si="189"/>
        <v>47389.939999999959</v>
      </c>
      <c r="V221" s="185">
        <f t="shared" si="190"/>
        <v>3976492.5199999991</v>
      </c>
      <c r="W221" s="185">
        <f t="shared" si="191"/>
        <v>938710.05999999994</v>
      </c>
      <c r="X221" s="401" t="str">
        <f t="shared" si="178"/>
        <v xml:space="preserve"> </v>
      </c>
      <c r="Y221" s="185">
        <f t="shared" si="161"/>
        <v>809415.85000000068</v>
      </c>
      <c r="Z221" s="393">
        <f t="shared" si="169"/>
        <v>0.13125000000000001</v>
      </c>
      <c r="AA221" s="185">
        <f t="shared" si="170"/>
        <v>10874</v>
      </c>
      <c r="AB221" s="185">
        <f t="shared" si="171"/>
        <v>2021.0100000000002</v>
      </c>
      <c r="AC221" s="185">
        <f t="shared" si="172"/>
        <v>8852.99</v>
      </c>
      <c r="AD221" s="185">
        <f t="shared" ref="AD221:AE236" si="196">+AD220</f>
        <v>134.16999999999999</v>
      </c>
      <c r="AE221" s="185">
        <f t="shared" si="196"/>
        <v>188.55</v>
      </c>
      <c r="AF221" s="185">
        <f t="shared" si="173"/>
        <v>11196.72</v>
      </c>
      <c r="AG221" s="185">
        <f t="shared" si="192"/>
        <v>178323.25</v>
      </c>
      <c r="AH221" s="185">
        <f t="shared" si="193"/>
        <v>1946947.7499999998</v>
      </c>
      <c r="AI221" s="411">
        <f t="shared" si="155"/>
        <v>1868657.6399999934</v>
      </c>
      <c r="AJ221" s="411">
        <f t="shared" si="195"/>
        <v>131315.21999999927</v>
      </c>
      <c r="AK221" s="411">
        <f t="shared" si="156"/>
        <v>1999972.8599999927</v>
      </c>
      <c r="AL221" s="185">
        <f t="shared" si="162"/>
        <v>807394.84000000067</v>
      </c>
      <c r="AM221" s="317">
        <f t="shared" si="179"/>
        <v>17</v>
      </c>
      <c r="AN221" s="14">
        <f t="shared" si="157"/>
        <v>19533.41</v>
      </c>
      <c r="AO221" s="14">
        <f t="shared" si="148"/>
        <v>938710.06</v>
      </c>
      <c r="AP221" s="14">
        <f t="shared" si="158"/>
        <v>10874</v>
      </c>
      <c r="AS221" s="14">
        <f t="shared" si="174"/>
        <v>19533.41</v>
      </c>
      <c r="AT221" s="14">
        <f t="shared" si="180"/>
        <v>4023401.9000000106</v>
      </c>
      <c r="AU221" s="185">
        <f t="shared" si="181"/>
        <v>4113.0040047987504</v>
      </c>
      <c r="AV221" s="185">
        <f t="shared" si="182"/>
        <v>663214.60592429875</v>
      </c>
    </row>
    <row r="222" spans="1:48">
      <c r="A222" s="401" t="str">
        <f t="shared" si="183"/>
        <v xml:space="preserve"> </v>
      </c>
      <c r="B222" s="185">
        <f t="shared" si="175"/>
        <v>0</v>
      </c>
      <c r="C222" s="14">
        <f t="shared" si="166"/>
        <v>0</v>
      </c>
      <c r="D222" s="14">
        <f t="shared" si="184"/>
        <v>0</v>
      </c>
      <c r="E222" s="14">
        <f t="shared" si="167"/>
        <v>0</v>
      </c>
      <c r="F222" s="14">
        <f t="shared" si="194"/>
        <v>0</v>
      </c>
      <c r="G222" s="14">
        <f t="shared" si="194"/>
        <v>0</v>
      </c>
      <c r="H222" s="14">
        <f t="shared" si="152"/>
        <v>0</v>
      </c>
      <c r="I222" s="185">
        <f t="shared" si="185"/>
        <v>0</v>
      </c>
      <c r="J222" s="185">
        <f t="shared" si="186"/>
        <v>0</v>
      </c>
      <c r="K222" s="185">
        <f t="shared" si="187"/>
        <v>0</v>
      </c>
      <c r="L222" s="317">
        <f t="shared" si="149"/>
        <v>17</v>
      </c>
      <c r="M222" s="317">
        <f t="shared" si="176"/>
        <v>206</v>
      </c>
      <c r="N222" s="185">
        <f t="shared" si="177"/>
        <v>938710.05999999994</v>
      </c>
      <c r="O222" s="185">
        <f t="shared" si="159"/>
        <v>19533.41</v>
      </c>
      <c r="P222" s="185">
        <f t="shared" si="188"/>
        <v>954.77000000000044</v>
      </c>
      <c r="Q222" s="185">
        <f t="shared" si="160"/>
        <v>18578.64</v>
      </c>
      <c r="R222" s="185">
        <f t="shared" si="168"/>
        <v>134.16999999999999</v>
      </c>
      <c r="S222" s="185">
        <f t="shared" si="168"/>
        <v>188.55</v>
      </c>
      <c r="T222" s="185">
        <f t="shared" si="153"/>
        <v>19856.129999999997</v>
      </c>
      <c r="U222" s="185">
        <f t="shared" si="189"/>
        <v>48344.709999999963</v>
      </c>
      <c r="V222" s="185">
        <f t="shared" si="190"/>
        <v>3995071.1599999992</v>
      </c>
      <c r="W222" s="185">
        <f t="shared" si="191"/>
        <v>937755.28999999992</v>
      </c>
      <c r="X222" s="401" t="str">
        <f t="shared" si="178"/>
        <v xml:space="preserve"> </v>
      </c>
      <c r="Y222" s="185">
        <f t="shared" si="161"/>
        <v>807394.84000000067</v>
      </c>
      <c r="Z222" s="393">
        <f t="shared" si="169"/>
        <v>0.13125000000000001</v>
      </c>
      <c r="AA222" s="185">
        <f t="shared" si="170"/>
        <v>10874</v>
      </c>
      <c r="AB222" s="185">
        <f t="shared" si="171"/>
        <v>2043.1200000000008</v>
      </c>
      <c r="AC222" s="185">
        <f t="shared" si="172"/>
        <v>8830.8799999999992</v>
      </c>
      <c r="AD222" s="185">
        <f t="shared" si="196"/>
        <v>134.16999999999999</v>
      </c>
      <c r="AE222" s="185">
        <f t="shared" si="196"/>
        <v>188.55</v>
      </c>
      <c r="AF222" s="185">
        <f t="shared" si="173"/>
        <v>11196.72</v>
      </c>
      <c r="AG222" s="185">
        <f t="shared" si="192"/>
        <v>180366.37</v>
      </c>
      <c r="AH222" s="185">
        <f t="shared" si="193"/>
        <v>1955778.6299999997</v>
      </c>
      <c r="AI222" s="411">
        <f t="shared" si="155"/>
        <v>1877317.0499999933</v>
      </c>
      <c r="AJ222" s="411">
        <f t="shared" si="195"/>
        <v>132403.56999999925</v>
      </c>
      <c r="AK222" s="411">
        <f t="shared" si="156"/>
        <v>2009720.6199999927</v>
      </c>
      <c r="AL222" s="185">
        <f t="shared" si="162"/>
        <v>805351.72000000067</v>
      </c>
      <c r="AM222" s="317">
        <f t="shared" si="179"/>
        <v>17</v>
      </c>
      <c r="AN222" s="14">
        <f t="shared" si="157"/>
        <v>19533.41</v>
      </c>
      <c r="AO222" s="14">
        <f t="shared" si="148"/>
        <v>937755.29</v>
      </c>
      <c r="AP222" s="14">
        <f t="shared" si="158"/>
        <v>10874</v>
      </c>
      <c r="AS222" s="14">
        <f t="shared" si="174"/>
        <v>19533.41</v>
      </c>
      <c r="AT222" s="14">
        <f t="shared" si="180"/>
        <v>4042935.3100000108</v>
      </c>
      <c r="AU222" s="185">
        <f t="shared" si="181"/>
        <v>4123.2865148107467</v>
      </c>
      <c r="AV222" s="185">
        <f t="shared" si="182"/>
        <v>667337.89243910951</v>
      </c>
    </row>
    <row r="223" spans="1:48">
      <c r="A223" s="401" t="str">
        <f t="shared" si="183"/>
        <v xml:space="preserve"> </v>
      </c>
      <c r="B223" s="185">
        <f t="shared" si="175"/>
        <v>0</v>
      </c>
      <c r="C223" s="14">
        <f t="shared" si="166"/>
        <v>0</v>
      </c>
      <c r="D223" s="14">
        <f t="shared" si="184"/>
        <v>0</v>
      </c>
      <c r="E223" s="14">
        <f t="shared" si="167"/>
        <v>0</v>
      </c>
      <c r="F223" s="14">
        <f t="shared" si="194"/>
        <v>0</v>
      </c>
      <c r="G223" s="14">
        <f t="shared" si="194"/>
        <v>0</v>
      </c>
      <c r="H223" s="14">
        <f t="shared" si="152"/>
        <v>0</v>
      </c>
      <c r="I223" s="185">
        <f t="shared" si="185"/>
        <v>0</v>
      </c>
      <c r="J223" s="185">
        <f t="shared" si="186"/>
        <v>0</v>
      </c>
      <c r="K223" s="185">
        <f t="shared" si="187"/>
        <v>0</v>
      </c>
      <c r="L223" s="317">
        <f t="shared" si="149"/>
        <v>17</v>
      </c>
      <c r="M223" s="317">
        <f t="shared" si="176"/>
        <v>207</v>
      </c>
      <c r="N223" s="185">
        <f t="shared" si="177"/>
        <v>937755.28999999992</v>
      </c>
      <c r="O223" s="185">
        <f t="shared" si="159"/>
        <v>19533.41</v>
      </c>
      <c r="P223" s="185">
        <f t="shared" si="188"/>
        <v>973.66999999999825</v>
      </c>
      <c r="Q223" s="185">
        <f t="shared" si="160"/>
        <v>18559.740000000002</v>
      </c>
      <c r="R223" s="185">
        <f t="shared" si="168"/>
        <v>134.16999999999999</v>
      </c>
      <c r="S223" s="185">
        <f t="shared" si="168"/>
        <v>188.55</v>
      </c>
      <c r="T223" s="185">
        <f t="shared" si="153"/>
        <v>19856.129999999997</v>
      </c>
      <c r="U223" s="185">
        <f t="shared" si="189"/>
        <v>49318.379999999961</v>
      </c>
      <c r="V223" s="185">
        <f t="shared" si="190"/>
        <v>4013630.8999999994</v>
      </c>
      <c r="W223" s="185">
        <f t="shared" si="191"/>
        <v>936781.61999999988</v>
      </c>
      <c r="X223" s="401" t="str">
        <f t="shared" si="178"/>
        <v xml:space="preserve"> </v>
      </c>
      <c r="Y223" s="185">
        <f t="shared" si="161"/>
        <v>805351.72000000067</v>
      </c>
      <c r="Z223" s="393">
        <f t="shared" si="169"/>
        <v>0.13125000000000001</v>
      </c>
      <c r="AA223" s="185">
        <f t="shared" si="170"/>
        <v>10874</v>
      </c>
      <c r="AB223" s="185">
        <f t="shared" si="171"/>
        <v>2065.4699999999993</v>
      </c>
      <c r="AC223" s="185">
        <f t="shared" si="172"/>
        <v>8808.5300000000007</v>
      </c>
      <c r="AD223" s="185">
        <f t="shared" si="196"/>
        <v>134.16999999999999</v>
      </c>
      <c r="AE223" s="185">
        <f t="shared" si="196"/>
        <v>188.55</v>
      </c>
      <c r="AF223" s="185">
        <f t="shared" si="173"/>
        <v>11196.72</v>
      </c>
      <c r="AG223" s="185">
        <f t="shared" si="192"/>
        <v>182431.84</v>
      </c>
      <c r="AH223" s="185">
        <f t="shared" si="193"/>
        <v>1964587.1599999997</v>
      </c>
      <c r="AI223" s="411">
        <f t="shared" si="155"/>
        <v>1885976.4599999932</v>
      </c>
      <c r="AJ223" s="411">
        <f t="shared" si="195"/>
        <v>133495.36999999918</v>
      </c>
      <c r="AK223" s="411">
        <f t="shared" si="156"/>
        <v>2019471.8299999924</v>
      </c>
      <c r="AL223" s="185">
        <f t="shared" si="162"/>
        <v>803286.2500000007</v>
      </c>
      <c r="AM223" s="317">
        <f t="shared" si="179"/>
        <v>17</v>
      </c>
      <c r="AN223" s="14">
        <f t="shared" si="157"/>
        <v>19533.41</v>
      </c>
      <c r="AO223" s="14">
        <f t="shared" si="148"/>
        <v>936781.62</v>
      </c>
      <c r="AP223" s="14">
        <f t="shared" si="158"/>
        <v>10874</v>
      </c>
      <c r="AS223" s="14">
        <f t="shared" si="174"/>
        <v>19533.41</v>
      </c>
      <c r="AT223" s="14">
        <f t="shared" si="180"/>
        <v>4062468.7200000109</v>
      </c>
      <c r="AU223" s="185">
        <f t="shared" si="181"/>
        <v>4133.5947310977735</v>
      </c>
      <c r="AV223" s="185">
        <f t="shared" si="182"/>
        <v>671471.48717020731</v>
      </c>
    </row>
    <row r="224" spans="1:48">
      <c r="A224" s="401" t="str">
        <f t="shared" si="183"/>
        <v xml:space="preserve"> </v>
      </c>
      <c r="B224" s="185">
        <f t="shared" si="175"/>
        <v>0</v>
      </c>
      <c r="C224" s="14">
        <f t="shared" si="166"/>
        <v>0</v>
      </c>
      <c r="D224" s="14">
        <f t="shared" si="184"/>
        <v>0</v>
      </c>
      <c r="E224" s="14">
        <f t="shared" si="167"/>
        <v>0</v>
      </c>
      <c r="F224" s="14">
        <f t="shared" si="194"/>
        <v>0</v>
      </c>
      <c r="G224" s="14">
        <f t="shared" si="194"/>
        <v>0</v>
      </c>
      <c r="H224" s="14">
        <f t="shared" si="152"/>
        <v>0</v>
      </c>
      <c r="I224" s="185">
        <f t="shared" si="185"/>
        <v>0</v>
      </c>
      <c r="J224" s="185">
        <f t="shared" si="186"/>
        <v>0</v>
      </c>
      <c r="K224" s="185">
        <f t="shared" si="187"/>
        <v>0</v>
      </c>
      <c r="L224" s="317">
        <f t="shared" si="149"/>
        <v>17</v>
      </c>
      <c r="M224" s="317">
        <f t="shared" si="176"/>
        <v>208</v>
      </c>
      <c r="N224" s="185">
        <f t="shared" si="177"/>
        <v>936781.61999999988</v>
      </c>
      <c r="O224" s="185">
        <f t="shared" si="159"/>
        <v>19533.41</v>
      </c>
      <c r="P224" s="185">
        <f t="shared" si="188"/>
        <v>992.93999999999869</v>
      </c>
      <c r="Q224" s="185">
        <f t="shared" si="160"/>
        <v>18540.47</v>
      </c>
      <c r="R224" s="185">
        <f t="shared" ref="R224:S239" si="197">+R223</f>
        <v>134.16999999999999</v>
      </c>
      <c r="S224" s="185">
        <f t="shared" si="197"/>
        <v>188.55</v>
      </c>
      <c r="T224" s="185">
        <f t="shared" si="153"/>
        <v>19856.129999999997</v>
      </c>
      <c r="U224" s="185">
        <f t="shared" si="189"/>
        <v>50311.319999999963</v>
      </c>
      <c r="V224" s="185">
        <f t="shared" si="190"/>
        <v>4032171.3699999996</v>
      </c>
      <c r="W224" s="185">
        <f t="shared" si="191"/>
        <v>935788.67999999993</v>
      </c>
      <c r="X224" s="401" t="str">
        <f t="shared" si="178"/>
        <v xml:space="preserve"> </v>
      </c>
      <c r="Y224" s="185">
        <f t="shared" si="161"/>
        <v>803286.2500000007</v>
      </c>
      <c r="Z224" s="393">
        <f t="shared" si="169"/>
        <v>0.13125000000000001</v>
      </c>
      <c r="AA224" s="185">
        <f t="shared" si="170"/>
        <v>10874</v>
      </c>
      <c r="AB224" s="185">
        <f t="shared" si="171"/>
        <v>2088.0599999999995</v>
      </c>
      <c r="AC224" s="185">
        <f t="shared" si="172"/>
        <v>8785.94</v>
      </c>
      <c r="AD224" s="185">
        <f t="shared" si="196"/>
        <v>134.16999999999999</v>
      </c>
      <c r="AE224" s="185">
        <f t="shared" si="196"/>
        <v>188.55</v>
      </c>
      <c r="AF224" s="185">
        <f t="shared" si="173"/>
        <v>11196.72</v>
      </c>
      <c r="AG224" s="185">
        <f t="shared" si="192"/>
        <v>184519.9</v>
      </c>
      <c r="AH224" s="185">
        <f t="shared" si="193"/>
        <v>1973373.0999999996</v>
      </c>
      <c r="AI224" s="411">
        <f t="shared" si="155"/>
        <v>1894635.8699999931</v>
      </c>
      <c r="AJ224" s="411">
        <f t="shared" si="195"/>
        <v>134590.48999999929</v>
      </c>
      <c r="AK224" s="411">
        <f t="shared" si="156"/>
        <v>2029226.3599999924</v>
      </c>
      <c r="AL224" s="185">
        <f t="shared" si="162"/>
        <v>801198.19000000064</v>
      </c>
      <c r="AM224" s="317">
        <f t="shared" si="179"/>
        <v>17</v>
      </c>
      <c r="AN224" s="14">
        <f t="shared" si="157"/>
        <v>19533.41</v>
      </c>
      <c r="AO224" s="14">
        <f t="shared" si="148"/>
        <v>935788.68</v>
      </c>
      <c r="AP224" s="14">
        <f t="shared" si="158"/>
        <v>10874</v>
      </c>
      <c r="AS224" s="14">
        <f t="shared" si="174"/>
        <v>19533.41</v>
      </c>
      <c r="AT224" s="14">
        <f t="shared" si="180"/>
        <v>4082002.1300000111</v>
      </c>
      <c r="AU224" s="185">
        <f t="shared" si="181"/>
        <v>4143.928717925518</v>
      </c>
      <c r="AV224" s="185">
        <f t="shared" si="182"/>
        <v>675615.41588813288</v>
      </c>
    </row>
    <row r="225" spans="1:48">
      <c r="A225" s="401" t="str">
        <f t="shared" si="183"/>
        <v xml:space="preserve"> </v>
      </c>
      <c r="B225" s="185">
        <f t="shared" si="175"/>
        <v>0</v>
      </c>
      <c r="C225" s="14">
        <f t="shared" si="166"/>
        <v>0</v>
      </c>
      <c r="D225" s="14">
        <f t="shared" si="184"/>
        <v>0</v>
      </c>
      <c r="E225" s="14">
        <f t="shared" si="167"/>
        <v>0</v>
      </c>
      <c r="F225" s="14">
        <f t="shared" si="194"/>
        <v>0</v>
      </c>
      <c r="G225" s="14">
        <f t="shared" si="194"/>
        <v>0</v>
      </c>
      <c r="H225" s="14">
        <f t="shared" si="152"/>
        <v>0</v>
      </c>
      <c r="I225" s="185">
        <f t="shared" si="185"/>
        <v>0</v>
      </c>
      <c r="J225" s="185">
        <f t="shared" si="186"/>
        <v>0</v>
      </c>
      <c r="K225" s="185">
        <f t="shared" si="187"/>
        <v>0</v>
      </c>
      <c r="L225" s="317">
        <f t="shared" si="149"/>
        <v>17</v>
      </c>
      <c r="M225" s="317">
        <f t="shared" si="176"/>
        <v>209</v>
      </c>
      <c r="N225" s="185">
        <f t="shared" si="177"/>
        <v>935788.67999999993</v>
      </c>
      <c r="O225" s="185">
        <f t="shared" si="159"/>
        <v>19533.41</v>
      </c>
      <c r="P225" s="185">
        <f t="shared" si="188"/>
        <v>1012.5900000000001</v>
      </c>
      <c r="Q225" s="185">
        <f t="shared" si="160"/>
        <v>18520.82</v>
      </c>
      <c r="R225" s="185">
        <f t="shared" si="197"/>
        <v>134.16999999999999</v>
      </c>
      <c r="S225" s="185">
        <f t="shared" si="197"/>
        <v>188.55</v>
      </c>
      <c r="T225" s="185">
        <f t="shared" si="153"/>
        <v>19856.129999999997</v>
      </c>
      <c r="U225" s="185">
        <f t="shared" si="189"/>
        <v>51323.90999999996</v>
      </c>
      <c r="V225" s="185">
        <f t="shared" si="190"/>
        <v>4050692.1899999995</v>
      </c>
      <c r="W225" s="185">
        <f t="shared" si="191"/>
        <v>934776.09</v>
      </c>
      <c r="X225" s="401" t="str">
        <f t="shared" si="178"/>
        <v xml:space="preserve"> </v>
      </c>
      <c r="Y225" s="185">
        <f t="shared" si="161"/>
        <v>801198.19000000064</v>
      </c>
      <c r="Z225" s="393">
        <f t="shared" si="169"/>
        <v>0.13125000000000001</v>
      </c>
      <c r="AA225" s="185">
        <f t="shared" si="170"/>
        <v>10874</v>
      </c>
      <c r="AB225" s="185">
        <f t="shared" si="171"/>
        <v>2110.8899999999994</v>
      </c>
      <c r="AC225" s="185">
        <f t="shared" si="172"/>
        <v>8763.11</v>
      </c>
      <c r="AD225" s="185">
        <f t="shared" si="196"/>
        <v>134.16999999999999</v>
      </c>
      <c r="AE225" s="185">
        <f t="shared" si="196"/>
        <v>188.55</v>
      </c>
      <c r="AF225" s="185">
        <f t="shared" si="173"/>
        <v>11196.72</v>
      </c>
      <c r="AG225" s="185">
        <f t="shared" si="192"/>
        <v>186630.78999999998</v>
      </c>
      <c r="AH225" s="185">
        <f t="shared" si="193"/>
        <v>1982136.2099999997</v>
      </c>
      <c r="AI225" s="411">
        <f t="shared" si="155"/>
        <v>1903295.279999993</v>
      </c>
      <c r="AJ225" s="411">
        <f t="shared" si="195"/>
        <v>135688.78999999934</v>
      </c>
      <c r="AK225" s="411">
        <f t="shared" si="156"/>
        <v>2038984.0699999924</v>
      </c>
      <c r="AL225" s="185">
        <f t="shared" si="162"/>
        <v>799087.30000000063</v>
      </c>
      <c r="AM225" s="317">
        <f t="shared" si="179"/>
        <v>17</v>
      </c>
      <c r="AN225" s="14">
        <f t="shared" si="157"/>
        <v>19533.41</v>
      </c>
      <c r="AO225" s="14">
        <f t="shared" si="148"/>
        <v>934776.09000000008</v>
      </c>
      <c r="AP225" s="14">
        <f t="shared" si="158"/>
        <v>10874</v>
      </c>
      <c r="AS225" s="14">
        <f t="shared" si="174"/>
        <v>19533.41</v>
      </c>
      <c r="AT225" s="14">
        <f t="shared" si="180"/>
        <v>4101535.5400000112</v>
      </c>
      <c r="AU225" s="185">
        <f t="shared" si="181"/>
        <v>4154.2885397203327</v>
      </c>
      <c r="AV225" s="185">
        <f t="shared" si="182"/>
        <v>679769.70442785323</v>
      </c>
    </row>
    <row r="226" spans="1:48">
      <c r="A226" s="401" t="str">
        <f t="shared" si="183"/>
        <v xml:space="preserve"> </v>
      </c>
      <c r="B226" s="185">
        <f t="shared" si="175"/>
        <v>0</v>
      </c>
      <c r="C226" s="14">
        <f t="shared" si="166"/>
        <v>0</v>
      </c>
      <c r="D226" s="14">
        <f t="shared" si="184"/>
        <v>0</v>
      </c>
      <c r="E226" s="14">
        <f t="shared" si="167"/>
        <v>0</v>
      </c>
      <c r="F226" s="14">
        <f t="shared" si="194"/>
        <v>0</v>
      </c>
      <c r="G226" s="14">
        <f t="shared" si="194"/>
        <v>0</v>
      </c>
      <c r="H226" s="14">
        <f t="shared" si="152"/>
        <v>0</v>
      </c>
      <c r="I226" s="185">
        <f t="shared" si="185"/>
        <v>0</v>
      </c>
      <c r="J226" s="185">
        <f t="shared" si="186"/>
        <v>0</v>
      </c>
      <c r="K226" s="185">
        <f t="shared" si="187"/>
        <v>0</v>
      </c>
      <c r="L226" s="317">
        <f t="shared" si="149"/>
        <v>17</v>
      </c>
      <c r="M226" s="317">
        <f t="shared" si="176"/>
        <v>210</v>
      </c>
      <c r="N226" s="185">
        <f t="shared" si="177"/>
        <v>934776.09</v>
      </c>
      <c r="O226" s="185">
        <f t="shared" si="159"/>
        <v>19533.41</v>
      </c>
      <c r="P226" s="185">
        <f t="shared" si="188"/>
        <v>1032.630000000001</v>
      </c>
      <c r="Q226" s="185">
        <f t="shared" si="160"/>
        <v>18500.78</v>
      </c>
      <c r="R226" s="185">
        <f t="shared" si="197"/>
        <v>134.16999999999999</v>
      </c>
      <c r="S226" s="185">
        <f t="shared" si="197"/>
        <v>188.55</v>
      </c>
      <c r="T226" s="185">
        <f t="shared" si="153"/>
        <v>19856.129999999997</v>
      </c>
      <c r="U226" s="185">
        <f t="shared" si="189"/>
        <v>52356.539999999964</v>
      </c>
      <c r="V226" s="185">
        <f t="shared" si="190"/>
        <v>4069192.9699999993</v>
      </c>
      <c r="W226" s="185">
        <f t="shared" si="191"/>
        <v>933743.46</v>
      </c>
      <c r="X226" s="401" t="str">
        <f t="shared" si="178"/>
        <v xml:space="preserve"> </v>
      </c>
      <c r="Y226" s="185">
        <f t="shared" si="161"/>
        <v>799087.30000000063</v>
      </c>
      <c r="Z226" s="393">
        <f t="shared" si="169"/>
        <v>0.13125000000000001</v>
      </c>
      <c r="AA226" s="185">
        <f t="shared" si="170"/>
        <v>10874</v>
      </c>
      <c r="AB226" s="185">
        <f t="shared" si="171"/>
        <v>2133.9799999999996</v>
      </c>
      <c r="AC226" s="185">
        <f t="shared" si="172"/>
        <v>8740.02</v>
      </c>
      <c r="AD226" s="185">
        <f t="shared" si="196"/>
        <v>134.16999999999999</v>
      </c>
      <c r="AE226" s="185">
        <f t="shared" si="196"/>
        <v>188.55</v>
      </c>
      <c r="AF226" s="185">
        <f t="shared" si="173"/>
        <v>11196.72</v>
      </c>
      <c r="AG226" s="185">
        <f t="shared" si="192"/>
        <v>188764.77</v>
      </c>
      <c r="AH226" s="185">
        <f t="shared" si="193"/>
        <v>1990876.2299999997</v>
      </c>
      <c r="AI226" s="411">
        <f t="shared" si="155"/>
        <v>1911954.689999993</v>
      </c>
      <c r="AJ226" s="411">
        <f t="shared" si="195"/>
        <v>136790.13999999932</v>
      </c>
      <c r="AK226" s="411">
        <f t="shared" si="156"/>
        <v>2048744.8299999922</v>
      </c>
      <c r="AL226" s="185">
        <f t="shared" si="162"/>
        <v>796953.32000000065</v>
      </c>
      <c r="AM226" s="317">
        <f t="shared" si="179"/>
        <v>17</v>
      </c>
      <c r="AN226" s="14">
        <f t="shared" si="157"/>
        <v>19533.41</v>
      </c>
      <c r="AO226" s="14">
        <f t="shared" si="148"/>
        <v>933743.46000000008</v>
      </c>
      <c r="AP226" s="14">
        <f t="shared" si="158"/>
        <v>10874</v>
      </c>
      <c r="AS226" s="14">
        <f t="shared" si="174"/>
        <v>19533.41</v>
      </c>
      <c r="AT226" s="14">
        <f t="shared" si="180"/>
        <v>4121068.9500000114</v>
      </c>
      <c r="AU226" s="185">
        <f t="shared" si="181"/>
        <v>4164.6742610696328</v>
      </c>
      <c r="AV226" s="185">
        <f t="shared" si="182"/>
        <v>683934.37868892285</v>
      </c>
    </row>
    <row r="227" spans="1:48">
      <c r="A227" s="401" t="str">
        <f t="shared" si="183"/>
        <v xml:space="preserve"> </v>
      </c>
      <c r="B227" s="185">
        <f t="shared" si="175"/>
        <v>0</v>
      </c>
      <c r="C227" s="14">
        <f t="shared" si="166"/>
        <v>0</v>
      </c>
      <c r="D227" s="14">
        <f t="shared" si="184"/>
        <v>0</v>
      </c>
      <c r="E227" s="14">
        <f t="shared" si="167"/>
        <v>0</v>
      </c>
      <c r="F227" s="14">
        <f t="shared" si="194"/>
        <v>0</v>
      </c>
      <c r="G227" s="14">
        <f t="shared" si="194"/>
        <v>0</v>
      </c>
      <c r="H227" s="14">
        <f t="shared" si="152"/>
        <v>0</v>
      </c>
      <c r="I227" s="185">
        <f t="shared" si="185"/>
        <v>0</v>
      </c>
      <c r="J227" s="185">
        <f t="shared" si="186"/>
        <v>0</v>
      </c>
      <c r="K227" s="185">
        <f t="shared" si="187"/>
        <v>0</v>
      </c>
      <c r="L227" s="317">
        <f t="shared" si="149"/>
        <v>17</v>
      </c>
      <c r="M227" s="317">
        <f t="shared" si="176"/>
        <v>211</v>
      </c>
      <c r="N227" s="185">
        <f t="shared" si="177"/>
        <v>933743.46</v>
      </c>
      <c r="O227" s="185">
        <f t="shared" si="159"/>
        <v>19533.41</v>
      </c>
      <c r="P227" s="185">
        <f t="shared" si="188"/>
        <v>1053.0699999999997</v>
      </c>
      <c r="Q227" s="185">
        <f t="shared" si="160"/>
        <v>18480.34</v>
      </c>
      <c r="R227" s="185">
        <f t="shared" si="197"/>
        <v>134.16999999999999</v>
      </c>
      <c r="S227" s="185">
        <f t="shared" si="197"/>
        <v>188.55</v>
      </c>
      <c r="T227" s="185">
        <f t="shared" si="153"/>
        <v>19856.129999999997</v>
      </c>
      <c r="U227" s="185">
        <f t="shared" si="189"/>
        <v>53409.609999999964</v>
      </c>
      <c r="V227" s="185">
        <f t="shared" si="190"/>
        <v>4087673.3099999991</v>
      </c>
      <c r="W227" s="185">
        <f t="shared" si="191"/>
        <v>932690.39</v>
      </c>
      <c r="X227" s="401" t="str">
        <f t="shared" si="178"/>
        <v xml:space="preserve"> </v>
      </c>
      <c r="Y227" s="185">
        <f t="shared" si="161"/>
        <v>796953.32000000065</v>
      </c>
      <c r="Z227" s="393">
        <f t="shared" si="169"/>
        <v>0.13125000000000001</v>
      </c>
      <c r="AA227" s="185">
        <f t="shared" si="170"/>
        <v>10874</v>
      </c>
      <c r="AB227" s="185">
        <f t="shared" si="171"/>
        <v>2157.3199999999997</v>
      </c>
      <c r="AC227" s="185">
        <f t="shared" si="172"/>
        <v>8716.68</v>
      </c>
      <c r="AD227" s="185">
        <f t="shared" si="196"/>
        <v>134.16999999999999</v>
      </c>
      <c r="AE227" s="185">
        <f t="shared" si="196"/>
        <v>188.55</v>
      </c>
      <c r="AF227" s="185">
        <f t="shared" si="173"/>
        <v>11196.72</v>
      </c>
      <c r="AG227" s="185">
        <f t="shared" si="192"/>
        <v>190922.09</v>
      </c>
      <c r="AH227" s="185">
        <f t="shared" si="193"/>
        <v>1999592.9099999997</v>
      </c>
      <c r="AI227" s="411">
        <f t="shared" si="155"/>
        <v>1920614.0999999929</v>
      </c>
      <c r="AJ227" s="411">
        <f t="shared" si="195"/>
        <v>137894.38999999932</v>
      </c>
      <c r="AK227" s="411">
        <f t="shared" si="156"/>
        <v>2058508.4899999923</v>
      </c>
      <c r="AL227" s="185">
        <f t="shared" si="162"/>
        <v>794796.0000000007</v>
      </c>
      <c r="AM227" s="317">
        <f t="shared" si="179"/>
        <v>17</v>
      </c>
      <c r="AN227" s="14">
        <f t="shared" si="157"/>
        <v>19533.41</v>
      </c>
      <c r="AO227" s="14">
        <f t="shared" si="148"/>
        <v>932690.39</v>
      </c>
      <c r="AP227" s="14">
        <f t="shared" si="158"/>
        <v>10874</v>
      </c>
      <c r="AS227" s="14">
        <f t="shared" si="174"/>
        <v>19533.41</v>
      </c>
      <c r="AT227" s="14">
        <f t="shared" si="180"/>
        <v>4140602.3600000115</v>
      </c>
      <c r="AU227" s="185">
        <f t="shared" si="181"/>
        <v>4175.0859467223072</v>
      </c>
      <c r="AV227" s="185">
        <f t="shared" si="182"/>
        <v>688109.46463564516</v>
      </c>
    </row>
    <row r="228" spans="1:48">
      <c r="A228" s="401" t="str">
        <f t="shared" si="183"/>
        <v xml:space="preserve"> </v>
      </c>
      <c r="B228" s="185">
        <f t="shared" si="175"/>
        <v>0</v>
      </c>
      <c r="C228" s="14">
        <f t="shared" si="166"/>
        <v>0</v>
      </c>
      <c r="D228" s="14">
        <f t="shared" si="184"/>
        <v>0</v>
      </c>
      <c r="E228" s="14">
        <f t="shared" si="167"/>
        <v>0</v>
      </c>
      <c r="F228" s="14">
        <f t="shared" si="194"/>
        <v>0</v>
      </c>
      <c r="G228" s="14">
        <f t="shared" si="194"/>
        <v>0</v>
      </c>
      <c r="H228" s="14">
        <f t="shared" si="152"/>
        <v>0</v>
      </c>
      <c r="I228" s="185">
        <f t="shared" si="185"/>
        <v>0</v>
      </c>
      <c r="J228" s="185">
        <f t="shared" si="186"/>
        <v>0</v>
      </c>
      <c r="K228" s="185">
        <f t="shared" si="187"/>
        <v>0</v>
      </c>
      <c r="L228" s="317">
        <f t="shared" si="149"/>
        <v>17</v>
      </c>
      <c r="M228" s="317">
        <f t="shared" si="176"/>
        <v>212</v>
      </c>
      <c r="N228" s="185">
        <f t="shared" si="177"/>
        <v>932690.39</v>
      </c>
      <c r="O228" s="185">
        <f t="shared" si="159"/>
        <v>19533.41</v>
      </c>
      <c r="P228" s="185">
        <f t="shared" si="188"/>
        <v>1073.9099999999999</v>
      </c>
      <c r="Q228" s="185">
        <f t="shared" si="160"/>
        <v>18459.5</v>
      </c>
      <c r="R228" s="185">
        <f t="shared" si="197"/>
        <v>134.16999999999999</v>
      </c>
      <c r="S228" s="185">
        <f t="shared" si="197"/>
        <v>188.55</v>
      </c>
      <c r="T228" s="185">
        <f t="shared" si="153"/>
        <v>19856.129999999997</v>
      </c>
      <c r="U228" s="185">
        <f t="shared" si="189"/>
        <v>54483.51999999996</v>
      </c>
      <c r="V228" s="185">
        <f t="shared" si="190"/>
        <v>4106132.8099999991</v>
      </c>
      <c r="W228" s="185">
        <f t="shared" si="191"/>
        <v>931616.48</v>
      </c>
      <c r="X228" s="401" t="str">
        <f t="shared" si="178"/>
        <v xml:space="preserve"> </v>
      </c>
      <c r="Y228" s="185">
        <f t="shared" si="161"/>
        <v>794796.0000000007</v>
      </c>
      <c r="Z228" s="393">
        <f t="shared" si="169"/>
        <v>0.13125000000000001</v>
      </c>
      <c r="AA228" s="185">
        <f t="shared" si="170"/>
        <v>10874</v>
      </c>
      <c r="AB228" s="185">
        <f t="shared" si="171"/>
        <v>2180.92</v>
      </c>
      <c r="AC228" s="185">
        <f t="shared" si="172"/>
        <v>8693.08</v>
      </c>
      <c r="AD228" s="185">
        <f t="shared" si="196"/>
        <v>134.16999999999999</v>
      </c>
      <c r="AE228" s="185">
        <f t="shared" si="196"/>
        <v>188.55</v>
      </c>
      <c r="AF228" s="185">
        <f t="shared" si="173"/>
        <v>11196.72</v>
      </c>
      <c r="AG228" s="185">
        <f t="shared" si="192"/>
        <v>193103.01</v>
      </c>
      <c r="AH228" s="185">
        <f t="shared" si="193"/>
        <v>2008285.9899999998</v>
      </c>
      <c r="AI228" s="411">
        <f t="shared" si="155"/>
        <v>1929273.5099999928</v>
      </c>
      <c r="AJ228" s="411">
        <f t="shared" si="195"/>
        <v>139001.39999999932</v>
      </c>
      <c r="AK228" s="411">
        <f t="shared" si="156"/>
        <v>2068274.9099999922</v>
      </c>
      <c r="AL228" s="185">
        <f t="shared" si="162"/>
        <v>792615.08000000066</v>
      </c>
      <c r="AM228" s="317">
        <f t="shared" si="179"/>
        <v>17</v>
      </c>
      <c r="AN228" s="14">
        <f t="shared" si="157"/>
        <v>19533.41</v>
      </c>
      <c r="AO228" s="14">
        <f t="shared" si="148"/>
        <v>931616.48</v>
      </c>
      <c r="AP228" s="14">
        <f t="shared" si="158"/>
        <v>10874</v>
      </c>
      <c r="AS228" s="14">
        <f t="shared" si="174"/>
        <v>19533.41</v>
      </c>
      <c r="AT228" s="14">
        <f t="shared" si="180"/>
        <v>4160135.7700000117</v>
      </c>
      <c r="AU228" s="185">
        <f t="shared" si="181"/>
        <v>4185.5236615891126</v>
      </c>
      <c r="AV228" s="185">
        <f t="shared" si="182"/>
        <v>692294.98829723429</v>
      </c>
    </row>
    <row r="229" spans="1:48">
      <c r="A229" s="401" t="str">
        <f t="shared" si="183"/>
        <v xml:space="preserve"> </v>
      </c>
      <c r="B229" s="185">
        <f t="shared" si="175"/>
        <v>0</v>
      </c>
      <c r="C229" s="14">
        <f t="shared" si="166"/>
        <v>0</v>
      </c>
      <c r="D229" s="14">
        <f t="shared" si="184"/>
        <v>0</v>
      </c>
      <c r="E229" s="14">
        <f t="shared" si="167"/>
        <v>0</v>
      </c>
      <c r="F229" s="14">
        <f t="shared" si="194"/>
        <v>0</v>
      </c>
      <c r="G229" s="14">
        <f t="shared" si="194"/>
        <v>0</v>
      </c>
      <c r="H229" s="14">
        <f t="shared" si="152"/>
        <v>0</v>
      </c>
      <c r="I229" s="185">
        <f t="shared" si="185"/>
        <v>0</v>
      </c>
      <c r="J229" s="185">
        <f t="shared" si="186"/>
        <v>0</v>
      </c>
      <c r="K229" s="185">
        <f t="shared" si="187"/>
        <v>0</v>
      </c>
      <c r="L229" s="317">
        <f t="shared" si="149"/>
        <v>17</v>
      </c>
      <c r="M229" s="317">
        <f t="shared" si="176"/>
        <v>213</v>
      </c>
      <c r="N229" s="185">
        <f t="shared" si="177"/>
        <v>931616.48</v>
      </c>
      <c r="O229" s="185">
        <f t="shared" si="159"/>
        <v>19533.41</v>
      </c>
      <c r="P229" s="185">
        <f t="shared" si="188"/>
        <v>1095.1699999999983</v>
      </c>
      <c r="Q229" s="185">
        <f t="shared" si="160"/>
        <v>18438.240000000002</v>
      </c>
      <c r="R229" s="185">
        <f t="shared" si="197"/>
        <v>134.16999999999999</v>
      </c>
      <c r="S229" s="185">
        <f t="shared" si="197"/>
        <v>188.55</v>
      </c>
      <c r="T229" s="185">
        <f t="shared" si="153"/>
        <v>19856.129999999997</v>
      </c>
      <c r="U229" s="185">
        <f t="shared" si="189"/>
        <v>55578.689999999959</v>
      </c>
      <c r="V229" s="185">
        <f t="shared" si="190"/>
        <v>4124571.0499999993</v>
      </c>
      <c r="W229" s="185">
        <f t="shared" si="191"/>
        <v>930521.30999999994</v>
      </c>
      <c r="X229" s="401" t="str">
        <f t="shared" si="178"/>
        <v xml:space="preserve"> </v>
      </c>
      <c r="Y229" s="185">
        <f t="shared" si="161"/>
        <v>792615.08000000066</v>
      </c>
      <c r="Z229" s="393">
        <f t="shared" si="169"/>
        <v>0.13125000000000001</v>
      </c>
      <c r="AA229" s="185">
        <f t="shared" si="170"/>
        <v>10874</v>
      </c>
      <c r="AB229" s="185">
        <f t="shared" si="171"/>
        <v>2204.7700000000004</v>
      </c>
      <c r="AC229" s="185">
        <f t="shared" si="172"/>
        <v>8669.23</v>
      </c>
      <c r="AD229" s="185">
        <f t="shared" si="196"/>
        <v>134.16999999999999</v>
      </c>
      <c r="AE229" s="185">
        <f t="shared" si="196"/>
        <v>188.55</v>
      </c>
      <c r="AF229" s="185">
        <f t="shared" si="173"/>
        <v>11196.72</v>
      </c>
      <c r="AG229" s="185">
        <f t="shared" si="192"/>
        <v>195307.78</v>
      </c>
      <c r="AH229" s="185">
        <f t="shared" si="193"/>
        <v>2016955.2199999997</v>
      </c>
      <c r="AI229" s="411">
        <f t="shared" si="155"/>
        <v>1937932.9199999927</v>
      </c>
      <c r="AJ229" s="411">
        <f t="shared" si="195"/>
        <v>140110.9999999993</v>
      </c>
      <c r="AK229" s="411">
        <f t="shared" si="156"/>
        <v>2078043.919999992</v>
      </c>
      <c r="AL229" s="185">
        <f t="shared" si="162"/>
        <v>790410.31000000064</v>
      </c>
      <c r="AM229" s="317">
        <f t="shared" si="179"/>
        <v>17</v>
      </c>
      <c r="AN229" s="14">
        <f t="shared" si="157"/>
        <v>19533.41</v>
      </c>
      <c r="AO229" s="14">
        <f t="shared" si="148"/>
        <v>930521.31</v>
      </c>
      <c r="AP229" s="14">
        <f t="shared" si="158"/>
        <v>10874</v>
      </c>
      <c r="AS229" s="14">
        <f t="shared" si="174"/>
        <v>19533.41</v>
      </c>
      <c r="AT229" s="14">
        <f t="shared" si="180"/>
        <v>4179669.1800000118</v>
      </c>
      <c r="AU229" s="185">
        <f t="shared" si="181"/>
        <v>4195.9874707430854</v>
      </c>
      <c r="AV229" s="185">
        <f t="shared" si="182"/>
        <v>696490.97576797742</v>
      </c>
    </row>
    <row r="230" spans="1:48">
      <c r="A230" s="401" t="str">
        <f t="shared" si="183"/>
        <v xml:space="preserve"> </v>
      </c>
      <c r="B230" s="185">
        <f t="shared" si="175"/>
        <v>0</v>
      </c>
      <c r="C230" s="14">
        <f t="shared" si="166"/>
        <v>0</v>
      </c>
      <c r="D230" s="14">
        <f t="shared" si="184"/>
        <v>0</v>
      </c>
      <c r="E230" s="14">
        <f t="shared" si="167"/>
        <v>0</v>
      </c>
      <c r="F230" s="14">
        <f t="shared" si="194"/>
        <v>0</v>
      </c>
      <c r="G230" s="14">
        <f t="shared" si="194"/>
        <v>0</v>
      </c>
      <c r="H230" s="14">
        <f t="shared" si="152"/>
        <v>0</v>
      </c>
      <c r="I230" s="185">
        <f t="shared" si="185"/>
        <v>0</v>
      </c>
      <c r="J230" s="185">
        <f t="shared" si="186"/>
        <v>0</v>
      </c>
      <c r="K230" s="185">
        <f t="shared" si="187"/>
        <v>0</v>
      </c>
      <c r="L230" s="317">
        <f t="shared" si="149"/>
        <v>17</v>
      </c>
      <c r="M230" s="317">
        <f t="shared" si="176"/>
        <v>214</v>
      </c>
      <c r="N230" s="185">
        <f t="shared" si="177"/>
        <v>930521.30999999994</v>
      </c>
      <c r="O230" s="185">
        <f t="shared" si="159"/>
        <v>19533.41</v>
      </c>
      <c r="P230" s="185">
        <f t="shared" si="188"/>
        <v>1116.8400000000001</v>
      </c>
      <c r="Q230" s="185">
        <f t="shared" si="160"/>
        <v>18416.57</v>
      </c>
      <c r="R230" s="185">
        <f t="shared" si="197"/>
        <v>134.16999999999999</v>
      </c>
      <c r="S230" s="185">
        <f t="shared" si="197"/>
        <v>188.55</v>
      </c>
      <c r="T230" s="185">
        <f t="shared" si="153"/>
        <v>19856.129999999997</v>
      </c>
      <c r="U230" s="185">
        <f t="shared" si="189"/>
        <v>56695.529999999955</v>
      </c>
      <c r="V230" s="185">
        <f t="shared" si="190"/>
        <v>4142987.6199999992</v>
      </c>
      <c r="W230" s="185">
        <f t="shared" si="191"/>
        <v>929404.47</v>
      </c>
      <c r="X230" s="401" t="str">
        <f t="shared" si="178"/>
        <v xml:space="preserve"> </v>
      </c>
      <c r="Y230" s="185">
        <f t="shared" si="161"/>
        <v>790410.31000000064</v>
      </c>
      <c r="Z230" s="393">
        <f t="shared" si="169"/>
        <v>0.13125000000000001</v>
      </c>
      <c r="AA230" s="185">
        <f t="shared" si="170"/>
        <v>10874</v>
      </c>
      <c r="AB230" s="185">
        <f t="shared" si="171"/>
        <v>2228.8899999999994</v>
      </c>
      <c r="AC230" s="185">
        <f t="shared" si="172"/>
        <v>8645.11</v>
      </c>
      <c r="AD230" s="185">
        <f t="shared" si="196"/>
        <v>134.16999999999999</v>
      </c>
      <c r="AE230" s="185">
        <f t="shared" si="196"/>
        <v>188.55</v>
      </c>
      <c r="AF230" s="185">
        <f t="shared" si="173"/>
        <v>11196.72</v>
      </c>
      <c r="AG230" s="185">
        <f t="shared" si="192"/>
        <v>197536.66999999998</v>
      </c>
      <c r="AH230" s="185">
        <f t="shared" si="193"/>
        <v>2025600.3299999998</v>
      </c>
      <c r="AI230" s="411">
        <f t="shared" si="155"/>
        <v>1946592.3299999926</v>
      </c>
      <c r="AJ230" s="411">
        <f t="shared" si="195"/>
        <v>141223.04999999935</v>
      </c>
      <c r="AK230" s="411">
        <f t="shared" si="156"/>
        <v>2087815.379999992</v>
      </c>
      <c r="AL230" s="185">
        <f t="shared" si="162"/>
        <v>788181.42000000062</v>
      </c>
      <c r="AM230" s="317">
        <f t="shared" si="179"/>
        <v>17</v>
      </c>
      <c r="AN230" s="14">
        <f t="shared" si="157"/>
        <v>19533.41</v>
      </c>
      <c r="AO230" s="14">
        <f t="shared" si="148"/>
        <v>929404.47000000009</v>
      </c>
      <c r="AP230" s="14">
        <f t="shared" si="158"/>
        <v>10874</v>
      </c>
      <c r="AS230" s="14">
        <f t="shared" si="174"/>
        <v>19533.41</v>
      </c>
      <c r="AT230" s="14">
        <f t="shared" si="180"/>
        <v>4199202.590000012</v>
      </c>
      <c r="AU230" s="185">
        <f t="shared" si="181"/>
        <v>4206.4774394199439</v>
      </c>
      <c r="AV230" s="185">
        <f t="shared" si="182"/>
        <v>700697.45320739737</v>
      </c>
    </row>
    <row r="231" spans="1:48" ht="15.75" thickBot="1">
      <c r="A231" s="404" t="str">
        <f t="shared" si="183"/>
        <v xml:space="preserve"> </v>
      </c>
      <c r="B231" s="237">
        <f t="shared" si="175"/>
        <v>0</v>
      </c>
      <c r="C231" s="21">
        <f t="shared" si="166"/>
        <v>0</v>
      </c>
      <c r="D231" s="21">
        <f t="shared" si="184"/>
        <v>0</v>
      </c>
      <c r="E231" s="21">
        <f t="shared" si="167"/>
        <v>0</v>
      </c>
      <c r="F231" s="21">
        <f t="shared" si="194"/>
        <v>0</v>
      </c>
      <c r="G231" s="21">
        <f t="shared" si="194"/>
        <v>0</v>
      </c>
      <c r="H231" s="21">
        <f t="shared" si="152"/>
        <v>0</v>
      </c>
      <c r="I231" s="237">
        <f t="shared" si="185"/>
        <v>0</v>
      </c>
      <c r="J231" s="237">
        <f t="shared" si="186"/>
        <v>0</v>
      </c>
      <c r="K231" s="237">
        <f t="shared" si="187"/>
        <v>0</v>
      </c>
      <c r="L231" s="318">
        <f t="shared" si="149"/>
        <v>17</v>
      </c>
      <c r="M231" s="318">
        <f t="shared" si="176"/>
        <v>215</v>
      </c>
      <c r="N231" s="237">
        <f t="shared" si="177"/>
        <v>929404.47</v>
      </c>
      <c r="O231" s="237">
        <f t="shared" si="159"/>
        <v>19533.41</v>
      </c>
      <c r="P231" s="237">
        <f t="shared" si="188"/>
        <v>1138.9500000000007</v>
      </c>
      <c r="Q231" s="237">
        <f t="shared" si="160"/>
        <v>18394.46</v>
      </c>
      <c r="R231" s="237">
        <f t="shared" si="197"/>
        <v>134.16999999999999</v>
      </c>
      <c r="S231" s="237">
        <f t="shared" si="197"/>
        <v>188.55</v>
      </c>
      <c r="T231" s="237">
        <f t="shared" si="153"/>
        <v>19856.129999999997</v>
      </c>
      <c r="U231" s="237">
        <f t="shared" si="189"/>
        <v>57834.479999999952</v>
      </c>
      <c r="V231" s="237">
        <f t="shared" si="190"/>
        <v>4161382.0799999991</v>
      </c>
      <c r="W231" s="237">
        <f t="shared" si="191"/>
        <v>928265.52</v>
      </c>
      <c r="X231" s="404" t="str">
        <f t="shared" si="178"/>
        <v xml:space="preserve"> </v>
      </c>
      <c r="Y231" s="237">
        <f t="shared" si="161"/>
        <v>788181.42000000062</v>
      </c>
      <c r="Z231" s="394">
        <f t="shared" si="169"/>
        <v>0.13125000000000001</v>
      </c>
      <c r="AA231" s="237">
        <f t="shared" si="170"/>
        <v>10874</v>
      </c>
      <c r="AB231" s="237">
        <f t="shared" si="171"/>
        <v>2253.2700000000004</v>
      </c>
      <c r="AC231" s="237">
        <f t="shared" si="172"/>
        <v>8620.73</v>
      </c>
      <c r="AD231" s="237">
        <f t="shared" si="196"/>
        <v>134.16999999999999</v>
      </c>
      <c r="AE231" s="237">
        <f t="shared" si="196"/>
        <v>188.55</v>
      </c>
      <c r="AF231" s="237">
        <f t="shared" si="173"/>
        <v>11196.72</v>
      </c>
      <c r="AG231" s="237">
        <f t="shared" si="192"/>
        <v>199789.93999999997</v>
      </c>
      <c r="AH231" s="237">
        <f t="shared" si="193"/>
        <v>2034221.0599999998</v>
      </c>
      <c r="AI231" s="412">
        <f t="shared" si="155"/>
        <v>1955251.7399999925</v>
      </c>
      <c r="AJ231" s="412">
        <f t="shared" si="195"/>
        <v>142337.36999999941</v>
      </c>
      <c r="AK231" s="411">
        <f t="shared" si="156"/>
        <v>2097589.109999992</v>
      </c>
      <c r="AL231" s="237">
        <f t="shared" si="162"/>
        <v>785928.15000000061</v>
      </c>
      <c r="AM231" s="318">
        <f t="shared" si="179"/>
        <v>17</v>
      </c>
      <c r="AN231" s="21">
        <f t="shared" si="157"/>
        <v>19533.41</v>
      </c>
      <c r="AO231" s="21">
        <f t="shared" si="148"/>
        <v>928265.52</v>
      </c>
      <c r="AP231" s="21">
        <f t="shared" si="158"/>
        <v>10874</v>
      </c>
      <c r="AQ231" s="21"/>
      <c r="AR231" s="23"/>
      <c r="AS231" s="21">
        <f t="shared" si="174"/>
        <v>19533.41</v>
      </c>
      <c r="AT231" s="21">
        <f t="shared" si="180"/>
        <v>4218736.0000000121</v>
      </c>
      <c r="AU231" s="237">
        <f t="shared" si="181"/>
        <v>4216.9936330184928</v>
      </c>
      <c r="AV231" s="237">
        <f t="shared" si="182"/>
        <v>704914.44684041583</v>
      </c>
    </row>
    <row r="232" spans="1:48">
      <c r="A232" s="401" t="str">
        <f t="shared" si="183"/>
        <v xml:space="preserve"> </v>
      </c>
      <c r="B232" s="185">
        <f t="shared" si="175"/>
        <v>0</v>
      </c>
      <c r="C232" s="14">
        <f t="shared" si="166"/>
        <v>0</v>
      </c>
      <c r="D232" s="14">
        <f t="shared" si="184"/>
        <v>0</v>
      </c>
      <c r="E232" s="14">
        <f t="shared" si="167"/>
        <v>0</v>
      </c>
      <c r="F232" s="14">
        <f t="shared" si="194"/>
        <v>0</v>
      </c>
      <c r="G232" s="14">
        <f t="shared" si="194"/>
        <v>0</v>
      </c>
      <c r="H232" s="14">
        <f t="shared" si="152"/>
        <v>0</v>
      </c>
      <c r="I232" s="185">
        <f t="shared" si="185"/>
        <v>0</v>
      </c>
      <c r="J232" s="185">
        <f t="shared" si="186"/>
        <v>0</v>
      </c>
      <c r="K232" s="185">
        <f t="shared" si="187"/>
        <v>0</v>
      </c>
      <c r="L232" s="317">
        <f t="shared" si="149"/>
        <v>18</v>
      </c>
      <c r="M232" s="317">
        <f t="shared" si="176"/>
        <v>216</v>
      </c>
      <c r="N232" s="185">
        <f t="shared" si="177"/>
        <v>928265.52</v>
      </c>
      <c r="O232" s="185">
        <f t="shared" si="159"/>
        <v>19533.41</v>
      </c>
      <c r="P232" s="185">
        <f t="shared" si="188"/>
        <v>1161.4900000000016</v>
      </c>
      <c r="Q232" s="185">
        <f t="shared" si="160"/>
        <v>18371.919999999998</v>
      </c>
      <c r="R232" s="185">
        <f t="shared" si="197"/>
        <v>134.16999999999999</v>
      </c>
      <c r="S232" s="185">
        <f t="shared" si="197"/>
        <v>188.55</v>
      </c>
      <c r="T232" s="185">
        <f t="shared" si="153"/>
        <v>19856.129999999997</v>
      </c>
      <c r="U232" s="185">
        <f t="shared" si="189"/>
        <v>58995.969999999958</v>
      </c>
      <c r="V232" s="185">
        <f t="shared" si="190"/>
        <v>4179753.9999999991</v>
      </c>
      <c r="W232" s="185">
        <f t="shared" si="191"/>
        <v>927104.03</v>
      </c>
      <c r="X232" s="401" t="str">
        <f t="shared" si="178"/>
        <v xml:space="preserve"> </v>
      </c>
      <c r="Y232" s="185">
        <f t="shared" si="161"/>
        <v>785928.15000000061</v>
      </c>
      <c r="Z232" s="393">
        <f t="shared" si="169"/>
        <v>0.13125000000000001</v>
      </c>
      <c r="AA232" s="185">
        <f t="shared" si="170"/>
        <v>10874</v>
      </c>
      <c r="AB232" s="185">
        <f t="shared" si="171"/>
        <v>2277.91</v>
      </c>
      <c r="AC232" s="185">
        <f t="shared" si="172"/>
        <v>8596.09</v>
      </c>
      <c r="AD232" s="185">
        <f t="shared" si="196"/>
        <v>134.16999999999999</v>
      </c>
      <c r="AE232" s="185">
        <f t="shared" si="196"/>
        <v>188.55</v>
      </c>
      <c r="AF232" s="185">
        <f t="shared" si="173"/>
        <v>11196.72</v>
      </c>
      <c r="AG232" s="185">
        <f t="shared" si="192"/>
        <v>202067.84999999998</v>
      </c>
      <c r="AH232" s="185">
        <f t="shared" si="193"/>
        <v>2042817.15</v>
      </c>
      <c r="AI232" s="411">
        <f t="shared" si="155"/>
        <v>1963911.1499999925</v>
      </c>
      <c r="AJ232" s="411">
        <f t="shared" si="195"/>
        <v>143453.78999999946</v>
      </c>
      <c r="AK232" s="411">
        <f t="shared" si="156"/>
        <v>2107364.939999992</v>
      </c>
      <c r="AL232" s="185">
        <f t="shared" si="162"/>
        <v>783650.24000000057</v>
      </c>
      <c r="AM232" s="317">
        <f t="shared" si="179"/>
        <v>18</v>
      </c>
      <c r="AN232" s="14">
        <f t="shared" si="157"/>
        <v>19533.41</v>
      </c>
      <c r="AO232" s="14">
        <f t="shared" si="148"/>
        <v>927104.03</v>
      </c>
      <c r="AP232" s="14">
        <f t="shared" si="158"/>
        <v>10874</v>
      </c>
      <c r="AS232" s="14">
        <f t="shared" si="174"/>
        <v>19533.41</v>
      </c>
      <c r="AT232" s="14">
        <f t="shared" si="180"/>
        <v>4238269.4100000123</v>
      </c>
      <c r="AU232" s="185">
        <f t="shared" si="181"/>
        <v>4227.5361171010391</v>
      </c>
      <c r="AV232" s="185">
        <f t="shared" si="182"/>
        <v>709141.98295751691</v>
      </c>
    </row>
    <row r="233" spans="1:48">
      <c r="A233" s="401" t="str">
        <f t="shared" si="183"/>
        <v xml:space="preserve"> </v>
      </c>
      <c r="B233" s="185">
        <f t="shared" si="175"/>
        <v>0</v>
      </c>
      <c r="C233" s="14">
        <f t="shared" si="166"/>
        <v>0</v>
      </c>
      <c r="D233" s="14">
        <f t="shared" si="184"/>
        <v>0</v>
      </c>
      <c r="E233" s="14">
        <f t="shared" si="167"/>
        <v>0</v>
      </c>
      <c r="F233" s="14">
        <f t="shared" si="194"/>
        <v>0</v>
      </c>
      <c r="G233" s="14">
        <f t="shared" si="194"/>
        <v>0</v>
      </c>
      <c r="H233" s="14">
        <f t="shared" si="152"/>
        <v>0</v>
      </c>
      <c r="I233" s="185">
        <f t="shared" si="185"/>
        <v>0</v>
      </c>
      <c r="J233" s="185">
        <f t="shared" si="186"/>
        <v>0</v>
      </c>
      <c r="K233" s="185">
        <f t="shared" si="187"/>
        <v>0</v>
      </c>
      <c r="L233" s="317">
        <f t="shared" si="149"/>
        <v>18</v>
      </c>
      <c r="M233" s="317">
        <f t="shared" si="176"/>
        <v>217</v>
      </c>
      <c r="N233" s="185">
        <f t="shared" si="177"/>
        <v>927104.03</v>
      </c>
      <c r="O233" s="185">
        <f t="shared" si="159"/>
        <v>19533.41</v>
      </c>
      <c r="P233" s="185">
        <f t="shared" si="188"/>
        <v>1184.4799999999996</v>
      </c>
      <c r="Q233" s="185">
        <f t="shared" si="160"/>
        <v>18348.93</v>
      </c>
      <c r="R233" s="185">
        <f t="shared" si="197"/>
        <v>134.16999999999999</v>
      </c>
      <c r="S233" s="185">
        <f t="shared" si="197"/>
        <v>188.55</v>
      </c>
      <c r="T233" s="185">
        <f t="shared" si="153"/>
        <v>19856.129999999997</v>
      </c>
      <c r="U233" s="185">
        <f t="shared" si="189"/>
        <v>60180.449999999953</v>
      </c>
      <c r="V233" s="185">
        <f t="shared" si="190"/>
        <v>4198102.9299999988</v>
      </c>
      <c r="W233" s="185">
        <f t="shared" si="191"/>
        <v>925919.55</v>
      </c>
      <c r="X233" s="401" t="str">
        <f t="shared" si="178"/>
        <v xml:space="preserve"> </v>
      </c>
      <c r="Y233" s="185">
        <f t="shared" si="161"/>
        <v>783650.24000000057</v>
      </c>
      <c r="Z233" s="393">
        <f t="shared" si="169"/>
        <v>0.13125000000000001</v>
      </c>
      <c r="AA233" s="185">
        <f t="shared" si="170"/>
        <v>10874</v>
      </c>
      <c r="AB233" s="185">
        <f t="shared" si="171"/>
        <v>2302.83</v>
      </c>
      <c r="AC233" s="185">
        <f t="shared" si="172"/>
        <v>8571.17</v>
      </c>
      <c r="AD233" s="185">
        <f t="shared" si="196"/>
        <v>134.16999999999999</v>
      </c>
      <c r="AE233" s="185">
        <f t="shared" si="196"/>
        <v>188.55</v>
      </c>
      <c r="AF233" s="185">
        <f t="shared" si="173"/>
        <v>11196.72</v>
      </c>
      <c r="AG233" s="185">
        <f t="shared" si="192"/>
        <v>204370.67999999996</v>
      </c>
      <c r="AH233" s="185">
        <f t="shared" si="193"/>
        <v>2051388.3199999998</v>
      </c>
      <c r="AI233" s="411">
        <f t="shared" si="155"/>
        <v>1972570.5599999924</v>
      </c>
      <c r="AJ233" s="411">
        <f t="shared" si="195"/>
        <v>144572.13999999943</v>
      </c>
      <c r="AK233" s="411">
        <f t="shared" si="156"/>
        <v>2117142.6999999918</v>
      </c>
      <c r="AL233" s="185">
        <f t="shared" si="162"/>
        <v>781347.41000000061</v>
      </c>
      <c r="AM233" s="317">
        <f t="shared" si="179"/>
        <v>18</v>
      </c>
      <c r="AN233" s="14">
        <f t="shared" si="157"/>
        <v>19533.41</v>
      </c>
      <c r="AO233" s="14">
        <f t="shared" si="148"/>
        <v>925919.55</v>
      </c>
      <c r="AP233" s="14">
        <f t="shared" si="158"/>
        <v>10874</v>
      </c>
      <c r="AS233" s="14">
        <f t="shared" si="174"/>
        <v>19533.41</v>
      </c>
      <c r="AT233" s="14">
        <f t="shared" si="180"/>
        <v>4257802.8200000124</v>
      </c>
      <c r="AU233" s="185">
        <f t="shared" si="181"/>
        <v>4238.1049573937917</v>
      </c>
      <c r="AV233" s="185">
        <f t="shared" si="182"/>
        <v>713380.08791491075</v>
      </c>
    </row>
    <row r="234" spans="1:48">
      <c r="A234" s="401" t="str">
        <f t="shared" si="183"/>
        <v xml:space="preserve"> </v>
      </c>
      <c r="B234" s="185">
        <f t="shared" si="175"/>
        <v>0</v>
      </c>
      <c r="C234" s="14">
        <f t="shared" si="166"/>
        <v>0</v>
      </c>
      <c r="D234" s="14">
        <f t="shared" si="184"/>
        <v>0</v>
      </c>
      <c r="E234" s="14">
        <f t="shared" si="167"/>
        <v>0</v>
      </c>
      <c r="F234" s="14">
        <f t="shared" si="194"/>
        <v>0</v>
      </c>
      <c r="G234" s="14">
        <f t="shared" si="194"/>
        <v>0</v>
      </c>
      <c r="H234" s="14">
        <f t="shared" si="152"/>
        <v>0</v>
      </c>
      <c r="I234" s="185">
        <f t="shared" si="185"/>
        <v>0</v>
      </c>
      <c r="J234" s="185">
        <f t="shared" si="186"/>
        <v>0</v>
      </c>
      <c r="K234" s="185">
        <f t="shared" si="187"/>
        <v>0</v>
      </c>
      <c r="L234" s="317">
        <f t="shared" si="149"/>
        <v>18</v>
      </c>
      <c r="M234" s="317">
        <f t="shared" si="176"/>
        <v>218</v>
      </c>
      <c r="N234" s="185">
        <f t="shared" si="177"/>
        <v>925919.55</v>
      </c>
      <c r="O234" s="185">
        <f t="shared" si="159"/>
        <v>19533.41</v>
      </c>
      <c r="P234" s="185">
        <f t="shared" si="188"/>
        <v>1207.9199999999983</v>
      </c>
      <c r="Q234" s="185">
        <f t="shared" si="160"/>
        <v>18325.490000000002</v>
      </c>
      <c r="R234" s="185">
        <f t="shared" si="197"/>
        <v>134.16999999999999</v>
      </c>
      <c r="S234" s="185">
        <f t="shared" si="197"/>
        <v>188.55</v>
      </c>
      <c r="T234" s="185">
        <f t="shared" si="153"/>
        <v>19856.129999999997</v>
      </c>
      <c r="U234" s="185">
        <f t="shared" si="189"/>
        <v>61388.369999999952</v>
      </c>
      <c r="V234" s="185">
        <f t="shared" si="190"/>
        <v>4216428.419999999</v>
      </c>
      <c r="W234" s="185">
        <f t="shared" si="191"/>
        <v>924711.63</v>
      </c>
      <c r="X234" s="401" t="str">
        <f t="shared" si="178"/>
        <v xml:space="preserve"> </v>
      </c>
      <c r="Y234" s="185">
        <f t="shared" si="161"/>
        <v>781347.41000000061</v>
      </c>
      <c r="Z234" s="393">
        <f t="shared" si="169"/>
        <v>0.13125000000000001</v>
      </c>
      <c r="AA234" s="185">
        <f t="shared" si="170"/>
        <v>10874</v>
      </c>
      <c r="AB234" s="185">
        <f t="shared" si="171"/>
        <v>2328.0100000000002</v>
      </c>
      <c r="AC234" s="185">
        <f t="shared" si="172"/>
        <v>8545.99</v>
      </c>
      <c r="AD234" s="185">
        <f t="shared" si="196"/>
        <v>134.16999999999999</v>
      </c>
      <c r="AE234" s="185">
        <f t="shared" si="196"/>
        <v>188.55</v>
      </c>
      <c r="AF234" s="185">
        <f t="shared" si="173"/>
        <v>11196.72</v>
      </c>
      <c r="AG234" s="185">
        <f t="shared" si="192"/>
        <v>206698.68999999997</v>
      </c>
      <c r="AH234" s="185">
        <f t="shared" si="193"/>
        <v>2059934.3099999998</v>
      </c>
      <c r="AI234" s="411">
        <f t="shared" si="155"/>
        <v>1981229.9699999923</v>
      </c>
      <c r="AJ234" s="411">
        <f t="shared" si="195"/>
        <v>145692.2299999994</v>
      </c>
      <c r="AK234" s="411">
        <f t="shared" si="156"/>
        <v>2126922.1999999918</v>
      </c>
      <c r="AL234" s="185">
        <f t="shared" si="162"/>
        <v>779019.40000000061</v>
      </c>
      <c r="AM234" s="317">
        <f t="shared" si="179"/>
        <v>18</v>
      </c>
      <c r="AN234" s="14">
        <f t="shared" si="157"/>
        <v>19533.41</v>
      </c>
      <c r="AO234" s="14">
        <f t="shared" si="148"/>
        <v>924711.63</v>
      </c>
      <c r="AP234" s="14">
        <f t="shared" si="158"/>
        <v>10874</v>
      </c>
      <c r="AS234" s="14">
        <f t="shared" si="174"/>
        <v>19533.41</v>
      </c>
      <c r="AT234" s="14">
        <f t="shared" si="180"/>
        <v>4277336.2300000126</v>
      </c>
      <c r="AU234" s="185">
        <f t="shared" si="181"/>
        <v>4248.7002197872762</v>
      </c>
      <c r="AV234" s="185">
        <f t="shared" si="182"/>
        <v>717628.78813469806</v>
      </c>
    </row>
    <row r="235" spans="1:48">
      <c r="A235" s="401" t="str">
        <f t="shared" si="183"/>
        <v xml:space="preserve"> </v>
      </c>
      <c r="B235" s="185">
        <f t="shared" si="175"/>
        <v>0</v>
      </c>
      <c r="C235" s="14">
        <f t="shared" si="166"/>
        <v>0</v>
      </c>
      <c r="D235" s="14">
        <f t="shared" si="184"/>
        <v>0</v>
      </c>
      <c r="E235" s="14">
        <f t="shared" si="167"/>
        <v>0</v>
      </c>
      <c r="F235" s="14">
        <f t="shared" ref="F235:G250" si="198">+F234</f>
        <v>0</v>
      </c>
      <c r="G235" s="14">
        <f t="shared" si="198"/>
        <v>0</v>
      </c>
      <c r="H235" s="14">
        <f t="shared" si="152"/>
        <v>0</v>
      </c>
      <c r="I235" s="185">
        <f t="shared" si="185"/>
        <v>0</v>
      </c>
      <c r="J235" s="185">
        <f t="shared" si="186"/>
        <v>0</v>
      </c>
      <c r="K235" s="185">
        <f t="shared" si="187"/>
        <v>0</v>
      </c>
      <c r="L235" s="317">
        <f t="shared" si="149"/>
        <v>18</v>
      </c>
      <c r="M235" s="317">
        <f t="shared" si="176"/>
        <v>219</v>
      </c>
      <c r="N235" s="185">
        <f t="shared" si="177"/>
        <v>924711.63</v>
      </c>
      <c r="O235" s="185">
        <f t="shared" si="159"/>
        <v>19533.41</v>
      </c>
      <c r="P235" s="185">
        <f t="shared" si="188"/>
        <v>1231.8299999999981</v>
      </c>
      <c r="Q235" s="185">
        <f t="shared" si="160"/>
        <v>18301.580000000002</v>
      </c>
      <c r="R235" s="185">
        <f t="shared" si="197"/>
        <v>134.16999999999999</v>
      </c>
      <c r="S235" s="185">
        <f t="shared" si="197"/>
        <v>188.55</v>
      </c>
      <c r="T235" s="185">
        <f t="shared" si="153"/>
        <v>19856.129999999997</v>
      </c>
      <c r="U235" s="185">
        <f t="shared" si="189"/>
        <v>62620.199999999953</v>
      </c>
      <c r="V235" s="185">
        <f t="shared" si="190"/>
        <v>4234729.9999999991</v>
      </c>
      <c r="W235" s="185">
        <f t="shared" si="191"/>
        <v>923479.8</v>
      </c>
      <c r="X235" s="401" t="str">
        <f t="shared" si="178"/>
        <v xml:space="preserve"> </v>
      </c>
      <c r="Y235" s="185">
        <f t="shared" si="161"/>
        <v>779019.40000000061</v>
      </c>
      <c r="Z235" s="393">
        <f t="shared" si="169"/>
        <v>0.13125000000000001</v>
      </c>
      <c r="AA235" s="185">
        <f t="shared" si="170"/>
        <v>10874</v>
      </c>
      <c r="AB235" s="185">
        <f t="shared" si="171"/>
        <v>2353.4799999999996</v>
      </c>
      <c r="AC235" s="185">
        <f t="shared" si="172"/>
        <v>8520.52</v>
      </c>
      <c r="AD235" s="185">
        <f t="shared" si="196"/>
        <v>134.16999999999999</v>
      </c>
      <c r="AE235" s="185">
        <f t="shared" si="196"/>
        <v>188.55</v>
      </c>
      <c r="AF235" s="185">
        <f t="shared" si="173"/>
        <v>11196.72</v>
      </c>
      <c r="AG235" s="185">
        <f t="shared" si="192"/>
        <v>209052.16999999998</v>
      </c>
      <c r="AH235" s="185">
        <f t="shared" si="193"/>
        <v>2068454.8299999998</v>
      </c>
      <c r="AI235" s="411">
        <f t="shared" si="155"/>
        <v>1989889.3799999922</v>
      </c>
      <c r="AJ235" s="411">
        <f t="shared" si="195"/>
        <v>146813.87999999942</v>
      </c>
      <c r="AK235" s="411">
        <f t="shared" si="156"/>
        <v>2136703.2599999914</v>
      </c>
      <c r="AL235" s="185">
        <f t="shared" si="162"/>
        <v>776665.92000000062</v>
      </c>
      <c r="AM235" s="317">
        <f t="shared" si="179"/>
        <v>18</v>
      </c>
      <c r="AN235" s="14">
        <f t="shared" si="157"/>
        <v>19533.41</v>
      </c>
      <c r="AO235" s="14">
        <f t="shared" si="148"/>
        <v>923479.8</v>
      </c>
      <c r="AP235" s="14">
        <f t="shared" si="158"/>
        <v>10874</v>
      </c>
      <c r="AS235" s="14">
        <f t="shared" si="174"/>
        <v>19533.41</v>
      </c>
      <c r="AT235" s="14">
        <f t="shared" si="180"/>
        <v>4296869.6400000127</v>
      </c>
      <c r="AU235" s="185">
        <f t="shared" si="181"/>
        <v>4259.3219703367449</v>
      </c>
      <c r="AV235" s="185">
        <f t="shared" si="182"/>
        <v>721888.11010503478</v>
      </c>
    </row>
    <row r="236" spans="1:48">
      <c r="A236" s="401" t="str">
        <f t="shared" si="183"/>
        <v xml:space="preserve"> </v>
      </c>
      <c r="B236" s="185">
        <f t="shared" si="175"/>
        <v>0</v>
      </c>
      <c r="C236" s="14">
        <f t="shared" si="166"/>
        <v>0</v>
      </c>
      <c r="D236" s="14">
        <f t="shared" si="184"/>
        <v>0</v>
      </c>
      <c r="E236" s="14">
        <f t="shared" si="167"/>
        <v>0</v>
      </c>
      <c r="F236" s="14">
        <f t="shared" si="198"/>
        <v>0</v>
      </c>
      <c r="G236" s="14">
        <f t="shared" si="198"/>
        <v>0</v>
      </c>
      <c r="H236" s="14">
        <f t="shared" si="152"/>
        <v>0</v>
      </c>
      <c r="I236" s="185">
        <f t="shared" si="185"/>
        <v>0</v>
      </c>
      <c r="J236" s="185">
        <f t="shared" si="186"/>
        <v>0</v>
      </c>
      <c r="K236" s="185">
        <f t="shared" si="187"/>
        <v>0</v>
      </c>
      <c r="L236" s="317">
        <f t="shared" si="149"/>
        <v>18</v>
      </c>
      <c r="M236" s="317">
        <f t="shared" si="176"/>
        <v>220</v>
      </c>
      <c r="N236" s="185">
        <f t="shared" si="177"/>
        <v>923479.8</v>
      </c>
      <c r="O236" s="185">
        <f t="shared" si="159"/>
        <v>19533.41</v>
      </c>
      <c r="P236" s="185">
        <f t="shared" si="188"/>
        <v>1256.2099999999991</v>
      </c>
      <c r="Q236" s="185">
        <f t="shared" si="160"/>
        <v>18277.2</v>
      </c>
      <c r="R236" s="185">
        <f t="shared" si="197"/>
        <v>134.16999999999999</v>
      </c>
      <c r="S236" s="185">
        <f t="shared" si="197"/>
        <v>188.55</v>
      </c>
      <c r="T236" s="185">
        <f t="shared" si="153"/>
        <v>19856.129999999997</v>
      </c>
      <c r="U236" s="185">
        <f t="shared" si="189"/>
        <v>63876.409999999953</v>
      </c>
      <c r="V236" s="185">
        <f t="shared" si="190"/>
        <v>4253007.1999999993</v>
      </c>
      <c r="W236" s="185">
        <f t="shared" si="191"/>
        <v>922223.59000000008</v>
      </c>
      <c r="X236" s="401" t="str">
        <f t="shared" si="178"/>
        <v xml:space="preserve"> </v>
      </c>
      <c r="Y236" s="185">
        <f t="shared" si="161"/>
        <v>776665.92000000062</v>
      </c>
      <c r="Z236" s="393">
        <f t="shared" si="169"/>
        <v>0.13125000000000001</v>
      </c>
      <c r="AA236" s="185">
        <f t="shared" si="170"/>
        <v>10874</v>
      </c>
      <c r="AB236" s="185">
        <f t="shared" si="171"/>
        <v>2379.2199999999993</v>
      </c>
      <c r="AC236" s="185">
        <f t="shared" si="172"/>
        <v>8494.7800000000007</v>
      </c>
      <c r="AD236" s="185">
        <f t="shared" si="196"/>
        <v>134.16999999999999</v>
      </c>
      <c r="AE236" s="185">
        <f t="shared" si="196"/>
        <v>188.55</v>
      </c>
      <c r="AF236" s="185">
        <f t="shared" si="173"/>
        <v>11196.72</v>
      </c>
      <c r="AG236" s="185">
        <f t="shared" si="192"/>
        <v>211431.38999999998</v>
      </c>
      <c r="AH236" s="185">
        <f t="shared" si="193"/>
        <v>2076949.6099999999</v>
      </c>
      <c r="AI236" s="411">
        <f t="shared" si="155"/>
        <v>1998548.7899999921</v>
      </c>
      <c r="AJ236" s="411">
        <f t="shared" si="195"/>
        <v>147936.88999999943</v>
      </c>
      <c r="AK236" s="411">
        <f t="shared" si="156"/>
        <v>2146485.6799999913</v>
      </c>
      <c r="AL236" s="185">
        <f t="shared" si="162"/>
        <v>774286.70000000065</v>
      </c>
      <c r="AM236" s="317">
        <f t="shared" si="179"/>
        <v>18</v>
      </c>
      <c r="AN236" s="14">
        <f t="shared" si="157"/>
        <v>19533.41</v>
      </c>
      <c r="AO236" s="14">
        <f t="shared" si="148"/>
        <v>922223.59000000008</v>
      </c>
      <c r="AP236" s="14">
        <f t="shared" si="158"/>
        <v>10874</v>
      </c>
      <c r="AS236" s="14">
        <f t="shared" si="174"/>
        <v>19533.41</v>
      </c>
      <c r="AT236" s="14">
        <f t="shared" si="180"/>
        <v>4316403.0500000129</v>
      </c>
      <c r="AU236" s="185">
        <f t="shared" si="181"/>
        <v>4269.9702752625872</v>
      </c>
      <c r="AV236" s="185">
        <f t="shared" si="182"/>
        <v>726158.08038029738</v>
      </c>
    </row>
    <row r="237" spans="1:48">
      <c r="A237" s="401" t="str">
        <f t="shared" si="183"/>
        <v xml:space="preserve"> </v>
      </c>
      <c r="B237" s="185">
        <f t="shared" si="175"/>
        <v>0</v>
      </c>
      <c r="C237" s="14">
        <f t="shared" si="166"/>
        <v>0</v>
      </c>
      <c r="D237" s="14">
        <f t="shared" si="184"/>
        <v>0</v>
      </c>
      <c r="E237" s="14">
        <f t="shared" si="167"/>
        <v>0</v>
      </c>
      <c r="F237" s="14">
        <f t="shared" si="198"/>
        <v>0</v>
      </c>
      <c r="G237" s="14">
        <f t="shared" si="198"/>
        <v>0</v>
      </c>
      <c r="H237" s="14">
        <f t="shared" si="152"/>
        <v>0</v>
      </c>
      <c r="I237" s="185">
        <f t="shared" si="185"/>
        <v>0</v>
      </c>
      <c r="J237" s="185">
        <f t="shared" si="186"/>
        <v>0</v>
      </c>
      <c r="K237" s="185">
        <f t="shared" si="187"/>
        <v>0</v>
      </c>
      <c r="L237" s="317">
        <f t="shared" si="149"/>
        <v>18</v>
      </c>
      <c r="M237" s="317">
        <f t="shared" si="176"/>
        <v>221</v>
      </c>
      <c r="N237" s="185">
        <f t="shared" si="177"/>
        <v>922223.59000000008</v>
      </c>
      <c r="O237" s="185">
        <f t="shared" si="159"/>
        <v>19533.41</v>
      </c>
      <c r="P237" s="185">
        <f t="shared" si="188"/>
        <v>1281.0699999999997</v>
      </c>
      <c r="Q237" s="185">
        <f t="shared" si="160"/>
        <v>18252.34</v>
      </c>
      <c r="R237" s="185">
        <f t="shared" si="197"/>
        <v>134.16999999999999</v>
      </c>
      <c r="S237" s="185">
        <f t="shared" si="197"/>
        <v>188.55</v>
      </c>
      <c r="T237" s="185">
        <f t="shared" si="153"/>
        <v>19856.129999999997</v>
      </c>
      <c r="U237" s="185">
        <f t="shared" si="189"/>
        <v>65157.479999999952</v>
      </c>
      <c r="V237" s="185">
        <f t="shared" si="190"/>
        <v>4271259.5399999991</v>
      </c>
      <c r="W237" s="185">
        <f t="shared" si="191"/>
        <v>920942.52000000014</v>
      </c>
      <c r="X237" s="401" t="str">
        <f t="shared" si="178"/>
        <v xml:space="preserve"> </v>
      </c>
      <c r="Y237" s="185">
        <f t="shared" si="161"/>
        <v>774286.70000000065</v>
      </c>
      <c r="Z237" s="393">
        <f t="shared" si="169"/>
        <v>0.13125000000000001</v>
      </c>
      <c r="AA237" s="185">
        <f t="shared" si="170"/>
        <v>10874</v>
      </c>
      <c r="AB237" s="185">
        <f t="shared" si="171"/>
        <v>2405.2399999999998</v>
      </c>
      <c r="AC237" s="185">
        <f t="shared" si="172"/>
        <v>8468.76</v>
      </c>
      <c r="AD237" s="185">
        <f t="shared" ref="AD237:AE252" si="199">+AD236</f>
        <v>134.16999999999999</v>
      </c>
      <c r="AE237" s="185">
        <f t="shared" si="199"/>
        <v>188.55</v>
      </c>
      <c r="AF237" s="185">
        <f t="shared" si="173"/>
        <v>11196.72</v>
      </c>
      <c r="AG237" s="185">
        <f t="shared" si="192"/>
        <v>213836.62999999998</v>
      </c>
      <c r="AH237" s="185">
        <f t="shared" si="193"/>
        <v>2085418.3699999999</v>
      </c>
      <c r="AI237" s="411">
        <f t="shared" si="155"/>
        <v>2007208.199999992</v>
      </c>
      <c r="AJ237" s="411">
        <f t="shared" si="195"/>
        <v>149061.05999999947</v>
      </c>
      <c r="AK237" s="411">
        <f t="shared" si="156"/>
        <v>2156269.2599999914</v>
      </c>
      <c r="AL237" s="185">
        <f t="shared" si="162"/>
        <v>771881.46000000066</v>
      </c>
      <c r="AM237" s="317">
        <f t="shared" si="179"/>
        <v>18</v>
      </c>
      <c r="AN237" s="14">
        <f t="shared" si="157"/>
        <v>19533.41</v>
      </c>
      <c r="AO237" s="14">
        <f t="shared" si="148"/>
        <v>920942.52</v>
      </c>
      <c r="AP237" s="14">
        <f t="shared" si="158"/>
        <v>10874</v>
      </c>
      <c r="AS237" s="14">
        <f t="shared" si="174"/>
        <v>19533.41</v>
      </c>
      <c r="AT237" s="14">
        <f t="shared" si="180"/>
        <v>4335936.460000013</v>
      </c>
      <c r="AU237" s="185">
        <f t="shared" si="181"/>
        <v>4280.6452009507429</v>
      </c>
      <c r="AV237" s="185">
        <f t="shared" si="182"/>
        <v>730438.72558124817</v>
      </c>
    </row>
    <row r="238" spans="1:48">
      <c r="A238" s="401" t="str">
        <f t="shared" si="183"/>
        <v xml:space="preserve"> </v>
      </c>
      <c r="B238" s="185">
        <f t="shared" si="175"/>
        <v>0</v>
      </c>
      <c r="C238" s="14">
        <f t="shared" si="166"/>
        <v>0</v>
      </c>
      <c r="D238" s="14">
        <f t="shared" si="184"/>
        <v>0</v>
      </c>
      <c r="E238" s="14">
        <f t="shared" si="167"/>
        <v>0</v>
      </c>
      <c r="F238" s="14">
        <f t="shared" si="198"/>
        <v>0</v>
      </c>
      <c r="G238" s="14">
        <f t="shared" si="198"/>
        <v>0</v>
      </c>
      <c r="H238" s="14">
        <f t="shared" si="152"/>
        <v>0</v>
      </c>
      <c r="I238" s="185">
        <f t="shared" si="185"/>
        <v>0</v>
      </c>
      <c r="J238" s="185">
        <f t="shared" si="186"/>
        <v>0</v>
      </c>
      <c r="K238" s="185">
        <f t="shared" si="187"/>
        <v>0</v>
      </c>
      <c r="L238" s="317">
        <f t="shared" si="149"/>
        <v>18</v>
      </c>
      <c r="M238" s="317">
        <f t="shared" si="176"/>
        <v>222</v>
      </c>
      <c r="N238" s="185">
        <f t="shared" si="177"/>
        <v>920942.52000000014</v>
      </c>
      <c r="O238" s="185">
        <f t="shared" si="159"/>
        <v>19533.41</v>
      </c>
      <c r="P238" s="185">
        <f t="shared" si="188"/>
        <v>1306.4199999999983</v>
      </c>
      <c r="Q238" s="185">
        <f t="shared" si="160"/>
        <v>18226.990000000002</v>
      </c>
      <c r="R238" s="185">
        <f t="shared" si="197"/>
        <v>134.16999999999999</v>
      </c>
      <c r="S238" s="185">
        <f t="shared" si="197"/>
        <v>188.55</v>
      </c>
      <c r="T238" s="185">
        <f t="shared" si="153"/>
        <v>19856.129999999997</v>
      </c>
      <c r="U238" s="185">
        <f t="shared" si="189"/>
        <v>66463.899999999951</v>
      </c>
      <c r="V238" s="185">
        <f t="shared" si="190"/>
        <v>4289486.5299999993</v>
      </c>
      <c r="W238" s="185">
        <f t="shared" si="191"/>
        <v>919636.10000000009</v>
      </c>
      <c r="X238" s="401" t="str">
        <f t="shared" si="178"/>
        <v xml:space="preserve"> </v>
      </c>
      <c r="Y238" s="185">
        <f t="shared" si="161"/>
        <v>771881.46000000066</v>
      </c>
      <c r="Z238" s="393">
        <f t="shared" si="169"/>
        <v>0.13125000000000001</v>
      </c>
      <c r="AA238" s="185">
        <f t="shared" si="170"/>
        <v>10874</v>
      </c>
      <c r="AB238" s="185">
        <f t="shared" si="171"/>
        <v>2431.5499999999993</v>
      </c>
      <c r="AC238" s="185">
        <f t="shared" si="172"/>
        <v>8442.4500000000007</v>
      </c>
      <c r="AD238" s="185">
        <f t="shared" si="199"/>
        <v>134.16999999999999</v>
      </c>
      <c r="AE238" s="185">
        <f t="shared" si="199"/>
        <v>188.55</v>
      </c>
      <c r="AF238" s="185">
        <f t="shared" si="173"/>
        <v>11196.72</v>
      </c>
      <c r="AG238" s="185">
        <f t="shared" si="192"/>
        <v>216268.17999999996</v>
      </c>
      <c r="AH238" s="185">
        <f t="shared" si="193"/>
        <v>2093860.8199999998</v>
      </c>
      <c r="AI238" s="411">
        <f t="shared" si="155"/>
        <v>2015867.609999992</v>
      </c>
      <c r="AJ238" s="411">
        <f t="shared" si="195"/>
        <v>150186.18999999948</v>
      </c>
      <c r="AK238" s="411">
        <f t="shared" si="156"/>
        <v>2166053.7999999914</v>
      </c>
      <c r="AL238" s="185">
        <f t="shared" si="162"/>
        <v>769449.91000000061</v>
      </c>
      <c r="AM238" s="317">
        <f t="shared" si="179"/>
        <v>18</v>
      </c>
      <c r="AN238" s="14">
        <f t="shared" si="157"/>
        <v>19533.41</v>
      </c>
      <c r="AO238" s="14">
        <f t="shared" ref="AO238:AO301" si="200">IF(W238&lt;=0,0,+$AA$6-$C$2+I238-U238)</f>
        <v>919636.10000000009</v>
      </c>
      <c r="AP238" s="14">
        <f t="shared" si="158"/>
        <v>10874</v>
      </c>
      <c r="AS238" s="14">
        <f t="shared" si="174"/>
        <v>19533.41</v>
      </c>
      <c r="AT238" s="14">
        <f t="shared" si="180"/>
        <v>4355469.8700000132</v>
      </c>
      <c r="AU238" s="185">
        <f t="shared" si="181"/>
        <v>4291.3468139531205</v>
      </c>
      <c r="AV238" s="185">
        <f t="shared" si="182"/>
        <v>734730.07239520131</v>
      </c>
    </row>
    <row r="239" spans="1:48">
      <c r="A239" s="401" t="str">
        <f t="shared" si="183"/>
        <v xml:space="preserve"> </v>
      </c>
      <c r="B239" s="185">
        <f t="shared" si="175"/>
        <v>0</v>
      </c>
      <c r="C239" s="14">
        <f t="shared" si="166"/>
        <v>0</v>
      </c>
      <c r="D239" s="14">
        <f t="shared" si="184"/>
        <v>0</v>
      </c>
      <c r="E239" s="14">
        <f t="shared" si="167"/>
        <v>0</v>
      </c>
      <c r="F239" s="14">
        <f t="shared" si="198"/>
        <v>0</v>
      </c>
      <c r="G239" s="14">
        <f t="shared" si="198"/>
        <v>0</v>
      </c>
      <c r="H239" s="14">
        <f t="shared" si="152"/>
        <v>0</v>
      </c>
      <c r="I239" s="185">
        <f t="shared" si="185"/>
        <v>0</v>
      </c>
      <c r="J239" s="185">
        <f t="shared" si="186"/>
        <v>0</v>
      </c>
      <c r="K239" s="185">
        <f t="shared" si="187"/>
        <v>0</v>
      </c>
      <c r="L239" s="317">
        <f t="shared" si="149"/>
        <v>18</v>
      </c>
      <c r="M239" s="317">
        <f t="shared" si="176"/>
        <v>223</v>
      </c>
      <c r="N239" s="185">
        <f t="shared" si="177"/>
        <v>919636.10000000009</v>
      </c>
      <c r="O239" s="185">
        <f t="shared" si="159"/>
        <v>19533.41</v>
      </c>
      <c r="P239" s="185">
        <f t="shared" si="188"/>
        <v>1332.2799999999988</v>
      </c>
      <c r="Q239" s="185">
        <f t="shared" si="160"/>
        <v>18201.13</v>
      </c>
      <c r="R239" s="185">
        <f t="shared" si="197"/>
        <v>134.16999999999999</v>
      </c>
      <c r="S239" s="185">
        <f t="shared" si="197"/>
        <v>188.55</v>
      </c>
      <c r="T239" s="185">
        <f t="shared" si="153"/>
        <v>19856.129999999997</v>
      </c>
      <c r="U239" s="185">
        <f t="shared" si="189"/>
        <v>67796.179999999949</v>
      </c>
      <c r="V239" s="185">
        <f t="shared" si="190"/>
        <v>4307687.6599999992</v>
      </c>
      <c r="W239" s="185">
        <f t="shared" si="191"/>
        <v>918303.82000000007</v>
      </c>
      <c r="X239" s="401" t="str">
        <f t="shared" si="178"/>
        <v xml:space="preserve"> </v>
      </c>
      <c r="Y239" s="185">
        <f t="shared" si="161"/>
        <v>769449.91000000061</v>
      </c>
      <c r="Z239" s="393">
        <f t="shared" si="169"/>
        <v>0.13125000000000001</v>
      </c>
      <c r="AA239" s="185">
        <f t="shared" si="170"/>
        <v>10874</v>
      </c>
      <c r="AB239" s="185">
        <f t="shared" si="171"/>
        <v>2458.1399999999994</v>
      </c>
      <c r="AC239" s="185">
        <f t="shared" si="172"/>
        <v>8415.86</v>
      </c>
      <c r="AD239" s="185">
        <f t="shared" si="199"/>
        <v>134.16999999999999</v>
      </c>
      <c r="AE239" s="185">
        <f t="shared" si="199"/>
        <v>188.55</v>
      </c>
      <c r="AF239" s="185">
        <f t="shared" si="173"/>
        <v>11196.72</v>
      </c>
      <c r="AG239" s="185">
        <f t="shared" si="192"/>
        <v>218726.31999999995</v>
      </c>
      <c r="AH239" s="185">
        <f t="shared" si="193"/>
        <v>2102276.6799999997</v>
      </c>
      <c r="AI239" s="411">
        <f t="shared" si="155"/>
        <v>2024527.0199999919</v>
      </c>
      <c r="AJ239" s="411">
        <f t="shared" si="195"/>
        <v>151312.04999999946</v>
      </c>
      <c r="AK239" s="411">
        <f t="shared" si="156"/>
        <v>2175839.0699999915</v>
      </c>
      <c r="AL239" s="185">
        <f t="shared" si="162"/>
        <v>766991.7700000006</v>
      </c>
      <c r="AM239" s="317">
        <f t="shared" si="179"/>
        <v>18</v>
      </c>
      <c r="AN239" s="14">
        <f t="shared" si="157"/>
        <v>19533.41</v>
      </c>
      <c r="AO239" s="14">
        <f t="shared" si="200"/>
        <v>918303.82000000007</v>
      </c>
      <c r="AP239" s="14">
        <f t="shared" si="158"/>
        <v>10874</v>
      </c>
      <c r="AS239" s="14">
        <f t="shared" si="174"/>
        <v>19533.41</v>
      </c>
      <c r="AT239" s="14">
        <f t="shared" si="180"/>
        <v>4375003.2800000133</v>
      </c>
      <c r="AU239" s="185">
        <f t="shared" si="181"/>
        <v>4302.075180988003</v>
      </c>
      <c r="AV239" s="185">
        <f t="shared" si="182"/>
        <v>739032.14757618937</v>
      </c>
    </row>
    <row r="240" spans="1:48">
      <c r="A240" s="401" t="str">
        <f t="shared" si="183"/>
        <v xml:space="preserve"> </v>
      </c>
      <c r="B240" s="185">
        <f t="shared" si="175"/>
        <v>0</v>
      </c>
      <c r="C240" s="14">
        <f t="shared" si="166"/>
        <v>0</v>
      </c>
      <c r="D240" s="14">
        <f t="shared" si="184"/>
        <v>0</v>
      </c>
      <c r="E240" s="14">
        <f t="shared" si="167"/>
        <v>0</v>
      </c>
      <c r="F240" s="14">
        <f t="shared" si="198"/>
        <v>0</v>
      </c>
      <c r="G240" s="14">
        <f t="shared" si="198"/>
        <v>0</v>
      </c>
      <c r="H240" s="14">
        <f t="shared" si="152"/>
        <v>0</v>
      </c>
      <c r="I240" s="185">
        <f t="shared" si="185"/>
        <v>0</v>
      </c>
      <c r="J240" s="185">
        <f t="shared" si="186"/>
        <v>0</v>
      </c>
      <c r="K240" s="185">
        <f t="shared" si="187"/>
        <v>0</v>
      </c>
      <c r="L240" s="317">
        <f t="shared" ref="L240:L303" si="201">IF(MOD(M240,12)=0,M240/12,L239)</f>
        <v>18</v>
      </c>
      <c r="M240" s="317">
        <f t="shared" si="176"/>
        <v>224</v>
      </c>
      <c r="N240" s="185">
        <f t="shared" si="177"/>
        <v>918303.82000000007</v>
      </c>
      <c r="O240" s="185">
        <f t="shared" si="159"/>
        <v>19533.41</v>
      </c>
      <c r="P240" s="185">
        <f t="shared" si="188"/>
        <v>1358.6500000000015</v>
      </c>
      <c r="Q240" s="185">
        <f t="shared" si="160"/>
        <v>18174.759999999998</v>
      </c>
      <c r="R240" s="185">
        <f t="shared" ref="R240:S255" si="202">+R239</f>
        <v>134.16999999999999</v>
      </c>
      <c r="S240" s="185">
        <f t="shared" si="202"/>
        <v>188.55</v>
      </c>
      <c r="T240" s="185">
        <f t="shared" si="153"/>
        <v>19856.129999999997</v>
      </c>
      <c r="U240" s="185">
        <f t="shared" si="189"/>
        <v>69154.829999999958</v>
      </c>
      <c r="V240" s="185">
        <f t="shared" si="190"/>
        <v>4325862.419999999</v>
      </c>
      <c r="W240" s="185">
        <f t="shared" si="191"/>
        <v>916945.17</v>
      </c>
      <c r="X240" s="401" t="str">
        <f t="shared" si="178"/>
        <v xml:space="preserve"> </v>
      </c>
      <c r="Y240" s="185">
        <f t="shared" si="161"/>
        <v>766991.7700000006</v>
      </c>
      <c r="Z240" s="393">
        <f t="shared" si="169"/>
        <v>0.13125000000000001</v>
      </c>
      <c r="AA240" s="185">
        <f t="shared" si="170"/>
        <v>10874</v>
      </c>
      <c r="AB240" s="185">
        <f t="shared" si="171"/>
        <v>2485.0300000000007</v>
      </c>
      <c r="AC240" s="185">
        <f t="shared" si="172"/>
        <v>8388.9699999999993</v>
      </c>
      <c r="AD240" s="185">
        <f t="shared" si="199"/>
        <v>134.16999999999999</v>
      </c>
      <c r="AE240" s="185">
        <f t="shared" si="199"/>
        <v>188.55</v>
      </c>
      <c r="AF240" s="185">
        <f t="shared" si="173"/>
        <v>11196.72</v>
      </c>
      <c r="AG240" s="185">
        <f t="shared" si="192"/>
        <v>221211.34999999995</v>
      </c>
      <c r="AH240" s="185">
        <f t="shared" si="193"/>
        <v>2110665.65</v>
      </c>
      <c r="AI240" s="411">
        <f t="shared" si="155"/>
        <v>2033186.4299999918</v>
      </c>
      <c r="AJ240" s="411">
        <f t="shared" si="195"/>
        <v>152438.42999999947</v>
      </c>
      <c r="AK240" s="411">
        <f t="shared" si="156"/>
        <v>2185624.859999991</v>
      </c>
      <c r="AL240" s="185">
        <f t="shared" si="162"/>
        <v>764506.74000000057</v>
      </c>
      <c r="AM240" s="317">
        <f t="shared" si="179"/>
        <v>18</v>
      </c>
      <c r="AN240" s="14">
        <f t="shared" si="157"/>
        <v>19533.41</v>
      </c>
      <c r="AO240" s="14">
        <f t="shared" si="200"/>
        <v>916945.17</v>
      </c>
      <c r="AP240" s="14">
        <f t="shared" si="158"/>
        <v>10874</v>
      </c>
      <c r="AS240" s="14">
        <f t="shared" si="174"/>
        <v>19533.41</v>
      </c>
      <c r="AT240" s="14">
        <f t="shared" si="180"/>
        <v>4394536.6900000134</v>
      </c>
      <c r="AU240" s="185">
        <f t="shared" si="181"/>
        <v>4312.8303689404738</v>
      </c>
      <c r="AV240" s="185">
        <f t="shared" si="182"/>
        <v>743344.97794512985</v>
      </c>
    </row>
    <row r="241" spans="1:48">
      <c r="A241" s="401" t="str">
        <f t="shared" si="183"/>
        <v xml:space="preserve"> </v>
      </c>
      <c r="B241" s="185">
        <f t="shared" si="175"/>
        <v>0</v>
      </c>
      <c r="C241" s="14">
        <f t="shared" si="166"/>
        <v>0</v>
      </c>
      <c r="D241" s="14">
        <f t="shared" si="184"/>
        <v>0</v>
      </c>
      <c r="E241" s="14">
        <f t="shared" si="167"/>
        <v>0</v>
      </c>
      <c r="F241" s="14">
        <f t="shared" si="198"/>
        <v>0</v>
      </c>
      <c r="G241" s="14">
        <f t="shared" si="198"/>
        <v>0</v>
      </c>
      <c r="H241" s="14">
        <f t="shared" si="152"/>
        <v>0</v>
      </c>
      <c r="I241" s="185">
        <f t="shared" si="185"/>
        <v>0</v>
      </c>
      <c r="J241" s="185">
        <f t="shared" si="186"/>
        <v>0</v>
      </c>
      <c r="K241" s="185">
        <f t="shared" si="187"/>
        <v>0</v>
      </c>
      <c r="L241" s="317">
        <f t="shared" si="201"/>
        <v>18</v>
      </c>
      <c r="M241" s="317">
        <f t="shared" si="176"/>
        <v>225</v>
      </c>
      <c r="N241" s="185">
        <f t="shared" si="177"/>
        <v>916945.17</v>
      </c>
      <c r="O241" s="185">
        <f t="shared" si="159"/>
        <v>19533.41</v>
      </c>
      <c r="P241" s="185">
        <f t="shared" si="188"/>
        <v>1385.5400000000009</v>
      </c>
      <c r="Q241" s="185">
        <f t="shared" si="160"/>
        <v>18147.87</v>
      </c>
      <c r="R241" s="185">
        <f t="shared" si="202"/>
        <v>134.16999999999999</v>
      </c>
      <c r="S241" s="185">
        <f t="shared" si="202"/>
        <v>188.55</v>
      </c>
      <c r="T241" s="185">
        <f t="shared" si="153"/>
        <v>19856.129999999997</v>
      </c>
      <c r="U241" s="185">
        <f t="shared" si="189"/>
        <v>70540.369999999966</v>
      </c>
      <c r="V241" s="185">
        <f t="shared" si="190"/>
        <v>4344010.2899999991</v>
      </c>
      <c r="W241" s="185">
        <f t="shared" si="191"/>
        <v>915559.63</v>
      </c>
      <c r="X241" s="401" t="str">
        <f t="shared" si="178"/>
        <v xml:space="preserve"> </v>
      </c>
      <c r="Y241" s="185">
        <f t="shared" si="161"/>
        <v>764506.74000000057</v>
      </c>
      <c r="Z241" s="393">
        <f t="shared" si="169"/>
        <v>0.13125000000000001</v>
      </c>
      <c r="AA241" s="185">
        <f t="shared" si="170"/>
        <v>10874</v>
      </c>
      <c r="AB241" s="185">
        <f t="shared" si="171"/>
        <v>2512.2099999999991</v>
      </c>
      <c r="AC241" s="185">
        <f t="shared" si="172"/>
        <v>8361.7900000000009</v>
      </c>
      <c r="AD241" s="185">
        <f t="shared" si="199"/>
        <v>134.16999999999999</v>
      </c>
      <c r="AE241" s="185">
        <f t="shared" si="199"/>
        <v>188.55</v>
      </c>
      <c r="AF241" s="185">
        <f t="shared" si="173"/>
        <v>11196.72</v>
      </c>
      <c r="AG241" s="185">
        <f t="shared" si="192"/>
        <v>223723.55999999994</v>
      </c>
      <c r="AH241" s="185">
        <f t="shared" si="193"/>
        <v>2119027.44</v>
      </c>
      <c r="AI241" s="411">
        <f t="shared" si="155"/>
        <v>2041845.8399999917</v>
      </c>
      <c r="AJ241" s="411">
        <f t="shared" si="195"/>
        <v>153565.09999999939</v>
      </c>
      <c r="AK241" s="411">
        <f t="shared" si="156"/>
        <v>2195410.9399999911</v>
      </c>
      <c r="AL241" s="185">
        <f t="shared" si="162"/>
        <v>761994.53000000061</v>
      </c>
      <c r="AM241" s="317">
        <f t="shared" si="179"/>
        <v>18</v>
      </c>
      <c r="AN241" s="14">
        <f t="shared" si="157"/>
        <v>19533.41</v>
      </c>
      <c r="AO241" s="14">
        <f t="shared" si="200"/>
        <v>915559.63</v>
      </c>
      <c r="AP241" s="14">
        <f t="shared" si="158"/>
        <v>10874</v>
      </c>
      <c r="AS241" s="14">
        <f t="shared" si="174"/>
        <v>19533.41</v>
      </c>
      <c r="AT241" s="14">
        <f t="shared" si="180"/>
        <v>4414070.1000000136</v>
      </c>
      <c r="AU241" s="185">
        <f t="shared" si="181"/>
        <v>4323.6124448628243</v>
      </c>
      <c r="AV241" s="185">
        <f t="shared" si="182"/>
        <v>747668.59038999269</v>
      </c>
    </row>
    <row r="242" spans="1:48">
      <c r="A242" s="401" t="str">
        <f t="shared" si="183"/>
        <v xml:space="preserve"> </v>
      </c>
      <c r="B242" s="185">
        <f t="shared" si="175"/>
        <v>0</v>
      </c>
      <c r="C242" s="14">
        <f t="shared" si="166"/>
        <v>0</v>
      </c>
      <c r="D242" s="14">
        <f t="shared" si="184"/>
        <v>0</v>
      </c>
      <c r="E242" s="14">
        <f t="shared" si="167"/>
        <v>0</v>
      </c>
      <c r="F242" s="14">
        <f t="shared" si="198"/>
        <v>0</v>
      </c>
      <c r="G242" s="14">
        <f t="shared" si="198"/>
        <v>0</v>
      </c>
      <c r="H242" s="14">
        <f t="shared" si="152"/>
        <v>0</v>
      </c>
      <c r="I242" s="185">
        <f t="shared" si="185"/>
        <v>0</v>
      </c>
      <c r="J242" s="185">
        <f t="shared" si="186"/>
        <v>0</v>
      </c>
      <c r="K242" s="185">
        <f t="shared" si="187"/>
        <v>0</v>
      </c>
      <c r="L242" s="317">
        <f t="shared" si="201"/>
        <v>18</v>
      </c>
      <c r="M242" s="317">
        <f t="shared" si="176"/>
        <v>226</v>
      </c>
      <c r="N242" s="185">
        <f t="shared" si="177"/>
        <v>915559.63</v>
      </c>
      <c r="O242" s="185">
        <f t="shared" si="159"/>
        <v>19533.41</v>
      </c>
      <c r="P242" s="185">
        <f t="shared" si="188"/>
        <v>1412.9599999999991</v>
      </c>
      <c r="Q242" s="185">
        <f t="shared" si="160"/>
        <v>18120.45</v>
      </c>
      <c r="R242" s="185">
        <f t="shared" si="202"/>
        <v>134.16999999999999</v>
      </c>
      <c r="S242" s="185">
        <f t="shared" si="202"/>
        <v>188.55</v>
      </c>
      <c r="T242" s="185">
        <f t="shared" si="153"/>
        <v>19856.129999999997</v>
      </c>
      <c r="U242" s="185">
        <f t="shared" si="189"/>
        <v>71953.329999999958</v>
      </c>
      <c r="V242" s="185">
        <f t="shared" si="190"/>
        <v>4362130.7399999993</v>
      </c>
      <c r="W242" s="185">
        <f t="shared" si="191"/>
        <v>914146.67</v>
      </c>
      <c r="X242" s="401" t="str">
        <f t="shared" si="178"/>
        <v xml:space="preserve"> </v>
      </c>
      <c r="Y242" s="185">
        <f t="shared" si="161"/>
        <v>761994.53000000061</v>
      </c>
      <c r="Z242" s="393">
        <f t="shared" si="169"/>
        <v>0.13125000000000001</v>
      </c>
      <c r="AA242" s="185">
        <f t="shared" si="170"/>
        <v>10874</v>
      </c>
      <c r="AB242" s="185">
        <f t="shared" si="171"/>
        <v>2539.6800000000003</v>
      </c>
      <c r="AC242" s="185">
        <f t="shared" si="172"/>
        <v>8334.32</v>
      </c>
      <c r="AD242" s="185">
        <f t="shared" si="199"/>
        <v>134.16999999999999</v>
      </c>
      <c r="AE242" s="185">
        <f t="shared" si="199"/>
        <v>188.55</v>
      </c>
      <c r="AF242" s="185">
        <f t="shared" si="173"/>
        <v>11196.72</v>
      </c>
      <c r="AG242" s="185">
        <f t="shared" si="192"/>
        <v>226263.23999999993</v>
      </c>
      <c r="AH242" s="185">
        <f t="shared" si="193"/>
        <v>2127361.7599999998</v>
      </c>
      <c r="AI242" s="411">
        <f t="shared" si="155"/>
        <v>2050505.2499999916</v>
      </c>
      <c r="AJ242" s="411">
        <f t="shared" si="195"/>
        <v>154691.81999999948</v>
      </c>
      <c r="AK242" s="411">
        <f t="shared" si="156"/>
        <v>2205197.069999991</v>
      </c>
      <c r="AL242" s="185">
        <f t="shared" si="162"/>
        <v>759454.85000000056</v>
      </c>
      <c r="AM242" s="317">
        <f t="shared" si="179"/>
        <v>18</v>
      </c>
      <c r="AN242" s="14">
        <f t="shared" si="157"/>
        <v>19533.41</v>
      </c>
      <c r="AO242" s="14">
        <f t="shared" si="200"/>
        <v>914146.67</v>
      </c>
      <c r="AP242" s="14">
        <f t="shared" si="158"/>
        <v>10874</v>
      </c>
      <c r="AS242" s="14">
        <f t="shared" si="174"/>
        <v>19533.41</v>
      </c>
      <c r="AT242" s="14">
        <f t="shared" si="180"/>
        <v>4433603.5100000137</v>
      </c>
      <c r="AU242" s="185">
        <f t="shared" si="181"/>
        <v>4334.4214759749811</v>
      </c>
      <c r="AV242" s="185">
        <f t="shared" si="182"/>
        <v>752003.01186596765</v>
      </c>
    </row>
    <row r="243" spans="1:48" ht="15.75" thickBot="1">
      <c r="A243" s="404" t="str">
        <f t="shared" si="183"/>
        <v xml:space="preserve"> </v>
      </c>
      <c r="B243" s="237">
        <f t="shared" si="175"/>
        <v>0</v>
      </c>
      <c r="C243" s="21">
        <f t="shared" si="166"/>
        <v>0</v>
      </c>
      <c r="D243" s="21">
        <f t="shared" si="184"/>
        <v>0</v>
      </c>
      <c r="E243" s="21">
        <f t="shared" si="167"/>
        <v>0</v>
      </c>
      <c r="F243" s="21">
        <f t="shared" si="198"/>
        <v>0</v>
      </c>
      <c r="G243" s="21">
        <f t="shared" si="198"/>
        <v>0</v>
      </c>
      <c r="H243" s="21">
        <f t="shared" si="152"/>
        <v>0</v>
      </c>
      <c r="I243" s="237">
        <f t="shared" si="185"/>
        <v>0</v>
      </c>
      <c r="J243" s="237">
        <f t="shared" si="186"/>
        <v>0</v>
      </c>
      <c r="K243" s="237">
        <f t="shared" si="187"/>
        <v>0</v>
      </c>
      <c r="L243" s="318">
        <f t="shared" si="201"/>
        <v>18</v>
      </c>
      <c r="M243" s="318">
        <f t="shared" si="176"/>
        <v>227</v>
      </c>
      <c r="N243" s="237">
        <f t="shared" si="177"/>
        <v>914146.67</v>
      </c>
      <c r="O243" s="237">
        <f t="shared" si="159"/>
        <v>19533.41</v>
      </c>
      <c r="P243" s="237">
        <f t="shared" si="188"/>
        <v>1440.9199999999983</v>
      </c>
      <c r="Q243" s="237">
        <f t="shared" si="160"/>
        <v>18092.490000000002</v>
      </c>
      <c r="R243" s="237">
        <f t="shared" si="202"/>
        <v>134.16999999999999</v>
      </c>
      <c r="S243" s="237">
        <f t="shared" si="202"/>
        <v>188.55</v>
      </c>
      <c r="T243" s="237">
        <f t="shared" si="153"/>
        <v>19856.129999999997</v>
      </c>
      <c r="U243" s="237">
        <f t="shared" si="189"/>
        <v>73394.249999999956</v>
      </c>
      <c r="V243" s="237">
        <f t="shared" si="190"/>
        <v>4380223.2299999995</v>
      </c>
      <c r="W243" s="237">
        <f t="shared" si="191"/>
        <v>912705.75</v>
      </c>
      <c r="X243" s="404" t="str">
        <f t="shared" si="178"/>
        <v xml:space="preserve"> </v>
      </c>
      <c r="Y243" s="237">
        <f t="shared" si="161"/>
        <v>759454.85000000056</v>
      </c>
      <c r="Z243" s="394">
        <f t="shared" si="169"/>
        <v>0.13125000000000001</v>
      </c>
      <c r="AA243" s="237">
        <f t="shared" si="170"/>
        <v>10874</v>
      </c>
      <c r="AB243" s="237">
        <f t="shared" si="171"/>
        <v>2567.4599999999991</v>
      </c>
      <c r="AC243" s="237">
        <f t="shared" si="172"/>
        <v>8306.5400000000009</v>
      </c>
      <c r="AD243" s="237">
        <f t="shared" si="199"/>
        <v>134.16999999999999</v>
      </c>
      <c r="AE243" s="237">
        <f t="shared" si="199"/>
        <v>188.55</v>
      </c>
      <c r="AF243" s="237">
        <f t="shared" si="173"/>
        <v>11196.72</v>
      </c>
      <c r="AG243" s="237">
        <f t="shared" si="192"/>
        <v>228830.69999999992</v>
      </c>
      <c r="AH243" s="237">
        <f t="shared" si="193"/>
        <v>2135668.2999999998</v>
      </c>
      <c r="AI243" s="412">
        <f t="shared" si="155"/>
        <v>2059164.6599999915</v>
      </c>
      <c r="AJ243" s="412">
        <f t="shared" si="195"/>
        <v>155818.3599999994</v>
      </c>
      <c r="AK243" s="411">
        <f t="shared" si="156"/>
        <v>2214983.0199999912</v>
      </c>
      <c r="AL243" s="237">
        <f t="shared" si="162"/>
        <v>756887.3900000006</v>
      </c>
      <c r="AM243" s="318">
        <f t="shared" si="179"/>
        <v>18</v>
      </c>
      <c r="AN243" s="21">
        <f t="shared" si="157"/>
        <v>19533.41</v>
      </c>
      <c r="AO243" s="21">
        <f t="shared" si="200"/>
        <v>912705.75</v>
      </c>
      <c r="AP243" s="21">
        <f t="shared" si="158"/>
        <v>10874</v>
      </c>
      <c r="AQ243" s="21"/>
      <c r="AR243" s="23"/>
      <c r="AS243" s="21">
        <f t="shared" si="174"/>
        <v>19533.41</v>
      </c>
      <c r="AT243" s="21">
        <f t="shared" si="180"/>
        <v>4453136.9200000139</v>
      </c>
      <c r="AU243" s="237">
        <f t="shared" si="181"/>
        <v>4345.2575296649184</v>
      </c>
      <c r="AV243" s="237">
        <f t="shared" si="182"/>
        <v>756348.26939563255</v>
      </c>
    </row>
    <row r="244" spans="1:48">
      <c r="A244" s="401" t="str">
        <f t="shared" si="183"/>
        <v xml:space="preserve"> </v>
      </c>
      <c r="B244" s="185">
        <f t="shared" si="175"/>
        <v>0</v>
      </c>
      <c r="C244" s="14">
        <f t="shared" si="166"/>
        <v>0</v>
      </c>
      <c r="D244" s="14">
        <f t="shared" si="184"/>
        <v>0</v>
      </c>
      <c r="E244" s="14">
        <f t="shared" si="167"/>
        <v>0</v>
      </c>
      <c r="F244" s="14">
        <f t="shared" si="198"/>
        <v>0</v>
      </c>
      <c r="G244" s="14">
        <f t="shared" si="198"/>
        <v>0</v>
      </c>
      <c r="H244" s="14">
        <f t="shared" si="152"/>
        <v>0</v>
      </c>
      <c r="I244" s="185">
        <f t="shared" si="185"/>
        <v>0</v>
      </c>
      <c r="J244" s="185">
        <f t="shared" si="186"/>
        <v>0</v>
      </c>
      <c r="K244" s="185">
        <f t="shared" si="187"/>
        <v>0</v>
      </c>
      <c r="L244" s="317">
        <f t="shared" si="201"/>
        <v>19</v>
      </c>
      <c r="M244" s="317">
        <f t="shared" si="176"/>
        <v>228</v>
      </c>
      <c r="N244" s="185">
        <f t="shared" si="177"/>
        <v>912705.75</v>
      </c>
      <c r="O244" s="185">
        <f t="shared" si="159"/>
        <v>19533.41</v>
      </c>
      <c r="P244" s="185">
        <f t="shared" si="188"/>
        <v>1469.4399999999987</v>
      </c>
      <c r="Q244" s="185">
        <f t="shared" si="160"/>
        <v>18063.97</v>
      </c>
      <c r="R244" s="185">
        <f t="shared" si="202"/>
        <v>134.16999999999999</v>
      </c>
      <c r="S244" s="185">
        <f t="shared" si="202"/>
        <v>188.55</v>
      </c>
      <c r="T244" s="185">
        <f t="shared" si="153"/>
        <v>19856.129999999997</v>
      </c>
      <c r="U244" s="185">
        <f t="shared" si="189"/>
        <v>74863.689999999959</v>
      </c>
      <c r="V244" s="185">
        <f t="shared" si="190"/>
        <v>4398287.1999999993</v>
      </c>
      <c r="W244" s="185">
        <f t="shared" si="191"/>
        <v>911236.31</v>
      </c>
      <c r="X244" s="401" t="str">
        <f t="shared" si="178"/>
        <v xml:space="preserve"> </v>
      </c>
      <c r="Y244" s="185">
        <f t="shared" si="161"/>
        <v>756887.3900000006</v>
      </c>
      <c r="Z244" s="393">
        <f t="shared" si="169"/>
        <v>0.13125000000000001</v>
      </c>
      <c r="AA244" s="185">
        <f t="shared" si="170"/>
        <v>10874</v>
      </c>
      <c r="AB244" s="185">
        <f t="shared" si="171"/>
        <v>2595.5400000000009</v>
      </c>
      <c r="AC244" s="185">
        <f t="shared" si="172"/>
        <v>8278.4599999999991</v>
      </c>
      <c r="AD244" s="185">
        <f t="shared" si="199"/>
        <v>134.16999999999999</v>
      </c>
      <c r="AE244" s="185">
        <f t="shared" si="199"/>
        <v>188.55</v>
      </c>
      <c r="AF244" s="185">
        <f t="shared" si="173"/>
        <v>11196.72</v>
      </c>
      <c r="AG244" s="185">
        <f t="shared" si="192"/>
        <v>231426.23999999993</v>
      </c>
      <c r="AH244" s="185">
        <f t="shared" si="193"/>
        <v>2143946.7599999998</v>
      </c>
      <c r="AI244" s="411">
        <f t="shared" si="155"/>
        <v>2067824.0699999915</v>
      </c>
      <c r="AJ244" s="411">
        <f t="shared" si="195"/>
        <v>156944.4599999995</v>
      </c>
      <c r="AK244" s="411">
        <f t="shared" si="156"/>
        <v>2224768.5299999909</v>
      </c>
      <c r="AL244" s="185">
        <f t="shared" si="162"/>
        <v>754291.85000000056</v>
      </c>
      <c r="AM244" s="317">
        <f t="shared" si="179"/>
        <v>19</v>
      </c>
      <c r="AN244" s="14">
        <f t="shared" si="157"/>
        <v>19533.41</v>
      </c>
      <c r="AO244" s="14">
        <f t="shared" si="200"/>
        <v>911236.31</v>
      </c>
      <c r="AP244" s="14">
        <f t="shared" si="158"/>
        <v>10874</v>
      </c>
      <c r="AS244" s="14">
        <f t="shared" si="174"/>
        <v>19533.41</v>
      </c>
      <c r="AT244" s="14">
        <f t="shared" si="180"/>
        <v>4472670.330000014</v>
      </c>
      <c r="AU244" s="185">
        <f t="shared" si="181"/>
        <v>4356.1206734890811</v>
      </c>
      <c r="AV244" s="185">
        <f t="shared" si="182"/>
        <v>760704.39006912161</v>
      </c>
    </row>
    <row r="245" spans="1:48">
      <c r="A245" s="401" t="str">
        <f t="shared" si="183"/>
        <v xml:space="preserve"> </v>
      </c>
      <c r="B245" s="185">
        <f t="shared" si="175"/>
        <v>0</v>
      </c>
      <c r="C245" s="14">
        <f t="shared" si="166"/>
        <v>0</v>
      </c>
      <c r="D245" s="14">
        <f t="shared" si="184"/>
        <v>0</v>
      </c>
      <c r="E245" s="14">
        <f t="shared" si="167"/>
        <v>0</v>
      </c>
      <c r="F245" s="14">
        <f t="shared" si="198"/>
        <v>0</v>
      </c>
      <c r="G245" s="14">
        <f t="shared" si="198"/>
        <v>0</v>
      </c>
      <c r="H245" s="14">
        <f t="shared" si="152"/>
        <v>0</v>
      </c>
      <c r="I245" s="185">
        <f t="shared" si="185"/>
        <v>0</v>
      </c>
      <c r="J245" s="185">
        <f t="shared" si="186"/>
        <v>0</v>
      </c>
      <c r="K245" s="185">
        <f t="shared" si="187"/>
        <v>0</v>
      </c>
      <c r="L245" s="317">
        <f t="shared" si="201"/>
        <v>19</v>
      </c>
      <c r="M245" s="317">
        <f t="shared" si="176"/>
        <v>229</v>
      </c>
      <c r="N245" s="185">
        <f t="shared" si="177"/>
        <v>911236.31</v>
      </c>
      <c r="O245" s="185">
        <f t="shared" si="159"/>
        <v>19533.41</v>
      </c>
      <c r="P245" s="185">
        <f t="shared" si="188"/>
        <v>1498.5200000000004</v>
      </c>
      <c r="Q245" s="185">
        <f t="shared" si="160"/>
        <v>18034.89</v>
      </c>
      <c r="R245" s="185">
        <f t="shared" si="202"/>
        <v>134.16999999999999</v>
      </c>
      <c r="S245" s="185">
        <f t="shared" si="202"/>
        <v>188.55</v>
      </c>
      <c r="T245" s="185">
        <f t="shared" si="153"/>
        <v>19856.129999999997</v>
      </c>
      <c r="U245" s="185">
        <f t="shared" si="189"/>
        <v>76362.209999999963</v>
      </c>
      <c r="V245" s="185">
        <f t="shared" si="190"/>
        <v>4416322.0899999989</v>
      </c>
      <c r="W245" s="185">
        <f t="shared" si="191"/>
        <v>909737.79</v>
      </c>
      <c r="X245" s="401" t="str">
        <f t="shared" si="178"/>
        <v xml:space="preserve"> </v>
      </c>
      <c r="Y245" s="185">
        <f t="shared" si="161"/>
        <v>754291.85000000056</v>
      </c>
      <c r="Z245" s="393">
        <f t="shared" si="169"/>
        <v>0.13125000000000001</v>
      </c>
      <c r="AA245" s="185">
        <f t="shared" si="170"/>
        <v>10874</v>
      </c>
      <c r="AB245" s="185">
        <f t="shared" si="171"/>
        <v>2623.9300000000003</v>
      </c>
      <c r="AC245" s="185">
        <f t="shared" si="172"/>
        <v>8250.07</v>
      </c>
      <c r="AD245" s="185">
        <f t="shared" si="199"/>
        <v>134.16999999999999</v>
      </c>
      <c r="AE245" s="185">
        <f t="shared" si="199"/>
        <v>188.55</v>
      </c>
      <c r="AF245" s="185">
        <f t="shared" si="173"/>
        <v>11196.72</v>
      </c>
      <c r="AG245" s="185">
        <f t="shared" si="192"/>
        <v>234050.16999999993</v>
      </c>
      <c r="AH245" s="185">
        <f t="shared" si="193"/>
        <v>2152196.8299999996</v>
      </c>
      <c r="AI245" s="411">
        <f t="shared" si="155"/>
        <v>2076483.4799999914</v>
      </c>
      <c r="AJ245" s="411">
        <f t="shared" si="195"/>
        <v>158069.86999999953</v>
      </c>
      <c r="AK245" s="411">
        <f t="shared" si="156"/>
        <v>2234553.3499999908</v>
      </c>
      <c r="AL245" s="185">
        <f t="shared" si="162"/>
        <v>751667.92000000051</v>
      </c>
      <c r="AM245" s="317">
        <f t="shared" si="179"/>
        <v>19</v>
      </c>
      <c r="AN245" s="14">
        <f t="shared" si="157"/>
        <v>19533.41</v>
      </c>
      <c r="AO245" s="14">
        <f t="shared" si="200"/>
        <v>909737.79</v>
      </c>
      <c r="AP245" s="14">
        <f t="shared" si="158"/>
        <v>10874</v>
      </c>
      <c r="AS245" s="14">
        <f t="shared" si="174"/>
        <v>19533.41</v>
      </c>
      <c r="AT245" s="14">
        <f t="shared" si="180"/>
        <v>4492203.7400000142</v>
      </c>
      <c r="AU245" s="185">
        <f t="shared" si="181"/>
        <v>4367.0109751728041</v>
      </c>
      <c r="AV245" s="185">
        <f t="shared" si="182"/>
        <v>765071.40104429447</v>
      </c>
    </row>
    <row r="246" spans="1:48">
      <c r="A246" s="401" t="str">
        <f t="shared" si="183"/>
        <v xml:space="preserve"> </v>
      </c>
      <c r="B246" s="185">
        <f t="shared" si="175"/>
        <v>0</v>
      </c>
      <c r="C246" s="14">
        <f t="shared" si="166"/>
        <v>0</v>
      </c>
      <c r="D246" s="14">
        <f t="shared" si="184"/>
        <v>0</v>
      </c>
      <c r="E246" s="14">
        <f t="shared" si="167"/>
        <v>0</v>
      </c>
      <c r="F246" s="14">
        <f t="shared" si="198"/>
        <v>0</v>
      </c>
      <c r="G246" s="14">
        <f t="shared" si="198"/>
        <v>0</v>
      </c>
      <c r="H246" s="14">
        <f t="shared" si="152"/>
        <v>0</v>
      </c>
      <c r="I246" s="185">
        <f t="shared" si="185"/>
        <v>0</v>
      </c>
      <c r="J246" s="185">
        <f t="shared" si="186"/>
        <v>0</v>
      </c>
      <c r="K246" s="185">
        <f t="shared" si="187"/>
        <v>0</v>
      </c>
      <c r="L246" s="317">
        <f t="shared" si="201"/>
        <v>19</v>
      </c>
      <c r="M246" s="317">
        <f t="shared" si="176"/>
        <v>230</v>
      </c>
      <c r="N246" s="185">
        <f t="shared" si="177"/>
        <v>909737.79</v>
      </c>
      <c r="O246" s="185">
        <f t="shared" si="159"/>
        <v>19533.41</v>
      </c>
      <c r="P246" s="185">
        <f t="shared" si="188"/>
        <v>1528.1800000000003</v>
      </c>
      <c r="Q246" s="185">
        <f t="shared" si="160"/>
        <v>18005.23</v>
      </c>
      <c r="R246" s="185">
        <f t="shared" si="202"/>
        <v>134.16999999999999</v>
      </c>
      <c r="S246" s="185">
        <f t="shared" si="202"/>
        <v>188.55</v>
      </c>
      <c r="T246" s="185">
        <f t="shared" si="153"/>
        <v>19856.129999999997</v>
      </c>
      <c r="U246" s="185">
        <f t="shared" si="189"/>
        <v>77890.389999999956</v>
      </c>
      <c r="V246" s="185">
        <f t="shared" si="190"/>
        <v>4434327.3199999994</v>
      </c>
      <c r="W246" s="185">
        <f t="shared" si="191"/>
        <v>908209.61</v>
      </c>
      <c r="X246" s="401" t="str">
        <f t="shared" si="178"/>
        <v xml:space="preserve"> </v>
      </c>
      <c r="Y246" s="185">
        <f t="shared" si="161"/>
        <v>751667.92000000051</v>
      </c>
      <c r="Z246" s="393">
        <f t="shared" si="169"/>
        <v>0.13125000000000001</v>
      </c>
      <c r="AA246" s="185">
        <f t="shared" si="170"/>
        <v>10874</v>
      </c>
      <c r="AB246" s="185">
        <f t="shared" si="171"/>
        <v>2652.6299999999992</v>
      </c>
      <c r="AC246" s="185">
        <f t="shared" si="172"/>
        <v>8221.3700000000008</v>
      </c>
      <c r="AD246" s="185">
        <f t="shared" si="199"/>
        <v>134.16999999999999</v>
      </c>
      <c r="AE246" s="185">
        <f t="shared" si="199"/>
        <v>188.55</v>
      </c>
      <c r="AF246" s="185">
        <f t="shared" si="173"/>
        <v>11196.72</v>
      </c>
      <c r="AG246" s="185">
        <f t="shared" si="192"/>
        <v>236702.79999999993</v>
      </c>
      <c r="AH246" s="185">
        <f t="shared" si="193"/>
        <v>2160418.1999999997</v>
      </c>
      <c r="AI246" s="411">
        <f t="shared" si="155"/>
        <v>2085142.8899999913</v>
      </c>
      <c r="AJ246" s="411">
        <f t="shared" si="195"/>
        <v>159194.31999999948</v>
      </c>
      <c r="AK246" s="411">
        <f t="shared" si="156"/>
        <v>2244337.2099999906</v>
      </c>
      <c r="AL246" s="185">
        <f t="shared" si="162"/>
        <v>749015.2900000005</v>
      </c>
      <c r="AM246" s="317">
        <f t="shared" si="179"/>
        <v>19</v>
      </c>
      <c r="AN246" s="14">
        <f t="shared" si="157"/>
        <v>19533.41</v>
      </c>
      <c r="AO246" s="14">
        <f t="shared" si="200"/>
        <v>908209.6100000001</v>
      </c>
      <c r="AP246" s="14">
        <f t="shared" si="158"/>
        <v>10874</v>
      </c>
      <c r="AS246" s="14">
        <f t="shared" si="174"/>
        <v>19533.41</v>
      </c>
      <c r="AT246" s="14">
        <f t="shared" si="180"/>
        <v>4511737.1500000143</v>
      </c>
      <c r="AU246" s="185">
        <f t="shared" si="181"/>
        <v>4377.9285026107364</v>
      </c>
      <c r="AV246" s="185">
        <f t="shared" si="182"/>
        <v>769449.32954690524</v>
      </c>
    </row>
    <row r="247" spans="1:48">
      <c r="A247" s="401" t="str">
        <f t="shared" si="183"/>
        <v xml:space="preserve"> </v>
      </c>
      <c r="B247" s="185">
        <f t="shared" si="175"/>
        <v>0</v>
      </c>
      <c r="C247" s="14">
        <f t="shared" si="166"/>
        <v>0</v>
      </c>
      <c r="D247" s="14">
        <f t="shared" si="184"/>
        <v>0</v>
      </c>
      <c r="E247" s="14">
        <f t="shared" si="167"/>
        <v>0</v>
      </c>
      <c r="F247" s="14">
        <f t="shared" si="198"/>
        <v>0</v>
      </c>
      <c r="G247" s="14">
        <f t="shared" si="198"/>
        <v>0</v>
      </c>
      <c r="H247" s="14">
        <f t="shared" si="152"/>
        <v>0</v>
      </c>
      <c r="I247" s="185">
        <f t="shared" si="185"/>
        <v>0</v>
      </c>
      <c r="J247" s="185">
        <f t="shared" si="186"/>
        <v>0</v>
      </c>
      <c r="K247" s="185">
        <f t="shared" si="187"/>
        <v>0</v>
      </c>
      <c r="L247" s="317">
        <f t="shared" si="201"/>
        <v>19</v>
      </c>
      <c r="M247" s="317">
        <f t="shared" si="176"/>
        <v>231</v>
      </c>
      <c r="N247" s="185">
        <f t="shared" si="177"/>
        <v>908209.61</v>
      </c>
      <c r="O247" s="185">
        <f t="shared" si="159"/>
        <v>19533.41</v>
      </c>
      <c r="P247" s="185">
        <f t="shared" si="188"/>
        <v>1558.4300000000003</v>
      </c>
      <c r="Q247" s="185">
        <f t="shared" si="160"/>
        <v>17974.98</v>
      </c>
      <c r="R247" s="185">
        <f t="shared" si="202"/>
        <v>134.16999999999999</v>
      </c>
      <c r="S247" s="185">
        <f t="shared" si="202"/>
        <v>188.55</v>
      </c>
      <c r="T247" s="185">
        <f t="shared" si="153"/>
        <v>19856.129999999997</v>
      </c>
      <c r="U247" s="185">
        <f t="shared" si="189"/>
        <v>79448.819999999949</v>
      </c>
      <c r="V247" s="185">
        <f t="shared" si="190"/>
        <v>4452302.3</v>
      </c>
      <c r="W247" s="185">
        <f t="shared" si="191"/>
        <v>906651.17999999993</v>
      </c>
      <c r="X247" s="401" t="str">
        <f t="shared" si="178"/>
        <v xml:space="preserve"> </v>
      </c>
      <c r="Y247" s="185">
        <f t="shared" si="161"/>
        <v>749015.2900000005</v>
      </c>
      <c r="Z247" s="393">
        <f t="shared" si="169"/>
        <v>0.13125000000000001</v>
      </c>
      <c r="AA247" s="185">
        <f t="shared" si="170"/>
        <v>10874</v>
      </c>
      <c r="AB247" s="185">
        <f t="shared" si="171"/>
        <v>2681.6499999999996</v>
      </c>
      <c r="AC247" s="185">
        <f t="shared" si="172"/>
        <v>8192.35</v>
      </c>
      <c r="AD247" s="185">
        <f t="shared" si="199"/>
        <v>134.16999999999999</v>
      </c>
      <c r="AE247" s="185">
        <f t="shared" si="199"/>
        <v>188.55</v>
      </c>
      <c r="AF247" s="185">
        <f t="shared" si="173"/>
        <v>11196.72</v>
      </c>
      <c r="AG247" s="185">
        <f t="shared" si="192"/>
        <v>239384.44999999992</v>
      </c>
      <c r="AH247" s="185">
        <f t="shared" si="193"/>
        <v>2168610.5499999998</v>
      </c>
      <c r="AI247" s="411">
        <f t="shared" si="155"/>
        <v>2093802.2999999912</v>
      </c>
      <c r="AJ247" s="411">
        <f t="shared" si="195"/>
        <v>160317.53999999946</v>
      </c>
      <c r="AK247" s="411">
        <f t="shared" si="156"/>
        <v>2254119.8399999905</v>
      </c>
      <c r="AL247" s="185">
        <f t="shared" si="162"/>
        <v>746333.64000000048</v>
      </c>
      <c r="AM247" s="317">
        <f t="shared" si="179"/>
        <v>19</v>
      </c>
      <c r="AN247" s="14">
        <f t="shared" si="157"/>
        <v>19533.41</v>
      </c>
      <c r="AO247" s="14">
        <f t="shared" si="200"/>
        <v>906651.18</v>
      </c>
      <c r="AP247" s="14">
        <f t="shared" si="158"/>
        <v>10874</v>
      </c>
      <c r="AS247" s="14">
        <f t="shared" si="174"/>
        <v>19533.41</v>
      </c>
      <c r="AT247" s="14">
        <f t="shared" si="180"/>
        <v>4531270.5600000145</v>
      </c>
      <c r="AU247" s="185">
        <f t="shared" si="181"/>
        <v>4388.8733238672621</v>
      </c>
      <c r="AV247" s="185">
        <f t="shared" si="182"/>
        <v>773838.20287077245</v>
      </c>
    </row>
    <row r="248" spans="1:48">
      <c r="A248" s="401" t="str">
        <f t="shared" si="183"/>
        <v xml:space="preserve"> </v>
      </c>
      <c r="B248" s="185">
        <f t="shared" si="175"/>
        <v>0</v>
      </c>
      <c r="C248" s="14">
        <f t="shared" si="166"/>
        <v>0</v>
      </c>
      <c r="D248" s="14">
        <f t="shared" si="184"/>
        <v>0</v>
      </c>
      <c r="E248" s="14">
        <f t="shared" si="167"/>
        <v>0</v>
      </c>
      <c r="F248" s="14">
        <f t="shared" si="198"/>
        <v>0</v>
      </c>
      <c r="G248" s="14">
        <f t="shared" si="198"/>
        <v>0</v>
      </c>
      <c r="H248" s="14">
        <f t="shared" si="152"/>
        <v>0</v>
      </c>
      <c r="I248" s="185">
        <f t="shared" si="185"/>
        <v>0</v>
      </c>
      <c r="J248" s="185">
        <f t="shared" si="186"/>
        <v>0</v>
      </c>
      <c r="K248" s="185">
        <f t="shared" si="187"/>
        <v>0</v>
      </c>
      <c r="L248" s="317">
        <f t="shared" si="201"/>
        <v>19</v>
      </c>
      <c r="M248" s="317">
        <f t="shared" si="176"/>
        <v>232</v>
      </c>
      <c r="N248" s="185">
        <f t="shared" si="177"/>
        <v>906651.17999999993</v>
      </c>
      <c r="O248" s="185">
        <f t="shared" si="159"/>
        <v>19533.41</v>
      </c>
      <c r="P248" s="185">
        <f t="shared" si="188"/>
        <v>1589.2700000000004</v>
      </c>
      <c r="Q248" s="185">
        <f t="shared" si="160"/>
        <v>17944.14</v>
      </c>
      <c r="R248" s="185">
        <f t="shared" si="202"/>
        <v>134.16999999999999</v>
      </c>
      <c r="S248" s="185">
        <f t="shared" si="202"/>
        <v>188.55</v>
      </c>
      <c r="T248" s="185">
        <f t="shared" si="153"/>
        <v>19856.129999999997</v>
      </c>
      <c r="U248" s="185">
        <f t="shared" si="189"/>
        <v>81038.089999999953</v>
      </c>
      <c r="V248" s="185">
        <f t="shared" si="190"/>
        <v>4470246.4399999995</v>
      </c>
      <c r="W248" s="185">
        <f t="shared" si="191"/>
        <v>905061.90999999992</v>
      </c>
      <c r="X248" s="401" t="str">
        <f t="shared" si="178"/>
        <v xml:space="preserve"> </v>
      </c>
      <c r="Y248" s="185">
        <f t="shared" si="161"/>
        <v>746333.64000000048</v>
      </c>
      <c r="Z248" s="393">
        <f t="shared" si="169"/>
        <v>0.13125000000000001</v>
      </c>
      <c r="AA248" s="185">
        <f t="shared" si="170"/>
        <v>10874</v>
      </c>
      <c r="AB248" s="185">
        <f t="shared" si="171"/>
        <v>2710.9799999999996</v>
      </c>
      <c r="AC248" s="185">
        <f t="shared" si="172"/>
        <v>8163.02</v>
      </c>
      <c r="AD248" s="185">
        <f t="shared" si="199"/>
        <v>134.16999999999999</v>
      </c>
      <c r="AE248" s="185">
        <f t="shared" si="199"/>
        <v>188.55</v>
      </c>
      <c r="AF248" s="185">
        <f t="shared" si="173"/>
        <v>11196.72</v>
      </c>
      <c r="AG248" s="185">
        <f t="shared" si="192"/>
        <v>242095.42999999993</v>
      </c>
      <c r="AH248" s="185">
        <f t="shared" si="193"/>
        <v>2176773.5699999998</v>
      </c>
      <c r="AI248" s="411">
        <f t="shared" si="155"/>
        <v>2102461.7099999911</v>
      </c>
      <c r="AJ248" s="411">
        <f t="shared" si="195"/>
        <v>161439.24999999942</v>
      </c>
      <c r="AK248" s="411">
        <f t="shared" si="156"/>
        <v>2263900.9599999906</v>
      </c>
      <c r="AL248" s="185">
        <f t="shared" si="162"/>
        <v>743622.6600000005</v>
      </c>
      <c r="AM248" s="317">
        <f t="shared" si="179"/>
        <v>19</v>
      </c>
      <c r="AN248" s="14">
        <f t="shared" si="157"/>
        <v>19533.41</v>
      </c>
      <c r="AO248" s="14">
        <f t="shared" si="200"/>
        <v>905061.91</v>
      </c>
      <c r="AP248" s="14">
        <f t="shared" si="158"/>
        <v>10874</v>
      </c>
      <c r="AS248" s="14">
        <f t="shared" si="174"/>
        <v>19533.41</v>
      </c>
      <c r="AT248" s="14">
        <f t="shared" si="180"/>
        <v>4550803.9700000146</v>
      </c>
      <c r="AU248" s="185">
        <f t="shared" si="181"/>
        <v>4399.8455071769304</v>
      </c>
      <c r="AV248" s="185">
        <f t="shared" si="182"/>
        <v>778238.0483779494</v>
      </c>
    </row>
    <row r="249" spans="1:48">
      <c r="A249" s="401" t="str">
        <f t="shared" si="183"/>
        <v xml:space="preserve"> </v>
      </c>
      <c r="B249" s="185">
        <f t="shared" si="175"/>
        <v>0</v>
      </c>
      <c r="C249" s="14">
        <f t="shared" si="166"/>
        <v>0</v>
      </c>
      <c r="D249" s="14">
        <f t="shared" si="184"/>
        <v>0</v>
      </c>
      <c r="E249" s="14">
        <f t="shared" si="167"/>
        <v>0</v>
      </c>
      <c r="F249" s="14">
        <f t="shared" si="198"/>
        <v>0</v>
      </c>
      <c r="G249" s="14">
        <f t="shared" si="198"/>
        <v>0</v>
      </c>
      <c r="H249" s="14">
        <f t="shared" si="152"/>
        <v>0</v>
      </c>
      <c r="I249" s="185">
        <f t="shared" si="185"/>
        <v>0</v>
      </c>
      <c r="J249" s="185">
        <f t="shared" si="186"/>
        <v>0</v>
      </c>
      <c r="K249" s="185">
        <f t="shared" si="187"/>
        <v>0</v>
      </c>
      <c r="L249" s="317">
        <f t="shared" si="201"/>
        <v>19</v>
      </c>
      <c r="M249" s="317">
        <f t="shared" si="176"/>
        <v>233</v>
      </c>
      <c r="N249" s="185">
        <f t="shared" si="177"/>
        <v>905061.90999999992</v>
      </c>
      <c r="O249" s="185">
        <f t="shared" si="159"/>
        <v>19533.41</v>
      </c>
      <c r="P249" s="185">
        <f t="shared" si="188"/>
        <v>1620.7299999999996</v>
      </c>
      <c r="Q249" s="185">
        <f t="shared" si="160"/>
        <v>17912.68</v>
      </c>
      <c r="R249" s="185">
        <f t="shared" si="202"/>
        <v>134.16999999999999</v>
      </c>
      <c r="S249" s="185">
        <f t="shared" si="202"/>
        <v>188.55</v>
      </c>
      <c r="T249" s="185">
        <f t="shared" si="153"/>
        <v>19856.129999999997</v>
      </c>
      <c r="U249" s="185">
        <f t="shared" si="189"/>
        <v>82658.819999999949</v>
      </c>
      <c r="V249" s="185">
        <f t="shared" si="190"/>
        <v>4488159.1199999992</v>
      </c>
      <c r="W249" s="185">
        <f t="shared" si="191"/>
        <v>903441.17999999993</v>
      </c>
      <c r="X249" s="401" t="str">
        <f t="shared" si="178"/>
        <v xml:space="preserve"> </v>
      </c>
      <c r="Y249" s="185">
        <f t="shared" si="161"/>
        <v>743622.6600000005</v>
      </c>
      <c r="Z249" s="393">
        <f t="shared" si="169"/>
        <v>0.13125000000000001</v>
      </c>
      <c r="AA249" s="185">
        <f t="shared" si="170"/>
        <v>10874</v>
      </c>
      <c r="AB249" s="185">
        <f t="shared" si="171"/>
        <v>2740.63</v>
      </c>
      <c r="AC249" s="185">
        <f t="shared" si="172"/>
        <v>8133.37</v>
      </c>
      <c r="AD249" s="185">
        <f t="shared" si="199"/>
        <v>134.16999999999999</v>
      </c>
      <c r="AE249" s="185">
        <f t="shared" si="199"/>
        <v>188.55</v>
      </c>
      <c r="AF249" s="185">
        <f t="shared" si="173"/>
        <v>11196.72</v>
      </c>
      <c r="AG249" s="185">
        <f t="shared" si="192"/>
        <v>244836.05999999994</v>
      </c>
      <c r="AH249" s="185">
        <f t="shared" si="193"/>
        <v>2184906.94</v>
      </c>
      <c r="AI249" s="411">
        <f t="shared" si="155"/>
        <v>2111121.1199999913</v>
      </c>
      <c r="AJ249" s="411">
        <f t="shared" si="195"/>
        <v>162559.14999999944</v>
      </c>
      <c r="AK249" s="411">
        <f t="shared" si="156"/>
        <v>2273680.2699999907</v>
      </c>
      <c r="AL249" s="185">
        <f t="shared" si="162"/>
        <v>740882.03000000049</v>
      </c>
      <c r="AM249" s="317">
        <f t="shared" si="179"/>
        <v>19</v>
      </c>
      <c r="AN249" s="14">
        <f t="shared" si="157"/>
        <v>19533.41</v>
      </c>
      <c r="AO249" s="14">
        <f t="shared" si="200"/>
        <v>903441.18</v>
      </c>
      <c r="AP249" s="14">
        <f t="shared" si="158"/>
        <v>10874</v>
      </c>
      <c r="AS249" s="14">
        <f t="shared" si="174"/>
        <v>19533.41</v>
      </c>
      <c r="AT249" s="14">
        <f t="shared" si="180"/>
        <v>4570337.3800000148</v>
      </c>
      <c r="AU249" s="185">
        <f t="shared" si="181"/>
        <v>4410.8451209448731</v>
      </c>
      <c r="AV249" s="185">
        <f t="shared" si="182"/>
        <v>782648.89349889429</v>
      </c>
    </row>
    <row r="250" spans="1:48">
      <c r="A250" s="401" t="str">
        <f t="shared" si="183"/>
        <v xml:space="preserve"> </v>
      </c>
      <c r="B250" s="185">
        <f t="shared" si="175"/>
        <v>0</v>
      </c>
      <c r="C250" s="14">
        <f t="shared" si="166"/>
        <v>0</v>
      </c>
      <c r="D250" s="14">
        <f t="shared" si="184"/>
        <v>0</v>
      </c>
      <c r="E250" s="14">
        <f t="shared" si="167"/>
        <v>0</v>
      </c>
      <c r="F250" s="14">
        <f t="shared" si="198"/>
        <v>0</v>
      </c>
      <c r="G250" s="14">
        <f t="shared" si="198"/>
        <v>0</v>
      </c>
      <c r="H250" s="14">
        <f t="shared" si="152"/>
        <v>0</v>
      </c>
      <c r="I250" s="185">
        <f t="shared" si="185"/>
        <v>0</v>
      </c>
      <c r="J250" s="185">
        <f t="shared" si="186"/>
        <v>0</v>
      </c>
      <c r="K250" s="185">
        <f t="shared" si="187"/>
        <v>0</v>
      </c>
      <c r="L250" s="317">
        <f t="shared" si="201"/>
        <v>19</v>
      </c>
      <c r="M250" s="317">
        <f t="shared" si="176"/>
        <v>234</v>
      </c>
      <c r="N250" s="185">
        <f t="shared" si="177"/>
        <v>903441.17999999993</v>
      </c>
      <c r="O250" s="185">
        <f t="shared" si="159"/>
        <v>19533.41</v>
      </c>
      <c r="P250" s="185">
        <f t="shared" si="188"/>
        <v>1652.7999999999993</v>
      </c>
      <c r="Q250" s="185">
        <f t="shared" si="160"/>
        <v>17880.61</v>
      </c>
      <c r="R250" s="185">
        <f t="shared" si="202"/>
        <v>134.16999999999999</v>
      </c>
      <c r="S250" s="185">
        <f t="shared" si="202"/>
        <v>188.55</v>
      </c>
      <c r="T250" s="185">
        <f t="shared" si="153"/>
        <v>19856.129999999997</v>
      </c>
      <c r="U250" s="185">
        <f t="shared" si="189"/>
        <v>84311.619999999952</v>
      </c>
      <c r="V250" s="185">
        <f t="shared" si="190"/>
        <v>4506039.7299999995</v>
      </c>
      <c r="W250" s="185">
        <f t="shared" si="191"/>
        <v>901788.37999999989</v>
      </c>
      <c r="X250" s="401" t="str">
        <f t="shared" si="178"/>
        <v xml:space="preserve"> </v>
      </c>
      <c r="Y250" s="185">
        <f t="shared" si="161"/>
        <v>740882.03000000049</v>
      </c>
      <c r="Z250" s="393">
        <f t="shared" si="169"/>
        <v>0.13125000000000001</v>
      </c>
      <c r="AA250" s="185">
        <f t="shared" si="170"/>
        <v>10874</v>
      </c>
      <c r="AB250" s="185">
        <f t="shared" si="171"/>
        <v>2770.6000000000004</v>
      </c>
      <c r="AC250" s="185">
        <f t="shared" si="172"/>
        <v>8103.4</v>
      </c>
      <c r="AD250" s="185">
        <f t="shared" si="199"/>
        <v>134.16999999999999</v>
      </c>
      <c r="AE250" s="185">
        <f t="shared" si="199"/>
        <v>188.55</v>
      </c>
      <c r="AF250" s="185">
        <f t="shared" si="173"/>
        <v>11196.72</v>
      </c>
      <c r="AG250" s="185">
        <f t="shared" si="192"/>
        <v>247606.65999999995</v>
      </c>
      <c r="AH250" s="185">
        <f t="shared" si="193"/>
        <v>2193010.34</v>
      </c>
      <c r="AI250" s="411">
        <f t="shared" si="155"/>
        <v>2119780.5299999914</v>
      </c>
      <c r="AJ250" s="411">
        <f t="shared" si="195"/>
        <v>163676.94999999937</v>
      </c>
      <c r="AK250" s="411">
        <f t="shared" si="156"/>
        <v>2283457.4799999907</v>
      </c>
      <c r="AL250" s="185">
        <f t="shared" si="162"/>
        <v>738111.43000000052</v>
      </c>
      <c r="AM250" s="317">
        <f t="shared" si="179"/>
        <v>19</v>
      </c>
      <c r="AN250" s="14">
        <f t="shared" si="157"/>
        <v>19533.41</v>
      </c>
      <c r="AO250" s="14">
        <f t="shared" si="200"/>
        <v>901788.38</v>
      </c>
      <c r="AP250" s="14">
        <f t="shared" si="158"/>
        <v>10874</v>
      </c>
      <c r="AS250" s="14">
        <f t="shared" si="174"/>
        <v>19533.41</v>
      </c>
      <c r="AT250" s="14">
        <f t="shared" si="180"/>
        <v>4589870.7900000149</v>
      </c>
      <c r="AU250" s="185">
        <f t="shared" si="181"/>
        <v>4421.8722337472354</v>
      </c>
      <c r="AV250" s="185">
        <f t="shared" si="182"/>
        <v>787070.76573264156</v>
      </c>
    </row>
    <row r="251" spans="1:48">
      <c r="A251" s="401" t="str">
        <f t="shared" si="183"/>
        <v xml:space="preserve"> </v>
      </c>
      <c r="B251" s="185">
        <f t="shared" si="175"/>
        <v>0</v>
      </c>
      <c r="C251" s="14">
        <f t="shared" si="166"/>
        <v>0</v>
      </c>
      <c r="D251" s="14">
        <f t="shared" si="184"/>
        <v>0</v>
      </c>
      <c r="E251" s="14">
        <f t="shared" si="167"/>
        <v>0</v>
      </c>
      <c r="F251" s="14">
        <f t="shared" ref="F251:G266" si="203">+F250</f>
        <v>0</v>
      </c>
      <c r="G251" s="14">
        <f t="shared" si="203"/>
        <v>0</v>
      </c>
      <c r="H251" s="14">
        <f t="shared" si="152"/>
        <v>0</v>
      </c>
      <c r="I251" s="185">
        <f t="shared" si="185"/>
        <v>0</v>
      </c>
      <c r="J251" s="185">
        <f t="shared" si="186"/>
        <v>0</v>
      </c>
      <c r="K251" s="185">
        <f t="shared" si="187"/>
        <v>0</v>
      </c>
      <c r="L251" s="317">
        <f t="shared" si="201"/>
        <v>19</v>
      </c>
      <c r="M251" s="317">
        <f t="shared" si="176"/>
        <v>235</v>
      </c>
      <c r="N251" s="185">
        <f t="shared" si="177"/>
        <v>901788.37999999989</v>
      </c>
      <c r="O251" s="185">
        <f t="shared" si="159"/>
        <v>19533.41</v>
      </c>
      <c r="P251" s="185">
        <f t="shared" si="188"/>
        <v>1685.5099999999984</v>
      </c>
      <c r="Q251" s="185">
        <f t="shared" si="160"/>
        <v>17847.900000000001</v>
      </c>
      <c r="R251" s="185">
        <f t="shared" si="202"/>
        <v>134.16999999999999</v>
      </c>
      <c r="S251" s="185">
        <f t="shared" si="202"/>
        <v>188.55</v>
      </c>
      <c r="T251" s="185">
        <f t="shared" si="153"/>
        <v>19856.129999999997</v>
      </c>
      <c r="U251" s="185">
        <f t="shared" si="189"/>
        <v>85997.129999999946</v>
      </c>
      <c r="V251" s="185">
        <f t="shared" si="190"/>
        <v>4523887.63</v>
      </c>
      <c r="W251" s="185">
        <f t="shared" si="191"/>
        <v>900102.86999999988</v>
      </c>
      <c r="X251" s="401" t="str">
        <f t="shared" si="178"/>
        <v xml:space="preserve"> </v>
      </c>
      <c r="Y251" s="185">
        <f t="shared" si="161"/>
        <v>738111.43000000052</v>
      </c>
      <c r="Z251" s="393">
        <f t="shared" si="169"/>
        <v>0.13125000000000001</v>
      </c>
      <c r="AA251" s="185">
        <f t="shared" si="170"/>
        <v>10874</v>
      </c>
      <c r="AB251" s="185">
        <f t="shared" si="171"/>
        <v>2800.91</v>
      </c>
      <c r="AC251" s="185">
        <f t="shared" si="172"/>
        <v>8073.09</v>
      </c>
      <c r="AD251" s="185">
        <f t="shared" si="199"/>
        <v>134.16999999999999</v>
      </c>
      <c r="AE251" s="185">
        <f t="shared" si="199"/>
        <v>188.55</v>
      </c>
      <c r="AF251" s="185">
        <f t="shared" si="173"/>
        <v>11196.72</v>
      </c>
      <c r="AG251" s="185">
        <f t="shared" si="192"/>
        <v>250407.56999999995</v>
      </c>
      <c r="AH251" s="185">
        <f t="shared" si="193"/>
        <v>2201083.4299999997</v>
      </c>
      <c r="AI251" s="411">
        <f t="shared" si="155"/>
        <v>2128439.9399999916</v>
      </c>
      <c r="AJ251" s="411">
        <f t="shared" si="195"/>
        <v>164792.34999999939</v>
      </c>
      <c r="AK251" s="411">
        <f t="shared" si="156"/>
        <v>2293232.2899999907</v>
      </c>
      <c r="AL251" s="185">
        <f t="shared" si="162"/>
        <v>735310.52000000048</v>
      </c>
      <c r="AM251" s="317">
        <f t="shared" si="179"/>
        <v>19</v>
      </c>
      <c r="AN251" s="14">
        <f t="shared" si="157"/>
        <v>19533.41</v>
      </c>
      <c r="AO251" s="14">
        <f t="shared" si="200"/>
        <v>900102.87000000011</v>
      </c>
      <c r="AP251" s="14">
        <f t="shared" si="158"/>
        <v>10874</v>
      </c>
      <c r="AS251" s="14">
        <f t="shared" si="174"/>
        <v>19533.41</v>
      </c>
      <c r="AT251" s="14">
        <f t="shared" si="180"/>
        <v>4609404.2000000151</v>
      </c>
      <c r="AU251" s="185">
        <f t="shared" si="181"/>
        <v>4432.9269143316042</v>
      </c>
      <c r="AV251" s="185">
        <f t="shared" si="182"/>
        <v>791503.69264697318</v>
      </c>
    </row>
    <row r="252" spans="1:48">
      <c r="A252" s="401" t="str">
        <f t="shared" si="183"/>
        <v xml:space="preserve"> </v>
      </c>
      <c r="B252" s="185">
        <f t="shared" si="175"/>
        <v>0</v>
      </c>
      <c r="C252" s="14">
        <f t="shared" si="166"/>
        <v>0</v>
      </c>
      <c r="D252" s="14">
        <f t="shared" si="184"/>
        <v>0</v>
      </c>
      <c r="E252" s="14">
        <f t="shared" si="167"/>
        <v>0</v>
      </c>
      <c r="F252" s="14">
        <f t="shared" si="203"/>
        <v>0</v>
      </c>
      <c r="G252" s="14">
        <f t="shared" si="203"/>
        <v>0</v>
      </c>
      <c r="H252" s="14">
        <f t="shared" ref="H252:H315" si="204">SUM(D252:G252)</f>
        <v>0</v>
      </c>
      <c r="I252" s="185">
        <f t="shared" si="185"/>
        <v>0</v>
      </c>
      <c r="J252" s="185">
        <f t="shared" si="186"/>
        <v>0</v>
      </c>
      <c r="K252" s="185">
        <f t="shared" si="187"/>
        <v>0</v>
      </c>
      <c r="L252" s="317">
        <f t="shared" si="201"/>
        <v>19</v>
      </c>
      <c r="M252" s="317">
        <f t="shared" si="176"/>
        <v>236</v>
      </c>
      <c r="N252" s="185">
        <f t="shared" si="177"/>
        <v>900102.86999999988</v>
      </c>
      <c r="O252" s="185">
        <f t="shared" si="159"/>
        <v>19533.41</v>
      </c>
      <c r="P252" s="185">
        <f t="shared" si="188"/>
        <v>1718.869999999999</v>
      </c>
      <c r="Q252" s="185">
        <f t="shared" si="160"/>
        <v>17814.54</v>
      </c>
      <c r="R252" s="185">
        <f t="shared" si="202"/>
        <v>134.16999999999999</v>
      </c>
      <c r="S252" s="185">
        <f t="shared" si="202"/>
        <v>188.55</v>
      </c>
      <c r="T252" s="185">
        <f t="shared" ref="T252:T315" si="205">SUM(P252:S252)</f>
        <v>19856.129999999997</v>
      </c>
      <c r="U252" s="185">
        <f t="shared" si="189"/>
        <v>87715.999999999942</v>
      </c>
      <c r="V252" s="185">
        <f t="shared" si="190"/>
        <v>4541702.17</v>
      </c>
      <c r="W252" s="185">
        <f t="shared" si="191"/>
        <v>898383.99999999988</v>
      </c>
      <c r="X252" s="401" t="str">
        <f t="shared" si="178"/>
        <v xml:space="preserve"> </v>
      </c>
      <c r="Y252" s="185">
        <f t="shared" si="161"/>
        <v>735310.52000000048</v>
      </c>
      <c r="Z252" s="393">
        <f t="shared" si="169"/>
        <v>0.13125000000000001</v>
      </c>
      <c r="AA252" s="185">
        <f t="shared" si="170"/>
        <v>10874</v>
      </c>
      <c r="AB252" s="185">
        <f t="shared" si="171"/>
        <v>2831.54</v>
      </c>
      <c r="AC252" s="185">
        <f t="shared" si="172"/>
        <v>8042.46</v>
      </c>
      <c r="AD252" s="185">
        <f t="shared" si="199"/>
        <v>134.16999999999999</v>
      </c>
      <c r="AE252" s="185">
        <f t="shared" si="199"/>
        <v>188.55</v>
      </c>
      <c r="AF252" s="185">
        <f t="shared" si="173"/>
        <v>11196.72</v>
      </c>
      <c r="AG252" s="185">
        <f t="shared" si="192"/>
        <v>253239.10999999996</v>
      </c>
      <c r="AH252" s="185">
        <f t="shared" si="193"/>
        <v>2209125.8899999997</v>
      </c>
      <c r="AI252" s="411">
        <f t="shared" si="155"/>
        <v>2137099.3499999917</v>
      </c>
      <c r="AJ252" s="411">
        <f t="shared" si="195"/>
        <v>165905.01999999944</v>
      </c>
      <c r="AK252" s="411">
        <f t="shared" si="156"/>
        <v>2303004.3699999913</v>
      </c>
      <c r="AL252" s="185">
        <f t="shared" si="162"/>
        <v>732478.98000000045</v>
      </c>
      <c r="AM252" s="317">
        <f t="shared" si="179"/>
        <v>19</v>
      </c>
      <c r="AN252" s="14">
        <f t="shared" si="157"/>
        <v>19533.41</v>
      </c>
      <c r="AO252" s="14">
        <f t="shared" si="200"/>
        <v>898384</v>
      </c>
      <c r="AP252" s="14">
        <f t="shared" si="158"/>
        <v>10874</v>
      </c>
      <c r="AS252" s="14">
        <f t="shared" si="174"/>
        <v>19533.41</v>
      </c>
      <c r="AT252" s="14">
        <f t="shared" si="180"/>
        <v>4628937.6100000152</v>
      </c>
      <c r="AU252" s="185">
        <f t="shared" si="181"/>
        <v>4444.0092316174332</v>
      </c>
      <c r="AV252" s="185">
        <f t="shared" si="182"/>
        <v>795947.70187859063</v>
      </c>
    </row>
    <row r="253" spans="1:48">
      <c r="A253" s="401" t="str">
        <f t="shared" si="183"/>
        <v xml:space="preserve"> </v>
      </c>
      <c r="B253" s="185">
        <f t="shared" si="175"/>
        <v>0</v>
      </c>
      <c r="C253" s="14">
        <f t="shared" si="166"/>
        <v>0</v>
      </c>
      <c r="D253" s="14">
        <f t="shared" si="184"/>
        <v>0</v>
      </c>
      <c r="E253" s="14">
        <f t="shared" si="167"/>
        <v>0</v>
      </c>
      <c r="F253" s="14">
        <f t="shared" si="203"/>
        <v>0</v>
      </c>
      <c r="G253" s="14">
        <f t="shared" si="203"/>
        <v>0</v>
      </c>
      <c r="H253" s="14">
        <f t="shared" si="204"/>
        <v>0</v>
      </c>
      <c r="I253" s="185">
        <f t="shared" si="185"/>
        <v>0</v>
      </c>
      <c r="J253" s="185">
        <f t="shared" si="186"/>
        <v>0</v>
      </c>
      <c r="K253" s="185">
        <f t="shared" si="187"/>
        <v>0</v>
      </c>
      <c r="L253" s="317">
        <f t="shared" si="201"/>
        <v>19</v>
      </c>
      <c r="M253" s="317">
        <f t="shared" si="176"/>
        <v>237</v>
      </c>
      <c r="N253" s="185">
        <f t="shared" si="177"/>
        <v>898383.99999999988</v>
      </c>
      <c r="O253" s="185">
        <f t="shared" si="159"/>
        <v>19533.41</v>
      </c>
      <c r="P253" s="185">
        <f t="shared" si="188"/>
        <v>1752.8899999999994</v>
      </c>
      <c r="Q253" s="185">
        <f t="shared" si="160"/>
        <v>17780.52</v>
      </c>
      <c r="R253" s="185">
        <f t="shared" si="202"/>
        <v>134.16999999999999</v>
      </c>
      <c r="S253" s="185">
        <f t="shared" si="202"/>
        <v>188.55</v>
      </c>
      <c r="T253" s="185">
        <f t="shared" si="205"/>
        <v>19856.129999999997</v>
      </c>
      <c r="U253" s="185">
        <f t="shared" si="189"/>
        <v>89468.889999999941</v>
      </c>
      <c r="V253" s="185">
        <f t="shared" si="190"/>
        <v>4559482.6899999995</v>
      </c>
      <c r="W253" s="185">
        <f t="shared" si="191"/>
        <v>896631.10999999987</v>
      </c>
      <c r="X253" s="401" t="str">
        <f t="shared" si="178"/>
        <v xml:space="preserve"> </v>
      </c>
      <c r="Y253" s="185">
        <f t="shared" si="161"/>
        <v>732478.98000000045</v>
      </c>
      <c r="Z253" s="393">
        <f t="shared" si="169"/>
        <v>0.13125000000000001</v>
      </c>
      <c r="AA253" s="185">
        <f t="shared" si="170"/>
        <v>10874</v>
      </c>
      <c r="AB253" s="185">
        <f t="shared" si="171"/>
        <v>2862.51</v>
      </c>
      <c r="AC253" s="185">
        <f t="shared" si="172"/>
        <v>8011.49</v>
      </c>
      <c r="AD253" s="185">
        <f t="shared" ref="AD253:AE268" si="206">+AD252</f>
        <v>134.16999999999999</v>
      </c>
      <c r="AE253" s="185">
        <f t="shared" si="206"/>
        <v>188.55</v>
      </c>
      <c r="AF253" s="185">
        <f t="shared" si="173"/>
        <v>11196.72</v>
      </c>
      <c r="AG253" s="185">
        <f t="shared" si="192"/>
        <v>256101.61999999997</v>
      </c>
      <c r="AH253" s="185">
        <f t="shared" si="193"/>
        <v>2217137.38</v>
      </c>
      <c r="AI253" s="411">
        <f t="shared" ref="AI253:AI316" si="207">O253-AA253+AI252</f>
        <v>2145758.7599999919</v>
      </c>
      <c r="AJ253" s="411">
        <f t="shared" si="195"/>
        <v>167014.63999999943</v>
      </c>
      <c r="AK253" s="411">
        <f t="shared" ref="AK253:AK316" si="208">SUM(AI253:AJ253)</f>
        <v>2312773.3999999911</v>
      </c>
      <c r="AL253" s="185">
        <f t="shared" si="162"/>
        <v>729616.47000000044</v>
      </c>
      <c r="AM253" s="317">
        <f t="shared" si="179"/>
        <v>19</v>
      </c>
      <c r="AN253" s="14">
        <f t="shared" ref="AN253:AN316" si="209">IF(O253=0,0,+O253-C253)</f>
        <v>19533.41</v>
      </c>
      <c r="AO253" s="14">
        <f t="shared" si="200"/>
        <v>896631.1100000001</v>
      </c>
      <c r="AP253" s="14">
        <f t="shared" ref="AP253:AP316" si="210">IF($O253=0,0,+AA253-$C253)</f>
        <v>10874</v>
      </c>
      <c r="AS253" s="14">
        <f t="shared" si="174"/>
        <v>19533.41</v>
      </c>
      <c r="AT253" s="14">
        <f t="shared" si="180"/>
        <v>4648471.0200000154</v>
      </c>
      <c r="AU253" s="185">
        <f t="shared" si="181"/>
        <v>4455.1192546964767</v>
      </c>
      <c r="AV253" s="185">
        <f t="shared" si="182"/>
        <v>800402.82113328716</v>
      </c>
    </row>
    <row r="254" spans="1:48">
      <c r="A254" s="401" t="str">
        <f t="shared" si="183"/>
        <v xml:space="preserve"> </v>
      </c>
      <c r="B254" s="185">
        <f t="shared" si="175"/>
        <v>0</v>
      </c>
      <c r="C254" s="14">
        <f t="shared" si="166"/>
        <v>0</v>
      </c>
      <c r="D254" s="14">
        <f t="shared" si="184"/>
        <v>0</v>
      </c>
      <c r="E254" s="14">
        <f t="shared" si="167"/>
        <v>0</v>
      </c>
      <c r="F254" s="14">
        <f t="shared" si="203"/>
        <v>0</v>
      </c>
      <c r="G254" s="14">
        <f t="shared" si="203"/>
        <v>0</v>
      </c>
      <c r="H254" s="14">
        <f t="shared" si="204"/>
        <v>0</v>
      </c>
      <c r="I254" s="185">
        <f t="shared" si="185"/>
        <v>0</v>
      </c>
      <c r="J254" s="185">
        <f t="shared" si="186"/>
        <v>0</v>
      </c>
      <c r="K254" s="185">
        <f t="shared" si="187"/>
        <v>0</v>
      </c>
      <c r="L254" s="317">
        <f t="shared" si="201"/>
        <v>19</v>
      </c>
      <c r="M254" s="317">
        <f t="shared" si="176"/>
        <v>238</v>
      </c>
      <c r="N254" s="185">
        <f t="shared" si="177"/>
        <v>896631.10999999987</v>
      </c>
      <c r="O254" s="185">
        <f t="shared" si="159"/>
        <v>19533.41</v>
      </c>
      <c r="P254" s="185">
        <f t="shared" si="188"/>
        <v>1787.5900000000001</v>
      </c>
      <c r="Q254" s="185">
        <f t="shared" si="160"/>
        <v>17745.82</v>
      </c>
      <c r="R254" s="185">
        <f t="shared" si="202"/>
        <v>134.16999999999999</v>
      </c>
      <c r="S254" s="185">
        <f t="shared" si="202"/>
        <v>188.55</v>
      </c>
      <c r="T254" s="185">
        <f t="shared" si="205"/>
        <v>19856.129999999997</v>
      </c>
      <c r="U254" s="185">
        <f t="shared" si="189"/>
        <v>91256.479999999938</v>
      </c>
      <c r="V254" s="185">
        <f t="shared" si="190"/>
        <v>4577228.51</v>
      </c>
      <c r="W254" s="185">
        <f t="shared" si="191"/>
        <v>894843.5199999999</v>
      </c>
      <c r="X254" s="401" t="str">
        <f t="shared" si="178"/>
        <v xml:space="preserve"> </v>
      </c>
      <c r="Y254" s="185">
        <f t="shared" si="161"/>
        <v>729616.47000000044</v>
      </c>
      <c r="Z254" s="393">
        <f t="shared" si="169"/>
        <v>0.13125000000000001</v>
      </c>
      <c r="AA254" s="185">
        <f t="shared" si="170"/>
        <v>10874</v>
      </c>
      <c r="AB254" s="185">
        <f t="shared" si="171"/>
        <v>2893.8199999999997</v>
      </c>
      <c r="AC254" s="185">
        <f t="shared" si="172"/>
        <v>7980.18</v>
      </c>
      <c r="AD254" s="185">
        <f t="shared" si="206"/>
        <v>134.16999999999999</v>
      </c>
      <c r="AE254" s="185">
        <f t="shared" si="206"/>
        <v>188.55</v>
      </c>
      <c r="AF254" s="185">
        <f t="shared" si="173"/>
        <v>11196.72</v>
      </c>
      <c r="AG254" s="185">
        <f t="shared" si="192"/>
        <v>258995.43999999997</v>
      </c>
      <c r="AH254" s="185">
        <f t="shared" si="193"/>
        <v>2225117.56</v>
      </c>
      <c r="AI254" s="411">
        <f t="shared" si="207"/>
        <v>2154418.169999992</v>
      </c>
      <c r="AJ254" s="411">
        <f t="shared" si="195"/>
        <v>168120.86999999941</v>
      </c>
      <c r="AK254" s="411">
        <f t="shared" si="208"/>
        <v>2322539.0399999917</v>
      </c>
      <c r="AL254" s="185">
        <f t="shared" si="162"/>
        <v>726722.65000000049</v>
      </c>
      <c r="AM254" s="317">
        <f t="shared" si="179"/>
        <v>19</v>
      </c>
      <c r="AN254" s="14">
        <f t="shared" si="209"/>
        <v>19533.41</v>
      </c>
      <c r="AO254" s="14">
        <f t="shared" si="200"/>
        <v>894843.52</v>
      </c>
      <c r="AP254" s="14">
        <f t="shared" si="210"/>
        <v>10874</v>
      </c>
      <c r="AS254" s="14">
        <f t="shared" si="174"/>
        <v>19533.41</v>
      </c>
      <c r="AT254" s="14">
        <f t="shared" si="180"/>
        <v>4668004.4300000155</v>
      </c>
      <c r="AU254" s="185">
        <f t="shared" si="181"/>
        <v>4466.2570528332171</v>
      </c>
      <c r="AV254" s="185">
        <f t="shared" si="182"/>
        <v>804869.07818612037</v>
      </c>
    </row>
    <row r="255" spans="1:48" ht="15.75" thickBot="1">
      <c r="A255" s="404" t="str">
        <f t="shared" si="183"/>
        <v xml:space="preserve"> </v>
      </c>
      <c r="B255" s="237">
        <f t="shared" si="175"/>
        <v>0</v>
      </c>
      <c r="C255" s="21">
        <f t="shared" si="166"/>
        <v>0</v>
      </c>
      <c r="D255" s="21">
        <f t="shared" si="184"/>
        <v>0</v>
      </c>
      <c r="E255" s="21">
        <f t="shared" si="167"/>
        <v>0</v>
      </c>
      <c r="F255" s="21">
        <f t="shared" si="203"/>
        <v>0</v>
      </c>
      <c r="G255" s="21">
        <f t="shared" si="203"/>
        <v>0</v>
      </c>
      <c r="H255" s="21">
        <f t="shared" si="204"/>
        <v>0</v>
      </c>
      <c r="I255" s="237">
        <f t="shared" si="185"/>
        <v>0</v>
      </c>
      <c r="J255" s="237">
        <f t="shared" si="186"/>
        <v>0</v>
      </c>
      <c r="K255" s="237">
        <f t="shared" si="187"/>
        <v>0</v>
      </c>
      <c r="L255" s="318">
        <f t="shared" si="201"/>
        <v>19</v>
      </c>
      <c r="M255" s="318">
        <f t="shared" si="176"/>
        <v>239</v>
      </c>
      <c r="N255" s="237">
        <f t="shared" si="177"/>
        <v>894843.5199999999</v>
      </c>
      <c r="O255" s="237">
        <f t="shared" ref="O255:O318" si="211">IF($O$11&lt;=A255,IF(+$W254&lt;=0,0,$O$8),0)</f>
        <v>19533.41</v>
      </c>
      <c r="P255" s="237">
        <f t="shared" si="188"/>
        <v>1822.9700000000012</v>
      </c>
      <c r="Q255" s="237">
        <f t="shared" ref="Q255:Q318" si="212">IF($O$11&lt;=A255,ROUND(N255*($O$7/12),2),0)</f>
        <v>17710.439999999999</v>
      </c>
      <c r="R255" s="237">
        <f t="shared" si="202"/>
        <v>134.16999999999999</v>
      </c>
      <c r="S255" s="237">
        <f t="shared" si="202"/>
        <v>188.55</v>
      </c>
      <c r="T255" s="237">
        <f t="shared" si="205"/>
        <v>19856.129999999997</v>
      </c>
      <c r="U255" s="237">
        <f t="shared" si="189"/>
        <v>93079.449999999939</v>
      </c>
      <c r="V255" s="237">
        <f t="shared" si="190"/>
        <v>4594938.95</v>
      </c>
      <c r="W255" s="237">
        <f t="shared" si="191"/>
        <v>893020.54999999993</v>
      </c>
      <c r="X255" s="404" t="str">
        <f t="shared" si="178"/>
        <v xml:space="preserve"> </v>
      </c>
      <c r="Y255" s="237">
        <f t="shared" ref="Y255:Y318" si="213">IF(+AL254&lt;0,0,+AL254)</f>
        <v>726722.65000000049</v>
      </c>
      <c r="Z255" s="394">
        <f t="shared" si="169"/>
        <v>0.13125000000000001</v>
      </c>
      <c r="AA255" s="237">
        <f t="shared" si="170"/>
        <v>10874</v>
      </c>
      <c r="AB255" s="237">
        <f t="shared" si="171"/>
        <v>2925.4700000000003</v>
      </c>
      <c r="AC255" s="237">
        <f t="shared" si="172"/>
        <v>7948.53</v>
      </c>
      <c r="AD255" s="237">
        <f t="shared" si="206"/>
        <v>134.16999999999999</v>
      </c>
      <c r="AE255" s="237">
        <f t="shared" si="206"/>
        <v>188.55</v>
      </c>
      <c r="AF255" s="237">
        <f t="shared" si="173"/>
        <v>11196.72</v>
      </c>
      <c r="AG255" s="237">
        <f t="shared" si="192"/>
        <v>261920.90999999997</v>
      </c>
      <c r="AH255" s="237">
        <f t="shared" si="193"/>
        <v>2233066.09</v>
      </c>
      <c r="AI255" s="412">
        <f t="shared" si="207"/>
        <v>2163077.5799999922</v>
      </c>
      <c r="AJ255" s="412">
        <f t="shared" si="195"/>
        <v>169223.36999999941</v>
      </c>
      <c r="AK255" s="411">
        <f t="shared" si="208"/>
        <v>2332300.9499999918</v>
      </c>
      <c r="AL255" s="237">
        <f t="shared" ref="AL255:AL318" si="214">+Y255-AB255</f>
        <v>723797.18000000052</v>
      </c>
      <c r="AM255" s="318">
        <f t="shared" si="179"/>
        <v>19</v>
      </c>
      <c r="AN255" s="21">
        <f t="shared" si="209"/>
        <v>19533.41</v>
      </c>
      <c r="AO255" s="21">
        <f t="shared" si="200"/>
        <v>893020.55</v>
      </c>
      <c r="AP255" s="21">
        <f t="shared" si="210"/>
        <v>10874</v>
      </c>
      <c r="AQ255" s="21"/>
      <c r="AR255" s="23"/>
      <c r="AS255" s="21">
        <f t="shared" si="174"/>
        <v>19533.41</v>
      </c>
      <c r="AT255" s="21">
        <f t="shared" si="180"/>
        <v>4687537.8400000157</v>
      </c>
      <c r="AU255" s="237">
        <f t="shared" si="181"/>
        <v>4477.4226954653013</v>
      </c>
      <c r="AV255" s="237">
        <f t="shared" si="182"/>
        <v>809346.50088158564</v>
      </c>
    </row>
    <row r="256" spans="1:48">
      <c r="A256" s="401" t="str">
        <f t="shared" si="183"/>
        <v xml:space="preserve"> </v>
      </c>
      <c r="B256" s="185">
        <f t="shared" si="175"/>
        <v>0</v>
      </c>
      <c r="C256" s="14">
        <f t="shared" si="166"/>
        <v>0</v>
      </c>
      <c r="D256" s="14">
        <f t="shared" si="184"/>
        <v>0</v>
      </c>
      <c r="E256" s="14">
        <f t="shared" si="167"/>
        <v>0</v>
      </c>
      <c r="F256" s="14">
        <f t="shared" si="203"/>
        <v>0</v>
      </c>
      <c r="G256" s="14">
        <f t="shared" si="203"/>
        <v>0</v>
      </c>
      <c r="H256" s="14">
        <f t="shared" si="204"/>
        <v>0</v>
      </c>
      <c r="I256" s="185">
        <f t="shared" si="185"/>
        <v>0</v>
      </c>
      <c r="J256" s="185">
        <f t="shared" si="186"/>
        <v>0</v>
      </c>
      <c r="K256" s="185">
        <f t="shared" si="187"/>
        <v>0</v>
      </c>
      <c r="L256" s="317">
        <f t="shared" si="201"/>
        <v>20</v>
      </c>
      <c r="M256" s="317">
        <f t="shared" si="176"/>
        <v>240</v>
      </c>
      <c r="N256" s="185">
        <f t="shared" si="177"/>
        <v>893020.54999999993</v>
      </c>
      <c r="O256" s="185">
        <f t="shared" si="211"/>
        <v>19533.41</v>
      </c>
      <c r="P256" s="185">
        <f t="shared" si="188"/>
        <v>1859.0400000000009</v>
      </c>
      <c r="Q256" s="185">
        <f t="shared" si="212"/>
        <v>17674.37</v>
      </c>
      <c r="R256" s="185">
        <f t="shared" ref="R256:S271" si="215">+R255</f>
        <v>134.16999999999999</v>
      </c>
      <c r="S256" s="185">
        <f t="shared" si="215"/>
        <v>188.55</v>
      </c>
      <c r="T256" s="185">
        <f t="shared" si="205"/>
        <v>19856.129999999997</v>
      </c>
      <c r="U256" s="185">
        <f t="shared" si="189"/>
        <v>94938.489999999932</v>
      </c>
      <c r="V256" s="185">
        <f t="shared" si="190"/>
        <v>4612613.32</v>
      </c>
      <c r="W256" s="185">
        <f t="shared" si="191"/>
        <v>891161.50999999989</v>
      </c>
      <c r="X256" s="401" t="str">
        <f t="shared" si="178"/>
        <v xml:space="preserve"> </v>
      </c>
      <c r="Y256" s="185">
        <f t="shared" si="213"/>
        <v>723797.18000000052</v>
      </c>
      <c r="Z256" s="393">
        <f t="shared" si="169"/>
        <v>0.13125000000000001</v>
      </c>
      <c r="AA256" s="185">
        <f t="shared" si="170"/>
        <v>10874</v>
      </c>
      <c r="AB256" s="185">
        <f t="shared" si="171"/>
        <v>2957.4700000000003</v>
      </c>
      <c r="AC256" s="185">
        <f t="shared" si="172"/>
        <v>7916.53</v>
      </c>
      <c r="AD256" s="185">
        <f t="shared" si="206"/>
        <v>134.16999999999999</v>
      </c>
      <c r="AE256" s="185">
        <f t="shared" si="206"/>
        <v>188.55</v>
      </c>
      <c r="AF256" s="185">
        <f t="shared" si="173"/>
        <v>11196.72</v>
      </c>
      <c r="AG256" s="185">
        <f t="shared" si="192"/>
        <v>264878.37999999995</v>
      </c>
      <c r="AH256" s="185">
        <f t="shared" si="193"/>
        <v>2240982.6199999996</v>
      </c>
      <c r="AI256" s="411">
        <f t="shared" si="207"/>
        <v>2171736.9899999923</v>
      </c>
      <c r="AJ256" s="411">
        <f t="shared" si="195"/>
        <v>170321.79999999935</v>
      </c>
      <c r="AK256" s="411">
        <f t="shared" si="208"/>
        <v>2342058.7899999917</v>
      </c>
      <c r="AL256" s="185">
        <f t="shared" si="214"/>
        <v>720839.71000000054</v>
      </c>
      <c r="AM256" s="317">
        <f t="shared" si="179"/>
        <v>20</v>
      </c>
      <c r="AN256" s="14">
        <f t="shared" si="209"/>
        <v>19533.41</v>
      </c>
      <c r="AO256" s="14">
        <f t="shared" si="200"/>
        <v>891161.51</v>
      </c>
      <c r="AP256" s="14">
        <f t="shared" si="210"/>
        <v>10874</v>
      </c>
      <c r="AS256" s="14">
        <f t="shared" si="174"/>
        <v>19533.41</v>
      </c>
      <c r="AT256" s="14">
        <f t="shared" si="180"/>
        <v>4707071.2500000158</v>
      </c>
      <c r="AU256" s="185">
        <f t="shared" si="181"/>
        <v>4488.616252203964</v>
      </c>
      <c r="AV256" s="185">
        <f t="shared" si="182"/>
        <v>813835.11713378958</v>
      </c>
    </row>
    <row r="257" spans="1:48">
      <c r="A257" s="401" t="str">
        <f t="shared" si="183"/>
        <v xml:space="preserve"> </v>
      </c>
      <c r="B257" s="185">
        <f t="shared" si="175"/>
        <v>0</v>
      </c>
      <c r="C257" s="14">
        <f t="shared" si="166"/>
        <v>0</v>
      </c>
      <c r="D257" s="14">
        <f t="shared" si="184"/>
        <v>0</v>
      </c>
      <c r="E257" s="14">
        <f t="shared" si="167"/>
        <v>0</v>
      </c>
      <c r="F257" s="14">
        <f t="shared" si="203"/>
        <v>0</v>
      </c>
      <c r="G257" s="14">
        <f t="shared" si="203"/>
        <v>0</v>
      </c>
      <c r="H257" s="14">
        <f t="shared" si="204"/>
        <v>0</v>
      </c>
      <c r="I257" s="185">
        <f t="shared" si="185"/>
        <v>0</v>
      </c>
      <c r="J257" s="185">
        <f t="shared" si="186"/>
        <v>0</v>
      </c>
      <c r="K257" s="185">
        <f t="shared" si="187"/>
        <v>0</v>
      </c>
      <c r="L257" s="317">
        <f t="shared" si="201"/>
        <v>20</v>
      </c>
      <c r="M257" s="317">
        <f t="shared" si="176"/>
        <v>241</v>
      </c>
      <c r="N257" s="185">
        <f t="shared" si="177"/>
        <v>891161.50999999989</v>
      </c>
      <c r="O257" s="185">
        <f t="shared" si="211"/>
        <v>19533.41</v>
      </c>
      <c r="P257" s="185">
        <f t="shared" si="188"/>
        <v>1895.8400000000001</v>
      </c>
      <c r="Q257" s="185">
        <f t="shared" si="212"/>
        <v>17637.57</v>
      </c>
      <c r="R257" s="185">
        <f t="shared" si="215"/>
        <v>134.16999999999999</v>
      </c>
      <c r="S257" s="185">
        <f t="shared" si="215"/>
        <v>188.55</v>
      </c>
      <c r="T257" s="185">
        <f t="shared" si="205"/>
        <v>19856.129999999997</v>
      </c>
      <c r="U257" s="185">
        <f t="shared" si="189"/>
        <v>96834.329999999929</v>
      </c>
      <c r="V257" s="185">
        <f t="shared" si="190"/>
        <v>4630250.8900000006</v>
      </c>
      <c r="W257" s="185">
        <f t="shared" si="191"/>
        <v>889265.66999999993</v>
      </c>
      <c r="X257" s="401" t="str">
        <f t="shared" si="178"/>
        <v xml:space="preserve"> </v>
      </c>
      <c r="Y257" s="185">
        <f t="shared" si="213"/>
        <v>720839.71000000054</v>
      </c>
      <c r="Z257" s="393">
        <f t="shared" si="169"/>
        <v>0.13125000000000001</v>
      </c>
      <c r="AA257" s="185">
        <f t="shared" si="170"/>
        <v>10874</v>
      </c>
      <c r="AB257" s="185">
        <f t="shared" si="171"/>
        <v>2989.8199999999997</v>
      </c>
      <c r="AC257" s="185">
        <f t="shared" si="172"/>
        <v>7884.18</v>
      </c>
      <c r="AD257" s="185">
        <f t="shared" si="206"/>
        <v>134.16999999999999</v>
      </c>
      <c r="AE257" s="185">
        <f t="shared" si="206"/>
        <v>188.55</v>
      </c>
      <c r="AF257" s="185">
        <f t="shared" si="173"/>
        <v>11196.72</v>
      </c>
      <c r="AG257" s="185">
        <f t="shared" si="192"/>
        <v>267868.19999999995</v>
      </c>
      <c r="AH257" s="185">
        <f t="shared" si="193"/>
        <v>2248866.7999999998</v>
      </c>
      <c r="AI257" s="411">
        <f t="shared" si="207"/>
        <v>2180396.3999999925</v>
      </c>
      <c r="AJ257" s="411">
        <f t="shared" si="195"/>
        <v>171415.77999999933</v>
      </c>
      <c r="AK257" s="411">
        <f t="shared" si="208"/>
        <v>2351812.1799999918</v>
      </c>
      <c r="AL257" s="185">
        <f t="shared" si="214"/>
        <v>717849.8900000006</v>
      </c>
      <c r="AM257" s="317">
        <f t="shared" si="179"/>
        <v>20</v>
      </c>
      <c r="AN257" s="14">
        <f t="shared" si="209"/>
        <v>19533.41</v>
      </c>
      <c r="AO257" s="14">
        <f t="shared" si="200"/>
        <v>889265.67</v>
      </c>
      <c r="AP257" s="14">
        <f t="shared" si="210"/>
        <v>10874</v>
      </c>
      <c r="AS257" s="14">
        <f t="shared" si="174"/>
        <v>19533.41</v>
      </c>
      <c r="AT257" s="14">
        <f t="shared" si="180"/>
        <v>4726604.660000016</v>
      </c>
      <c r="AU257" s="185">
        <f t="shared" si="181"/>
        <v>4499.8377928344735</v>
      </c>
      <c r="AV257" s="185">
        <f t="shared" si="182"/>
        <v>818334.95492662408</v>
      </c>
    </row>
    <row r="258" spans="1:48">
      <c r="A258" s="401" t="str">
        <f t="shared" si="183"/>
        <v xml:space="preserve"> </v>
      </c>
      <c r="B258" s="185">
        <f t="shared" si="175"/>
        <v>0</v>
      </c>
      <c r="C258" s="14">
        <f t="shared" si="166"/>
        <v>0</v>
      </c>
      <c r="D258" s="14">
        <f t="shared" si="184"/>
        <v>0</v>
      </c>
      <c r="E258" s="14">
        <f t="shared" si="167"/>
        <v>0</v>
      </c>
      <c r="F258" s="14">
        <f t="shared" si="203"/>
        <v>0</v>
      </c>
      <c r="G258" s="14">
        <f t="shared" si="203"/>
        <v>0</v>
      </c>
      <c r="H258" s="14">
        <f t="shared" si="204"/>
        <v>0</v>
      </c>
      <c r="I258" s="185">
        <f t="shared" si="185"/>
        <v>0</v>
      </c>
      <c r="J258" s="185">
        <f t="shared" si="186"/>
        <v>0</v>
      </c>
      <c r="K258" s="185">
        <f t="shared" si="187"/>
        <v>0</v>
      </c>
      <c r="L258" s="317">
        <f t="shared" si="201"/>
        <v>20</v>
      </c>
      <c r="M258" s="317">
        <f t="shared" si="176"/>
        <v>242</v>
      </c>
      <c r="N258" s="185">
        <f t="shared" si="177"/>
        <v>889265.66999999993</v>
      </c>
      <c r="O258" s="185">
        <f t="shared" si="211"/>
        <v>19533.41</v>
      </c>
      <c r="P258" s="185">
        <f t="shared" si="188"/>
        <v>1933.3600000000006</v>
      </c>
      <c r="Q258" s="185">
        <f t="shared" si="212"/>
        <v>17600.05</v>
      </c>
      <c r="R258" s="185">
        <f t="shared" si="215"/>
        <v>134.16999999999999</v>
      </c>
      <c r="S258" s="185">
        <f t="shared" si="215"/>
        <v>188.55</v>
      </c>
      <c r="T258" s="185">
        <f t="shared" si="205"/>
        <v>19856.129999999997</v>
      </c>
      <c r="U258" s="185">
        <f t="shared" si="189"/>
        <v>98767.68999999993</v>
      </c>
      <c r="V258" s="185">
        <f t="shared" si="190"/>
        <v>4647850.9400000004</v>
      </c>
      <c r="W258" s="185">
        <f t="shared" si="191"/>
        <v>887332.30999999994</v>
      </c>
      <c r="X258" s="401" t="str">
        <f t="shared" si="178"/>
        <v xml:space="preserve"> </v>
      </c>
      <c r="Y258" s="185">
        <f t="shared" si="213"/>
        <v>717849.8900000006</v>
      </c>
      <c r="Z258" s="393">
        <f t="shared" si="169"/>
        <v>0.13125000000000001</v>
      </c>
      <c r="AA258" s="185">
        <f t="shared" si="170"/>
        <v>10874</v>
      </c>
      <c r="AB258" s="185">
        <f t="shared" si="171"/>
        <v>3022.5200000000004</v>
      </c>
      <c r="AC258" s="185">
        <f t="shared" si="172"/>
        <v>7851.48</v>
      </c>
      <c r="AD258" s="185">
        <f t="shared" si="206"/>
        <v>134.16999999999999</v>
      </c>
      <c r="AE258" s="185">
        <f t="shared" si="206"/>
        <v>188.55</v>
      </c>
      <c r="AF258" s="185">
        <f t="shared" si="173"/>
        <v>11196.72</v>
      </c>
      <c r="AG258" s="185">
        <f t="shared" si="192"/>
        <v>270890.71999999997</v>
      </c>
      <c r="AH258" s="185">
        <f t="shared" si="193"/>
        <v>2256718.2799999998</v>
      </c>
      <c r="AI258" s="411">
        <f t="shared" si="207"/>
        <v>2189055.8099999926</v>
      </c>
      <c r="AJ258" s="411">
        <f t="shared" si="195"/>
        <v>172504.93999999936</v>
      </c>
      <c r="AK258" s="411">
        <f t="shared" si="208"/>
        <v>2361560.7499999921</v>
      </c>
      <c r="AL258" s="185">
        <f t="shared" si="214"/>
        <v>714827.37000000058</v>
      </c>
      <c r="AM258" s="317">
        <f t="shared" si="179"/>
        <v>20</v>
      </c>
      <c r="AN258" s="14">
        <f t="shared" si="209"/>
        <v>19533.41</v>
      </c>
      <c r="AO258" s="14">
        <f t="shared" si="200"/>
        <v>887332.31</v>
      </c>
      <c r="AP258" s="14">
        <f t="shared" si="210"/>
        <v>10874</v>
      </c>
      <c r="AS258" s="14">
        <f t="shared" si="174"/>
        <v>19533.41</v>
      </c>
      <c r="AT258" s="14">
        <f t="shared" si="180"/>
        <v>4746138.0700000161</v>
      </c>
      <c r="AU258" s="185">
        <f t="shared" si="181"/>
        <v>4511.0873873165592</v>
      </c>
      <c r="AV258" s="185">
        <f t="shared" si="182"/>
        <v>822846.04231394059</v>
      </c>
    </row>
    <row r="259" spans="1:48">
      <c r="A259" s="401" t="str">
        <f t="shared" si="183"/>
        <v xml:space="preserve"> </v>
      </c>
      <c r="B259" s="185">
        <f t="shared" si="175"/>
        <v>0</v>
      </c>
      <c r="C259" s="14">
        <f t="shared" si="166"/>
        <v>0</v>
      </c>
      <c r="D259" s="14">
        <f t="shared" si="184"/>
        <v>0</v>
      </c>
      <c r="E259" s="14">
        <f t="shared" si="167"/>
        <v>0</v>
      </c>
      <c r="F259" s="14">
        <f t="shared" si="203"/>
        <v>0</v>
      </c>
      <c r="G259" s="14">
        <f t="shared" si="203"/>
        <v>0</v>
      </c>
      <c r="H259" s="14">
        <f t="shared" si="204"/>
        <v>0</v>
      </c>
      <c r="I259" s="185">
        <f t="shared" si="185"/>
        <v>0</v>
      </c>
      <c r="J259" s="185">
        <f t="shared" si="186"/>
        <v>0</v>
      </c>
      <c r="K259" s="185">
        <f t="shared" si="187"/>
        <v>0</v>
      </c>
      <c r="L259" s="317">
        <f t="shared" si="201"/>
        <v>20</v>
      </c>
      <c r="M259" s="317">
        <f t="shared" si="176"/>
        <v>243</v>
      </c>
      <c r="N259" s="185">
        <f t="shared" si="177"/>
        <v>887332.30999999994</v>
      </c>
      <c r="O259" s="185">
        <f t="shared" si="211"/>
        <v>19533.41</v>
      </c>
      <c r="P259" s="185">
        <f t="shared" si="188"/>
        <v>1971.619999999999</v>
      </c>
      <c r="Q259" s="185">
        <f t="shared" si="212"/>
        <v>17561.79</v>
      </c>
      <c r="R259" s="185">
        <f t="shared" si="215"/>
        <v>134.16999999999999</v>
      </c>
      <c r="S259" s="185">
        <f t="shared" si="215"/>
        <v>188.55</v>
      </c>
      <c r="T259" s="185">
        <f t="shared" si="205"/>
        <v>19856.129999999997</v>
      </c>
      <c r="U259" s="185">
        <f t="shared" si="189"/>
        <v>100739.30999999992</v>
      </c>
      <c r="V259" s="185">
        <f t="shared" si="190"/>
        <v>4665412.7300000004</v>
      </c>
      <c r="W259" s="185">
        <f t="shared" si="191"/>
        <v>885360.69</v>
      </c>
      <c r="X259" s="401" t="str">
        <f t="shared" si="178"/>
        <v xml:space="preserve"> </v>
      </c>
      <c r="Y259" s="185">
        <f t="shared" si="213"/>
        <v>714827.37000000058</v>
      </c>
      <c r="Z259" s="393">
        <f t="shared" si="169"/>
        <v>0.13125000000000001</v>
      </c>
      <c r="AA259" s="185">
        <f t="shared" si="170"/>
        <v>10874</v>
      </c>
      <c r="AB259" s="185">
        <f t="shared" si="171"/>
        <v>3055.58</v>
      </c>
      <c r="AC259" s="185">
        <f t="shared" si="172"/>
        <v>7818.42</v>
      </c>
      <c r="AD259" s="185">
        <f t="shared" si="206"/>
        <v>134.16999999999999</v>
      </c>
      <c r="AE259" s="185">
        <f t="shared" si="206"/>
        <v>188.55</v>
      </c>
      <c r="AF259" s="185">
        <f t="shared" si="173"/>
        <v>11196.72</v>
      </c>
      <c r="AG259" s="185">
        <f t="shared" si="192"/>
        <v>273946.3</v>
      </c>
      <c r="AH259" s="185">
        <f t="shared" si="193"/>
        <v>2264536.6999999997</v>
      </c>
      <c r="AI259" s="411">
        <f t="shared" si="207"/>
        <v>2197715.2199999928</v>
      </c>
      <c r="AJ259" s="411">
        <f t="shared" si="195"/>
        <v>173588.89999999932</v>
      </c>
      <c r="AK259" s="411">
        <f t="shared" si="208"/>
        <v>2371304.1199999922</v>
      </c>
      <c r="AL259" s="185">
        <f t="shared" si="214"/>
        <v>711771.79000000062</v>
      </c>
      <c r="AM259" s="317">
        <f t="shared" si="179"/>
        <v>20</v>
      </c>
      <c r="AN259" s="14">
        <f t="shared" si="209"/>
        <v>19533.41</v>
      </c>
      <c r="AO259" s="14">
        <f t="shared" si="200"/>
        <v>885360.69000000006</v>
      </c>
      <c r="AP259" s="14">
        <f t="shared" si="210"/>
        <v>10874</v>
      </c>
      <c r="AS259" s="14">
        <f t="shared" si="174"/>
        <v>19533.41</v>
      </c>
      <c r="AT259" s="14">
        <f t="shared" si="180"/>
        <v>4765671.4800000163</v>
      </c>
      <c r="AU259" s="185">
        <f t="shared" si="181"/>
        <v>4522.365105784851</v>
      </c>
      <c r="AV259" s="185">
        <f t="shared" si="182"/>
        <v>827368.40741972544</v>
      </c>
    </row>
    <row r="260" spans="1:48">
      <c r="A260" s="401" t="str">
        <f t="shared" si="183"/>
        <v xml:space="preserve"> </v>
      </c>
      <c r="B260" s="185">
        <f t="shared" si="175"/>
        <v>0</v>
      </c>
      <c r="C260" s="14">
        <f t="shared" si="166"/>
        <v>0</v>
      </c>
      <c r="D260" s="14">
        <f t="shared" si="184"/>
        <v>0</v>
      </c>
      <c r="E260" s="14">
        <f t="shared" si="167"/>
        <v>0</v>
      </c>
      <c r="F260" s="14">
        <f t="shared" si="203"/>
        <v>0</v>
      </c>
      <c r="G260" s="14">
        <f t="shared" si="203"/>
        <v>0</v>
      </c>
      <c r="H260" s="14">
        <f t="shared" si="204"/>
        <v>0</v>
      </c>
      <c r="I260" s="185">
        <f t="shared" si="185"/>
        <v>0</v>
      </c>
      <c r="J260" s="185">
        <f t="shared" si="186"/>
        <v>0</v>
      </c>
      <c r="K260" s="185">
        <f t="shared" si="187"/>
        <v>0</v>
      </c>
      <c r="L260" s="317">
        <f t="shared" si="201"/>
        <v>20</v>
      </c>
      <c r="M260" s="317">
        <f t="shared" si="176"/>
        <v>244</v>
      </c>
      <c r="N260" s="185">
        <f t="shared" si="177"/>
        <v>885360.69</v>
      </c>
      <c r="O260" s="185">
        <f t="shared" si="211"/>
        <v>19533.41</v>
      </c>
      <c r="P260" s="185">
        <f t="shared" si="188"/>
        <v>2010.6500000000015</v>
      </c>
      <c r="Q260" s="185">
        <f t="shared" si="212"/>
        <v>17522.759999999998</v>
      </c>
      <c r="R260" s="185">
        <f t="shared" si="215"/>
        <v>134.16999999999999</v>
      </c>
      <c r="S260" s="185">
        <f t="shared" si="215"/>
        <v>188.55</v>
      </c>
      <c r="T260" s="185">
        <f t="shared" si="205"/>
        <v>19856.129999999997</v>
      </c>
      <c r="U260" s="185">
        <f t="shared" si="189"/>
        <v>102749.95999999993</v>
      </c>
      <c r="V260" s="185">
        <f t="shared" si="190"/>
        <v>4682935.49</v>
      </c>
      <c r="W260" s="185">
        <f t="shared" si="191"/>
        <v>883350.03999999992</v>
      </c>
      <c r="X260" s="401" t="str">
        <f t="shared" si="178"/>
        <v xml:space="preserve"> </v>
      </c>
      <c r="Y260" s="185">
        <f t="shared" si="213"/>
        <v>711771.79000000062</v>
      </c>
      <c r="Z260" s="393">
        <f t="shared" si="169"/>
        <v>0.13125000000000001</v>
      </c>
      <c r="AA260" s="185">
        <f t="shared" si="170"/>
        <v>10874</v>
      </c>
      <c r="AB260" s="185">
        <f t="shared" si="171"/>
        <v>3089</v>
      </c>
      <c r="AC260" s="185">
        <f t="shared" si="172"/>
        <v>7785</v>
      </c>
      <c r="AD260" s="185">
        <f t="shared" si="206"/>
        <v>134.16999999999999</v>
      </c>
      <c r="AE260" s="185">
        <f t="shared" si="206"/>
        <v>188.55</v>
      </c>
      <c r="AF260" s="185">
        <f t="shared" si="173"/>
        <v>11196.72</v>
      </c>
      <c r="AG260" s="185">
        <f t="shared" si="192"/>
        <v>277035.3</v>
      </c>
      <c r="AH260" s="185">
        <f t="shared" si="193"/>
        <v>2272321.6999999997</v>
      </c>
      <c r="AI260" s="411">
        <f t="shared" si="207"/>
        <v>2206374.6299999929</v>
      </c>
      <c r="AJ260" s="411">
        <f t="shared" si="195"/>
        <v>174667.2499999993</v>
      </c>
      <c r="AK260" s="411">
        <f t="shared" si="208"/>
        <v>2381041.8799999924</v>
      </c>
      <c r="AL260" s="185">
        <f t="shared" si="214"/>
        <v>708682.79000000062</v>
      </c>
      <c r="AM260" s="317">
        <f t="shared" si="179"/>
        <v>20</v>
      </c>
      <c r="AN260" s="14">
        <f t="shared" si="209"/>
        <v>19533.41</v>
      </c>
      <c r="AO260" s="14">
        <f t="shared" si="200"/>
        <v>883350.04</v>
      </c>
      <c r="AP260" s="14">
        <f t="shared" si="210"/>
        <v>10874</v>
      </c>
      <c r="AS260" s="14">
        <f t="shared" si="174"/>
        <v>19533.41</v>
      </c>
      <c r="AT260" s="14">
        <f t="shared" si="180"/>
        <v>4785204.8900000164</v>
      </c>
      <c r="AU260" s="185">
        <f t="shared" si="181"/>
        <v>4533.671018549313</v>
      </c>
      <c r="AV260" s="185">
        <f t="shared" si="182"/>
        <v>831902.0784382748</v>
      </c>
    </row>
    <row r="261" spans="1:48">
      <c r="A261" s="401" t="str">
        <f t="shared" si="183"/>
        <v xml:space="preserve"> </v>
      </c>
      <c r="B261" s="185">
        <f t="shared" si="175"/>
        <v>0</v>
      </c>
      <c r="C261" s="14">
        <f t="shared" si="166"/>
        <v>0</v>
      </c>
      <c r="D261" s="14">
        <f t="shared" si="184"/>
        <v>0</v>
      </c>
      <c r="E261" s="14">
        <f t="shared" si="167"/>
        <v>0</v>
      </c>
      <c r="F261" s="14">
        <f t="shared" si="203"/>
        <v>0</v>
      </c>
      <c r="G261" s="14">
        <f t="shared" si="203"/>
        <v>0</v>
      </c>
      <c r="H261" s="14">
        <f t="shared" si="204"/>
        <v>0</v>
      </c>
      <c r="I261" s="185">
        <f t="shared" si="185"/>
        <v>0</v>
      </c>
      <c r="J261" s="185">
        <f t="shared" si="186"/>
        <v>0</v>
      </c>
      <c r="K261" s="185">
        <f t="shared" si="187"/>
        <v>0</v>
      </c>
      <c r="L261" s="317">
        <f t="shared" si="201"/>
        <v>20</v>
      </c>
      <c r="M261" s="317">
        <f t="shared" si="176"/>
        <v>245</v>
      </c>
      <c r="N261" s="185">
        <f t="shared" si="177"/>
        <v>883350.03999999992</v>
      </c>
      <c r="O261" s="185">
        <f t="shared" si="211"/>
        <v>19533.41</v>
      </c>
      <c r="P261" s="185">
        <f t="shared" si="188"/>
        <v>2050.4399999999987</v>
      </c>
      <c r="Q261" s="185">
        <f t="shared" si="212"/>
        <v>17482.97</v>
      </c>
      <c r="R261" s="185">
        <f t="shared" si="215"/>
        <v>134.16999999999999</v>
      </c>
      <c r="S261" s="185">
        <f t="shared" si="215"/>
        <v>188.55</v>
      </c>
      <c r="T261" s="185">
        <f t="shared" si="205"/>
        <v>19856.129999999997</v>
      </c>
      <c r="U261" s="185">
        <f t="shared" si="189"/>
        <v>104800.39999999994</v>
      </c>
      <c r="V261" s="185">
        <f t="shared" si="190"/>
        <v>4700418.46</v>
      </c>
      <c r="W261" s="185">
        <f t="shared" si="191"/>
        <v>881299.6</v>
      </c>
      <c r="X261" s="401" t="str">
        <f t="shared" si="178"/>
        <v xml:space="preserve"> </v>
      </c>
      <c r="Y261" s="185">
        <f t="shared" si="213"/>
        <v>708682.79000000062</v>
      </c>
      <c r="Z261" s="393">
        <f t="shared" si="169"/>
        <v>0.13125000000000001</v>
      </c>
      <c r="AA261" s="185">
        <f t="shared" si="170"/>
        <v>10874</v>
      </c>
      <c r="AB261" s="185">
        <f t="shared" si="171"/>
        <v>3122.7799999999997</v>
      </c>
      <c r="AC261" s="185">
        <f t="shared" si="172"/>
        <v>7751.22</v>
      </c>
      <c r="AD261" s="185">
        <f t="shared" si="206"/>
        <v>134.16999999999999</v>
      </c>
      <c r="AE261" s="185">
        <f t="shared" si="206"/>
        <v>188.55</v>
      </c>
      <c r="AF261" s="185">
        <f t="shared" si="173"/>
        <v>11196.72</v>
      </c>
      <c r="AG261" s="185">
        <f t="shared" si="192"/>
        <v>280158.08000000002</v>
      </c>
      <c r="AH261" s="185">
        <f t="shared" si="193"/>
        <v>2280072.92</v>
      </c>
      <c r="AI261" s="411">
        <f t="shared" si="207"/>
        <v>2215034.0399999931</v>
      </c>
      <c r="AJ261" s="411">
        <f t="shared" si="195"/>
        <v>175739.58999999939</v>
      </c>
      <c r="AK261" s="411">
        <f t="shared" si="208"/>
        <v>2390773.6299999924</v>
      </c>
      <c r="AL261" s="185">
        <f t="shared" si="214"/>
        <v>705560.01000000059</v>
      </c>
      <c r="AM261" s="317">
        <f t="shared" si="179"/>
        <v>20</v>
      </c>
      <c r="AN261" s="14">
        <f t="shared" si="209"/>
        <v>19533.41</v>
      </c>
      <c r="AO261" s="14">
        <f t="shared" si="200"/>
        <v>881299.60000000009</v>
      </c>
      <c r="AP261" s="14">
        <f t="shared" si="210"/>
        <v>10874</v>
      </c>
      <c r="AS261" s="14">
        <f t="shared" si="174"/>
        <v>19533.41</v>
      </c>
      <c r="AT261" s="14">
        <f t="shared" si="180"/>
        <v>4804738.3000000166</v>
      </c>
      <c r="AU261" s="185">
        <f t="shared" si="181"/>
        <v>4545.0051960956871</v>
      </c>
      <c r="AV261" s="185">
        <f t="shared" si="182"/>
        <v>836447.08363437047</v>
      </c>
    </row>
    <row r="262" spans="1:48">
      <c r="A262" s="401" t="str">
        <f t="shared" si="183"/>
        <v xml:space="preserve"> </v>
      </c>
      <c r="B262" s="185">
        <f t="shared" si="175"/>
        <v>0</v>
      </c>
      <c r="C262" s="14">
        <f t="shared" si="166"/>
        <v>0</v>
      </c>
      <c r="D262" s="14">
        <f t="shared" si="184"/>
        <v>0</v>
      </c>
      <c r="E262" s="14">
        <f t="shared" si="167"/>
        <v>0</v>
      </c>
      <c r="F262" s="14">
        <f t="shared" si="203"/>
        <v>0</v>
      </c>
      <c r="G262" s="14">
        <f t="shared" si="203"/>
        <v>0</v>
      </c>
      <c r="H262" s="14">
        <f t="shared" si="204"/>
        <v>0</v>
      </c>
      <c r="I262" s="185">
        <f t="shared" si="185"/>
        <v>0</v>
      </c>
      <c r="J262" s="185">
        <f t="shared" si="186"/>
        <v>0</v>
      </c>
      <c r="K262" s="185">
        <f t="shared" si="187"/>
        <v>0</v>
      </c>
      <c r="L262" s="317">
        <f t="shared" si="201"/>
        <v>20</v>
      </c>
      <c r="M262" s="317">
        <f t="shared" si="176"/>
        <v>246</v>
      </c>
      <c r="N262" s="185">
        <f t="shared" si="177"/>
        <v>881299.6</v>
      </c>
      <c r="O262" s="185">
        <f t="shared" si="211"/>
        <v>19533.41</v>
      </c>
      <c r="P262" s="185">
        <f t="shared" si="188"/>
        <v>2091.0200000000004</v>
      </c>
      <c r="Q262" s="185">
        <f t="shared" si="212"/>
        <v>17442.39</v>
      </c>
      <c r="R262" s="185">
        <f t="shared" si="215"/>
        <v>134.16999999999999</v>
      </c>
      <c r="S262" s="185">
        <f t="shared" si="215"/>
        <v>188.55</v>
      </c>
      <c r="T262" s="185">
        <f t="shared" si="205"/>
        <v>19856.129999999997</v>
      </c>
      <c r="U262" s="185">
        <f t="shared" si="189"/>
        <v>106891.41999999994</v>
      </c>
      <c r="V262" s="185">
        <f t="shared" si="190"/>
        <v>4717860.8499999996</v>
      </c>
      <c r="W262" s="185">
        <f t="shared" si="191"/>
        <v>879208.58</v>
      </c>
      <c r="X262" s="401" t="str">
        <f t="shared" si="178"/>
        <v xml:space="preserve"> </v>
      </c>
      <c r="Y262" s="185">
        <f t="shared" si="213"/>
        <v>705560.01000000059</v>
      </c>
      <c r="Z262" s="393">
        <f t="shared" si="169"/>
        <v>0.13125000000000001</v>
      </c>
      <c r="AA262" s="185">
        <f t="shared" si="170"/>
        <v>10874</v>
      </c>
      <c r="AB262" s="185">
        <f t="shared" si="171"/>
        <v>3156.9399999999996</v>
      </c>
      <c r="AC262" s="185">
        <f t="shared" si="172"/>
        <v>7717.06</v>
      </c>
      <c r="AD262" s="185">
        <f t="shared" si="206"/>
        <v>134.16999999999999</v>
      </c>
      <c r="AE262" s="185">
        <f t="shared" si="206"/>
        <v>188.55</v>
      </c>
      <c r="AF262" s="185">
        <f t="shared" si="173"/>
        <v>11196.72</v>
      </c>
      <c r="AG262" s="185">
        <f t="shared" si="192"/>
        <v>283315.02</v>
      </c>
      <c r="AH262" s="185">
        <f t="shared" si="193"/>
        <v>2287789.98</v>
      </c>
      <c r="AI262" s="411">
        <f t="shared" si="207"/>
        <v>2223693.4499999932</v>
      </c>
      <c r="AJ262" s="411">
        <f t="shared" si="195"/>
        <v>176805.50999999931</v>
      </c>
      <c r="AK262" s="411">
        <f t="shared" si="208"/>
        <v>2400498.9599999925</v>
      </c>
      <c r="AL262" s="185">
        <f t="shared" si="214"/>
        <v>702403.07000000065</v>
      </c>
      <c r="AM262" s="317">
        <f t="shared" si="179"/>
        <v>20</v>
      </c>
      <c r="AN262" s="14">
        <f t="shared" si="209"/>
        <v>19533.41</v>
      </c>
      <c r="AO262" s="14">
        <f t="shared" si="200"/>
        <v>879208.58000000007</v>
      </c>
      <c r="AP262" s="14">
        <f t="shared" si="210"/>
        <v>10874</v>
      </c>
      <c r="AS262" s="14">
        <f t="shared" si="174"/>
        <v>19533.41</v>
      </c>
      <c r="AT262" s="14">
        <f t="shared" si="180"/>
        <v>4824271.7100000167</v>
      </c>
      <c r="AU262" s="185">
        <f t="shared" si="181"/>
        <v>4556.3677090859264</v>
      </c>
      <c r="AV262" s="185">
        <f t="shared" si="182"/>
        <v>841003.4513434564</v>
      </c>
    </row>
    <row r="263" spans="1:48">
      <c r="A263" s="401" t="str">
        <f t="shared" si="183"/>
        <v xml:space="preserve"> </v>
      </c>
      <c r="B263" s="185">
        <f t="shared" si="175"/>
        <v>0</v>
      </c>
      <c r="C263" s="14">
        <f t="shared" si="166"/>
        <v>0</v>
      </c>
      <c r="D263" s="14">
        <f t="shared" si="184"/>
        <v>0</v>
      </c>
      <c r="E263" s="14">
        <f t="shared" si="167"/>
        <v>0</v>
      </c>
      <c r="F263" s="14">
        <f t="shared" si="203"/>
        <v>0</v>
      </c>
      <c r="G263" s="14">
        <f t="shared" si="203"/>
        <v>0</v>
      </c>
      <c r="H263" s="14">
        <f t="shared" si="204"/>
        <v>0</v>
      </c>
      <c r="I263" s="185">
        <f t="shared" si="185"/>
        <v>0</v>
      </c>
      <c r="J263" s="185">
        <f t="shared" si="186"/>
        <v>0</v>
      </c>
      <c r="K263" s="185">
        <f t="shared" si="187"/>
        <v>0</v>
      </c>
      <c r="L263" s="317">
        <f t="shared" si="201"/>
        <v>20</v>
      </c>
      <c r="M263" s="317">
        <f t="shared" si="176"/>
        <v>247</v>
      </c>
      <c r="N263" s="185">
        <f t="shared" si="177"/>
        <v>879208.58</v>
      </c>
      <c r="O263" s="185">
        <f t="shared" si="211"/>
        <v>19533.41</v>
      </c>
      <c r="P263" s="185">
        <f t="shared" si="188"/>
        <v>2132.41</v>
      </c>
      <c r="Q263" s="185">
        <f t="shared" si="212"/>
        <v>17401</v>
      </c>
      <c r="R263" s="185">
        <f t="shared" si="215"/>
        <v>134.16999999999999</v>
      </c>
      <c r="S263" s="185">
        <f t="shared" si="215"/>
        <v>188.55</v>
      </c>
      <c r="T263" s="185">
        <f t="shared" si="205"/>
        <v>19856.129999999997</v>
      </c>
      <c r="U263" s="185">
        <f t="shared" si="189"/>
        <v>109023.82999999994</v>
      </c>
      <c r="V263" s="185">
        <f t="shared" si="190"/>
        <v>4735261.8499999996</v>
      </c>
      <c r="W263" s="185">
        <f t="shared" si="191"/>
        <v>877076.16999999993</v>
      </c>
      <c r="X263" s="401" t="str">
        <f t="shared" si="178"/>
        <v xml:space="preserve"> </v>
      </c>
      <c r="Y263" s="185">
        <f t="shared" si="213"/>
        <v>702403.07000000065</v>
      </c>
      <c r="Z263" s="393">
        <f t="shared" si="169"/>
        <v>0.13125000000000001</v>
      </c>
      <c r="AA263" s="185">
        <f t="shared" si="170"/>
        <v>10874</v>
      </c>
      <c r="AB263" s="185">
        <f t="shared" si="171"/>
        <v>3191.4700000000003</v>
      </c>
      <c r="AC263" s="185">
        <f t="shared" si="172"/>
        <v>7682.53</v>
      </c>
      <c r="AD263" s="185">
        <f t="shared" si="206"/>
        <v>134.16999999999999</v>
      </c>
      <c r="AE263" s="185">
        <f t="shared" si="206"/>
        <v>188.55</v>
      </c>
      <c r="AF263" s="185">
        <f t="shared" si="173"/>
        <v>11196.72</v>
      </c>
      <c r="AG263" s="185">
        <f t="shared" si="192"/>
        <v>286506.49</v>
      </c>
      <c r="AH263" s="185">
        <f t="shared" si="193"/>
        <v>2295472.5099999998</v>
      </c>
      <c r="AI263" s="411">
        <f t="shared" si="207"/>
        <v>2232352.8599999934</v>
      </c>
      <c r="AJ263" s="411">
        <f t="shared" si="195"/>
        <v>177864.56999999925</v>
      </c>
      <c r="AK263" s="411">
        <f t="shared" si="208"/>
        <v>2410217.4299999927</v>
      </c>
      <c r="AL263" s="185">
        <f t="shared" si="214"/>
        <v>699211.60000000068</v>
      </c>
      <c r="AM263" s="317">
        <f t="shared" si="179"/>
        <v>20</v>
      </c>
      <c r="AN263" s="14">
        <f t="shared" si="209"/>
        <v>19533.41</v>
      </c>
      <c r="AO263" s="14">
        <f t="shared" si="200"/>
        <v>877076.17</v>
      </c>
      <c r="AP263" s="14">
        <f t="shared" si="210"/>
        <v>10874</v>
      </c>
      <c r="AS263" s="14">
        <f t="shared" si="174"/>
        <v>19533.41</v>
      </c>
      <c r="AT263" s="14">
        <f t="shared" si="180"/>
        <v>4843805.1200000169</v>
      </c>
      <c r="AU263" s="185">
        <f t="shared" si="181"/>
        <v>4567.7586283586406</v>
      </c>
      <c r="AV263" s="185">
        <f t="shared" si="182"/>
        <v>845571.209971815</v>
      </c>
    </row>
    <row r="264" spans="1:48">
      <c r="A264" s="401" t="str">
        <f t="shared" si="183"/>
        <v xml:space="preserve"> </v>
      </c>
      <c r="B264" s="185">
        <f t="shared" si="175"/>
        <v>0</v>
      </c>
      <c r="C264" s="14">
        <f t="shared" si="166"/>
        <v>0</v>
      </c>
      <c r="D264" s="14">
        <f t="shared" si="184"/>
        <v>0</v>
      </c>
      <c r="E264" s="14">
        <f t="shared" si="167"/>
        <v>0</v>
      </c>
      <c r="F264" s="14">
        <f t="shared" si="203"/>
        <v>0</v>
      </c>
      <c r="G264" s="14">
        <f t="shared" si="203"/>
        <v>0</v>
      </c>
      <c r="H264" s="14">
        <f t="shared" si="204"/>
        <v>0</v>
      </c>
      <c r="I264" s="185">
        <f t="shared" si="185"/>
        <v>0</v>
      </c>
      <c r="J264" s="185">
        <f t="shared" si="186"/>
        <v>0</v>
      </c>
      <c r="K264" s="185">
        <f t="shared" si="187"/>
        <v>0</v>
      </c>
      <c r="L264" s="317">
        <f t="shared" si="201"/>
        <v>20</v>
      </c>
      <c r="M264" s="317">
        <f t="shared" si="176"/>
        <v>248</v>
      </c>
      <c r="N264" s="185">
        <f t="shared" si="177"/>
        <v>877076.16999999993</v>
      </c>
      <c r="O264" s="185">
        <f t="shared" si="211"/>
        <v>19533.41</v>
      </c>
      <c r="P264" s="185">
        <f t="shared" si="188"/>
        <v>2174.6100000000006</v>
      </c>
      <c r="Q264" s="185">
        <f t="shared" si="212"/>
        <v>17358.8</v>
      </c>
      <c r="R264" s="185">
        <f t="shared" si="215"/>
        <v>134.16999999999999</v>
      </c>
      <c r="S264" s="185">
        <f t="shared" si="215"/>
        <v>188.55</v>
      </c>
      <c r="T264" s="185">
        <f t="shared" si="205"/>
        <v>19856.129999999997</v>
      </c>
      <c r="U264" s="185">
        <f t="shared" si="189"/>
        <v>111198.43999999994</v>
      </c>
      <c r="V264" s="185">
        <f t="shared" si="190"/>
        <v>4752620.6499999994</v>
      </c>
      <c r="W264" s="185">
        <f t="shared" si="191"/>
        <v>874901.55999999994</v>
      </c>
      <c r="X264" s="401" t="str">
        <f t="shared" si="178"/>
        <v xml:space="preserve"> </v>
      </c>
      <c r="Y264" s="185">
        <f t="shared" si="213"/>
        <v>699211.60000000068</v>
      </c>
      <c r="Z264" s="393">
        <f t="shared" si="169"/>
        <v>0.13125000000000001</v>
      </c>
      <c r="AA264" s="185">
        <f t="shared" si="170"/>
        <v>10874</v>
      </c>
      <c r="AB264" s="185">
        <f t="shared" si="171"/>
        <v>3226.37</v>
      </c>
      <c r="AC264" s="185">
        <f t="shared" si="172"/>
        <v>7647.63</v>
      </c>
      <c r="AD264" s="185">
        <f t="shared" si="206"/>
        <v>134.16999999999999</v>
      </c>
      <c r="AE264" s="185">
        <f t="shared" si="206"/>
        <v>188.55</v>
      </c>
      <c r="AF264" s="185">
        <f t="shared" si="173"/>
        <v>11196.72</v>
      </c>
      <c r="AG264" s="185">
        <f t="shared" si="192"/>
        <v>289732.86</v>
      </c>
      <c r="AH264" s="185">
        <f t="shared" si="193"/>
        <v>2303120.1399999997</v>
      </c>
      <c r="AI264" s="411">
        <f t="shared" si="207"/>
        <v>2241012.2699999935</v>
      </c>
      <c r="AJ264" s="411">
        <f t="shared" si="195"/>
        <v>178916.32999999926</v>
      </c>
      <c r="AK264" s="411">
        <f t="shared" si="208"/>
        <v>2419928.5999999926</v>
      </c>
      <c r="AL264" s="185">
        <f t="shared" si="214"/>
        <v>695985.23000000068</v>
      </c>
      <c r="AM264" s="317">
        <f t="shared" si="179"/>
        <v>20</v>
      </c>
      <c r="AN264" s="14">
        <f t="shared" si="209"/>
        <v>19533.41</v>
      </c>
      <c r="AO264" s="14">
        <f t="shared" si="200"/>
        <v>874901.56</v>
      </c>
      <c r="AP264" s="14">
        <f t="shared" si="210"/>
        <v>10874</v>
      </c>
      <c r="AS264" s="14">
        <f t="shared" si="174"/>
        <v>19533.41</v>
      </c>
      <c r="AT264" s="14">
        <f t="shared" si="180"/>
        <v>4863338.530000017</v>
      </c>
      <c r="AU264" s="185">
        <f t="shared" si="181"/>
        <v>4579.1780249295371</v>
      </c>
      <c r="AV264" s="185">
        <f t="shared" si="182"/>
        <v>850150.38799674448</v>
      </c>
    </row>
    <row r="265" spans="1:48">
      <c r="A265" s="401" t="str">
        <f t="shared" si="183"/>
        <v xml:space="preserve"> </v>
      </c>
      <c r="B265" s="185">
        <f t="shared" si="175"/>
        <v>0</v>
      </c>
      <c r="C265" s="14">
        <f t="shared" si="166"/>
        <v>0</v>
      </c>
      <c r="D265" s="14">
        <f t="shared" si="184"/>
        <v>0</v>
      </c>
      <c r="E265" s="14">
        <f t="shared" si="167"/>
        <v>0</v>
      </c>
      <c r="F265" s="14">
        <f t="shared" si="203"/>
        <v>0</v>
      </c>
      <c r="G265" s="14">
        <f t="shared" si="203"/>
        <v>0</v>
      </c>
      <c r="H265" s="14">
        <f t="shared" si="204"/>
        <v>0</v>
      </c>
      <c r="I265" s="185">
        <f t="shared" si="185"/>
        <v>0</v>
      </c>
      <c r="J265" s="185">
        <f t="shared" si="186"/>
        <v>0</v>
      </c>
      <c r="K265" s="185">
        <f t="shared" si="187"/>
        <v>0</v>
      </c>
      <c r="L265" s="317">
        <f t="shared" si="201"/>
        <v>20</v>
      </c>
      <c r="M265" s="317">
        <f t="shared" si="176"/>
        <v>249</v>
      </c>
      <c r="N265" s="185">
        <f t="shared" si="177"/>
        <v>874901.55999999994</v>
      </c>
      <c r="O265" s="185">
        <f t="shared" si="211"/>
        <v>19533.41</v>
      </c>
      <c r="P265" s="185">
        <f t="shared" si="188"/>
        <v>2217.6500000000015</v>
      </c>
      <c r="Q265" s="185">
        <f t="shared" si="212"/>
        <v>17315.759999999998</v>
      </c>
      <c r="R265" s="185">
        <f t="shared" si="215"/>
        <v>134.16999999999999</v>
      </c>
      <c r="S265" s="185">
        <f t="shared" si="215"/>
        <v>188.55</v>
      </c>
      <c r="T265" s="185">
        <f t="shared" si="205"/>
        <v>19856.129999999997</v>
      </c>
      <c r="U265" s="185">
        <f t="shared" si="189"/>
        <v>113416.08999999994</v>
      </c>
      <c r="V265" s="185">
        <f t="shared" si="190"/>
        <v>4769936.4099999992</v>
      </c>
      <c r="W265" s="185">
        <f t="shared" si="191"/>
        <v>872683.90999999992</v>
      </c>
      <c r="X265" s="401" t="str">
        <f t="shared" si="178"/>
        <v xml:space="preserve"> </v>
      </c>
      <c r="Y265" s="185">
        <f t="shared" si="213"/>
        <v>695985.23000000068</v>
      </c>
      <c r="Z265" s="393">
        <f t="shared" si="169"/>
        <v>0.13125000000000001</v>
      </c>
      <c r="AA265" s="185">
        <f t="shared" si="170"/>
        <v>10874</v>
      </c>
      <c r="AB265" s="185">
        <f t="shared" si="171"/>
        <v>3261.66</v>
      </c>
      <c r="AC265" s="185">
        <f t="shared" si="172"/>
        <v>7612.34</v>
      </c>
      <c r="AD265" s="185">
        <f t="shared" si="206"/>
        <v>134.16999999999999</v>
      </c>
      <c r="AE265" s="185">
        <f t="shared" si="206"/>
        <v>188.55</v>
      </c>
      <c r="AF265" s="185">
        <f t="shared" si="173"/>
        <v>11196.72</v>
      </c>
      <c r="AG265" s="185">
        <f t="shared" si="192"/>
        <v>292994.51999999996</v>
      </c>
      <c r="AH265" s="185">
        <f t="shared" si="193"/>
        <v>2310732.4799999995</v>
      </c>
      <c r="AI265" s="411">
        <f t="shared" si="207"/>
        <v>2249671.6799999936</v>
      </c>
      <c r="AJ265" s="411">
        <f t="shared" si="195"/>
        <v>179960.33999999927</v>
      </c>
      <c r="AK265" s="411">
        <f t="shared" si="208"/>
        <v>2429632.019999993</v>
      </c>
      <c r="AL265" s="185">
        <f t="shared" si="214"/>
        <v>692723.57000000065</v>
      </c>
      <c r="AM265" s="317">
        <f t="shared" si="179"/>
        <v>20</v>
      </c>
      <c r="AN265" s="14">
        <f t="shared" si="209"/>
        <v>19533.41</v>
      </c>
      <c r="AO265" s="14">
        <f t="shared" si="200"/>
        <v>872683.91</v>
      </c>
      <c r="AP265" s="14">
        <f t="shared" si="210"/>
        <v>10874</v>
      </c>
      <c r="AS265" s="14">
        <f t="shared" si="174"/>
        <v>19533.41</v>
      </c>
      <c r="AT265" s="14">
        <f t="shared" si="180"/>
        <v>4882871.9400000172</v>
      </c>
      <c r="AU265" s="185">
        <f t="shared" si="181"/>
        <v>4590.625969991861</v>
      </c>
      <c r="AV265" s="185">
        <f t="shared" si="182"/>
        <v>854741.01396673638</v>
      </c>
    </row>
    <row r="266" spans="1:48">
      <c r="A266" s="401" t="str">
        <f t="shared" si="183"/>
        <v xml:space="preserve"> </v>
      </c>
      <c r="B266" s="185">
        <f t="shared" si="175"/>
        <v>0</v>
      </c>
      <c r="C266" s="14">
        <f t="shared" si="166"/>
        <v>0</v>
      </c>
      <c r="D266" s="14">
        <f t="shared" si="184"/>
        <v>0</v>
      </c>
      <c r="E266" s="14">
        <f t="shared" si="167"/>
        <v>0</v>
      </c>
      <c r="F266" s="14">
        <f t="shared" si="203"/>
        <v>0</v>
      </c>
      <c r="G266" s="14">
        <f t="shared" si="203"/>
        <v>0</v>
      </c>
      <c r="H266" s="14">
        <f t="shared" si="204"/>
        <v>0</v>
      </c>
      <c r="I266" s="185">
        <f t="shared" si="185"/>
        <v>0</v>
      </c>
      <c r="J266" s="185">
        <f t="shared" si="186"/>
        <v>0</v>
      </c>
      <c r="K266" s="185">
        <f t="shared" si="187"/>
        <v>0</v>
      </c>
      <c r="L266" s="317">
        <f t="shared" si="201"/>
        <v>20</v>
      </c>
      <c r="M266" s="317">
        <f t="shared" si="176"/>
        <v>250</v>
      </c>
      <c r="N266" s="185">
        <f t="shared" si="177"/>
        <v>872683.90999999992</v>
      </c>
      <c r="O266" s="185">
        <f t="shared" si="211"/>
        <v>19533.41</v>
      </c>
      <c r="P266" s="185">
        <f t="shared" si="188"/>
        <v>2261.5400000000009</v>
      </c>
      <c r="Q266" s="185">
        <f t="shared" si="212"/>
        <v>17271.87</v>
      </c>
      <c r="R266" s="185">
        <f t="shared" si="215"/>
        <v>134.16999999999999</v>
      </c>
      <c r="S266" s="185">
        <f t="shared" si="215"/>
        <v>188.55</v>
      </c>
      <c r="T266" s="185">
        <f t="shared" si="205"/>
        <v>19856.129999999997</v>
      </c>
      <c r="U266" s="185">
        <f t="shared" si="189"/>
        <v>115677.62999999995</v>
      </c>
      <c r="V266" s="185">
        <f t="shared" si="190"/>
        <v>4787208.2799999993</v>
      </c>
      <c r="W266" s="185">
        <f t="shared" si="191"/>
        <v>870422.36999999988</v>
      </c>
      <c r="X266" s="401" t="str">
        <f t="shared" si="178"/>
        <v xml:space="preserve"> </v>
      </c>
      <c r="Y266" s="185">
        <f t="shared" si="213"/>
        <v>692723.57000000065</v>
      </c>
      <c r="Z266" s="393">
        <f t="shared" si="169"/>
        <v>0.13125000000000001</v>
      </c>
      <c r="AA266" s="185">
        <f t="shared" si="170"/>
        <v>10874</v>
      </c>
      <c r="AB266" s="185">
        <f t="shared" si="171"/>
        <v>3297.34</v>
      </c>
      <c r="AC266" s="185">
        <f t="shared" si="172"/>
        <v>7576.66</v>
      </c>
      <c r="AD266" s="185">
        <f t="shared" si="206"/>
        <v>134.16999999999999</v>
      </c>
      <c r="AE266" s="185">
        <f t="shared" si="206"/>
        <v>188.55</v>
      </c>
      <c r="AF266" s="185">
        <f t="shared" si="173"/>
        <v>11196.72</v>
      </c>
      <c r="AG266" s="185">
        <f t="shared" si="192"/>
        <v>296291.86</v>
      </c>
      <c r="AH266" s="185">
        <f t="shared" si="193"/>
        <v>2318309.1399999997</v>
      </c>
      <c r="AI266" s="411">
        <f t="shared" si="207"/>
        <v>2258331.0899999938</v>
      </c>
      <c r="AJ266" s="411">
        <f t="shared" si="195"/>
        <v>180996.1399999992</v>
      </c>
      <c r="AK266" s="411">
        <f t="shared" si="208"/>
        <v>2439327.229999993</v>
      </c>
      <c r="AL266" s="185">
        <f t="shared" si="214"/>
        <v>689426.23000000068</v>
      </c>
      <c r="AM266" s="317">
        <f t="shared" si="179"/>
        <v>20</v>
      </c>
      <c r="AN266" s="14">
        <f t="shared" si="209"/>
        <v>19533.41</v>
      </c>
      <c r="AO266" s="14">
        <f t="shared" si="200"/>
        <v>870422.37000000011</v>
      </c>
      <c r="AP266" s="14">
        <f t="shared" si="210"/>
        <v>10874</v>
      </c>
      <c r="AS266" s="14">
        <f t="shared" si="174"/>
        <v>19533.41</v>
      </c>
      <c r="AT266" s="14">
        <f t="shared" si="180"/>
        <v>4902405.3500000173</v>
      </c>
      <c r="AU266" s="185">
        <f t="shared" si="181"/>
        <v>4602.1025349168403</v>
      </c>
      <c r="AV266" s="185">
        <f t="shared" si="182"/>
        <v>859343.11650165322</v>
      </c>
    </row>
    <row r="267" spans="1:48" ht="15.75" thickBot="1">
      <c r="A267" s="404" t="str">
        <f t="shared" si="183"/>
        <v xml:space="preserve"> </v>
      </c>
      <c r="B267" s="237">
        <f t="shared" si="175"/>
        <v>0</v>
      </c>
      <c r="C267" s="21">
        <f t="shared" si="166"/>
        <v>0</v>
      </c>
      <c r="D267" s="21">
        <f t="shared" si="184"/>
        <v>0</v>
      </c>
      <c r="E267" s="21">
        <f t="shared" si="167"/>
        <v>0</v>
      </c>
      <c r="F267" s="21">
        <f t="shared" ref="F267:G282" si="216">+F266</f>
        <v>0</v>
      </c>
      <c r="G267" s="21">
        <f t="shared" si="216"/>
        <v>0</v>
      </c>
      <c r="H267" s="21">
        <f t="shared" si="204"/>
        <v>0</v>
      </c>
      <c r="I267" s="237">
        <f t="shared" si="185"/>
        <v>0</v>
      </c>
      <c r="J267" s="237">
        <f t="shared" si="186"/>
        <v>0</v>
      </c>
      <c r="K267" s="237">
        <f t="shared" si="187"/>
        <v>0</v>
      </c>
      <c r="L267" s="318">
        <f t="shared" si="201"/>
        <v>20</v>
      </c>
      <c r="M267" s="318">
        <f t="shared" si="176"/>
        <v>251</v>
      </c>
      <c r="N267" s="237">
        <f t="shared" si="177"/>
        <v>870422.36999999988</v>
      </c>
      <c r="O267" s="237">
        <f t="shared" si="211"/>
        <v>19533.41</v>
      </c>
      <c r="P267" s="237">
        <f t="shared" si="188"/>
        <v>2306.2999999999993</v>
      </c>
      <c r="Q267" s="237">
        <f t="shared" si="212"/>
        <v>17227.11</v>
      </c>
      <c r="R267" s="237">
        <f t="shared" si="215"/>
        <v>134.16999999999999</v>
      </c>
      <c r="S267" s="237">
        <f t="shared" si="215"/>
        <v>188.55</v>
      </c>
      <c r="T267" s="237">
        <f t="shared" si="205"/>
        <v>19856.129999999997</v>
      </c>
      <c r="U267" s="237">
        <f t="shared" si="189"/>
        <v>117983.92999999995</v>
      </c>
      <c r="V267" s="237">
        <f t="shared" si="190"/>
        <v>4804435.3899999997</v>
      </c>
      <c r="W267" s="237">
        <f t="shared" si="191"/>
        <v>868116.06999999983</v>
      </c>
      <c r="X267" s="404" t="str">
        <f t="shared" si="178"/>
        <v xml:space="preserve"> </v>
      </c>
      <c r="Y267" s="237">
        <f t="shared" si="213"/>
        <v>689426.23000000068</v>
      </c>
      <c r="Z267" s="394">
        <f t="shared" si="169"/>
        <v>0.13125000000000001</v>
      </c>
      <c r="AA267" s="237">
        <f t="shared" si="170"/>
        <v>10874</v>
      </c>
      <c r="AB267" s="237">
        <f t="shared" si="171"/>
        <v>3333.3999999999996</v>
      </c>
      <c r="AC267" s="237">
        <f t="shared" si="172"/>
        <v>7540.6</v>
      </c>
      <c r="AD267" s="237">
        <f t="shared" si="206"/>
        <v>134.16999999999999</v>
      </c>
      <c r="AE267" s="237">
        <f t="shared" si="206"/>
        <v>188.55</v>
      </c>
      <c r="AF267" s="237">
        <f t="shared" si="173"/>
        <v>11196.72</v>
      </c>
      <c r="AG267" s="237">
        <f t="shared" si="192"/>
        <v>299625.26</v>
      </c>
      <c r="AH267" s="237">
        <f t="shared" si="193"/>
        <v>2325849.7399999998</v>
      </c>
      <c r="AI267" s="412">
        <f t="shared" si="207"/>
        <v>2266990.4999999939</v>
      </c>
      <c r="AJ267" s="412">
        <f t="shared" si="195"/>
        <v>182023.23999999918</v>
      </c>
      <c r="AK267" s="411">
        <f t="shared" si="208"/>
        <v>2449013.7399999932</v>
      </c>
      <c r="AL267" s="237">
        <f t="shared" si="214"/>
        <v>686092.83000000066</v>
      </c>
      <c r="AM267" s="318">
        <f t="shared" si="179"/>
        <v>20</v>
      </c>
      <c r="AN267" s="21">
        <f t="shared" si="209"/>
        <v>19533.41</v>
      </c>
      <c r="AO267" s="21">
        <f t="shared" si="200"/>
        <v>868116.07000000007</v>
      </c>
      <c r="AP267" s="21">
        <f t="shared" si="210"/>
        <v>10874</v>
      </c>
      <c r="AQ267" s="21"/>
      <c r="AR267" s="23"/>
      <c r="AS267" s="21">
        <f t="shared" si="174"/>
        <v>19533.41</v>
      </c>
      <c r="AT267" s="21">
        <f t="shared" si="180"/>
        <v>4921938.7600000175</v>
      </c>
      <c r="AU267" s="237">
        <f t="shared" si="181"/>
        <v>4613.6077912541323</v>
      </c>
      <c r="AV267" s="237">
        <f t="shared" si="182"/>
        <v>863956.7242929074</v>
      </c>
    </row>
    <row r="268" spans="1:48">
      <c r="A268" s="401" t="str">
        <f t="shared" si="183"/>
        <v xml:space="preserve"> </v>
      </c>
      <c r="B268" s="185">
        <f t="shared" si="175"/>
        <v>0</v>
      </c>
      <c r="C268" s="14">
        <f t="shared" si="166"/>
        <v>0</v>
      </c>
      <c r="D268" s="14">
        <f t="shared" si="184"/>
        <v>0</v>
      </c>
      <c r="E268" s="14">
        <f t="shared" si="167"/>
        <v>0</v>
      </c>
      <c r="F268" s="14">
        <f t="shared" si="216"/>
        <v>0</v>
      </c>
      <c r="G268" s="14">
        <f t="shared" si="216"/>
        <v>0</v>
      </c>
      <c r="H268" s="14">
        <f t="shared" si="204"/>
        <v>0</v>
      </c>
      <c r="I268" s="185">
        <f t="shared" si="185"/>
        <v>0</v>
      </c>
      <c r="J268" s="185">
        <f t="shared" si="186"/>
        <v>0</v>
      </c>
      <c r="K268" s="185">
        <f t="shared" si="187"/>
        <v>0</v>
      </c>
      <c r="L268" s="317">
        <f t="shared" si="201"/>
        <v>21</v>
      </c>
      <c r="M268" s="317">
        <f t="shared" si="176"/>
        <v>252</v>
      </c>
      <c r="N268" s="185">
        <f t="shared" si="177"/>
        <v>868116.06999999983</v>
      </c>
      <c r="O268" s="185">
        <f t="shared" si="211"/>
        <v>19533.41</v>
      </c>
      <c r="P268" s="185">
        <f t="shared" si="188"/>
        <v>2351.9500000000007</v>
      </c>
      <c r="Q268" s="185">
        <f t="shared" si="212"/>
        <v>17181.46</v>
      </c>
      <c r="R268" s="185">
        <f t="shared" si="215"/>
        <v>134.16999999999999</v>
      </c>
      <c r="S268" s="185">
        <f t="shared" si="215"/>
        <v>188.55</v>
      </c>
      <c r="T268" s="185">
        <f t="shared" si="205"/>
        <v>19856.129999999997</v>
      </c>
      <c r="U268" s="185">
        <f t="shared" si="189"/>
        <v>120335.87999999995</v>
      </c>
      <c r="V268" s="185">
        <f t="shared" si="190"/>
        <v>4821616.8499999996</v>
      </c>
      <c r="W268" s="185">
        <f t="shared" si="191"/>
        <v>865764.11999999988</v>
      </c>
      <c r="X268" s="401" t="str">
        <f t="shared" si="178"/>
        <v xml:space="preserve"> </v>
      </c>
      <c r="Y268" s="185">
        <f t="shared" si="213"/>
        <v>686092.83000000066</v>
      </c>
      <c r="Z268" s="393">
        <f t="shared" si="169"/>
        <v>0.13125000000000001</v>
      </c>
      <c r="AA268" s="185">
        <f t="shared" si="170"/>
        <v>10874</v>
      </c>
      <c r="AB268" s="185">
        <f t="shared" si="171"/>
        <v>3369.8599999999997</v>
      </c>
      <c r="AC268" s="185">
        <f t="shared" si="172"/>
        <v>7504.14</v>
      </c>
      <c r="AD268" s="185">
        <f t="shared" si="206"/>
        <v>134.16999999999999</v>
      </c>
      <c r="AE268" s="185">
        <f t="shared" si="206"/>
        <v>188.55</v>
      </c>
      <c r="AF268" s="185">
        <f t="shared" si="173"/>
        <v>11196.72</v>
      </c>
      <c r="AG268" s="185">
        <f t="shared" si="192"/>
        <v>302995.12</v>
      </c>
      <c r="AH268" s="185">
        <f t="shared" si="193"/>
        <v>2333353.88</v>
      </c>
      <c r="AI268" s="411">
        <f t="shared" si="207"/>
        <v>2275649.9099999941</v>
      </c>
      <c r="AJ268" s="411">
        <f t="shared" si="195"/>
        <v>183041.14999999921</v>
      </c>
      <c r="AK268" s="411">
        <f t="shared" si="208"/>
        <v>2458691.0599999931</v>
      </c>
      <c r="AL268" s="185">
        <f t="shared" si="214"/>
        <v>682722.97000000067</v>
      </c>
      <c r="AM268" s="317">
        <f t="shared" si="179"/>
        <v>21</v>
      </c>
      <c r="AN268" s="14">
        <f t="shared" si="209"/>
        <v>19533.41</v>
      </c>
      <c r="AO268" s="14">
        <f t="shared" si="200"/>
        <v>865764.12000000011</v>
      </c>
      <c r="AP268" s="14">
        <f t="shared" si="210"/>
        <v>10874</v>
      </c>
      <c r="AS268" s="14">
        <f t="shared" si="174"/>
        <v>19533.41</v>
      </c>
      <c r="AT268" s="14">
        <f t="shared" si="180"/>
        <v>4941472.1700000176</v>
      </c>
      <c r="AU268" s="185">
        <f t="shared" si="181"/>
        <v>4625.1418107322688</v>
      </c>
      <c r="AV268" s="185">
        <f t="shared" si="182"/>
        <v>868581.86610363971</v>
      </c>
    </row>
    <row r="269" spans="1:48">
      <c r="A269" s="401" t="str">
        <f t="shared" si="183"/>
        <v xml:space="preserve"> </v>
      </c>
      <c r="B269" s="185">
        <f t="shared" si="175"/>
        <v>0</v>
      </c>
      <c r="C269" s="14">
        <f t="shared" si="166"/>
        <v>0</v>
      </c>
      <c r="D269" s="14">
        <f t="shared" si="184"/>
        <v>0</v>
      </c>
      <c r="E269" s="14">
        <f t="shared" si="167"/>
        <v>0</v>
      </c>
      <c r="F269" s="14">
        <f t="shared" si="216"/>
        <v>0</v>
      </c>
      <c r="G269" s="14">
        <f t="shared" si="216"/>
        <v>0</v>
      </c>
      <c r="H269" s="14">
        <f t="shared" si="204"/>
        <v>0</v>
      </c>
      <c r="I269" s="185">
        <f t="shared" si="185"/>
        <v>0</v>
      </c>
      <c r="J269" s="185">
        <f t="shared" si="186"/>
        <v>0</v>
      </c>
      <c r="K269" s="185">
        <f t="shared" si="187"/>
        <v>0</v>
      </c>
      <c r="L269" s="317">
        <f t="shared" si="201"/>
        <v>21</v>
      </c>
      <c r="M269" s="317">
        <f t="shared" si="176"/>
        <v>253</v>
      </c>
      <c r="N269" s="185">
        <f t="shared" si="177"/>
        <v>865764.11999999988</v>
      </c>
      <c r="O269" s="185">
        <f t="shared" si="211"/>
        <v>19533.41</v>
      </c>
      <c r="P269" s="185">
        <f t="shared" si="188"/>
        <v>2398.5</v>
      </c>
      <c r="Q269" s="185">
        <f t="shared" si="212"/>
        <v>17134.91</v>
      </c>
      <c r="R269" s="185">
        <f t="shared" si="215"/>
        <v>134.16999999999999</v>
      </c>
      <c r="S269" s="185">
        <f t="shared" si="215"/>
        <v>188.55</v>
      </c>
      <c r="T269" s="185">
        <f t="shared" si="205"/>
        <v>19856.129999999997</v>
      </c>
      <c r="U269" s="185">
        <f t="shared" si="189"/>
        <v>122734.37999999995</v>
      </c>
      <c r="V269" s="185">
        <f t="shared" si="190"/>
        <v>4838751.76</v>
      </c>
      <c r="W269" s="185">
        <f t="shared" si="191"/>
        <v>863365.61999999988</v>
      </c>
      <c r="X269" s="401" t="str">
        <f t="shared" si="178"/>
        <v xml:space="preserve"> </v>
      </c>
      <c r="Y269" s="185">
        <f t="shared" si="213"/>
        <v>682722.97000000067</v>
      </c>
      <c r="Z269" s="393">
        <f t="shared" si="169"/>
        <v>0.13125000000000001</v>
      </c>
      <c r="AA269" s="185">
        <f t="shared" si="170"/>
        <v>10874</v>
      </c>
      <c r="AB269" s="185">
        <f t="shared" si="171"/>
        <v>3406.7200000000003</v>
      </c>
      <c r="AC269" s="185">
        <f t="shared" si="172"/>
        <v>7467.28</v>
      </c>
      <c r="AD269" s="185">
        <f t="shared" ref="AD269:AE284" si="217">+AD268</f>
        <v>134.16999999999999</v>
      </c>
      <c r="AE269" s="185">
        <f t="shared" si="217"/>
        <v>188.55</v>
      </c>
      <c r="AF269" s="185">
        <f t="shared" si="173"/>
        <v>11196.72</v>
      </c>
      <c r="AG269" s="185">
        <f t="shared" si="192"/>
        <v>306401.83999999997</v>
      </c>
      <c r="AH269" s="185">
        <f t="shared" si="193"/>
        <v>2340821.1599999997</v>
      </c>
      <c r="AI269" s="411">
        <f t="shared" si="207"/>
        <v>2284309.3199999942</v>
      </c>
      <c r="AJ269" s="411">
        <f t="shared" si="195"/>
        <v>184049.36999999918</v>
      </c>
      <c r="AK269" s="411">
        <f t="shared" si="208"/>
        <v>2468358.6899999934</v>
      </c>
      <c r="AL269" s="185">
        <f t="shared" si="214"/>
        <v>679316.2500000007</v>
      </c>
      <c r="AM269" s="317">
        <f t="shared" si="179"/>
        <v>21</v>
      </c>
      <c r="AN269" s="14">
        <f t="shared" si="209"/>
        <v>19533.41</v>
      </c>
      <c r="AO269" s="14">
        <f t="shared" si="200"/>
        <v>863365.62000000011</v>
      </c>
      <c r="AP269" s="14">
        <f t="shared" si="210"/>
        <v>10874</v>
      </c>
      <c r="AS269" s="14">
        <f t="shared" si="174"/>
        <v>19533.41</v>
      </c>
      <c r="AT269" s="14">
        <f t="shared" si="180"/>
        <v>4961005.5800000178</v>
      </c>
      <c r="AU269" s="185">
        <f t="shared" si="181"/>
        <v>4636.7046652590989</v>
      </c>
      <c r="AV269" s="185">
        <f t="shared" si="182"/>
        <v>873218.57076889882</v>
      </c>
    </row>
    <row r="270" spans="1:48">
      <c r="A270" s="401" t="str">
        <f t="shared" si="183"/>
        <v xml:space="preserve"> </v>
      </c>
      <c r="B270" s="185">
        <f t="shared" si="175"/>
        <v>0</v>
      </c>
      <c r="C270" s="14">
        <f t="shared" si="166"/>
        <v>0</v>
      </c>
      <c r="D270" s="14">
        <f t="shared" si="184"/>
        <v>0</v>
      </c>
      <c r="E270" s="14">
        <f t="shared" si="167"/>
        <v>0</v>
      </c>
      <c r="F270" s="14">
        <f t="shared" si="216"/>
        <v>0</v>
      </c>
      <c r="G270" s="14">
        <f t="shared" si="216"/>
        <v>0</v>
      </c>
      <c r="H270" s="14">
        <f t="shared" si="204"/>
        <v>0</v>
      </c>
      <c r="I270" s="185">
        <f t="shared" si="185"/>
        <v>0</v>
      </c>
      <c r="J270" s="185">
        <f t="shared" si="186"/>
        <v>0</v>
      </c>
      <c r="K270" s="185">
        <f t="shared" si="187"/>
        <v>0</v>
      </c>
      <c r="L270" s="317">
        <f t="shared" si="201"/>
        <v>21</v>
      </c>
      <c r="M270" s="317">
        <f t="shared" si="176"/>
        <v>254</v>
      </c>
      <c r="N270" s="185">
        <f t="shared" si="177"/>
        <v>863365.61999999988</v>
      </c>
      <c r="O270" s="185">
        <f t="shared" si="211"/>
        <v>19533.41</v>
      </c>
      <c r="P270" s="185">
        <f t="shared" si="188"/>
        <v>2445.9700000000012</v>
      </c>
      <c r="Q270" s="185">
        <f t="shared" si="212"/>
        <v>17087.439999999999</v>
      </c>
      <c r="R270" s="185">
        <f t="shared" si="215"/>
        <v>134.16999999999999</v>
      </c>
      <c r="S270" s="185">
        <f t="shared" si="215"/>
        <v>188.55</v>
      </c>
      <c r="T270" s="185">
        <f t="shared" si="205"/>
        <v>19856.129999999997</v>
      </c>
      <c r="U270" s="185">
        <f t="shared" si="189"/>
        <v>125180.34999999995</v>
      </c>
      <c r="V270" s="185">
        <f t="shared" si="190"/>
        <v>4855839.2</v>
      </c>
      <c r="W270" s="185">
        <f t="shared" si="191"/>
        <v>860919.64999999991</v>
      </c>
      <c r="X270" s="401" t="str">
        <f t="shared" si="178"/>
        <v xml:space="preserve"> </v>
      </c>
      <c r="Y270" s="185">
        <f t="shared" si="213"/>
        <v>679316.2500000007</v>
      </c>
      <c r="Z270" s="393">
        <f t="shared" si="169"/>
        <v>0.13125000000000001</v>
      </c>
      <c r="AA270" s="185">
        <f t="shared" si="170"/>
        <v>10874</v>
      </c>
      <c r="AB270" s="185">
        <f t="shared" si="171"/>
        <v>3443.9799999999996</v>
      </c>
      <c r="AC270" s="185">
        <f t="shared" si="172"/>
        <v>7430.02</v>
      </c>
      <c r="AD270" s="185">
        <f t="shared" si="217"/>
        <v>134.16999999999999</v>
      </c>
      <c r="AE270" s="185">
        <f t="shared" si="217"/>
        <v>188.55</v>
      </c>
      <c r="AF270" s="185">
        <f t="shared" si="173"/>
        <v>11196.72</v>
      </c>
      <c r="AG270" s="185">
        <f t="shared" si="192"/>
        <v>309845.81999999995</v>
      </c>
      <c r="AH270" s="185">
        <f t="shared" si="193"/>
        <v>2348251.1799999997</v>
      </c>
      <c r="AI270" s="411">
        <f t="shared" si="207"/>
        <v>2292968.7299999944</v>
      </c>
      <c r="AJ270" s="411">
        <f t="shared" si="195"/>
        <v>185047.37999999919</v>
      </c>
      <c r="AK270" s="411">
        <f t="shared" si="208"/>
        <v>2478016.1099999938</v>
      </c>
      <c r="AL270" s="185">
        <f t="shared" si="214"/>
        <v>675872.27000000072</v>
      </c>
      <c r="AM270" s="317">
        <f t="shared" si="179"/>
        <v>21</v>
      </c>
      <c r="AN270" s="14">
        <f t="shared" si="209"/>
        <v>19533.41</v>
      </c>
      <c r="AO270" s="14">
        <f t="shared" si="200"/>
        <v>860919.65</v>
      </c>
      <c r="AP270" s="14">
        <f t="shared" si="210"/>
        <v>10874</v>
      </c>
      <c r="AS270" s="14">
        <f t="shared" si="174"/>
        <v>19533.41</v>
      </c>
      <c r="AT270" s="14">
        <f t="shared" si="180"/>
        <v>4980538.9900000179</v>
      </c>
      <c r="AU270" s="185">
        <f t="shared" si="181"/>
        <v>4648.2964269222466</v>
      </c>
      <c r="AV270" s="185">
        <f t="shared" si="182"/>
        <v>877866.86719582102</v>
      </c>
    </row>
    <row r="271" spans="1:48">
      <c r="A271" s="401" t="str">
        <f t="shared" si="183"/>
        <v xml:space="preserve"> </v>
      </c>
      <c r="B271" s="185">
        <f t="shared" si="175"/>
        <v>0</v>
      </c>
      <c r="C271" s="14">
        <f t="shared" si="166"/>
        <v>0</v>
      </c>
      <c r="D271" s="14">
        <f t="shared" si="184"/>
        <v>0</v>
      </c>
      <c r="E271" s="14">
        <f t="shared" si="167"/>
        <v>0</v>
      </c>
      <c r="F271" s="14">
        <f t="shared" si="216"/>
        <v>0</v>
      </c>
      <c r="G271" s="14">
        <f t="shared" si="216"/>
        <v>0</v>
      </c>
      <c r="H271" s="14">
        <f t="shared" si="204"/>
        <v>0</v>
      </c>
      <c r="I271" s="185">
        <f t="shared" si="185"/>
        <v>0</v>
      </c>
      <c r="J271" s="185">
        <f t="shared" si="186"/>
        <v>0</v>
      </c>
      <c r="K271" s="185">
        <f t="shared" si="187"/>
        <v>0</v>
      </c>
      <c r="L271" s="317">
        <f t="shared" si="201"/>
        <v>21</v>
      </c>
      <c r="M271" s="317">
        <f t="shared" si="176"/>
        <v>255</v>
      </c>
      <c r="N271" s="185">
        <f t="shared" si="177"/>
        <v>860919.64999999991</v>
      </c>
      <c r="O271" s="185">
        <f t="shared" si="211"/>
        <v>19533.41</v>
      </c>
      <c r="P271" s="185">
        <f t="shared" si="188"/>
        <v>2494.380000000001</v>
      </c>
      <c r="Q271" s="185">
        <f t="shared" si="212"/>
        <v>17039.03</v>
      </c>
      <c r="R271" s="185">
        <f t="shared" si="215"/>
        <v>134.16999999999999</v>
      </c>
      <c r="S271" s="185">
        <f t="shared" si="215"/>
        <v>188.55</v>
      </c>
      <c r="T271" s="185">
        <f t="shared" si="205"/>
        <v>19856.129999999997</v>
      </c>
      <c r="U271" s="185">
        <f t="shared" si="189"/>
        <v>127674.72999999995</v>
      </c>
      <c r="V271" s="185">
        <f t="shared" si="190"/>
        <v>4872878.2300000004</v>
      </c>
      <c r="W271" s="185">
        <f t="shared" si="191"/>
        <v>858425.2699999999</v>
      </c>
      <c r="X271" s="401" t="str">
        <f t="shared" si="178"/>
        <v xml:space="preserve"> </v>
      </c>
      <c r="Y271" s="185">
        <f t="shared" si="213"/>
        <v>675872.27000000072</v>
      </c>
      <c r="Z271" s="393">
        <f t="shared" si="169"/>
        <v>0.13125000000000001</v>
      </c>
      <c r="AA271" s="185">
        <f t="shared" si="170"/>
        <v>10874</v>
      </c>
      <c r="AB271" s="185">
        <f t="shared" si="171"/>
        <v>3481.6499999999996</v>
      </c>
      <c r="AC271" s="185">
        <f t="shared" si="172"/>
        <v>7392.35</v>
      </c>
      <c r="AD271" s="185">
        <f t="shared" si="217"/>
        <v>134.16999999999999</v>
      </c>
      <c r="AE271" s="185">
        <f t="shared" si="217"/>
        <v>188.55</v>
      </c>
      <c r="AF271" s="185">
        <f t="shared" si="173"/>
        <v>11196.72</v>
      </c>
      <c r="AG271" s="185">
        <f t="shared" si="192"/>
        <v>313327.46999999997</v>
      </c>
      <c r="AH271" s="185">
        <f t="shared" si="193"/>
        <v>2355643.5299999998</v>
      </c>
      <c r="AI271" s="411">
        <f t="shared" si="207"/>
        <v>2301628.1399999945</v>
      </c>
      <c r="AJ271" s="411">
        <f t="shared" si="195"/>
        <v>186034.64999999921</v>
      </c>
      <c r="AK271" s="411">
        <f t="shared" si="208"/>
        <v>2487662.7899999935</v>
      </c>
      <c r="AL271" s="185">
        <f t="shared" si="214"/>
        <v>672390.62000000069</v>
      </c>
      <c r="AM271" s="317">
        <f t="shared" si="179"/>
        <v>21</v>
      </c>
      <c r="AN271" s="14">
        <f t="shared" si="209"/>
        <v>19533.41</v>
      </c>
      <c r="AO271" s="14">
        <f t="shared" si="200"/>
        <v>858425.27</v>
      </c>
      <c r="AP271" s="14">
        <f t="shared" si="210"/>
        <v>10874</v>
      </c>
      <c r="AS271" s="14">
        <f t="shared" si="174"/>
        <v>19533.41</v>
      </c>
      <c r="AT271" s="14">
        <f t="shared" si="180"/>
        <v>5000072.4000000181</v>
      </c>
      <c r="AU271" s="185">
        <f t="shared" si="181"/>
        <v>4659.9171679895526</v>
      </c>
      <c r="AV271" s="185">
        <f t="shared" si="182"/>
        <v>882526.78436381056</v>
      </c>
    </row>
    <row r="272" spans="1:48">
      <c r="A272" s="401" t="str">
        <f t="shared" si="183"/>
        <v xml:space="preserve"> </v>
      </c>
      <c r="B272" s="185">
        <f t="shared" si="175"/>
        <v>0</v>
      </c>
      <c r="C272" s="14">
        <f t="shared" ref="C272:C335" si="218">IF(+$K271&lt;=0,0,$C$6)</f>
        <v>0</v>
      </c>
      <c r="D272" s="14">
        <f t="shared" si="184"/>
        <v>0</v>
      </c>
      <c r="E272" s="14">
        <f t="shared" ref="E272:E335" si="219">ROUND($B272*($C$4/12), 2)</f>
        <v>0</v>
      </c>
      <c r="F272" s="14">
        <f t="shared" si="216"/>
        <v>0</v>
      </c>
      <c r="G272" s="14">
        <f t="shared" si="216"/>
        <v>0</v>
      </c>
      <c r="H272" s="14">
        <f t="shared" si="204"/>
        <v>0</v>
      </c>
      <c r="I272" s="185">
        <f t="shared" si="185"/>
        <v>0</v>
      </c>
      <c r="J272" s="185">
        <f t="shared" si="186"/>
        <v>0</v>
      </c>
      <c r="K272" s="185">
        <f t="shared" si="187"/>
        <v>0</v>
      </c>
      <c r="L272" s="317">
        <f t="shared" si="201"/>
        <v>21</v>
      </c>
      <c r="M272" s="317">
        <f t="shared" si="176"/>
        <v>256</v>
      </c>
      <c r="N272" s="185">
        <f t="shared" si="177"/>
        <v>858425.2699999999</v>
      </c>
      <c r="O272" s="185">
        <f t="shared" si="211"/>
        <v>19533.41</v>
      </c>
      <c r="P272" s="185">
        <f t="shared" si="188"/>
        <v>2543.7400000000016</v>
      </c>
      <c r="Q272" s="185">
        <f t="shared" si="212"/>
        <v>16989.669999999998</v>
      </c>
      <c r="R272" s="185">
        <f t="shared" ref="R272:S287" si="220">+R271</f>
        <v>134.16999999999999</v>
      </c>
      <c r="S272" s="185">
        <f t="shared" si="220"/>
        <v>188.55</v>
      </c>
      <c r="T272" s="185">
        <f t="shared" si="205"/>
        <v>19856.129999999997</v>
      </c>
      <c r="U272" s="185">
        <f t="shared" si="189"/>
        <v>130218.46999999996</v>
      </c>
      <c r="V272" s="185">
        <f t="shared" si="190"/>
        <v>4889867.9000000004</v>
      </c>
      <c r="W272" s="185">
        <f t="shared" si="191"/>
        <v>855881.52999999991</v>
      </c>
      <c r="X272" s="401" t="str">
        <f t="shared" si="178"/>
        <v xml:space="preserve"> </v>
      </c>
      <c r="Y272" s="185">
        <f t="shared" si="213"/>
        <v>672390.62000000069</v>
      </c>
      <c r="Z272" s="393">
        <f t="shared" ref="Z272:Z335" si="221">IF(L272&gt;4,$AA$10,$AA$9)</f>
        <v>0.13125000000000001</v>
      </c>
      <c r="AA272" s="185">
        <f t="shared" ref="AA272:AA335" si="222">IF($O$11&lt;=$A272,IF(+AL271&lt;=0,0,IF(Z272=$AA$9,$Z$9,$Z$10)),0)</f>
        <v>10874</v>
      </c>
      <c r="AB272" s="185">
        <f t="shared" ref="AB272:AB335" si="223">+AA272-AC272</f>
        <v>3519.7299999999996</v>
      </c>
      <c r="AC272" s="185">
        <f t="shared" ref="AC272:AC335" si="224">IF($O$11&lt;=$A272,ROUND(Y272*(Z272/12),2),0)</f>
        <v>7354.27</v>
      </c>
      <c r="AD272" s="185">
        <f t="shared" si="217"/>
        <v>134.16999999999999</v>
      </c>
      <c r="AE272" s="185">
        <f t="shared" si="217"/>
        <v>188.55</v>
      </c>
      <c r="AF272" s="185">
        <f t="shared" ref="AF272:AF335" si="225">SUM(AB272:AE272)</f>
        <v>11196.72</v>
      </c>
      <c r="AG272" s="185">
        <f t="shared" si="192"/>
        <v>316847.19999999995</v>
      </c>
      <c r="AH272" s="185">
        <f t="shared" si="193"/>
        <v>2362997.7999999998</v>
      </c>
      <c r="AI272" s="411">
        <f t="shared" si="207"/>
        <v>2310287.5499999947</v>
      </c>
      <c r="AJ272" s="411">
        <f t="shared" si="195"/>
        <v>187010.6399999992</v>
      </c>
      <c r="AK272" s="411">
        <f t="shared" si="208"/>
        <v>2497298.1899999939</v>
      </c>
      <c r="AL272" s="185">
        <f t="shared" si="214"/>
        <v>668870.89000000071</v>
      </c>
      <c r="AM272" s="317">
        <f t="shared" si="179"/>
        <v>21</v>
      </c>
      <c r="AN272" s="14">
        <f t="shared" si="209"/>
        <v>19533.41</v>
      </c>
      <c r="AO272" s="14">
        <f t="shared" si="200"/>
        <v>855881.53</v>
      </c>
      <c r="AP272" s="14">
        <f t="shared" si="210"/>
        <v>10874</v>
      </c>
      <c r="AS272" s="14">
        <f t="shared" ref="AS272:AS335" si="226">+AN272-AR272</f>
        <v>19533.41</v>
      </c>
      <c r="AT272" s="14">
        <f t="shared" si="180"/>
        <v>5019605.8100000182</v>
      </c>
      <c r="AU272" s="185">
        <f t="shared" si="181"/>
        <v>4671.5669609095257</v>
      </c>
      <c r="AV272" s="185">
        <f t="shared" si="182"/>
        <v>887198.35132472008</v>
      </c>
    </row>
    <row r="273" spans="1:48">
      <c r="A273" s="401" t="str">
        <f t="shared" si="183"/>
        <v xml:space="preserve"> </v>
      </c>
      <c r="B273" s="185">
        <f t="shared" ref="B273:B336" si="227">IF(+K272&lt;0,0,+K272)</f>
        <v>0</v>
      </c>
      <c r="C273" s="14">
        <f t="shared" si="218"/>
        <v>0</v>
      </c>
      <c r="D273" s="14">
        <f t="shared" si="184"/>
        <v>0</v>
      </c>
      <c r="E273" s="14">
        <f t="shared" si="219"/>
        <v>0</v>
      </c>
      <c r="F273" s="14">
        <f t="shared" si="216"/>
        <v>0</v>
      </c>
      <c r="G273" s="14">
        <f t="shared" si="216"/>
        <v>0</v>
      </c>
      <c r="H273" s="14">
        <f t="shared" si="204"/>
        <v>0</v>
      </c>
      <c r="I273" s="185">
        <f t="shared" si="185"/>
        <v>0</v>
      </c>
      <c r="J273" s="185">
        <f t="shared" si="186"/>
        <v>0</v>
      </c>
      <c r="K273" s="185">
        <f t="shared" si="187"/>
        <v>0</v>
      </c>
      <c r="L273" s="317">
        <f t="shared" si="201"/>
        <v>21</v>
      </c>
      <c r="M273" s="317">
        <f t="shared" ref="M273:M336" si="228">IF(N273&lt;&gt;"",IF(N273=$O$5,0,+M272+1),0)</f>
        <v>257</v>
      </c>
      <c r="N273" s="185">
        <f t="shared" ref="N273:N336" si="229">IF(+W272&lt;0,0,+W272)</f>
        <v>855881.52999999991</v>
      </c>
      <c r="O273" s="185">
        <f t="shared" si="211"/>
        <v>19533.41</v>
      </c>
      <c r="P273" s="185">
        <f t="shared" si="188"/>
        <v>2594.09</v>
      </c>
      <c r="Q273" s="185">
        <f t="shared" si="212"/>
        <v>16939.32</v>
      </c>
      <c r="R273" s="185">
        <f t="shared" si="220"/>
        <v>134.16999999999999</v>
      </c>
      <c r="S273" s="185">
        <f t="shared" si="220"/>
        <v>188.55</v>
      </c>
      <c r="T273" s="185">
        <f t="shared" si="205"/>
        <v>19856.129999999997</v>
      </c>
      <c r="U273" s="185">
        <f t="shared" si="189"/>
        <v>132812.55999999997</v>
      </c>
      <c r="V273" s="185">
        <f t="shared" si="190"/>
        <v>4906807.2200000007</v>
      </c>
      <c r="W273" s="185">
        <f t="shared" si="191"/>
        <v>853287.44</v>
      </c>
      <c r="X273" s="401" t="str">
        <f t="shared" ref="X273:X336" si="230">+A273</f>
        <v xml:space="preserve"> </v>
      </c>
      <c r="Y273" s="185">
        <f t="shared" si="213"/>
        <v>668870.89000000071</v>
      </c>
      <c r="Z273" s="393">
        <f t="shared" si="221"/>
        <v>0.13125000000000001</v>
      </c>
      <c r="AA273" s="185">
        <f t="shared" si="222"/>
        <v>10874</v>
      </c>
      <c r="AB273" s="185">
        <f t="shared" si="223"/>
        <v>3558.2200000000003</v>
      </c>
      <c r="AC273" s="185">
        <f t="shared" si="224"/>
        <v>7315.78</v>
      </c>
      <c r="AD273" s="185">
        <f t="shared" si="217"/>
        <v>134.16999999999999</v>
      </c>
      <c r="AE273" s="185">
        <f t="shared" si="217"/>
        <v>188.55</v>
      </c>
      <c r="AF273" s="185">
        <f t="shared" si="225"/>
        <v>11196.72</v>
      </c>
      <c r="AG273" s="185">
        <f t="shared" si="192"/>
        <v>320405.41999999993</v>
      </c>
      <c r="AH273" s="185">
        <f t="shared" si="193"/>
        <v>2370313.5799999996</v>
      </c>
      <c r="AI273" s="411">
        <f t="shared" si="207"/>
        <v>2318946.9599999948</v>
      </c>
      <c r="AJ273" s="411">
        <f t="shared" si="195"/>
        <v>187974.7699999992</v>
      </c>
      <c r="AK273" s="411">
        <f t="shared" si="208"/>
        <v>2506921.7299999939</v>
      </c>
      <c r="AL273" s="185">
        <f t="shared" si="214"/>
        <v>665312.67000000074</v>
      </c>
      <c r="AM273" s="317">
        <f t="shared" ref="AM273:AM336" si="231">+L273</f>
        <v>21</v>
      </c>
      <c r="AN273" s="14">
        <f t="shared" si="209"/>
        <v>19533.41</v>
      </c>
      <c r="AO273" s="14">
        <f t="shared" si="200"/>
        <v>853287.44000000006</v>
      </c>
      <c r="AP273" s="14">
        <f t="shared" si="210"/>
        <v>10874</v>
      </c>
      <c r="AS273" s="14">
        <f t="shared" si="226"/>
        <v>19533.41</v>
      </c>
      <c r="AT273" s="14">
        <f t="shared" ref="AT273:AT336" si="232">IF(W273&lt;=0,0,+AS273+AT272)</f>
        <v>5039139.2200000184</v>
      </c>
      <c r="AU273" s="185">
        <f t="shared" ref="AU273:AU336" si="233">IF(W273&lt;=0,0,+($O$5+AV272)*$AQ$2/12)</f>
        <v>4683.2458783118</v>
      </c>
      <c r="AV273" s="185">
        <f t="shared" ref="AV273:AV336" si="234">IF(W273&lt;=0,0,+AV272+AU273)</f>
        <v>891881.59720303188</v>
      </c>
    </row>
    <row r="274" spans="1:48">
      <c r="A274" s="401" t="str">
        <f t="shared" ref="A274:A337" si="235">IF(K274&lt;=0," ",+A273+30)</f>
        <v xml:space="preserve"> </v>
      </c>
      <c r="B274" s="185">
        <f t="shared" si="227"/>
        <v>0</v>
      </c>
      <c r="C274" s="14">
        <f t="shared" si="218"/>
        <v>0</v>
      </c>
      <c r="D274" s="14">
        <f t="shared" ref="D274:D337" si="236">+C274-E274</f>
        <v>0</v>
      </c>
      <c r="E274" s="14">
        <f t="shared" si="219"/>
        <v>0</v>
      </c>
      <c r="F274" s="14">
        <f t="shared" si="216"/>
        <v>0</v>
      </c>
      <c r="G274" s="14">
        <f t="shared" si="216"/>
        <v>0</v>
      </c>
      <c r="H274" s="14">
        <f t="shared" si="204"/>
        <v>0</v>
      </c>
      <c r="I274" s="185">
        <f t="shared" ref="I274:I337" si="237">$D274+$I273</f>
        <v>0</v>
      </c>
      <c r="J274" s="185">
        <f t="shared" ref="J274:J337" si="238">$E274+$J273</f>
        <v>0</v>
      </c>
      <c r="K274" s="185">
        <f t="shared" ref="K274:K337" si="239">+B274-D274</f>
        <v>0</v>
      </c>
      <c r="L274" s="317">
        <f t="shared" si="201"/>
        <v>21</v>
      </c>
      <c r="M274" s="317">
        <f t="shared" si="228"/>
        <v>258</v>
      </c>
      <c r="N274" s="185">
        <f t="shared" si="229"/>
        <v>853287.44</v>
      </c>
      <c r="O274" s="185">
        <f t="shared" si="211"/>
        <v>19533.41</v>
      </c>
      <c r="P274" s="185">
        <f t="shared" ref="P274:P337" si="240">+O274-Q274</f>
        <v>2645.4300000000003</v>
      </c>
      <c r="Q274" s="185">
        <f t="shared" si="212"/>
        <v>16887.98</v>
      </c>
      <c r="R274" s="185">
        <f t="shared" si="220"/>
        <v>134.16999999999999</v>
      </c>
      <c r="S274" s="185">
        <f t="shared" si="220"/>
        <v>188.55</v>
      </c>
      <c r="T274" s="185">
        <f t="shared" si="205"/>
        <v>19856.129999999997</v>
      </c>
      <c r="U274" s="185">
        <f t="shared" ref="U274:U337" si="241">+P274+U273</f>
        <v>135457.98999999996</v>
      </c>
      <c r="V274" s="185">
        <f t="shared" ref="V274:V337" si="242">+V273+Q274</f>
        <v>4923695.2000000011</v>
      </c>
      <c r="W274" s="185">
        <f t="shared" ref="W274:W337" si="243">+N274-P274</f>
        <v>850642.00999999989</v>
      </c>
      <c r="X274" s="401" t="str">
        <f t="shared" si="230"/>
        <v xml:space="preserve"> </v>
      </c>
      <c r="Y274" s="185">
        <f t="shared" si="213"/>
        <v>665312.67000000074</v>
      </c>
      <c r="Z274" s="393">
        <f t="shared" si="221"/>
        <v>0.13125000000000001</v>
      </c>
      <c r="AA274" s="185">
        <f t="shared" si="222"/>
        <v>10874</v>
      </c>
      <c r="AB274" s="185">
        <f t="shared" si="223"/>
        <v>3597.1400000000003</v>
      </c>
      <c r="AC274" s="185">
        <f t="shared" si="224"/>
        <v>7276.86</v>
      </c>
      <c r="AD274" s="185">
        <f t="shared" si="217"/>
        <v>134.16999999999999</v>
      </c>
      <c r="AE274" s="185">
        <f t="shared" si="217"/>
        <v>188.55</v>
      </c>
      <c r="AF274" s="185">
        <f t="shared" si="225"/>
        <v>11196.72</v>
      </c>
      <c r="AG274" s="185">
        <f t="shared" ref="AG274:AG337" si="244">+AB274+AG273</f>
        <v>324002.55999999994</v>
      </c>
      <c r="AH274" s="185">
        <f t="shared" ref="AH274:AH337" si="245">+AH273+AC274</f>
        <v>2377590.4399999995</v>
      </c>
      <c r="AI274" s="411">
        <f t="shared" si="207"/>
        <v>2327606.369999995</v>
      </c>
      <c r="AJ274" s="411">
        <f t="shared" si="195"/>
        <v>188926.47999999917</v>
      </c>
      <c r="AK274" s="411">
        <f t="shared" si="208"/>
        <v>2516532.849999994</v>
      </c>
      <c r="AL274" s="185">
        <f t="shared" si="214"/>
        <v>661715.53000000073</v>
      </c>
      <c r="AM274" s="317">
        <f t="shared" si="231"/>
        <v>21</v>
      </c>
      <c r="AN274" s="14">
        <f t="shared" si="209"/>
        <v>19533.41</v>
      </c>
      <c r="AO274" s="14">
        <f t="shared" si="200"/>
        <v>850642.01</v>
      </c>
      <c r="AP274" s="14">
        <f t="shared" si="210"/>
        <v>10874</v>
      </c>
      <c r="AS274" s="14">
        <f t="shared" si="226"/>
        <v>19533.41</v>
      </c>
      <c r="AT274" s="14">
        <f t="shared" si="232"/>
        <v>5058672.6300000185</v>
      </c>
      <c r="AU274" s="185">
        <f t="shared" si="233"/>
        <v>4694.9539930075798</v>
      </c>
      <c r="AV274" s="185">
        <f t="shared" si="234"/>
        <v>896576.55119603942</v>
      </c>
    </row>
    <row r="275" spans="1:48">
      <c r="A275" s="401" t="str">
        <f t="shared" si="235"/>
        <v xml:space="preserve"> </v>
      </c>
      <c r="B275" s="185">
        <f t="shared" si="227"/>
        <v>0</v>
      </c>
      <c r="C275" s="14">
        <f t="shared" si="218"/>
        <v>0</v>
      </c>
      <c r="D275" s="14">
        <f t="shared" si="236"/>
        <v>0</v>
      </c>
      <c r="E275" s="14">
        <f t="shared" si="219"/>
        <v>0</v>
      </c>
      <c r="F275" s="14">
        <f t="shared" si="216"/>
        <v>0</v>
      </c>
      <c r="G275" s="14">
        <f t="shared" si="216"/>
        <v>0</v>
      </c>
      <c r="H275" s="14">
        <f t="shared" si="204"/>
        <v>0</v>
      </c>
      <c r="I275" s="185">
        <f t="shared" si="237"/>
        <v>0</v>
      </c>
      <c r="J275" s="185">
        <f t="shared" si="238"/>
        <v>0</v>
      </c>
      <c r="K275" s="185">
        <f t="shared" si="239"/>
        <v>0</v>
      </c>
      <c r="L275" s="317">
        <f t="shared" si="201"/>
        <v>21</v>
      </c>
      <c r="M275" s="317">
        <f t="shared" si="228"/>
        <v>259</v>
      </c>
      <c r="N275" s="185">
        <f t="shared" si="229"/>
        <v>850642.00999999989</v>
      </c>
      <c r="O275" s="185">
        <f t="shared" si="211"/>
        <v>19533.41</v>
      </c>
      <c r="P275" s="185">
        <f t="shared" si="240"/>
        <v>2697.7900000000009</v>
      </c>
      <c r="Q275" s="185">
        <f t="shared" si="212"/>
        <v>16835.62</v>
      </c>
      <c r="R275" s="185">
        <f t="shared" si="220"/>
        <v>134.16999999999999</v>
      </c>
      <c r="S275" s="185">
        <f t="shared" si="220"/>
        <v>188.55</v>
      </c>
      <c r="T275" s="185">
        <f t="shared" si="205"/>
        <v>19856.129999999997</v>
      </c>
      <c r="U275" s="185">
        <f t="shared" si="241"/>
        <v>138155.77999999997</v>
      </c>
      <c r="V275" s="185">
        <f t="shared" si="242"/>
        <v>4940530.8200000012</v>
      </c>
      <c r="W275" s="185">
        <f t="shared" si="243"/>
        <v>847944.21999999986</v>
      </c>
      <c r="X275" s="401" t="str">
        <f t="shared" si="230"/>
        <v xml:space="preserve"> </v>
      </c>
      <c r="Y275" s="185">
        <f t="shared" si="213"/>
        <v>661715.53000000073</v>
      </c>
      <c r="Z275" s="393">
        <f t="shared" si="221"/>
        <v>0.13125000000000001</v>
      </c>
      <c r="AA275" s="185">
        <f t="shared" si="222"/>
        <v>10874</v>
      </c>
      <c r="AB275" s="185">
        <f t="shared" si="223"/>
        <v>3636.49</v>
      </c>
      <c r="AC275" s="185">
        <f t="shared" si="224"/>
        <v>7237.51</v>
      </c>
      <c r="AD275" s="185">
        <f t="shared" si="217"/>
        <v>134.16999999999999</v>
      </c>
      <c r="AE275" s="185">
        <f t="shared" si="217"/>
        <v>188.55</v>
      </c>
      <c r="AF275" s="185">
        <f t="shared" si="225"/>
        <v>11196.72</v>
      </c>
      <c r="AG275" s="185">
        <f t="shared" si="244"/>
        <v>327639.04999999993</v>
      </c>
      <c r="AH275" s="185">
        <f t="shared" si="245"/>
        <v>2384827.9499999993</v>
      </c>
      <c r="AI275" s="411">
        <f t="shared" si="207"/>
        <v>2336265.7799999951</v>
      </c>
      <c r="AJ275" s="411">
        <f t="shared" si="195"/>
        <v>189865.17999999912</v>
      </c>
      <c r="AK275" s="411">
        <f t="shared" si="208"/>
        <v>2526130.9599999944</v>
      </c>
      <c r="AL275" s="185">
        <f t="shared" si="214"/>
        <v>658079.04000000074</v>
      </c>
      <c r="AM275" s="317">
        <f t="shared" si="231"/>
        <v>21</v>
      </c>
      <c r="AN275" s="14">
        <f t="shared" si="209"/>
        <v>19533.41</v>
      </c>
      <c r="AO275" s="14">
        <f t="shared" si="200"/>
        <v>847944.22</v>
      </c>
      <c r="AP275" s="14">
        <f t="shared" si="210"/>
        <v>10874</v>
      </c>
      <c r="AS275" s="14">
        <f t="shared" si="226"/>
        <v>19533.41</v>
      </c>
      <c r="AT275" s="14">
        <f t="shared" si="232"/>
        <v>5078206.0400000187</v>
      </c>
      <c r="AU275" s="185">
        <f t="shared" si="233"/>
        <v>4706.6913779900979</v>
      </c>
      <c r="AV275" s="185">
        <f t="shared" si="234"/>
        <v>901283.24257402949</v>
      </c>
    </row>
    <row r="276" spans="1:48">
      <c r="A276" s="401" t="str">
        <f t="shared" si="235"/>
        <v xml:space="preserve"> </v>
      </c>
      <c r="B276" s="185">
        <f t="shared" si="227"/>
        <v>0</v>
      </c>
      <c r="C276" s="14">
        <f t="shared" si="218"/>
        <v>0</v>
      </c>
      <c r="D276" s="14">
        <f t="shared" si="236"/>
        <v>0</v>
      </c>
      <c r="E276" s="14">
        <f t="shared" si="219"/>
        <v>0</v>
      </c>
      <c r="F276" s="14">
        <f t="shared" si="216"/>
        <v>0</v>
      </c>
      <c r="G276" s="14">
        <f t="shared" si="216"/>
        <v>0</v>
      </c>
      <c r="H276" s="14">
        <f t="shared" si="204"/>
        <v>0</v>
      </c>
      <c r="I276" s="185">
        <f t="shared" si="237"/>
        <v>0</v>
      </c>
      <c r="J276" s="185">
        <f t="shared" si="238"/>
        <v>0</v>
      </c>
      <c r="K276" s="185">
        <f t="shared" si="239"/>
        <v>0</v>
      </c>
      <c r="L276" s="317">
        <f t="shared" si="201"/>
        <v>21</v>
      </c>
      <c r="M276" s="317">
        <f t="shared" si="228"/>
        <v>260</v>
      </c>
      <c r="N276" s="185">
        <f t="shared" si="229"/>
        <v>847944.21999999986</v>
      </c>
      <c r="O276" s="185">
        <f t="shared" si="211"/>
        <v>19533.41</v>
      </c>
      <c r="P276" s="185">
        <f t="shared" si="240"/>
        <v>2751.1800000000003</v>
      </c>
      <c r="Q276" s="185">
        <f t="shared" si="212"/>
        <v>16782.23</v>
      </c>
      <c r="R276" s="185">
        <f t="shared" si="220"/>
        <v>134.16999999999999</v>
      </c>
      <c r="S276" s="185">
        <f t="shared" si="220"/>
        <v>188.55</v>
      </c>
      <c r="T276" s="185">
        <f t="shared" si="205"/>
        <v>19856.129999999997</v>
      </c>
      <c r="U276" s="185">
        <f t="shared" si="241"/>
        <v>140906.95999999996</v>
      </c>
      <c r="V276" s="185">
        <f t="shared" si="242"/>
        <v>4957313.0500000017</v>
      </c>
      <c r="W276" s="185">
        <f t="shared" si="243"/>
        <v>845193.0399999998</v>
      </c>
      <c r="X276" s="401" t="str">
        <f t="shared" si="230"/>
        <v xml:space="preserve"> </v>
      </c>
      <c r="Y276" s="185">
        <f t="shared" si="213"/>
        <v>658079.04000000074</v>
      </c>
      <c r="Z276" s="393">
        <f t="shared" si="221"/>
        <v>0.13125000000000001</v>
      </c>
      <c r="AA276" s="185">
        <f t="shared" si="222"/>
        <v>10874</v>
      </c>
      <c r="AB276" s="185">
        <f t="shared" si="223"/>
        <v>3676.26</v>
      </c>
      <c r="AC276" s="185">
        <f t="shared" si="224"/>
        <v>7197.74</v>
      </c>
      <c r="AD276" s="185">
        <f t="shared" si="217"/>
        <v>134.16999999999999</v>
      </c>
      <c r="AE276" s="185">
        <f t="shared" si="217"/>
        <v>188.55</v>
      </c>
      <c r="AF276" s="185">
        <f t="shared" si="225"/>
        <v>11196.72</v>
      </c>
      <c r="AG276" s="185">
        <f t="shared" si="244"/>
        <v>331315.30999999994</v>
      </c>
      <c r="AH276" s="185">
        <f t="shared" si="245"/>
        <v>2392025.6899999995</v>
      </c>
      <c r="AI276" s="411">
        <f t="shared" si="207"/>
        <v>2344925.1899999953</v>
      </c>
      <c r="AJ276" s="411">
        <f t="shared" si="195"/>
        <v>190790.25999999908</v>
      </c>
      <c r="AK276" s="411">
        <f t="shared" si="208"/>
        <v>2535715.4499999946</v>
      </c>
      <c r="AL276" s="185">
        <f t="shared" si="214"/>
        <v>654402.78000000073</v>
      </c>
      <c r="AM276" s="317">
        <f t="shared" si="231"/>
        <v>21</v>
      </c>
      <c r="AN276" s="14">
        <f t="shared" si="209"/>
        <v>19533.41</v>
      </c>
      <c r="AO276" s="14">
        <f t="shared" si="200"/>
        <v>845193.04</v>
      </c>
      <c r="AP276" s="14">
        <f t="shared" si="210"/>
        <v>10874</v>
      </c>
      <c r="AS276" s="14">
        <f t="shared" si="226"/>
        <v>19533.41</v>
      </c>
      <c r="AT276" s="14">
        <f t="shared" si="232"/>
        <v>5097739.4500000188</v>
      </c>
      <c r="AU276" s="185">
        <f t="shared" si="233"/>
        <v>4718.4581064350741</v>
      </c>
      <c r="AV276" s="185">
        <f t="shared" si="234"/>
        <v>906001.70068046451</v>
      </c>
    </row>
    <row r="277" spans="1:48">
      <c r="A277" s="401" t="str">
        <f t="shared" si="235"/>
        <v xml:space="preserve"> </v>
      </c>
      <c r="B277" s="185">
        <f t="shared" si="227"/>
        <v>0</v>
      </c>
      <c r="C277" s="14">
        <f t="shared" si="218"/>
        <v>0</v>
      </c>
      <c r="D277" s="14">
        <f t="shared" si="236"/>
        <v>0</v>
      </c>
      <c r="E277" s="14">
        <f t="shared" si="219"/>
        <v>0</v>
      </c>
      <c r="F277" s="14">
        <f t="shared" si="216"/>
        <v>0</v>
      </c>
      <c r="G277" s="14">
        <f t="shared" si="216"/>
        <v>0</v>
      </c>
      <c r="H277" s="14">
        <f t="shared" si="204"/>
        <v>0</v>
      </c>
      <c r="I277" s="185">
        <f t="shared" si="237"/>
        <v>0</v>
      </c>
      <c r="J277" s="185">
        <f t="shared" si="238"/>
        <v>0</v>
      </c>
      <c r="K277" s="185">
        <f t="shared" si="239"/>
        <v>0</v>
      </c>
      <c r="L277" s="317">
        <f t="shared" si="201"/>
        <v>21</v>
      </c>
      <c r="M277" s="317">
        <f t="shared" si="228"/>
        <v>261</v>
      </c>
      <c r="N277" s="185">
        <f t="shared" si="229"/>
        <v>845193.0399999998</v>
      </c>
      <c r="O277" s="185">
        <f t="shared" si="211"/>
        <v>19533.41</v>
      </c>
      <c r="P277" s="185">
        <f t="shared" si="240"/>
        <v>2805.630000000001</v>
      </c>
      <c r="Q277" s="185">
        <f t="shared" si="212"/>
        <v>16727.78</v>
      </c>
      <c r="R277" s="185">
        <f t="shared" si="220"/>
        <v>134.16999999999999</v>
      </c>
      <c r="S277" s="185">
        <f t="shared" si="220"/>
        <v>188.55</v>
      </c>
      <c r="T277" s="185">
        <f t="shared" si="205"/>
        <v>19856.129999999997</v>
      </c>
      <c r="U277" s="185">
        <f t="shared" si="241"/>
        <v>143712.58999999997</v>
      </c>
      <c r="V277" s="185">
        <f t="shared" si="242"/>
        <v>4974040.8300000019</v>
      </c>
      <c r="W277" s="185">
        <f t="shared" si="243"/>
        <v>842387.4099999998</v>
      </c>
      <c r="X277" s="401" t="str">
        <f t="shared" si="230"/>
        <v xml:space="preserve"> </v>
      </c>
      <c r="Y277" s="185">
        <f t="shared" si="213"/>
        <v>654402.78000000073</v>
      </c>
      <c r="Z277" s="393">
        <f t="shared" si="221"/>
        <v>0.13125000000000001</v>
      </c>
      <c r="AA277" s="185">
        <f t="shared" si="222"/>
        <v>10874</v>
      </c>
      <c r="AB277" s="185">
        <f t="shared" si="223"/>
        <v>3716.4700000000003</v>
      </c>
      <c r="AC277" s="185">
        <f t="shared" si="224"/>
        <v>7157.53</v>
      </c>
      <c r="AD277" s="185">
        <f t="shared" si="217"/>
        <v>134.16999999999999</v>
      </c>
      <c r="AE277" s="185">
        <f t="shared" si="217"/>
        <v>188.55</v>
      </c>
      <c r="AF277" s="185">
        <f t="shared" si="225"/>
        <v>11196.72</v>
      </c>
      <c r="AG277" s="185">
        <f t="shared" si="244"/>
        <v>335031.77999999991</v>
      </c>
      <c r="AH277" s="185">
        <f t="shared" si="245"/>
        <v>2399183.2199999993</v>
      </c>
      <c r="AI277" s="411">
        <f t="shared" si="207"/>
        <v>2353584.5999999954</v>
      </c>
      <c r="AJ277" s="411">
        <f t="shared" si="195"/>
        <v>191701.09999999905</v>
      </c>
      <c r="AK277" s="411">
        <f t="shared" si="208"/>
        <v>2545285.6999999946</v>
      </c>
      <c r="AL277" s="185">
        <f t="shared" si="214"/>
        <v>650686.31000000075</v>
      </c>
      <c r="AM277" s="317">
        <f t="shared" si="231"/>
        <v>21</v>
      </c>
      <c r="AN277" s="14">
        <f t="shared" si="209"/>
        <v>19533.41</v>
      </c>
      <c r="AO277" s="14">
        <f t="shared" si="200"/>
        <v>842387.41</v>
      </c>
      <c r="AP277" s="14">
        <f t="shared" si="210"/>
        <v>10874</v>
      </c>
      <c r="AS277" s="14">
        <f t="shared" si="226"/>
        <v>19533.41</v>
      </c>
      <c r="AT277" s="14">
        <f t="shared" si="232"/>
        <v>5117272.860000019</v>
      </c>
      <c r="AU277" s="185">
        <f t="shared" si="233"/>
        <v>4730.2542517011616</v>
      </c>
      <c r="AV277" s="185">
        <f t="shared" si="234"/>
        <v>910731.95493216568</v>
      </c>
    </row>
    <row r="278" spans="1:48">
      <c r="A278" s="401" t="str">
        <f t="shared" si="235"/>
        <v xml:space="preserve"> </v>
      </c>
      <c r="B278" s="185">
        <f t="shared" si="227"/>
        <v>0</v>
      </c>
      <c r="C278" s="14">
        <f t="shared" si="218"/>
        <v>0</v>
      </c>
      <c r="D278" s="14">
        <f t="shared" si="236"/>
        <v>0</v>
      </c>
      <c r="E278" s="14">
        <f t="shared" si="219"/>
        <v>0</v>
      </c>
      <c r="F278" s="14">
        <f t="shared" si="216"/>
        <v>0</v>
      </c>
      <c r="G278" s="14">
        <f t="shared" si="216"/>
        <v>0</v>
      </c>
      <c r="H278" s="14">
        <f t="shared" si="204"/>
        <v>0</v>
      </c>
      <c r="I278" s="185">
        <f t="shared" si="237"/>
        <v>0</v>
      </c>
      <c r="J278" s="185">
        <f t="shared" si="238"/>
        <v>0</v>
      </c>
      <c r="K278" s="185">
        <f t="shared" si="239"/>
        <v>0</v>
      </c>
      <c r="L278" s="317">
        <f t="shared" si="201"/>
        <v>21</v>
      </c>
      <c r="M278" s="317">
        <f t="shared" si="228"/>
        <v>262</v>
      </c>
      <c r="N278" s="185">
        <f t="shared" si="229"/>
        <v>842387.4099999998</v>
      </c>
      <c r="O278" s="185">
        <f t="shared" si="211"/>
        <v>19533.41</v>
      </c>
      <c r="P278" s="185">
        <f t="shared" si="240"/>
        <v>2861.16</v>
      </c>
      <c r="Q278" s="185">
        <f t="shared" si="212"/>
        <v>16672.25</v>
      </c>
      <c r="R278" s="185">
        <f t="shared" si="220"/>
        <v>134.16999999999999</v>
      </c>
      <c r="S278" s="185">
        <f t="shared" si="220"/>
        <v>188.55</v>
      </c>
      <c r="T278" s="185">
        <f t="shared" si="205"/>
        <v>19856.129999999997</v>
      </c>
      <c r="U278" s="185">
        <f t="shared" si="241"/>
        <v>146573.74999999997</v>
      </c>
      <c r="V278" s="185">
        <f t="shared" si="242"/>
        <v>4990713.0800000019</v>
      </c>
      <c r="W278" s="185">
        <f t="shared" si="243"/>
        <v>839526.24999999977</v>
      </c>
      <c r="X278" s="401" t="str">
        <f t="shared" si="230"/>
        <v xml:space="preserve"> </v>
      </c>
      <c r="Y278" s="185">
        <f t="shared" si="213"/>
        <v>650686.31000000075</v>
      </c>
      <c r="Z278" s="393">
        <f t="shared" si="221"/>
        <v>0.13125000000000001</v>
      </c>
      <c r="AA278" s="185">
        <f t="shared" si="222"/>
        <v>10874</v>
      </c>
      <c r="AB278" s="185">
        <f t="shared" si="223"/>
        <v>3757.12</v>
      </c>
      <c r="AC278" s="185">
        <f t="shared" si="224"/>
        <v>7116.88</v>
      </c>
      <c r="AD278" s="185">
        <f t="shared" si="217"/>
        <v>134.16999999999999</v>
      </c>
      <c r="AE278" s="185">
        <f t="shared" si="217"/>
        <v>188.55</v>
      </c>
      <c r="AF278" s="185">
        <f t="shared" si="225"/>
        <v>11196.72</v>
      </c>
      <c r="AG278" s="185">
        <f t="shared" si="244"/>
        <v>338788.89999999991</v>
      </c>
      <c r="AH278" s="185">
        <f t="shared" si="245"/>
        <v>2406300.0999999992</v>
      </c>
      <c r="AI278" s="411">
        <f t="shared" si="207"/>
        <v>2362244.0099999956</v>
      </c>
      <c r="AJ278" s="411">
        <f t="shared" si="195"/>
        <v>192597.05999999901</v>
      </c>
      <c r="AK278" s="411">
        <f t="shared" si="208"/>
        <v>2554841.0699999947</v>
      </c>
      <c r="AL278" s="185">
        <f t="shared" si="214"/>
        <v>646929.19000000076</v>
      </c>
      <c r="AM278" s="317">
        <f t="shared" si="231"/>
        <v>21</v>
      </c>
      <c r="AN278" s="14">
        <f t="shared" si="209"/>
        <v>19533.41</v>
      </c>
      <c r="AO278" s="14">
        <f t="shared" si="200"/>
        <v>839526.25</v>
      </c>
      <c r="AP278" s="14">
        <f t="shared" si="210"/>
        <v>10874</v>
      </c>
      <c r="AS278" s="14">
        <f t="shared" si="226"/>
        <v>19533.41</v>
      </c>
      <c r="AT278" s="14">
        <f t="shared" si="232"/>
        <v>5136806.2700000191</v>
      </c>
      <c r="AU278" s="185">
        <f t="shared" si="233"/>
        <v>4742.0798873304147</v>
      </c>
      <c r="AV278" s="185">
        <f t="shared" si="234"/>
        <v>915474.0348194961</v>
      </c>
    </row>
    <row r="279" spans="1:48" ht="15.75" thickBot="1">
      <c r="A279" s="404" t="str">
        <f t="shared" si="235"/>
        <v xml:space="preserve"> </v>
      </c>
      <c r="B279" s="237">
        <f t="shared" si="227"/>
        <v>0</v>
      </c>
      <c r="C279" s="21">
        <f t="shared" si="218"/>
        <v>0</v>
      </c>
      <c r="D279" s="21">
        <f t="shared" si="236"/>
        <v>0</v>
      </c>
      <c r="E279" s="21">
        <f t="shared" si="219"/>
        <v>0</v>
      </c>
      <c r="F279" s="21">
        <f t="shared" si="216"/>
        <v>0</v>
      </c>
      <c r="G279" s="21">
        <f t="shared" si="216"/>
        <v>0</v>
      </c>
      <c r="H279" s="21">
        <f t="shared" si="204"/>
        <v>0</v>
      </c>
      <c r="I279" s="237">
        <f t="shared" si="237"/>
        <v>0</v>
      </c>
      <c r="J279" s="237">
        <f t="shared" si="238"/>
        <v>0</v>
      </c>
      <c r="K279" s="237">
        <f t="shared" si="239"/>
        <v>0</v>
      </c>
      <c r="L279" s="318">
        <f t="shared" si="201"/>
        <v>21</v>
      </c>
      <c r="M279" s="318">
        <f t="shared" si="228"/>
        <v>263</v>
      </c>
      <c r="N279" s="237">
        <f t="shared" si="229"/>
        <v>839526.24999999977</v>
      </c>
      <c r="O279" s="237">
        <f t="shared" si="211"/>
        <v>19533.41</v>
      </c>
      <c r="P279" s="237">
        <f t="shared" si="240"/>
        <v>2917.7900000000009</v>
      </c>
      <c r="Q279" s="237">
        <f t="shared" si="212"/>
        <v>16615.62</v>
      </c>
      <c r="R279" s="237">
        <f t="shared" si="220"/>
        <v>134.16999999999999</v>
      </c>
      <c r="S279" s="237">
        <f t="shared" si="220"/>
        <v>188.55</v>
      </c>
      <c r="T279" s="237">
        <f t="shared" si="205"/>
        <v>19856.129999999997</v>
      </c>
      <c r="U279" s="237">
        <f t="shared" si="241"/>
        <v>149491.53999999998</v>
      </c>
      <c r="V279" s="237">
        <f t="shared" si="242"/>
        <v>5007328.700000002</v>
      </c>
      <c r="W279" s="237">
        <f t="shared" si="243"/>
        <v>836608.45999999973</v>
      </c>
      <c r="X279" s="404" t="str">
        <f t="shared" si="230"/>
        <v xml:space="preserve"> </v>
      </c>
      <c r="Y279" s="237">
        <f t="shared" si="213"/>
        <v>646929.19000000076</v>
      </c>
      <c r="Z279" s="394">
        <f t="shared" si="221"/>
        <v>0.13125000000000001</v>
      </c>
      <c r="AA279" s="237">
        <f t="shared" si="222"/>
        <v>10874</v>
      </c>
      <c r="AB279" s="237">
        <f t="shared" si="223"/>
        <v>3798.21</v>
      </c>
      <c r="AC279" s="237">
        <f t="shared" si="224"/>
        <v>7075.79</v>
      </c>
      <c r="AD279" s="237">
        <f t="shared" si="217"/>
        <v>134.16999999999999</v>
      </c>
      <c r="AE279" s="237">
        <f t="shared" si="217"/>
        <v>188.55</v>
      </c>
      <c r="AF279" s="237">
        <f t="shared" si="225"/>
        <v>11196.72</v>
      </c>
      <c r="AG279" s="237">
        <f t="shared" si="244"/>
        <v>342587.10999999993</v>
      </c>
      <c r="AH279" s="237">
        <f t="shared" si="245"/>
        <v>2413375.8899999992</v>
      </c>
      <c r="AI279" s="412">
        <f t="shared" si="207"/>
        <v>2370903.4199999957</v>
      </c>
      <c r="AJ279" s="412">
        <f t="shared" si="195"/>
        <v>193477.47999999893</v>
      </c>
      <c r="AK279" s="411">
        <f t="shared" si="208"/>
        <v>2564380.8999999948</v>
      </c>
      <c r="AL279" s="237">
        <f t="shared" si="214"/>
        <v>643130.9800000008</v>
      </c>
      <c r="AM279" s="318">
        <f t="shared" si="231"/>
        <v>21</v>
      </c>
      <c r="AN279" s="21">
        <f t="shared" si="209"/>
        <v>19533.41</v>
      </c>
      <c r="AO279" s="21">
        <f t="shared" si="200"/>
        <v>836608.46</v>
      </c>
      <c r="AP279" s="21">
        <f t="shared" si="210"/>
        <v>10874</v>
      </c>
      <c r="AQ279" s="21"/>
      <c r="AR279" s="23"/>
      <c r="AS279" s="21">
        <f t="shared" si="226"/>
        <v>19533.41</v>
      </c>
      <c r="AT279" s="21">
        <f t="shared" si="232"/>
        <v>5156339.6800000193</v>
      </c>
      <c r="AU279" s="237">
        <f t="shared" si="233"/>
        <v>4753.9350870487406</v>
      </c>
      <c r="AV279" s="237">
        <f t="shared" si="234"/>
        <v>920227.96990654489</v>
      </c>
    </row>
    <row r="280" spans="1:48">
      <c r="A280" s="401" t="str">
        <f t="shared" si="235"/>
        <v xml:space="preserve"> </v>
      </c>
      <c r="B280" s="185">
        <f t="shared" si="227"/>
        <v>0</v>
      </c>
      <c r="C280" s="14">
        <f t="shared" si="218"/>
        <v>0</v>
      </c>
      <c r="D280" s="14">
        <f t="shared" si="236"/>
        <v>0</v>
      </c>
      <c r="E280" s="14">
        <f t="shared" si="219"/>
        <v>0</v>
      </c>
      <c r="F280" s="14">
        <f t="shared" si="216"/>
        <v>0</v>
      </c>
      <c r="G280" s="14">
        <f t="shared" si="216"/>
        <v>0</v>
      </c>
      <c r="H280" s="14">
        <f t="shared" si="204"/>
        <v>0</v>
      </c>
      <c r="I280" s="185">
        <f t="shared" si="237"/>
        <v>0</v>
      </c>
      <c r="J280" s="185">
        <f t="shared" si="238"/>
        <v>0</v>
      </c>
      <c r="K280" s="185">
        <f t="shared" si="239"/>
        <v>0</v>
      </c>
      <c r="L280" s="317">
        <f t="shared" si="201"/>
        <v>22</v>
      </c>
      <c r="M280" s="317">
        <f t="shared" si="228"/>
        <v>264</v>
      </c>
      <c r="N280" s="185">
        <f t="shared" si="229"/>
        <v>836608.45999999973</v>
      </c>
      <c r="O280" s="185">
        <f t="shared" si="211"/>
        <v>19533.41</v>
      </c>
      <c r="P280" s="185">
        <f t="shared" si="240"/>
        <v>2975.5299999999988</v>
      </c>
      <c r="Q280" s="185">
        <f t="shared" si="212"/>
        <v>16557.88</v>
      </c>
      <c r="R280" s="185">
        <f t="shared" si="220"/>
        <v>134.16999999999999</v>
      </c>
      <c r="S280" s="185">
        <f t="shared" si="220"/>
        <v>188.55</v>
      </c>
      <c r="T280" s="185">
        <f t="shared" si="205"/>
        <v>19856.129999999997</v>
      </c>
      <c r="U280" s="185">
        <f t="shared" si="241"/>
        <v>152467.06999999998</v>
      </c>
      <c r="V280" s="185">
        <f t="shared" si="242"/>
        <v>5023886.5800000019</v>
      </c>
      <c r="W280" s="185">
        <f t="shared" si="243"/>
        <v>833632.9299999997</v>
      </c>
      <c r="X280" s="401" t="str">
        <f t="shared" si="230"/>
        <v xml:space="preserve"> </v>
      </c>
      <c r="Y280" s="185">
        <f t="shared" si="213"/>
        <v>643130.9800000008</v>
      </c>
      <c r="Z280" s="393">
        <f t="shared" si="221"/>
        <v>0.13125000000000001</v>
      </c>
      <c r="AA280" s="185">
        <f t="shared" si="222"/>
        <v>10874</v>
      </c>
      <c r="AB280" s="185">
        <f t="shared" si="223"/>
        <v>3839.75</v>
      </c>
      <c r="AC280" s="185">
        <f t="shared" si="224"/>
        <v>7034.25</v>
      </c>
      <c r="AD280" s="185">
        <f t="shared" si="217"/>
        <v>134.16999999999999</v>
      </c>
      <c r="AE280" s="185">
        <f t="shared" si="217"/>
        <v>188.55</v>
      </c>
      <c r="AF280" s="185">
        <f t="shared" si="225"/>
        <v>11196.72</v>
      </c>
      <c r="AG280" s="185">
        <f t="shared" si="244"/>
        <v>346426.85999999993</v>
      </c>
      <c r="AH280" s="185">
        <f t="shared" si="245"/>
        <v>2420410.1399999992</v>
      </c>
      <c r="AI280" s="411">
        <f t="shared" si="207"/>
        <v>2379562.8299999959</v>
      </c>
      <c r="AJ280" s="411">
        <f t="shared" si="195"/>
        <v>194341.69999999891</v>
      </c>
      <c r="AK280" s="411">
        <f t="shared" si="208"/>
        <v>2573904.5299999947</v>
      </c>
      <c r="AL280" s="185">
        <f t="shared" si="214"/>
        <v>639291.2300000008</v>
      </c>
      <c r="AM280" s="317">
        <f t="shared" si="231"/>
        <v>22</v>
      </c>
      <c r="AN280" s="14">
        <f t="shared" si="209"/>
        <v>19533.41</v>
      </c>
      <c r="AO280" s="14">
        <f t="shared" si="200"/>
        <v>833632.93</v>
      </c>
      <c r="AP280" s="14">
        <f t="shared" si="210"/>
        <v>10874</v>
      </c>
      <c r="AS280" s="14">
        <f t="shared" si="226"/>
        <v>19533.41</v>
      </c>
      <c r="AT280" s="14">
        <f t="shared" si="232"/>
        <v>5175873.0900000194</v>
      </c>
      <c r="AU280" s="185">
        <f t="shared" si="233"/>
        <v>4765.8199247663615</v>
      </c>
      <c r="AV280" s="185">
        <f t="shared" si="234"/>
        <v>924993.78983131121</v>
      </c>
    </row>
    <row r="281" spans="1:48">
      <c r="A281" s="401" t="str">
        <f t="shared" si="235"/>
        <v xml:space="preserve"> </v>
      </c>
      <c r="B281" s="185">
        <f t="shared" si="227"/>
        <v>0</v>
      </c>
      <c r="C281" s="14">
        <f t="shared" si="218"/>
        <v>0</v>
      </c>
      <c r="D281" s="14">
        <f t="shared" si="236"/>
        <v>0</v>
      </c>
      <c r="E281" s="14">
        <f t="shared" si="219"/>
        <v>0</v>
      </c>
      <c r="F281" s="14">
        <f t="shared" si="216"/>
        <v>0</v>
      </c>
      <c r="G281" s="14">
        <f t="shared" si="216"/>
        <v>0</v>
      </c>
      <c r="H281" s="14">
        <f t="shared" si="204"/>
        <v>0</v>
      </c>
      <c r="I281" s="185">
        <f t="shared" si="237"/>
        <v>0</v>
      </c>
      <c r="J281" s="185">
        <f t="shared" si="238"/>
        <v>0</v>
      </c>
      <c r="K281" s="185">
        <f t="shared" si="239"/>
        <v>0</v>
      </c>
      <c r="L281" s="317">
        <f t="shared" si="201"/>
        <v>22</v>
      </c>
      <c r="M281" s="317">
        <f t="shared" si="228"/>
        <v>265</v>
      </c>
      <c r="N281" s="185">
        <f t="shared" si="229"/>
        <v>833632.9299999997</v>
      </c>
      <c r="O281" s="185">
        <f t="shared" si="211"/>
        <v>19533.41</v>
      </c>
      <c r="P281" s="185">
        <f t="shared" si="240"/>
        <v>3034.4199999999983</v>
      </c>
      <c r="Q281" s="185">
        <f t="shared" si="212"/>
        <v>16498.990000000002</v>
      </c>
      <c r="R281" s="185">
        <f t="shared" si="220"/>
        <v>134.16999999999999</v>
      </c>
      <c r="S281" s="185">
        <f t="shared" si="220"/>
        <v>188.55</v>
      </c>
      <c r="T281" s="185">
        <f t="shared" si="205"/>
        <v>19856.129999999997</v>
      </c>
      <c r="U281" s="185">
        <f t="shared" si="241"/>
        <v>155501.49</v>
      </c>
      <c r="V281" s="185">
        <f t="shared" si="242"/>
        <v>5040385.5700000022</v>
      </c>
      <c r="W281" s="185">
        <f t="shared" si="243"/>
        <v>830598.50999999966</v>
      </c>
      <c r="X281" s="401" t="str">
        <f t="shared" si="230"/>
        <v xml:space="preserve"> </v>
      </c>
      <c r="Y281" s="185">
        <f t="shared" si="213"/>
        <v>639291.2300000008</v>
      </c>
      <c r="Z281" s="393">
        <f t="shared" si="221"/>
        <v>0.13125000000000001</v>
      </c>
      <c r="AA281" s="185">
        <f t="shared" si="222"/>
        <v>10874</v>
      </c>
      <c r="AB281" s="185">
        <f t="shared" si="223"/>
        <v>3881.75</v>
      </c>
      <c r="AC281" s="185">
        <f t="shared" si="224"/>
        <v>6992.25</v>
      </c>
      <c r="AD281" s="185">
        <f t="shared" si="217"/>
        <v>134.16999999999999</v>
      </c>
      <c r="AE281" s="185">
        <f t="shared" si="217"/>
        <v>188.55</v>
      </c>
      <c r="AF281" s="185">
        <f t="shared" si="225"/>
        <v>11196.72</v>
      </c>
      <c r="AG281" s="185">
        <f t="shared" si="244"/>
        <v>350308.60999999993</v>
      </c>
      <c r="AH281" s="185">
        <f t="shared" si="245"/>
        <v>2427402.3899999992</v>
      </c>
      <c r="AI281" s="411">
        <f t="shared" si="207"/>
        <v>2388222.239999996</v>
      </c>
      <c r="AJ281" s="411">
        <f t="shared" si="195"/>
        <v>195189.02999999886</v>
      </c>
      <c r="AK281" s="411">
        <f t="shared" si="208"/>
        <v>2583411.2699999949</v>
      </c>
      <c r="AL281" s="185">
        <f t="shared" si="214"/>
        <v>635409.4800000008</v>
      </c>
      <c r="AM281" s="317">
        <f t="shared" si="231"/>
        <v>22</v>
      </c>
      <c r="AN281" s="14">
        <f t="shared" si="209"/>
        <v>19533.41</v>
      </c>
      <c r="AO281" s="14">
        <f t="shared" si="200"/>
        <v>830598.51</v>
      </c>
      <c r="AP281" s="14">
        <f t="shared" si="210"/>
        <v>10874</v>
      </c>
      <c r="AS281" s="14">
        <f t="shared" si="226"/>
        <v>19533.41</v>
      </c>
      <c r="AT281" s="14">
        <f t="shared" si="232"/>
        <v>5195406.5000000196</v>
      </c>
      <c r="AU281" s="185">
        <f t="shared" si="233"/>
        <v>4777.7344745782784</v>
      </c>
      <c r="AV281" s="185">
        <f t="shared" si="234"/>
        <v>929771.5243058895</v>
      </c>
    </row>
    <row r="282" spans="1:48">
      <c r="A282" s="401" t="str">
        <f t="shared" si="235"/>
        <v xml:space="preserve"> </v>
      </c>
      <c r="B282" s="185">
        <f t="shared" si="227"/>
        <v>0</v>
      </c>
      <c r="C282" s="14">
        <f t="shared" si="218"/>
        <v>0</v>
      </c>
      <c r="D282" s="14">
        <f t="shared" si="236"/>
        <v>0</v>
      </c>
      <c r="E282" s="14">
        <f t="shared" si="219"/>
        <v>0</v>
      </c>
      <c r="F282" s="14">
        <f t="shared" si="216"/>
        <v>0</v>
      </c>
      <c r="G282" s="14">
        <f t="shared" si="216"/>
        <v>0</v>
      </c>
      <c r="H282" s="14">
        <f t="shared" si="204"/>
        <v>0</v>
      </c>
      <c r="I282" s="185">
        <f t="shared" si="237"/>
        <v>0</v>
      </c>
      <c r="J282" s="185">
        <f t="shared" si="238"/>
        <v>0</v>
      </c>
      <c r="K282" s="185">
        <f t="shared" si="239"/>
        <v>0</v>
      </c>
      <c r="L282" s="317">
        <f t="shared" si="201"/>
        <v>22</v>
      </c>
      <c r="M282" s="317">
        <f t="shared" si="228"/>
        <v>266</v>
      </c>
      <c r="N282" s="185">
        <f t="shared" si="229"/>
        <v>830598.50999999966</v>
      </c>
      <c r="O282" s="185">
        <f t="shared" si="211"/>
        <v>19533.41</v>
      </c>
      <c r="P282" s="185">
        <f t="shared" si="240"/>
        <v>3094.4799999999996</v>
      </c>
      <c r="Q282" s="185">
        <f t="shared" si="212"/>
        <v>16438.93</v>
      </c>
      <c r="R282" s="185">
        <f t="shared" si="220"/>
        <v>134.16999999999999</v>
      </c>
      <c r="S282" s="185">
        <f t="shared" si="220"/>
        <v>188.55</v>
      </c>
      <c r="T282" s="185">
        <f t="shared" si="205"/>
        <v>19856.129999999997</v>
      </c>
      <c r="U282" s="185">
        <f t="shared" si="241"/>
        <v>158595.97</v>
      </c>
      <c r="V282" s="185">
        <f t="shared" si="242"/>
        <v>5056824.5000000019</v>
      </c>
      <c r="W282" s="185">
        <f t="shared" si="243"/>
        <v>827504.02999999968</v>
      </c>
      <c r="X282" s="401" t="str">
        <f t="shared" si="230"/>
        <v xml:space="preserve"> </v>
      </c>
      <c r="Y282" s="185">
        <f t="shared" si="213"/>
        <v>635409.4800000008</v>
      </c>
      <c r="Z282" s="393">
        <f t="shared" si="221"/>
        <v>0.13125000000000001</v>
      </c>
      <c r="AA282" s="185">
        <f t="shared" si="222"/>
        <v>10874</v>
      </c>
      <c r="AB282" s="185">
        <f t="shared" si="223"/>
        <v>3924.21</v>
      </c>
      <c r="AC282" s="185">
        <f t="shared" si="224"/>
        <v>6949.79</v>
      </c>
      <c r="AD282" s="185">
        <f t="shared" si="217"/>
        <v>134.16999999999999</v>
      </c>
      <c r="AE282" s="185">
        <f t="shared" si="217"/>
        <v>188.55</v>
      </c>
      <c r="AF282" s="185">
        <f t="shared" si="225"/>
        <v>11196.72</v>
      </c>
      <c r="AG282" s="185">
        <f t="shared" si="244"/>
        <v>354232.81999999995</v>
      </c>
      <c r="AH282" s="185">
        <f t="shared" si="245"/>
        <v>2434352.1799999992</v>
      </c>
      <c r="AI282" s="411">
        <f t="shared" si="207"/>
        <v>2396881.6499999962</v>
      </c>
      <c r="AJ282" s="411">
        <f t="shared" si="195"/>
        <v>196018.75999999885</v>
      </c>
      <c r="AK282" s="411">
        <f t="shared" si="208"/>
        <v>2592900.409999995</v>
      </c>
      <c r="AL282" s="185">
        <f t="shared" si="214"/>
        <v>631485.27000000083</v>
      </c>
      <c r="AM282" s="317">
        <f t="shared" si="231"/>
        <v>22</v>
      </c>
      <c r="AN282" s="14">
        <f t="shared" si="209"/>
        <v>19533.41</v>
      </c>
      <c r="AO282" s="14">
        <f t="shared" si="200"/>
        <v>827504.03</v>
      </c>
      <c r="AP282" s="14">
        <f t="shared" si="210"/>
        <v>10874</v>
      </c>
      <c r="AS282" s="14">
        <f t="shared" si="226"/>
        <v>19533.41</v>
      </c>
      <c r="AT282" s="14">
        <f t="shared" si="232"/>
        <v>5214939.9100000197</v>
      </c>
      <c r="AU282" s="185">
        <f t="shared" si="233"/>
        <v>4789.6788107647235</v>
      </c>
      <c r="AV282" s="185">
        <f t="shared" si="234"/>
        <v>934561.20311665419</v>
      </c>
    </row>
    <row r="283" spans="1:48">
      <c r="A283" s="401" t="str">
        <f t="shared" si="235"/>
        <v xml:space="preserve"> </v>
      </c>
      <c r="B283" s="185">
        <f t="shared" si="227"/>
        <v>0</v>
      </c>
      <c r="C283" s="14">
        <f t="shared" si="218"/>
        <v>0</v>
      </c>
      <c r="D283" s="14">
        <f t="shared" si="236"/>
        <v>0</v>
      </c>
      <c r="E283" s="14">
        <f t="shared" si="219"/>
        <v>0</v>
      </c>
      <c r="F283" s="14">
        <f t="shared" ref="F283:G298" si="246">+F282</f>
        <v>0</v>
      </c>
      <c r="G283" s="14">
        <f t="shared" si="246"/>
        <v>0</v>
      </c>
      <c r="H283" s="14">
        <f t="shared" si="204"/>
        <v>0</v>
      </c>
      <c r="I283" s="185">
        <f t="shared" si="237"/>
        <v>0</v>
      </c>
      <c r="J283" s="185">
        <f t="shared" si="238"/>
        <v>0</v>
      </c>
      <c r="K283" s="185">
        <f t="shared" si="239"/>
        <v>0</v>
      </c>
      <c r="L283" s="317">
        <f t="shared" si="201"/>
        <v>22</v>
      </c>
      <c r="M283" s="317">
        <f t="shared" si="228"/>
        <v>267</v>
      </c>
      <c r="N283" s="185">
        <f t="shared" si="229"/>
        <v>827504.02999999968</v>
      </c>
      <c r="O283" s="185">
        <f t="shared" si="211"/>
        <v>19533.41</v>
      </c>
      <c r="P283" s="185">
        <f t="shared" si="240"/>
        <v>3155.7299999999996</v>
      </c>
      <c r="Q283" s="185">
        <f t="shared" si="212"/>
        <v>16377.68</v>
      </c>
      <c r="R283" s="185">
        <f t="shared" si="220"/>
        <v>134.16999999999999</v>
      </c>
      <c r="S283" s="185">
        <f t="shared" si="220"/>
        <v>188.55</v>
      </c>
      <c r="T283" s="185">
        <f t="shared" si="205"/>
        <v>19856.129999999997</v>
      </c>
      <c r="U283" s="185">
        <f t="shared" si="241"/>
        <v>161751.70000000001</v>
      </c>
      <c r="V283" s="185">
        <f t="shared" si="242"/>
        <v>5073202.1800000016</v>
      </c>
      <c r="W283" s="185">
        <f t="shared" si="243"/>
        <v>824348.2999999997</v>
      </c>
      <c r="X283" s="401" t="str">
        <f t="shared" si="230"/>
        <v xml:space="preserve"> </v>
      </c>
      <c r="Y283" s="185">
        <f t="shared" si="213"/>
        <v>631485.27000000083</v>
      </c>
      <c r="Z283" s="393">
        <f t="shared" si="221"/>
        <v>0.13125000000000001</v>
      </c>
      <c r="AA283" s="185">
        <f t="shared" si="222"/>
        <v>10874</v>
      </c>
      <c r="AB283" s="185">
        <f t="shared" si="223"/>
        <v>3967.13</v>
      </c>
      <c r="AC283" s="185">
        <f t="shared" si="224"/>
        <v>6906.87</v>
      </c>
      <c r="AD283" s="185">
        <f t="shared" si="217"/>
        <v>134.16999999999999</v>
      </c>
      <c r="AE283" s="185">
        <f t="shared" si="217"/>
        <v>188.55</v>
      </c>
      <c r="AF283" s="185">
        <f t="shared" si="225"/>
        <v>11196.72</v>
      </c>
      <c r="AG283" s="185">
        <f t="shared" si="244"/>
        <v>358199.94999999995</v>
      </c>
      <c r="AH283" s="185">
        <f t="shared" si="245"/>
        <v>2441259.0499999993</v>
      </c>
      <c r="AI283" s="411">
        <f t="shared" si="207"/>
        <v>2405541.0599999963</v>
      </c>
      <c r="AJ283" s="411">
        <f t="shared" si="195"/>
        <v>196830.15999999887</v>
      </c>
      <c r="AK283" s="411">
        <f t="shared" si="208"/>
        <v>2602371.2199999951</v>
      </c>
      <c r="AL283" s="185">
        <f t="shared" si="214"/>
        <v>627518.14000000083</v>
      </c>
      <c r="AM283" s="317">
        <f t="shared" si="231"/>
        <v>22</v>
      </c>
      <c r="AN283" s="14">
        <f t="shared" si="209"/>
        <v>19533.41</v>
      </c>
      <c r="AO283" s="14">
        <f t="shared" si="200"/>
        <v>824348.3</v>
      </c>
      <c r="AP283" s="14">
        <f t="shared" si="210"/>
        <v>10874</v>
      </c>
      <c r="AS283" s="14">
        <f t="shared" si="226"/>
        <v>19533.41</v>
      </c>
      <c r="AT283" s="14">
        <f t="shared" si="232"/>
        <v>5234473.3200000199</v>
      </c>
      <c r="AU283" s="185">
        <f t="shared" si="233"/>
        <v>4801.653007791635</v>
      </c>
      <c r="AV283" s="185">
        <f t="shared" si="234"/>
        <v>939362.8561244458</v>
      </c>
    </row>
    <row r="284" spans="1:48">
      <c r="A284" s="401" t="str">
        <f t="shared" si="235"/>
        <v xml:space="preserve"> </v>
      </c>
      <c r="B284" s="185">
        <f t="shared" si="227"/>
        <v>0</v>
      </c>
      <c r="C284" s="14">
        <f t="shared" si="218"/>
        <v>0</v>
      </c>
      <c r="D284" s="14">
        <f t="shared" si="236"/>
        <v>0</v>
      </c>
      <c r="E284" s="14">
        <f t="shared" si="219"/>
        <v>0</v>
      </c>
      <c r="F284" s="14">
        <f t="shared" si="246"/>
        <v>0</v>
      </c>
      <c r="G284" s="14">
        <f t="shared" si="246"/>
        <v>0</v>
      </c>
      <c r="H284" s="14">
        <f t="shared" si="204"/>
        <v>0</v>
      </c>
      <c r="I284" s="185">
        <f t="shared" si="237"/>
        <v>0</v>
      </c>
      <c r="J284" s="185">
        <f t="shared" si="238"/>
        <v>0</v>
      </c>
      <c r="K284" s="185">
        <f t="shared" si="239"/>
        <v>0</v>
      </c>
      <c r="L284" s="317">
        <f t="shared" si="201"/>
        <v>22</v>
      </c>
      <c r="M284" s="317">
        <f t="shared" si="228"/>
        <v>268</v>
      </c>
      <c r="N284" s="185">
        <f t="shared" si="229"/>
        <v>824348.2999999997</v>
      </c>
      <c r="O284" s="185">
        <f t="shared" si="211"/>
        <v>19533.41</v>
      </c>
      <c r="P284" s="185">
        <f t="shared" si="240"/>
        <v>3218.1800000000003</v>
      </c>
      <c r="Q284" s="185">
        <f t="shared" si="212"/>
        <v>16315.23</v>
      </c>
      <c r="R284" s="185">
        <f t="shared" si="220"/>
        <v>134.16999999999999</v>
      </c>
      <c r="S284" s="185">
        <f t="shared" si="220"/>
        <v>188.55</v>
      </c>
      <c r="T284" s="185">
        <f t="shared" si="205"/>
        <v>19856.129999999997</v>
      </c>
      <c r="U284" s="185">
        <f t="shared" si="241"/>
        <v>164969.88</v>
      </c>
      <c r="V284" s="185">
        <f t="shared" si="242"/>
        <v>5089517.410000002</v>
      </c>
      <c r="W284" s="185">
        <f t="shared" si="243"/>
        <v>821130.11999999965</v>
      </c>
      <c r="X284" s="401" t="str">
        <f t="shared" si="230"/>
        <v xml:space="preserve"> </v>
      </c>
      <c r="Y284" s="185">
        <f t="shared" si="213"/>
        <v>627518.14000000083</v>
      </c>
      <c r="Z284" s="393">
        <f t="shared" si="221"/>
        <v>0.13125000000000001</v>
      </c>
      <c r="AA284" s="185">
        <f t="shared" si="222"/>
        <v>10874</v>
      </c>
      <c r="AB284" s="185">
        <f t="shared" si="223"/>
        <v>4010.5200000000004</v>
      </c>
      <c r="AC284" s="185">
        <f t="shared" si="224"/>
        <v>6863.48</v>
      </c>
      <c r="AD284" s="185">
        <f t="shared" si="217"/>
        <v>134.16999999999999</v>
      </c>
      <c r="AE284" s="185">
        <f t="shared" si="217"/>
        <v>188.55</v>
      </c>
      <c r="AF284" s="185">
        <f t="shared" si="225"/>
        <v>11196.72</v>
      </c>
      <c r="AG284" s="185">
        <f t="shared" si="244"/>
        <v>362210.47</v>
      </c>
      <c r="AH284" s="185">
        <f t="shared" si="245"/>
        <v>2448122.5299999993</v>
      </c>
      <c r="AI284" s="411">
        <f t="shared" si="207"/>
        <v>2414200.4699999965</v>
      </c>
      <c r="AJ284" s="411">
        <f t="shared" ref="AJ284:AJ347" si="247">+W284-AL284</f>
        <v>197622.49999999884</v>
      </c>
      <c r="AK284" s="411">
        <f t="shared" si="208"/>
        <v>2611822.9699999951</v>
      </c>
      <c r="AL284" s="185">
        <f t="shared" si="214"/>
        <v>623507.62000000081</v>
      </c>
      <c r="AM284" s="317">
        <f t="shared" si="231"/>
        <v>22</v>
      </c>
      <c r="AN284" s="14">
        <f t="shared" si="209"/>
        <v>19533.41</v>
      </c>
      <c r="AO284" s="14">
        <f t="shared" si="200"/>
        <v>821130.12</v>
      </c>
      <c r="AP284" s="14">
        <f t="shared" si="210"/>
        <v>10874</v>
      </c>
      <c r="AS284" s="14">
        <f t="shared" si="226"/>
        <v>19533.41</v>
      </c>
      <c r="AT284" s="14">
        <f t="shared" si="232"/>
        <v>5254006.73000002</v>
      </c>
      <c r="AU284" s="185">
        <f t="shared" si="233"/>
        <v>4813.6571403111147</v>
      </c>
      <c r="AV284" s="185">
        <f t="shared" si="234"/>
        <v>944176.51326475688</v>
      </c>
    </row>
    <row r="285" spans="1:48">
      <c r="A285" s="401" t="str">
        <f t="shared" si="235"/>
        <v xml:space="preserve"> </v>
      </c>
      <c r="B285" s="185">
        <f t="shared" si="227"/>
        <v>0</v>
      </c>
      <c r="C285" s="14">
        <f t="shared" si="218"/>
        <v>0</v>
      </c>
      <c r="D285" s="14">
        <f t="shared" si="236"/>
        <v>0</v>
      </c>
      <c r="E285" s="14">
        <f t="shared" si="219"/>
        <v>0</v>
      </c>
      <c r="F285" s="14">
        <f t="shared" si="246"/>
        <v>0</v>
      </c>
      <c r="G285" s="14">
        <f t="shared" si="246"/>
        <v>0</v>
      </c>
      <c r="H285" s="14">
        <f t="shared" si="204"/>
        <v>0</v>
      </c>
      <c r="I285" s="185">
        <f t="shared" si="237"/>
        <v>0</v>
      </c>
      <c r="J285" s="185">
        <f t="shared" si="238"/>
        <v>0</v>
      </c>
      <c r="K285" s="185">
        <f t="shared" si="239"/>
        <v>0</v>
      </c>
      <c r="L285" s="317">
        <f t="shared" si="201"/>
        <v>22</v>
      </c>
      <c r="M285" s="317">
        <f t="shared" si="228"/>
        <v>269</v>
      </c>
      <c r="N285" s="185">
        <f t="shared" si="229"/>
        <v>821130.11999999965</v>
      </c>
      <c r="O285" s="185">
        <f t="shared" si="211"/>
        <v>19533.41</v>
      </c>
      <c r="P285" s="185">
        <f t="shared" si="240"/>
        <v>3281.8799999999992</v>
      </c>
      <c r="Q285" s="185">
        <f t="shared" si="212"/>
        <v>16251.53</v>
      </c>
      <c r="R285" s="185">
        <f t="shared" si="220"/>
        <v>134.16999999999999</v>
      </c>
      <c r="S285" s="185">
        <f t="shared" si="220"/>
        <v>188.55</v>
      </c>
      <c r="T285" s="185">
        <f t="shared" si="205"/>
        <v>19856.129999999997</v>
      </c>
      <c r="U285" s="185">
        <f t="shared" si="241"/>
        <v>168251.76</v>
      </c>
      <c r="V285" s="185">
        <f t="shared" si="242"/>
        <v>5105768.9400000023</v>
      </c>
      <c r="W285" s="185">
        <f t="shared" si="243"/>
        <v>817848.23999999964</v>
      </c>
      <c r="X285" s="401" t="str">
        <f t="shared" si="230"/>
        <v xml:space="preserve"> </v>
      </c>
      <c r="Y285" s="185">
        <f t="shared" si="213"/>
        <v>623507.62000000081</v>
      </c>
      <c r="Z285" s="393">
        <f t="shared" si="221"/>
        <v>0.13125000000000001</v>
      </c>
      <c r="AA285" s="185">
        <f t="shared" si="222"/>
        <v>10874</v>
      </c>
      <c r="AB285" s="185">
        <f t="shared" si="223"/>
        <v>4054.3900000000003</v>
      </c>
      <c r="AC285" s="185">
        <f t="shared" si="224"/>
        <v>6819.61</v>
      </c>
      <c r="AD285" s="185">
        <f t="shared" ref="AD285:AE300" si="248">+AD284</f>
        <v>134.16999999999999</v>
      </c>
      <c r="AE285" s="185">
        <f t="shared" si="248"/>
        <v>188.55</v>
      </c>
      <c r="AF285" s="185">
        <f t="shared" si="225"/>
        <v>11196.72</v>
      </c>
      <c r="AG285" s="185">
        <f t="shared" si="244"/>
        <v>366264.86</v>
      </c>
      <c r="AH285" s="185">
        <f t="shared" si="245"/>
        <v>2454942.1399999992</v>
      </c>
      <c r="AI285" s="411">
        <f t="shared" si="207"/>
        <v>2422859.8799999966</v>
      </c>
      <c r="AJ285" s="411">
        <f t="shared" si="247"/>
        <v>198395.00999999885</v>
      </c>
      <c r="AK285" s="411">
        <f t="shared" si="208"/>
        <v>2621254.8899999955</v>
      </c>
      <c r="AL285" s="185">
        <f t="shared" si="214"/>
        <v>619453.2300000008</v>
      </c>
      <c r="AM285" s="317">
        <f t="shared" si="231"/>
        <v>22</v>
      </c>
      <c r="AN285" s="14">
        <f t="shared" si="209"/>
        <v>19533.41</v>
      </c>
      <c r="AO285" s="14">
        <f t="shared" si="200"/>
        <v>817848.24</v>
      </c>
      <c r="AP285" s="14">
        <f t="shared" si="210"/>
        <v>10874</v>
      </c>
      <c r="AS285" s="14">
        <f t="shared" si="226"/>
        <v>19533.41</v>
      </c>
      <c r="AT285" s="14">
        <f t="shared" si="232"/>
        <v>5273540.1400000202</v>
      </c>
      <c r="AU285" s="185">
        <f t="shared" si="233"/>
        <v>4825.691283161892</v>
      </c>
      <c r="AV285" s="185">
        <f t="shared" si="234"/>
        <v>949002.20454791875</v>
      </c>
    </row>
    <row r="286" spans="1:48">
      <c r="A286" s="401" t="str">
        <f t="shared" si="235"/>
        <v xml:space="preserve"> </v>
      </c>
      <c r="B286" s="185">
        <f t="shared" si="227"/>
        <v>0</v>
      </c>
      <c r="C286" s="14">
        <f t="shared" si="218"/>
        <v>0</v>
      </c>
      <c r="D286" s="14">
        <f t="shared" si="236"/>
        <v>0</v>
      </c>
      <c r="E286" s="14">
        <f t="shared" si="219"/>
        <v>0</v>
      </c>
      <c r="F286" s="14">
        <f t="shared" si="246"/>
        <v>0</v>
      </c>
      <c r="G286" s="14">
        <f t="shared" si="246"/>
        <v>0</v>
      </c>
      <c r="H286" s="14">
        <f t="shared" si="204"/>
        <v>0</v>
      </c>
      <c r="I286" s="185">
        <f t="shared" si="237"/>
        <v>0</v>
      </c>
      <c r="J286" s="185">
        <f t="shared" si="238"/>
        <v>0</v>
      </c>
      <c r="K286" s="185">
        <f t="shared" si="239"/>
        <v>0</v>
      </c>
      <c r="L286" s="317">
        <f t="shared" si="201"/>
        <v>22</v>
      </c>
      <c r="M286" s="317">
        <f t="shared" si="228"/>
        <v>270</v>
      </c>
      <c r="N286" s="185">
        <f t="shared" si="229"/>
        <v>817848.23999999964</v>
      </c>
      <c r="O286" s="185">
        <f t="shared" si="211"/>
        <v>19533.41</v>
      </c>
      <c r="P286" s="185">
        <f t="shared" si="240"/>
        <v>3346.83</v>
      </c>
      <c r="Q286" s="185">
        <f t="shared" si="212"/>
        <v>16186.58</v>
      </c>
      <c r="R286" s="185">
        <f t="shared" si="220"/>
        <v>134.16999999999999</v>
      </c>
      <c r="S286" s="185">
        <f t="shared" si="220"/>
        <v>188.55</v>
      </c>
      <c r="T286" s="185">
        <f t="shared" si="205"/>
        <v>19856.129999999997</v>
      </c>
      <c r="U286" s="185">
        <f t="shared" si="241"/>
        <v>171598.59</v>
      </c>
      <c r="V286" s="185">
        <f t="shared" si="242"/>
        <v>5121955.5200000023</v>
      </c>
      <c r="W286" s="185">
        <f t="shared" si="243"/>
        <v>814501.40999999968</v>
      </c>
      <c r="X286" s="401" t="str">
        <f t="shared" si="230"/>
        <v xml:space="preserve"> </v>
      </c>
      <c r="Y286" s="185">
        <f t="shared" si="213"/>
        <v>619453.2300000008</v>
      </c>
      <c r="Z286" s="393">
        <f t="shared" si="221"/>
        <v>0.13125000000000001</v>
      </c>
      <c r="AA286" s="185">
        <f t="shared" si="222"/>
        <v>10874</v>
      </c>
      <c r="AB286" s="185">
        <f t="shared" si="223"/>
        <v>4098.7299999999996</v>
      </c>
      <c r="AC286" s="185">
        <f t="shared" si="224"/>
        <v>6775.27</v>
      </c>
      <c r="AD286" s="185">
        <f t="shared" si="248"/>
        <v>134.16999999999999</v>
      </c>
      <c r="AE286" s="185">
        <f t="shared" si="248"/>
        <v>188.55</v>
      </c>
      <c r="AF286" s="185">
        <f t="shared" si="225"/>
        <v>11196.72</v>
      </c>
      <c r="AG286" s="185">
        <f t="shared" si="244"/>
        <v>370363.58999999997</v>
      </c>
      <c r="AH286" s="185">
        <f t="shared" si="245"/>
        <v>2461717.4099999992</v>
      </c>
      <c r="AI286" s="411">
        <f t="shared" si="207"/>
        <v>2431519.2899999968</v>
      </c>
      <c r="AJ286" s="411">
        <f t="shared" si="247"/>
        <v>199146.90999999887</v>
      </c>
      <c r="AK286" s="411">
        <f t="shared" si="208"/>
        <v>2630666.1999999955</v>
      </c>
      <c r="AL286" s="185">
        <f t="shared" si="214"/>
        <v>615354.50000000081</v>
      </c>
      <c r="AM286" s="317">
        <f t="shared" si="231"/>
        <v>22</v>
      </c>
      <c r="AN286" s="14">
        <f t="shared" si="209"/>
        <v>19533.41</v>
      </c>
      <c r="AO286" s="14">
        <f t="shared" si="200"/>
        <v>814501.41</v>
      </c>
      <c r="AP286" s="14">
        <f t="shared" si="210"/>
        <v>10874</v>
      </c>
      <c r="AS286" s="14">
        <f t="shared" si="226"/>
        <v>19533.41</v>
      </c>
      <c r="AT286" s="14">
        <f t="shared" si="232"/>
        <v>5293073.5500000203</v>
      </c>
      <c r="AU286" s="185">
        <f t="shared" si="233"/>
        <v>4837.7555113697972</v>
      </c>
      <c r="AV286" s="185">
        <f t="shared" si="234"/>
        <v>953839.96005928854</v>
      </c>
    </row>
    <row r="287" spans="1:48">
      <c r="A287" s="401" t="str">
        <f t="shared" si="235"/>
        <v xml:space="preserve"> </v>
      </c>
      <c r="B287" s="185">
        <f t="shared" si="227"/>
        <v>0</v>
      </c>
      <c r="C287" s="14">
        <f t="shared" si="218"/>
        <v>0</v>
      </c>
      <c r="D287" s="14">
        <f t="shared" si="236"/>
        <v>0</v>
      </c>
      <c r="E287" s="14">
        <f t="shared" si="219"/>
        <v>0</v>
      </c>
      <c r="F287" s="14">
        <f t="shared" si="246"/>
        <v>0</v>
      </c>
      <c r="G287" s="14">
        <f t="shared" si="246"/>
        <v>0</v>
      </c>
      <c r="H287" s="14">
        <f t="shared" si="204"/>
        <v>0</v>
      </c>
      <c r="I287" s="185">
        <f t="shared" si="237"/>
        <v>0</v>
      </c>
      <c r="J287" s="185">
        <f t="shared" si="238"/>
        <v>0</v>
      </c>
      <c r="K287" s="185">
        <f t="shared" si="239"/>
        <v>0</v>
      </c>
      <c r="L287" s="317">
        <f t="shared" si="201"/>
        <v>22</v>
      </c>
      <c r="M287" s="317">
        <f t="shared" si="228"/>
        <v>271</v>
      </c>
      <c r="N287" s="185">
        <f t="shared" si="229"/>
        <v>814501.40999999968</v>
      </c>
      <c r="O287" s="185">
        <f t="shared" si="211"/>
        <v>19533.41</v>
      </c>
      <c r="P287" s="185">
        <f t="shared" si="240"/>
        <v>3413.0699999999997</v>
      </c>
      <c r="Q287" s="185">
        <f t="shared" si="212"/>
        <v>16120.34</v>
      </c>
      <c r="R287" s="185">
        <f t="shared" si="220"/>
        <v>134.16999999999999</v>
      </c>
      <c r="S287" s="185">
        <f t="shared" si="220"/>
        <v>188.55</v>
      </c>
      <c r="T287" s="185">
        <f t="shared" si="205"/>
        <v>19856.129999999997</v>
      </c>
      <c r="U287" s="185">
        <f t="shared" si="241"/>
        <v>175011.66</v>
      </c>
      <c r="V287" s="185">
        <f t="shared" si="242"/>
        <v>5138075.8600000022</v>
      </c>
      <c r="W287" s="185">
        <f t="shared" si="243"/>
        <v>811088.33999999973</v>
      </c>
      <c r="X287" s="401" t="str">
        <f t="shared" si="230"/>
        <v xml:space="preserve"> </v>
      </c>
      <c r="Y287" s="185">
        <f t="shared" si="213"/>
        <v>615354.50000000081</v>
      </c>
      <c r="Z287" s="393">
        <f t="shared" si="221"/>
        <v>0.13125000000000001</v>
      </c>
      <c r="AA287" s="185">
        <f t="shared" si="222"/>
        <v>10874</v>
      </c>
      <c r="AB287" s="185">
        <f t="shared" si="223"/>
        <v>4143.5600000000004</v>
      </c>
      <c r="AC287" s="185">
        <f t="shared" si="224"/>
        <v>6730.44</v>
      </c>
      <c r="AD287" s="185">
        <f t="shared" si="248"/>
        <v>134.16999999999999</v>
      </c>
      <c r="AE287" s="185">
        <f t="shared" si="248"/>
        <v>188.55</v>
      </c>
      <c r="AF287" s="185">
        <f t="shared" si="225"/>
        <v>11196.72</v>
      </c>
      <c r="AG287" s="185">
        <f t="shared" si="244"/>
        <v>374507.14999999997</v>
      </c>
      <c r="AH287" s="185">
        <f t="shared" si="245"/>
        <v>2468447.8499999992</v>
      </c>
      <c r="AI287" s="411">
        <f t="shared" si="207"/>
        <v>2440178.6999999969</v>
      </c>
      <c r="AJ287" s="411">
        <f t="shared" si="247"/>
        <v>199877.39999999898</v>
      </c>
      <c r="AK287" s="411">
        <f t="shared" si="208"/>
        <v>2640056.0999999959</v>
      </c>
      <c r="AL287" s="185">
        <f t="shared" si="214"/>
        <v>611210.94000000076</v>
      </c>
      <c r="AM287" s="317">
        <f t="shared" si="231"/>
        <v>22</v>
      </c>
      <c r="AN287" s="14">
        <f t="shared" si="209"/>
        <v>19533.41</v>
      </c>
      <c r="AO287" s="14">
        <f t="shared" si="200"/>
        <v>811088.34</v>
      </c>
      <c r="AP287" s="14">
        <f t="shared" si="210"/>
        <v>10874</v>
      </c>
      <c r="AS287" s="14">
        <f t="shared" si="226"/>
        <v>19533.41</v>
      </c>
      <c r="AT287" s="14">
        <f t="shared" si="232"/>
        <v>5312606.9600000205</v>
      </c>
      <c r="AU287" s="185">
        <f t="shared" si="233"/>
        <v>4849.8499001482205</v>
      </c>
      <c r="AV287" s="185">
        <f t="shared" si="234"/>
        <v>958689.80995943677</v>
      </c>
    </row>
    <row r="288" spans="1:48">
      <c r="A288" s="401" t="str">
        <f t="shared" si="235"/>
        <v xml:space="preserve"> </v>
      </c>
      <c r="B288" s="185">
        <f t="shared" si="227"/>
        <v>0</v>
      </c>
      <c r="C288" s="14">
        <f t="shared" si="218"/>
        <v>0</v>
      </c>
      <c r="D288" s="14">
        <f t="shared" si="236"/>
        <v>0</v>
      </c>
      <c r="E288" s="14">
        <f t="shared" si="219"/>
        <v>0</v>
      </c>
      <c r="F288" s="14">
        <f t="shared" si="246"/>
        <v>0</v>
      </c>
      <c r="G288" s="14">
        <f t="shared" si="246"/>
        <v>0</v>
      </c>
      <c r="H288" s="14">
        <f t="shared" si="204"/>
        <v>0</v>
      </c>
      <c r="I288" s="185">
        <f t="shared" si="237"/>
        <v>0</v>
      </c>
      <c r="J288" s="185">
        <f t="shared" si="238"/>
        <v>0</v>
      </c>
      <c r="K288" s="185">
        <f t="shared" si="239"/>
        <v>0</v>
      </c>
      <c r="L288" s="317">
        <f t="shared" si="201"/>
        <v>22</v>
      </c>
      <c r="M288" s="317">
        <f t="shared" si="228"/>
        <v>272</v>
      </c>
      <c r="N288" s="185">
        <f t="shared" si="229"/>
        <v>811088.33999999973</v>
      </c>
      <c r="O288" s="185">
        <f t="shared" si="211"/>
        <v>19533.41</v>
      </c>
      <c r="P288" s="185">
        <f t="shared" si="240"/>
        <v>3480.619999999999</v>
      </c>
      <c r="Q288" s="185">
        <f t="shared" si="212"/>
        <v>16052.79</v>
      </c>
      <c r="R288" s="185">
        <f t="shared" ref="R288:S303" si="249">+R287</f>
        <v>134.16999999999999</v>
      </c>
      <c r="S288" s="185">
        <f t="shared" si="249"/>
        <v>188.55</v>
      </c>
      <c r="T288" s="185">
        <f t="shared" si="205"/>
        <v>19856.129999999997</v>
      </c>
      <c r="U288" s="185">
        <f t="shared" si="241"/>
        <v>178492.28</v>
      </c>
      <c r="V288" s="185">
        <f t="shared" si="242"/>
        <v>5154128.6500000022</v>
      </c>
      <c r="W288" s="185">
        <f t="shared" si="243"/>
        <v>807607.71999999974</v>
      </c>
      <c r="X288" s="401" t="str">
        <f t="shared" si="230"/>
        <v xml:space="preserve"> </v>
      </c>
      <c r="Y288" s="185">
        <f t="shared" si="213"/>
        <v>611210.94000000076</v>
      </c>
      <c r="Z288" s="393">
        <f t="shared" si="221"/>
        <v>0.13125000000000001</v>
      </c>
      <c r="AA288" s="185">
        <f t="shared" si="222"/>
        <v>10874</v>
      </c>
      <c r="AB288" s="185">
        <f t="shared" si="223"/>
        <v>4188.88</v>
      </c>
      <c r="AC288" s="185">
        <f t="shared" si="224"/>
        <v>6685.12</v>
      </c>
      <c r="AD288" s="185">
        <f t="shared" si="248"/>
        <v>134.16999999999999</v>
      </c>
      <c r="AE288" s="185">
        <f t="shared" si="248"/>
        <v>188.55</v>
      </c>
      <c r="AF288" s="185">
        <f t="shared" si="225"/>
        <v>11196.72</v>
      </c>
      <c r="AG288" s="185">
        <f t="shared" si="244"/>
        <v>378696.02999999997</v>
      </c>
      <c r="AH288" s="185">
        <f t="shared" si="245"/>
        <v>2475132.9699999993</v>
      </c>
      <c r="AI288" s="411">
        <f t="shared" si="207"/>
        <v>2448838.1099999971</v>
      </c>
      <c r="AJ288" s="411">
        <f t="shared" si="247"/>
        <v>200585.65999999898</v>
      </c>
      <c r="AK288" s="411">
        <f t="shared" si="208"/>
        <v>2649423.7699999958</v>
      </c>
      <c r="AL288" s="185">
        <f t="shared" si="214"/>
        <v>607022.06000000075</v>
      </c>
      <c r="AM288" s="317">
        <f t="shared" si="231"/>
        <v>22</v>
      </c>
      <c r="AN288" s="14">
        <f t="shared" si="209"/>
        <v>19533.41</v>
      </c>
      <c r="AO288" s="14">
        <f t="shared" si="200"/>
        <v>807607.72</v>
      </c>
      <c r="AP288" s="14">
        <f t="shared" si="210"/>
        <v>10874</v>
      </c>
      <c r="AS288" s="14">
        <f t="shared" si="226"/>
        <v>19533.41</v>
      </c>
      <c r="AT288" s="14">
        <f t="shared" si="232"/>
        <v>5332140.3700000206</v>
      </c>
      <c r="AU288" s="185">
        <f t="shared" si="233"/>
        <v>4861.9745248985919</v>
      </c>
      <c r="AV288" s="185">
        <f t="shared" si="234"/>
        <v>963551.78448433534</v>
      </c>
    </row>
    <row r="289" spans="1:48">
      <c r="A289" s="401" t="str">
        <f t="shared" si="235"/>
        <v xml:space="preserve"> </v>
      </c>
      <c r="B289" s="185">
        <f t="shared" si="227"/>
        <v>0</v>
      </c>
      <c r="C289" s="14">
        <f t="shared" si="218"/>
        <v>0</v>
      </c>
      <c r="D289" s="14">
        <f t="shared" si="236"/>
        <v>0</v>
      </c>
      <c r="E289" s="14">
        <f t="shared" si="219"/>
        <v>0</v>
      </c>
      <c r="F289" s="14">
        <f t="shared" si="246"/>
        <v>0</v>
      </c>
      <c r="G289" s="14">
        <f t="shared" si="246"/>
        <v>0</v>
      </c>
      <c r="H289" s="14">
        <f t="shared" si="204"/>
        <v>0</v>
      </c>
      <c r="I289" s="185">
        <f t="shared" si="237"/>
        <v>0</v>
      </c>
      <c r="J289" s="185">
        <f t="shared" si="238"/>
        <v>0</v>
      </c>
      <c r="K289" s="185">
        <f t="shared" si="239"/>
        <v>0</v>
      </c>
      <c r="L289" s="317">
        <f t="shared" si="201"/>
        <v>22</v>
      </c>
      <c r="M289" s="317">
        <f t="shared" si="228"/>
        <v>273</v>
      </c>
      <c r="N289" s="185">
        <f t="shared" si="229"/>
        <v>807607.71999999974</v>
      </c>
      <c r="O289" s="185">
        <f t="shared" si="211"/>
        <v>19533.41</v>
      </c>
      <c r="P289" s="185">
        <f t="shared" si="240"/>
        <v>3549.51</v>
      </c>
      <c r="Q289" s="185">
        <f t="shared" si="212"/>
        <v>15983.9</v>
      </c>
      <c r="R289" s="185">
        <f t="shared" si="249"/>
        <v>134.16999999999999</v>
      </c>
      <c r="S289" s="185">
        <f t="shared" si="249"/>
        <v>188.55</v>
      </c>
      <c r="T289" s="185">
        <f t="shared" si="205"/>
        <v>19856.129999999997</v>
      </c>
      <c r="U289" s="185">
        <f t="shared" si="241"/>
        <v>182041.79</v>
      </c>
      <c r="V289" s="185">
        <f t="shared" si="242"/>
        <v>5170112.5500000026</v>
      </c>
      <c r="W289" s="185">
        <f t="shared" si="243"/>
        <v>804058.20999999973</v>
      </c>
      <c r="X289" s="401" t="str">
        <f t="shared" si="230"/>
        <v xml:space="preserve"> </v>
      </c>
      <c r="Y289" s="185">
        <f t="shared" si="213"/>
        <v>607022.06000000075</v>
      </c>
      <c r="Z289" s="393">
        <f t="shared" si="221"/>
        <v>0.13125000000000001</v>
      </c>
      <c r="AA289" s="185">
        <f t="shared" si="222"/>
        <v>10874</v>
      </c>
      <c r="AB289" s="185">
        <f t="shared" si="223"/>
        <v>4234.7</v>
      </c>
      <c r="AC289" s="185">
        <f t="shared" si="224"/>
        <v>6639.3</v>
      </c>
      <c r="AD289" s="185">
        <f t="shared" si="248"/>
        <v>134.16999999999999</v>
      </c>
      <c r="AE289" s="185">
        <f t="shared" si="248"/>
        <v>188.55</v>
      </c>
      <c r="AF289" s="185">
        <f t="shared" si="225"/>
        <v>11196.72</v>
      </c>
      <c r="AG289" s="185">
        <f t="shared" si="244"/>
        <v>382930.73</v>
      </c>
      <c r="AH289" s="185">
        <f t="shared" si="245"/>
        <v>2481772.2699999991</v>
      </c>
      <c r="AI289" s="411">
        <f t="shared" si="207"/>
        <v>2457497.5199999972</v>
      </c>
      <c r="AJ289" s="411">
        <f t="shared" si="247"/>
        <v>201270.84999999893</v>
      </c>
      <c r="AK289" s="411">
        <f t="shared" si="208"/>
        <v>2658768.3699999964</v>
      </c>
      <c r="AL289" s="185">
        <f t="shared" si="214"/>
        <v>602787.3600000008</v>
      </c>
      <c r="AM289" s="317">
        <f t="shared" si="231"/>
        <v>22</v>
      </c>
      <c r="AN289" s="14">
        <f t="shared" si="209"/>
        <v>19533.41</v>
      </c>
      <c r="AO289" s="14">
        <f t="shared" si="200"/>
        <v>804058.21</v>
      </c>
      <c r="AP289" s="14">
        <f t="shared" si="210"/>
        <v>10874</v>
      </c>
      <c r="AS289" s="14">
        <f t="shared" si="226"/>
        <v>19533.41</v>
      </c>
      <c r="AT289" s="14">
        <f t="shared" si="232"/>
        <v>5351673.7800000207</v>
      </c>
      <c r="AU289" s="185">
        <f t="shared" si="233"/>
        <v>4874.1294612108377</v>
      </c>
      <c r="AV289" s="185">
        <f t="shared" si="234"/>
        <v>968425.91394554614</v>
      </c>
    </row>
    <row r="290" spans="1:48">
      <c r="A290" s="401" t="str">
        <f t="shared" si="235"/>
        <v xml:space="preserve"> </v>
      </c>
      <c r="B290" s="185">
        <f t="shared" si="227"/>
        <v>0</v>
      </c>
      <c r="C290" s="14">
        <f t="shared" si="218"/>
        <v>0</v>
      </c>
      <c r="D290" s="14">
        <f t="shared" si="236"/>
        <v>0</v>
      </c>
      <c r="E290" s="14">
        <f t="shared" si="219"/>
        <v>0</v>
      </c>
      <c r="F290" s="14">
        <f t="shared" si="246"/>
        <v>0</v>
      </c>
      <c r="G290" s="14">
        <f t="shared" si="246"/>
        <v>0</v>
      </c>
      <c r="H290" s="14">
        <f t="shared" si="204"/>
        <v>0</v>
      </c>
      <c r="I290" s="185">
        <f t="shared" si="237"/>
        <v>0</v>
      </c>
      <c r="J290" s="185">
        <f t="shared" si="238"/>
        <v>0</v>
      </c>
      <c r="K290" s="185">
        <f t="shared" si="239"/>
        <v>0</v>
      </c>
      <c r="L290" s="317">
        <f t="shared" si="201"/>
        <v>22</v>
      </c>
      <c r="M290" s="317">
        <f t="shared" si="228"/>
        <v>274</v>
      </c>
      <c r="N290" s="185">
        <f t="shared" si="229"/>
        <v>804058.20999999973</v>
      </c>
      <c r="O290" s="185">
        <f t="shared" si="211"/>
        <v>19533.41</v>
      </c>
      <c r="P290" s="185">
        <f t="shared" si="240"/>
        <v>3619.76</v>
      </c>
      <c r="Q290" s="185">
        <f t="shared" si="212"/>
        <v>15913.65</v>
      </c>
      <c r="R290" s="185">
        <f t="shared" si="249"/>
        <v>134.16999999999999</v>
      </c>
      <c r="S290" s="185">
        <f t="shared" si="249"/>
        <v>188.55</v>
      </c>
      <c r="T290" s="185">
        <f t="shared" si="205"/>
        <v>19856.129999999997</v>
      </c>
      <c r="U290" s="185">
        <f t="shared" si="241"/>
        <v>185661.55000000002</v>
      </c>
      <c r="V290" s="185">
        <f t="shared" si="242"/>
        <v>5186026.200000003</v>
      </c>
      <c r="W290" s="185">
        <f t="shared" si="243"/>
        <v>800438.44999999972</v>
      </c>
      <c r="X290" s="401" t="str">
        <f t="shared" si="230"/>
        <v xml:space="preserve"> </v>
      </c>
      <c r="Y290" s="185">
        <f t="shared" si="213"/>
        <v>602787.3600000008</v>
      </c>
      <c r="Z290" s="393">
        <f t="shared" si="221"/>
        <v>0.13125000000000001</v>
      </c>
      <c r="AA290" s="185">
        <f t="shared" si="222"/>
        <v>10874</v>
      </c>
      <c r="AB290" s="185">
        <f t="shared" si="223"/>
        <v>4281.01</v>
      </c>
      <c r="AC290" s="185">
        <f t="shared" si="224"/>
        <v>6592.99</v>
      </c>
      <c r="AD290" s="185">
        <f t="shared" si="248"/>
        <v>134.16999999999999</v>
      </c>
      <c r="AE290" s="185">
        <f t="shared" si="248"/>
        <v>188.55</v>
      </c>
      <c r="AF290" s="185">
        <f t="shared" si="225"/>
        <v>11196.72</v>
      </c>
      <c r="AG290" s="185">
        <f t="shared" si="244"/>
        <v>387211.74</v>
      </c>
      <c r="AH290" s="185">
        <f t="shared" si="245"/>
        <v>2488365.2599999993</v>
      </c>
      <c r="AI290" s="411">
        <f t="shared" si="207"/>
        <v>2466156.9299999974</v>
      </c>
      <c r="AJ290" s="411">
        <f t="shared" si="247"/>
        <v>201932.09999999893</v>
      </c>
      <c r="AK290" s="411">
        <f t="shared" si="208"/>
        <v>2668089.0299999965</v>
      </c>
      <c r="AL290" s="185">
        <f t="shared" si="214"/>
        <v>598506.35000000079</v>
      </c>
      <c r="AM290" s="317">
        <f t="shared" si="231"/>
        <v>22</v>
      </c>
      <c r="AN290" s="14">
        <f t="shared" si="209"/>
        <v>19533.41</v>
      </c>
      <c r="AO290" s="14">
        <f t="shared" si="200"/>
        <v>800438.45</v>
      </c>
      <c r="AP290" s="14">
        <f t="shared" si="210"/>
        <v>10874</v>
      </c>
      <c r="AS290" s="14">
        <f t="shared" si="226"/>
        <v>19533.41</v>
      </c>
      <c r="AT290" s="14">
        <f t="shared" si="232"/>
        <v>5371207.1900000209</v>
      </c>
      <c r="AU290" s="185">
        <f t="shared" si="233"/>
        <v>4886.3147848638646</v>
      </c>
      <c r="AV290" s="185">
        <f t="shared" si="234"/>
        <v>973312.22873040999</v>
      </c>
    </row>
    <row r="291" spans="1:48" ht="15.75" thickBot="1">
      <c r="A291" s="404" t="str">
        <f t="shared" si="235"/>
        <v xml:space="preserve"> </v>
      </c>
      <c r="B291" s="237">
        <f t="shared" si="227"/>
        <v>0</v>
      </c>
      <c r="C291" s="21">
        <f t="shared" si="218"/>
        <v>0</v>
      </c>
      <c r="D291" s="21">
        <f t="shared" si="236"/>
        <v>0</v>
      </c>
      <c r="E291" s="21">
        <f t="shared" si="219"/>
        <v>0</v>
      </c>
      <c r="F291" s="21">
        <f t="shared" si="246"/>
        <v>0</v>
      </c>
      <c r="G291" s="21">
        <f t="shared" si="246"/>
        <v>0</v>
      </c>
      <c r="H291" s="21">
        <f t="shared" si="204"/>
        <v>0</v>
      </c>
      <c r="I291" s="237">
        <f t="shared" si="237"/>
        <v>0</v>
      </c>
      <c r="J291" s="237">
        <f t="shared" si="238"/>
        <v>0</v>
      </c>
      <c r="K291" s="237">
        <f t="shared" si="239"/>
        <v>0</v>
      </c>
      <c r="L291" s="318">
        <f t="shared" si="201"/>
        <v>22</v>
      </c>
      <c r="M291" s="318">
        <f t="shared" si="228"/>
        <v>275</v>
      </c>
      <c r="N291" s="237">
        <f t="shared" si="229"/>
        <v>800438.44999999972</v>
      </c>
      <c r="O291" s="237">
        <f t="shared" si="211"/>
        <v>19533.41</v>
      </c>
      <c r="P291" s="237">
        <f t="shared" si="240"/>
        <v>3691.3999999999996</v>
      </c>
      <c r="Q291" s="237">
        <f t="shared" si="212"/>
        <v>15842.01</v>
      </c>
      <c r="R291" s="237">
        <f t="shared" si="249"/>
        <v>134.16999999999999</v>
      </c>
      <c r="S291" s="237">
        <f t="shared" si="249"/>
        <v>188.55</v>
      </c>
      <c r="T291" s="237">
        <f t="shared" si="205"/>
        <v>19856.129999999997</v>
      </c>
      <c r="U291" s="237">
        <f t="shared" si="241"/>
        <v>189352.95</v>
      </c>
      <c r="V291" s="237">
        <f t="shared" si="242"/>
        <v>5201868.2100000028</v>
      </c>
      <c r="W291" s="237">
        <f t="shared" si="243"/>
        <v>796747.0499999997</v>
      </c>
      <c r="X291" s="404" t="str">
        <f t="shared" si="230"/>
        <v xml:space="preserve"> </v>
      </c>
      <c r="Y291" s="237">
        <f t="shared" si="213"/>
        <v>598506.35000000079</v>
      </c>
      <c r="Z291" s="394">
        <f t="shared" si="221"/>
        <v>0.13125000000000001</v>
      </c>
      <c r="AA291" s="237">
        <f t="shared" si="222"/>
        <v>10874</v>
      </c>
      <c r="AB291" s="237">
        <f t="shared" si="223"/>
        <v>4327.84</v>
      </c>
      <c r="AC291" s="237">
        <f t="shared" si="224"/>
        <v>6546.16</v>
      </c>
      <c r="AD291" s="237">
        <f t="shared" si="248"/>
        <v>134.16999999999999</v>
      </c>
      <c r="AE291" s="237">
        <f t="shared" si="248"/>
        <v>188.55</v>
      </c>
      <c r="AF291" s="237">
        <f t="shared" si="225"/>
        <v>11196.72</v>
      </c>
      <c r="AG291" s="237">
        <f t="shared" si="244"/>
        <v>391539.58</v>
      </c>
      <c r="AH291" s="237">
        <f t="shared" si="245"/>
        <v>2494911.4199999995</v>
      </c>
      <c r="AI291" s="412">
        <f t="shared" si="207"/>
        <v>2474816.3399999975</v>
      </c>
      <c r="AJ291" s="412">
        <f t="shared" si="247"/>
        <v>202568.53999999887</v>
      </c>
      <c r="AK291" s="411">
        <f t="shared" si="208"/>
        <v>2677384.8799999962</v>
      </c>
      <c r="AL291" s="237">
        <f t="shared" si="214"/>
        <v>594178.51000000082</v>
      </c>
      <c r="AM291" s="318">
        <f t="shared" si="231"/>
        <v>22</v>
      </c>
      <c r="AN291" s="21">
        <f t="shared" si="209"/>
        <v>19533.41</v>
      </c>
      <c r="AO291" s="21">
        <f t="shared" si="200"/>
        <v>796747.05</v>
      </c>
      <c r="AP291" s="21">
        <f t="shared" si="210"/>
        <v>10874</v>
      </c>
      <c r="AQ291" s="21"/>
      <c r="AR291" s="23"/>
      <c r="AS291" s="21">
        <f t="shared" si="226"/>
        <v>19533.41</v>
      </c>
      <c r="AT291" s="21">
        <f t="shared" si="232"/>
        <v>5390740.600000021</v>
      </c>
      <c r="AU291" s="237">
        <f t="shared" si="233"/>
        <v>4898.5305718260242</v>
      </c>
      <c r="AV291" s="237">
        <f t="shared" si="234"/>
        <v>978210.75930223602</v>
      </c>
    </row>
    <row r="292" spans="1:48">
      <c r="A292" s="401" t="str">
        <f t="shared" si="235"/>
        <v xml:space="preserve"> </v>
      </c>
      <c r="B292" s="185">
        <f t="shared" si="227"/>
        <v>0</v>
      </c>
      <c r="C292" s="14">
        <f t="shared" si="218"/>
        <v>0</v>
      </c>
      <c r="D292" s="14">
        <f t="shared" si="236"/>
        <v>0</v>
      </c>
      <c r="E292" s="14">
        <f t="shared" si="219"/>
        <v>0</v>
      </c>
      <c r="F292" s="14">
        <f t="shared" si="246"/>
        <v>0</v>
      </c>
      <c r="G292" s="14">
        <f t="shared" si="246"/>
        <v>0</v>
      </c>
      <c r="H292" s="14">
        <f t="shared" si="204"/>
        <v>0</v>
      </c>
      <c r="I292" s="185">
        <f t="shared" si="237"/>
        <v>0</v>
      </c>
      <c r="J292" s="185">
        <f t="shared" si="238"/>
        <v>0</v>
      </c>
      <c r="K292" s="185">
        <f t="shared" si="239"/>
        <v>0</v>
      </c>
      <c r="L292" s="317">
        <f t="shared" si="201"/>
        <v>23</v>
      </c>
      <c r="M292" s="317">
        <f t="shared" si="228"/>
        <v>276</v>
      </c>
      <c r="N292" s="185">
        <f t="shared" si="229"/>
        <v>796747.0499999997</v>
      </c>
      <c r="O292" s="185">
        <f t="shared" si="211"/>
        <v>19533.41</v>
      </c>
      <c r="P292" s="185">
        <f t="shared" si="240"/>
        <v>3764.4599999999991</v>
      </c>
      <c r="Q292" s="185">
        <f t="shared" si="212"/>
        <v>15768.95</v>
      </c>
      <c r="R292" s="185">
        <f t="shared" si="249"/>
        <v>134.16999999999999</v>
      </c>
      <c r="S292" s="185">
        <f t="shared" si="249"/>
        <v>188.55</v>
      </c>
      <c r="T292" s="185">
        <f t="shared" si="205"/>
        <v>19856.129999999997</v>
      </c>
      <c r="U292" s="185">
        <f t="shared" si="241"/>
        <v>193117.41</v>
      </c>
      <c r="V292" s="185">
        <f t="shared" si="242"/>
        <v>5217637.1600000029</v>
      </c>
      <c r="W292" s="185">
        <f t="shared" si="243"/>
        <v>792982.58999999973</v>
      </c>
      <c r="X292" s="401" t="str">
        <f t="shared" si="230"/>
        <v xml:space="preserve"> </v>
      </c>
      <c r="Y292" s="185">
        <f t="shared" si="213"/>
        <v>594178.51000000082</v>
      </c>
      <c r="Z292" s="393">
        <f t="shared" si="221"/>
        <v>0.13125000000000001</v>
      </c>
      <c r="AA292" s="185">
        <f t="shared" si="222"/>
        <v>10874</v>
      </c>
      <c r="AB292" s="185">
        <f t="shared" si="223"/>
        <v>4375.17</v>
      </c>
      <c r="AC292" s="185">
        <f t="shared" si="224"/>
        <v>6498.83</v>
      </c>
      <c r="AD292" s="185">
        <f t="shared" si="248"/>
        <v>134.16999999999999</v>
      </c>
      <c r="AE292" s="185">
        <f t="shared" si="248"/>
        <v>188.55</v>
      </c>
      <c r="AF292" s="185">
        <f t="shared" si="225"/>
        <v>11196.72</v>
      </c>
      <c r="AG292" s="185">
        <f t="shared" si="244"/>
        <v>395914.75</v>
      </c>
      <c r="AH292" s="185">
        <f t="shared" si="245"/>
        <v>2501410.2499999995</v>
      </c>
      <c r="AI292" s="411">
        <f t="shared" si="207"/>
        <v>2483475.7499999977</v>
      </c>
      <c r="AJ292" s="411">
        <f t="shared" si="247"/>
        <v>203179.24999999895</v>
      </c>
      <c r="AK292" s="411">
        <f t="shared" si="208"/>
        <v>2686654.9999999967</v>
      </c>
      <c r="AL292" s="185">
        <f t="shared" si="214"/>
        <v>589803.34000000078</v>
      </c>
      <c r="AM292" s="317">
        <f t="shared" si="231"/>
        <v>23</v>
      </c>
      <c r="AN292" s="14">
        <f t="shared" si="209"/>
        <v>19533.41</v>
      </c>
      <c r="AO292" s="14">
        <f t="shared" si="200"/>
        <v>792982.59</v>
      </c>
      <c r="AP292" s="14">
        <f t="shared" si="210"/>
        <v>10874</v>
      </c>
      <c r="AS292" s="14">
        <f t="shared" si="226"/>
        <v>19533.41</v>
      </c>
      <c r="AT292" s="14">
        <f t="shared" si="232"/>
        <v>5410274.0100000212</v>
      </c>
      <c r="AU292" s="185">
        <f t="shared" si="233"/>
        <v>4910.7768982555899</v>
      </c>
      <c r="AV292" s="185">
        <f t="shared" si="234"/>
        <v>983121.5362004916</v>
      </c>
    </row>
    <row r="293" spans="1:48">
      <c r="A293" s="401" t="str">
        <f t="shared" si="235"/>
        <v xml:space="preserve"> </v>
      </c>
      <c r="B293" s="185">
        <f t="shared" si="227"/>
        <v>0</v>
      </c>
      <c r="C293" s="14">
        <f t="shared" si="218"/>
        <v>0</v>
      </c>
      <c r="D293" s="14">
        <f t="shared" si="236"/>
        <v>0</v>
      </c>
      <c r="E293" s="14">
        <f t="shared" si="219"/>
        <v>0</v>
      </c>
      <c r="F293" s="14">
        <f t="shared" si="246"/>
        <v>0</v>
      </c>
      <c r="G293" s="14">
        <f t="shared" si="246"/>
        <v>0</v>
      </c>
      <c r="H293" s="14">
        <f t="shared" si="204"/>
        <v>0</v>
      </c>
      <c r="I293" s="185">
        <f t="shared" si="237"/>
        <v>0</v>
      </c>
      <c r="J293" s="185">
        <f t="shared" si="238"/>
        <v>0</v>
      </c>
      <c r="K293" s="185">
        <f t="shared" si="239"/>
        <v>0</v>
      </c>
      <c r="L293" s="317">
        <f t="shared" si="201"/>
        <v>23</v>
      </c>
      <c r="M293" s="317">
        <f t="shared" si="228"/>
        <v>277</v>
      </c>
      <c r="N293" s="185">
        <f t="shared" si="229"/>
        <v>792982.58999999973</v>
      </c>
      <c r="O293" s="185">
        <f t="shared" si="211"/>
        <v>19533.41</v>
      </c>
      <c r="P293" s="185">
        <f t="shared" si="240"/>
        <v>3838.9599999999991</v>
      </c>
      <c r="Q293" s="185">
        <f t="shared" si="212"/>
        <v>15694.45</v>
      </c>
      <c r="R293" s="185">
        <f t="shared" si="249"/>
        <v>134.16999999999999</v>
      </c>
      <c r="S293" s="185">
        <f t="shared" si="249"/>
        <v>188.55</v>
      </c>
      <c r="T293" s="185">
        <f t="shared" si="205"/>
        <v>19856.129999999997</v>
      </c>
      <c r="U293" s="185">
        <f t="shared" si="241"/>
        <v>196956.37</v>
      </c>
      <c r="V293" s="185">
        <f t="shared" si="242"/>
        <v>5233331.6100000031</v>
      </c>
      <c r="W293" s="185">
        <f t="shared" si="243"/>
        <v>789143.62999999977</v>
      </c>
      <c r="X293" s="401" t="str">
        <f t="shared" si="230"/>
        <v xml:space="preserve"> </v>
      </c>
      <c r="Y293" s="185">
        <f t="shared" si="213"/>
        <v>589803.34000000078</v>
      </c>
      <c r="Z293" s="393">
        <f t="shared" si="221"/>
        <v>0.13125000000000001</v>
      </c>
      <c r="AA293" s="185">
        <f t="shared" si="222"/>
        <v>10874</v>
      </c>
      <c r="AB293" s="185">
        <f t="shared" si="223"/>
        <v>4423.03</v>
      </c>
      <c r="AC293" s="185">
        <f t="shared" si="224"/>
        <v>6450.97</v>
      </c>
      <c r="AD293" s="185">
        <f t="shared" si="248"/>
        <v>134.16999999999999</v>
      </c>
      <c r="AE293" s="185">
        <f t="shared" si="248"/>
        <v>188.55</v>
      </c>
      <c r="AF293" s="185">
        <f t="shared" si="225"/>
        <v>11196.72</v>
      </c>
      <c r="AG293" s="185">
        <f t="shared" si="244"/>
        <v>400337.78</v>
      </c>
      <c r="AH293" s="185">
        <f t="shared" si="245"/>
        <v>2507861.2199999997</v>
      </c>
      <c r="AI293" s="411">
        <f t="shared" si="207"/>
        <v>2492135.1599999978</v>
      </c>
      <c r="AJ293" s="411">
        <f t="shared" si="247"/>
        <v>203763.31999999902</v>
      </c>
      <c r="AK293" s="411">
        <f t="shared" si="208"/>
        <v>2695898.4799999967</v>
      </c>
      <c r="AL293" s="185">
        <f t="shared" si="214"/>
        <v>585380.31000000075</v>
      </c>
      <c r="AM293" s="317">
        <f t="shared" si="231"/>
        <v>23</v>
      </c>
      <c r="AN293" s="14">
        <f t="shared" si="209"/>
        <v>19533.41</v>
      </c>
      <c r="AO293" s="14">
        <f t="shared" si="200"/>
        <v>789143.63</v>
      </c>
      <c r="AP293" s="14">
        <f t="shared" si="210"/>
        <v>10874</v>
      </c>
      <c r="AS293" s="14">
        <f t="shared" si="226"/>
        <v>19533.41</v>
      </c>
      <c r="AT293" s="14">
        <f t="shared" si="232"/>
        <v>5429807.4200000213</v>
      </c>
      <c r="AU293" s="185">
        <f t="shared" si="233"/>
        <v>4923.0538405012294</v>
      </c>
      <c r="AV293" s="185">
        <f t="shared" si="234"/>
        <v>988044.59004099283</v>
      </c>
    </row>
    <row r="294" spans="1:48">
      <c r="A294" s="401" t="str">
        <f t="shared" si="235"/>
        <v xml:space="preserve"> </v>
      </c>
      <c r="B294" s="185">
        <f t="shared" si="227"/>
        <v>0</v>
      </c>
      <c r="C294" s="14">
        <f t="shared" si="218"/>
        <v>0</v>
      </c>
      <c r="D294" s="14">
        <f t="shared" si="236"/>
        <v>0</v>
      </c>
      <c r="E294" s="14">
        <f t="shared" si="219"/>
        <v>0</v>
      </c>
      <c r="F294" s="14">
        <f t="shared" si="246"/>
        <v>0</v>
      </c>
      <c r="G294" s="14">
        <f t="shared" si="246"/>
        <v>0</v>
      </c>
      <c r="H294" s="14">
        <f t="shared" si="204"/>
        <v>0</v>
      </c>
      <c r="I294" s="185">
        <f t="shared" si="237"/>
        <v>0</v>
      </c>
      <c r="J294" s="185">
        <f t="shared" si="238"/>
        <v>0</v>
      </c>
      <c r="K294" s="185">
        <f t="shared" si="239"/>
        <v>0</v>
      </c>
      <c r="L294" s="317">
        <f t="shared" si="201"/>
        <v>23</v>
      </c>
      <c r="M294" s="317">
        <f t="shared" si="228"/>
        <v>278</v>
      </c>
      <c r="N294" s="185">
        <f t="shared" si="229"/>
        <v>789143.62999999977</v>
      </c>
      <c r="O294" s="185">
        <f t="shared" si="211"/>
        <v>19533.41</v>
      </c>
      <c r="P294" s="185">
        <f t="shared" si="240"/>
        <v>3914.9400000000005</v>
      </c>
      <c r="Q294" s="185">
        <f t="shared" si="212"/>
        <v>15618.47</v>
      </c>
      <c r="R294" s="185">
        <f t="shared" si="249"/>
        <v>134.16999999999999</v>
      </c>
      <c r="S294" s="185">
        <f t="shared" si="249"/>
        <v>188.55</v>
      </c>
      <c r="T294" s="185">
        <f t="shared" si="205"/>
        <v>19856.129999999997</v>
      </c>
      <c r="U294" s="185">
        <f t="shared" si="241"/>
        <v>200871.31</v>
      </c>
      <c r="V294" s="185">
        <f t="shared" si="242"/>
        <v>5248950.0800000029</v>
      </c>
      <c r="W294" s="185">
        <f t="shared" si="243"/>
        <v>785228.68999999983</v>
      </c>
      <c r="X294" s="401" t="str">
        <f t="shared" si="230"/>
        <v xml:space="preserve"> </v>
      </c>
      <c r="Y294" s="185">
        <f t="shared" si="213"/>
        <v>585380.31000000075</v>
      </c>
      <c r="Z294" s="393">
        <f t="shared" si="221"/>
        <v>0.13125000000000001</v>
      </c>
      <c r="AA294" s="185">
        <f t="shared" si="222"/>
        <v>10874</v>
      </c>
      <c r="AB294" s="185">
        <f t="shared" si="223"/>
        <v>4471.3999999999996</v>
      </c>
      <c r="AC294" s="185">
        <f t="shared" si="224"/>
        <v>6402.6</v>
      </c>
      <c r="AD294" s="185">
        <f t="shared" si="248"/>
        <v>134.16999999999999</v>
      </c>
      <c r="AE294" s="185">
        <f t="shared" si="248"/>
        <v>188.55</v>
      </c>
      <c r="AF294" s="185">
        <f t="shared" si="225"/>
        <v>11196.72</v>
      </c>
      <c r="AG294" s="185">
        <f t="shared" si="244"/>
        <v>404809.18000000005</v>
      </c>
      <c r="AH294" s="185">
        <f t="shared" si="245"/>
        <v>2514263.8199999998</v>
      </c>
      <c r="AI294" s="411">
        <f t="shared" si="207"/>
        <v>2500794.569999998</v>
      </c>
      <c r="AJ294" s="411">
        <f t="shared" si="247"/>
        <v>204319.7799999991</v>
      </c>
      <c r="AK294" s="411">
        <f t="shared" si="208"/>
        <v>2705114.3499999968</v>
      </c>
      <c r="AL294" s="185">
        <f t="shared" si="214"/>
        <v>580908.91000000073</v>
      </c>
      <c r="AM294" s="317">
        <f t="shared" si="231"/>
        <v>23</v>
      </c>
      <c r="AN294" s="14">
        <f t="shared" si="209"/>
        <v>19533.41</v>
      </c>
      <c r="AO294" s="14">
        <f t="shared" si="200"/>
        <v>785228.69</v>
      </c>
      <c r="AP294" s="14">
        <f t="shared" si="210"/>
        <v>10874</v>
      </c>
      <c r="AS294" s="14">
        <f t="shared" si="226"/>
        <v>19533.41</v>
      </c>
      <c r="AT294" s="14">
        <f t="shared" si="232"/>
        <v>5449340.8300000215</v>
      </c>
      <c r="AU294" s="185">
        <f t="shared" si="233"/>
        <v>4935.3614751024825</v>
      </c>
      <c r="AV294" s="185">
        <f t="shared" si="234"/>
        <v>992979.95151609532</v>
      </c>
    </row>
    <row r="295" spans="1:48">
      <c r="A295" s="401" t="str">
        <f t="shared" si="235"/>
        <v xml:space="preserve"> </v>
      </c>
      <c r="B295" s="185">
        <f t="shared" si="227"/>
        <v>0</v>
      </c>
      <c r="C295" s="14">
        <f t="shared" si="218"/>
        <v>0</v>
      </c>
      <c r="D295" s="14">
        <f t="shared" si="236"/>
        <v>0</v>
      </c>
      <c r="E295" s="14">
        <f t="shared" si="219"/>
        <v>0</v>
      </c>
      <c r="F295" s="14">
        <f t="shared" si="246"/>
        <v>0</v>
      </c>
      <c r="G295" s="14">
        <f t="shared" si="246"/>
        <v>0</v>
      </c>
      <c r="H295" s="14">
        <f t="shared" si="204"/>
        <v>0</v>
      </c>
      <c r="I295" s="185">
        <f t="shared" si="237"/>
        <v>0</v>
      </c>
      <c r="J295" s="185">
        <f t="shared" si="238"/>
        <v>0</v>
      </c>
      <c r="K295" s="185">
        <f t="shared" si="239"/>
        <v>0</v>
      </c>
      <c r="L295" s="317">
        <f t="shared" si="201"/>
        <v>23</v>
      </c>
      <c r="M295" s="317">
        <f t="shared" si="228"/>
        <v>279</v>
      </c>
      <c r="N295" s="185">
        <f t="shared" si="229"/>
        <v>785228.68999999983</v>
      </c>
      <c r="O295" s="185">
        <f t="shared" si="211"/>
        <v>19533.41</v>
      </c>
      <c r="P295" s="185">
        <f t="shared" si="240"/>
        <v>3992.4300000000003</v>
      </c>
      <c r="Q295" s="185">
        <f t="shared" si="212"/>
        <v>15540.98</v>
      </c>
      <c r="R295" s="185">
        <f t="shared" si="249"/>
        <v>134.16999999999999</v>
      </c>
      <c r="S295" s="185">
        <f t="shared" si="249"/>
        <v>188.55</v>
      </c>
      <c r="T295" s="185">
        <f t="shared" si="205"/>
        <v>19856.129999999997</v>
      </c>
      <c r="U295" s="185">
        <f t="shared" si="241"/>
        <v>204863.74</v>
      </c>
      <c r="V295" s="185">
        <f t="shared" si="242"/>
        <v>5264491.0600000033</v>
      </c>
      <c r="W295" s="185">
        <f t="shared" si="243"/>
        <v>781236.25999999978</v>
      </c>
      <c r="X295" s="401" t="str">
        <f t="shared" si="230"/>
        <v xml:space="preserve"> </v>
      </c>
      <c r="Y295" s="185">
        <f t="shared" si="213"/>
        <v>580908.91000000073</v>
      </c>
      <c r="Z295" s="393">
        <f t="shared" si="221"/>
        <v>0.13125000000000001</v>
      </c>
      <c r="AA295" s="185">
        <f t="shared" si="222"/>
        <v>10874</v>
      </c>
      <c r="AB295" s="185">
        <f t="shared" si="223"/>
        <v>4520.3100000000004</v>
      </c>
      <c r="AC295" s="185">
        <f t="shared" si="224"/>
        <v>6353.69</v>
      </c>
      <c r="AD295" s="185">
        <f t="shared" si="248"/>
        <v>134.16999999999999</v>
      </c>
      <c r="AE295" s="185">
        <f t="shared" si="248"/>
        <v>188.55</v>
      </c>
      <c r="AF295" s="185">
        <f t="shared" si="225"/>
        <v>11196.72</v>
      </c>
      <c r="AG295" s="185">
        <f t="shared" si="244"/>
        <v>409329.49000000005</v>
      </c>
      <c r="AH295" s="185">
        <f t="shared" si="245"/>
        <v>2520617.5099999998</v>
      </c>
      <c r="AI295" s="411">
        <f t="shared" si="207"/>
        <v>2509453.9799999981</v>
      </c>
      <c r="AJ295" s="411">
        <f t="shared" si="247"/>
        <v>204847.6599999991</v>
      </c>
      <c r="AK295" s="411">
        <f t="shared" si="208"/>
        <v>2714301.6399999973</v>
      </c>
      <c r="AL295" s="185">
        <f t="shared" si="214"/>
        <v>576388.60000000068</v>
      </c>
      <c r="AM295" s="317">
        <f t="shared" si="231"/>
        <v>23</v>
      </c>
      <c r="AN295" s="14">
        <f t="shared" si="209"/>
        <v>19533.41</v>
      </c>
      <c r="AO295" s="14">
        <f t="shared" si="200"/>
        <v>781236.26</v>
      </c>
      <c r="AP295" s="14">
        <f t="shared" si="210"/>
        <v>10874</v>
      </c>
      <c r="AS295" s="14">
        <f t="shared" si="226"/>
        <v>19533.41</v>
      </c>
      <c r="AT295" s="14">
        <f t="shared" si="232"/>
        <v>5468874.2400000216</v>
      </c>
      <c r="AU295" s="185">
        <f t="shared" si="233"/>
        <v>4947.6998787902385</v>
      </c>
      <c r="AV295" s="185">
        <f t="shared" si="234"/>
        <v>997927.6513948855</v>
      </c>
    </row>
    <row r="296" spans="1:48">
      <c r="A296" s="401" t="str">
        <f t="shared" si="235"/>
        <v xml:space="preserve"> </v>
      </c>
      <c r="B296" s="185">
        <f t="shared" si="227"/>
        <v>0</v>
      </c>
      <c r="C296" s="14">
        <f t="shared" si="218"/>
        <v>0</v>
      </c>
      <c r="D296" s="14">
        <f t="shared" si="236"/>
        <v>0</v>
      </c>
      <c r="E296" s="14">
        <f t="shared" si="219"/>
        <v>0</v>
      </c>
      <c r="F296" s="14">
        <f t="shared" si="246"/>
        <v>0</v>
      </c>
      <c r="G296" s="14">
        <f t="shared" si="246"/>
        <v>0</v>
      </c>
      <c r="H296" s="14">
        <f t="shared" si="204"/>
        <v>0</v>
      </c>
      <c r="I296" s="185">
        <f t="shared" si="237"/>
        <v>0</v>
      </c>
      <c r="J296" s="185">
        <f t="shared" si="238"/>
        <v>0</v>
      </c>
      <c r="K296" s="185">
        <f t="shared" si="239"/>
        <v>0</v>
      </c>
      <c r="L296" s="317">
        <f t="shared" si="201"/>
        <v>23</v>
      </c>
      <c r="M296" s="317">
        <f t="shared" si="228"/>
        <v>280</v>
      </c>
      <c r="N296" s="185">
        <f t="shared" si="229"/>
        <v>781236.25999999978</v>
      </c>
      <c r="O296" s="185">
        <f t="shared" si="211"/>
        <v>19533.41</v>
      </c>
      <c r="P296" s="185">
        <f t="shared" si="240"/>
        <v>4071.4400000000005</v>
      </c>
      <c r="Q296" s="185">
        <f t="shared" si="212"/>
        <v>15461.97</v>
      </c>
      <c r="R296" s="185">
        <f t="shared" si="249"/>
        <v>134.16999999999999</v>
      </c>
      <c r="S296" s="185">
        <f t="shared" si="249"/>
        <v>188.55</v>
      </c>
      <c r="T296" s="185">
        <f t="shared" si="205"/>
        <v>19856.129999999997</v>
      </c>
      <c r="U296" s="185">
        <f t="shared" si="241"/>
        <v>208935.18</v>
      </c>
      <c r="V296" s="185">
        <f t="shared" si="242"/>
        <v>5279953.0300000031</v>
      </c>
      <c r="W296" s="185">
        <f t="shared" si="243"/>
        <v>777164.81999999983</v>
      </c>
      <c r="X296" s="401" t="str">
        <f t="shared" si="230"/>
        <v xml:space="preserve"> </v>
      </c>
      <c r="Y296" s="185">
        <f t="shared" si="213"/>
        <v>576388.60000000068</v>
      </c>
      <c r="Z296" s="393">
        <f t="shared" si="221"/>
        <v>0.13125000000000001</v>
      </c>
      <c r="AA296" s="185">
        <f t="shared" si="222"/>
        <v>10874</v>
      </c>
      <c r="AB296" s="185">
        <f t="shared" si="223"/>
        <v>4569.75</v>
      </c>
      <c r="AC296" s="185">
        <f t="shared" si="224"/>
        <v>6304.25</v>
      </c>
      <c r="AD296" s="185">
        <f t="shared" si="248"/>
        <v>134.16999999999999</v>
      </c>
      <c r="AE296" s="185">
        <f t="shared" si="248"/>
        <v>188.55</v>
      </c>
      <c r="AF296" s="185">
        <f t="shared" si="225"/>
        <v>11196.72</v>
      </c>
      <c r="AG296" s="185">
        <f t="shared" si="244"/>
        <v>413899.24000000005</v>
      </c>
      <c r="AH296" s="185">
        <f t="shared" si="245"/>
        <v>2526921.7599999998</v>
      </c>
      <c r="AI296" s="411">
        <f t="shared" si="207"/>
        <v>2518113.3899999983</v>
      </c>
      <c r="AJ296" s="411">
        <f t="shared" si="247"/>
        <v>205345.96999999916</v>
      </c>
      <c r="AK296" s="411">
        <f t="shared" si="208"/>
        <v>2723459.3599999975</v>
      </c>
      <c r="AL296" s="185">
        <f t="shared" si="214"/>
        <v>571818.85000000068</v>
      </c>
      <c r="AM296" s="317">
        <f t="shared" si="231"/>
        <v>23</v>
      </c>
      <c r="AN296" s="14">
        <f t="shared" si="209"/>
        <v>19533.41</v>
      </c>
      <c r="AO296" s="14">
        <f t="shared" si="200"/>
        <v>777164.82000000007</v>
      </c>
      <c r="AP296" s="14">
        <f t="shared" si="210"/>
        <v>10874</v>
      </c>
      <c r="AS296" s="14">
        <f t="shared" si="226"/>
        <v>19533.41</v>
      </c>
      <c r="AT296" s="14">
        <f t="shared" si="232"/>
        <v>5488407.6500000218</v>
      </c>
      <c r="AU296" s="185">
        <f t="shared" si="233"/>
        <v>4960.0691284872137</v>
      </c>
      <c r="AV296" s="185">
        <f t="shared" si="234"/>
        <v>1002887.7205233728</v>
      </c>
    </row>
    <row r="297" spans="1:48">
      <c r="A297" s="401" t="str">
        <f t="shared" si="235"/>
        <v xml:space="preserve"> </v>
      </c>
      <c r="B297" s="185">
        <f t="shared" si="227"/>
        <v>0</v>
      </c>
      <c r="C297" s="14">
        <f t="shared" si="218"/>
        <v>0</v>
      </c>
      <c r="D297" s="14">
        <f t="shared" si="236"/>
        <v>0</v>
      </c>
      <c r="E297" s="14">
        <f t="shared" si="219"/>
        <v>0</v>
      </c>
      <c r="F297" s="14">
        <f t="shared" si="246"/>
        <v>0</v>
      </c>
      <c r="G297" s="14">
        <f t="shared" si="246"/>
        <v>0</v>
      </c>
      <c r="H297" s="14">
        <f t="shared" si="204"/>
        <v>0</v>
      </c>
      <c r="I297" s="185">
        <f t="shared" si="237"/>
        <v>0</v>
      </c>
      <c r="J297" s="185">
        <f t="shared" si="238"/>
        <v>0</v>
      </c>
      <c r="K297" s="185">
        <f t="shared" si="239"/>
        <v>0</v>
      </c>
      <c r="L297" s="317">
        <f t="shared" si="201"/>
        <v>23</v>
      </c>
      <c r="M297" s="317">
        <f t="shared" si="228"/>
        <v>281</v>
      </c>
      <c r="N297" s="185">
        <f t="shared" si="229"/>
        <v>777164.81999999983</v>
      </c>
      <c r="O297" s="185">
        <f t="shared" si="211"/>
        <v>19533.41</v>
      </c>
      <c r="P297" s="185">
        <f t="shared" si="240"/>
        <v>4152.0200000000004</v>
      </c>
      <c r="Q297" s="185">
        <f t="shared" si="212"/>
        <v>15381.39</v>
      </c>
      <c r="R297" s="185">
        <f t="shared" si="249"/>
        <v>134.16999999999999</v>
      </c>
      <c r="S297" s="185">
        <f t="shared" si="249"/>
        <v>188.55</v>
      </c>
      <c r="T297" s="185">
        <f t="shared" si="205"/>
        <v>19856.129999999997</v>
      </c>
      <c r="U297" s="185">
        <f t="shared" si="241"/>
        <v>213087.19999999998</v>
      </c>
      <c r="V297" s="185">
        <f t="shared" si="242"/>
        <v>5295334.4200000027</v>
      </c>
      <c r="W297" s="185">
        <f t="shared" si="243"/>
        <v>773012.79999999981</v>
      </c>
      <c r="X297" s="401" t="str">
        <f t="shared" si="230"/>
        <v xml:space="preserve"> </v>
      </c>
      <c r="Y297" s="185">
        <f t="shared" si="213"/>
        <v>571818.85000000068</v>
      </c>
      <c r="Z297" s="393">
        <f t="shared" si="221"/>
        <v>0.13125000000000001</v>
      </c>
      <c r="AA297" s="185">
        <f t="shared" si="222"/>
        <v>10874</v>
      </c>
      <c r="AB297" s="185">
        <f t="shared" si="223"/>
        <v>4619.7299999999996</v>
      </c>
      <c r="AC297" s="185">
        <f t="shared" si="224"/>
        <v>6254.27</v>
      </c>
      <c r="AD297" s="185">
        <f t="shared" si="248"/>
        <v>134.16999999999999</v>
      </c>
      <c r="AE297" s="185">
        <f t="shared" si="248"/>
        <v>188.55</v>
      </c>
      <c r="AF297" s="185">
        <f t="shared" si="225"/>
        <v>11196.72</v>
      </c>
      <c r="AG297" s="185">
        <f t="shared" si="244"/>
        <v>418518.97000000003</v>
      </c>
      <c r="AH297" s="185">
        <f t="shared" si="245"/>
        <v>2533176.0299999998</v>
      </c>
      <c r="AI297" s="411">
        <f t="shared" si="207"/>
        <v>2526772.7999999984</v>
      </c>
      <c r="AJ297" s="411">
        <f t="shared" si="247"/>
        <v>205813.67999999912</v>
      </c>
      <c r="AK297" s="411">
        <f t="shared" si="208"/>
        <v>2732586.4799999977</v>
      </c>
      <c r="AL297" s="185">
        <f t="shared" si="214"/>
        <v>567199.12000000069</v>
      </c>
      <c r="AM297" s="317">
        <f t="shared" si="231"/>
        <v>23</v>
      </c>
      <c r="AN297" s="14">
        <f t="shared" si="209"/>
        <v>19533.41</v>
      </c>
      <c r="AO297" s="14">
        <f t="shared" si="200"/>
        <v>773012.8</v>
      </c>
      <c r="AP297" s="14">
        <f t="shared" si="210"/>
        <v>10874</v>
      </c>
      <c r="AS297" s="14">
        <f t="shared" si="226"/>
        <v>19533.41</v>
      </c>
      <c r="AT297" s="14">
        <f t="shared" si="232"/>
        <v>5507941.0600000219</v>
      </c>
      <c r="AU297" s="185">
        <f t="shared" si="233"/>
        <v>4972.4693013084316</v>
      </c>
      <c r="AV297" s="185">
        <f t="shared" si="234"/>
        <v>1007860.1898246811</v>
      </c>
    </row>
    <row r="298" spans="1:48">
      <c r="A298" s="401" t="str">
        <f t="shared" si="235"/>
        <v xml:space="preserve"> </v>
      </c>
      <c r="B298" s="185">
        <f t="shared" si="227"/>
        <v>0</v>
      </c>
      <c r="C298" s="14">
        <f t="shared" si="218"/>
        <v>0</v>
      </c>
      <c r="D298" s="14">
        <f t="shared" si="236"/>
        <v>0</v>
      </c>
      <c r="E298" s="14">
        <f t="shared" si="219"/>
        <v>0</v>
      </c>
      <c r="F298" s="14">
        <f t="shared" si="246"/>
        <v>0</v>
      </c>
      <c r="G298" s="14">
        <f t="shared" si="246"/>
        <v>0</v>
      </c>
      <c r="H298" s="14">
        <f t="shared" si="204"/>
        <v>0</v>
      </c>
      <c r="I298" s="185">
        <f t="shared" si="237"/>
        <v>0</v>
      </c>
      <c r="J298" s="185">
        <f t="shared" si="238"/>
        <v>0</v>
      </c>
      <c r="K298" s="185">
        <f t="shared" si="239"/>
        <v>0</v>
      </c>
      <c r="L298" s="317">
        <f t="shared" si="201"/>
        <v>23</v>
      </c>
      <c r="M298" s="317">
        <f t="shared" si="228"/>
        <v>282</v>
      </c>
      <c r="N298" s="185">
        <f t="shared" si="229"/>
        <v>773012.79999999981</v>
      </c>
      <c r="O298" s="185">
        <f t="shared" si="211"/>
        <v>19533.41</v>
      </c>
      <c r="P298" s="185">
        <f t="shared" si="240"/>
        <v>4234.2000000000007</v>
      </c>
      <c r="Q298" s="185">
        <f t="shared" si="212"/>
        <v>15299.21</v>
      </c>
      <c r="R298" s="185">
        <f t="shared" si="249"/>
        <v>134.16999999999999</v>
      </c>
      <c r="S298" s="185">
        <f t="shared" si="249"/>
        <v>188.55</v>
      </c>
      <c r="T298" s="185">
        <f t="shared" si="205"/>
        <v>19856.129999999997</v>
      </c>
      <c r="U298" s="185">
        <f t="shared" si="241"/>
        <v>217321.4</v>
      </c>
      <c r="V298" s="185">
        <f t="shared" si="242"/>
        <v>5310633.6300000027</v>
      </c>
      <c r="W298" s="185">
        <f t="shared" si="243"/>
        <v>768778.59999999986</v>
      </c>
      <c r="X298" s="401" t="str">
        <f t="shared" si="230"/>
        <v xml:space="preserve"> </v>
      </c>
      <c r="Y298" s="185">
        <f t="shared" si="213"/>
        <v>567199.12000000069</v>
      </c>
      <c r="Z298" s="393">
        <f t="shared" si="221"/>
        <v>0.13125000000000001</v>
      </c>
      <c r="AA298" s="185">
        <f t="shared" si="222"/>
        <v>10874</v>
      </c>
      <c r="AB298" s="185">
        <f t="shared" si="223"/>
        <v>4670.26</v>
      </c>
      <c r="AC298" s="185">
        <f t="shared" si="224"/>
        <v>6203.74</v>
      </c>
      <c r="AD298" s="185">
        <f t="shared" si="248"/>
        <v>134.16999999999999</v>
      </c>
      <c r="AE298" s="185">
        <f t="shared" si="248"/>
        <v>188.55</v>
      </c>
      <c r="AF298" s="185">
        <f t="shared" si="225"/>
        <v>11196.72</v>
      </c>
      <c r="AG298" s="185">
        <f t="shared" si="244"/>
        <v>423189.23000000004</v>
      </c>
      <c r="AH298" s="185">
        <f t="shared" si="245"/>
        <v>2539379.77</v>
      </c>
      <c r="AI298" s="411">
        <f t="shared" si="207"/>
        <v>2535432.2099999986</v>
      </c>
      <c r="AJ298" s="411">
        <f t="shared" si="247"/>
        <v>206249.73999999918</v>
      </c>
      <c r="AK298" s="411">
        <f t="shared" si="208"/>
        <v>2741681.9499999979</v>
      </c>
      <c r="AL298" s="185">
        <f t="shared" si="214"/>
        <v>562528.86000000068</v>
      </c>
      <c r="AM298" s="317">
        <f t="shared" si="231"/>
        <v>23</v>
      </c>
      <c r="AN298" s="14">
        <f t="shared" si="209"/>
        <v>19533.41</v>
      </c>
      <c r="AO298" s="14">
        <f t="shared" si="200"/>
        <v>768778.6</v>
      </c>
      <c r="AP298" s="14">
        <f t="shared" si="210"/>
        <v>10874</v>
      </c>
      <c r="AS298" s="14">
        <f t="shared" si="226"/>
        <v>19533.41</v>
      </c>
      <c r="AT298" s="14">
        <f t="shared" si="232"/>
        <v>5527474.4700000221</v>
      </c>
      <c r="AU298" s="185">
        <f t="shared" si="233"/>
        <v>4984.900474561703</v>
      </c>
      <c r="AV298" s="185">
        <f t="shared" si="234"/>
        <v>1012845.0902992429</v>
      </c>
    </row>
    <row r="299" spans="1:48">
      <c r="A299" s="401" t="str">
        <f t="shared" si="235"/>
        <v xml:space="preserve"> </v>
      </c>
      <c r="B299" s="185">
        <f t="shared" si="227"/>
        <v>0</v>
      </c>
      <c r="C299" s="14">
        <f t="shared" si="218"/>
        <v>0</v>
      </c>
      <c r="D299" s="14">
        <f t="shared" si="236"/>
        <v>0</v>
      </c>
      <c r="E299" s="14">
        <f t="shared" si="219"/>
        <v>0</v>
      </c>
      <c r="F299" s="14">
        <f t="shared" ref="F299:G314" si="250">+F298</f>
        <v>0</v>
      </c>
      <c r="G299" s="14">
        <f t="shared" si="250"/>
        <v>0</v>
      </c>
      <c r="H299" s="14">
        <f t="shared" si="204"/>
        <v>0</v>
      </c>
      <c r="I299" s="185">
        <f t="shared" si="237"/>
        <v>0</v>
      </c>
      <c r="J299" s="185">
        <f t="shared" si="238"/>
        <v>0</v>
      </c>
      <c r="K299" s="185">
        <f t="shared" si="239"/>
        <v>0</v>
      </c>
      <c r="L299" s="317">
        <f t="shared" si="201"/>
        <v>23</v>
      </c>
      <c r="M299" s="317">
        <f t="shared" si="228"/>
        <v>283</v>
      </c>
      <c r="N299" s="185">
        <f t="shared" si="229"/>
        <v>768778.59999999986</v>
      </c>
      <c r="O299" s="185">
        <f t="shared" si="211"/>
        <v>19533.41</v>
      </c>
      <c r="P299" s="185">
        <f t="shared" si="240"/>
        <v>4318</v>
      </c>
      <c r="Q299" s="185">
        <f t="shared" si="212"/>
        <v>15215.41</v>
      </c>
      <c r="R299" s="185">
        <f t="shared" si="249"/>
        <v>134.16999999999999</v>
      </c>
      <c r="S299" s="185">
        <f t="shared" si="249"/>
        <v>188.55</v>
      </c>
      <c r="T299" s="185">
        <f t="shared" si="205"/>
        <v>19856.129999999997</v>
      </c>
      <c r="U299" s="185">
        <f t="shared" si="241"/>
        <v>221639.4</v>
      </c>
      <c r="V299" s="185">
        <f t="shared" si="242"/>
        <v>5325849.0400000028</v>
      </c>
      <c r="W299" s="185">
        <f t="shared" si="243"/>
        <v>764460.59999999986</v>
      </c>
      <c r="X299" s="401" t="str">
        <f t="shared" si="230"/>
        <v xml:space="preserve"> </v>
      </c>
      <c r="Y299" s="185">
        <f t="shared" si="213"/>
        <v>562528.86000000068</v>
      </c>
      <c r="Z299" s="393">
        <f t="shared" si="221"/>
        <v>0.13125000000000001</v>
      </c>
      <c r="AA299" s="185">
        <f t="shared" si="222"/>
        <v>10874</v>
      </c>
      <c r="AB299" s="185">
        <f t="shared" si="223"/>
        <v>4721.34</v>
      </c>
      <c r="AC299" s="185">
        <f t="shared" si="224"/>
        <v>6152.66</v>
      </c>
      <c r="AD299" s="185">
        <f t="shared" si="248"/>
        <v>134.16999999999999</v>
      </c>
      <c r="AE299" s="185">
        <f t="shared" si="248"/>
        <v>188.55</v>
      </c>
      <c r="AF299" s="185">
        <f t="shared" si="225"/>
        <v>11196.72</v>
      </c>
      <c r="AG299" s="185">
        <f t="shared" si="244"/>
        <v>427910.57000000007</v>
      </c>
      <c r="AH299" s="185">
        <f t="shared" si="245"/>
        <v>2545532.4300000002</v>
      </c>
      <c r="AI299" s="411">
        <f t="shared" si="207"/>
        <v>2544091.6199999987</v>
      </c>
      <c r="AJ299" s="411">
        <f t="shared" si="247"/>
        <v>206653.07999999914</v>
      </c>
      <c r="AK299" s="411">
        <f t="shared" si="208"/>
        <v>2750744.6999999979</v>
      </c>
      <c r="AL299" s="185">
        <f t="shared" si="214"/>
        <v>557807.52000000072</v>
      </c>
      <c r="AM299" s="317">
        <f t="shared" si="231"/>
        <v>23</v>
      </c>
      <c r="AN299" s="14">
        <f t="shared" si="209"/>
        <v>19533.41</v>
      </c>
      <c r="AO299" s="14">
        <f t="shared" si="200"/>
        <v>764460.6</v>
      </c>
      <c r="AP299" s="14">
        <f t="shared" si="210"/>
        <v>10874</v>
      </c>
      <c r="AS299" s="14">
        <f t="shared" si="226"/>
        <v>19533.41</v>
      </c>
      <c r="AT299" s="14">
        <f t="shared" si="232"/>
        <v>5547007.8800000222</v>
      </c>
      <c r="AU299" s="185">
        <f t="shared" si="233"/>
        <v>4997.3627257481066</v>
      </c>
      <c r="AV299" s="185">
        <f t="shared" si="234"/>
        <v>1017842.453024991</v>
      </c>
    </row>
    <row r="300" spans="1:48">
      <c r="A300" s="401" t="str">
        <f t="shared" si="235"/>
        <v xml:space="preserve"> </v>
      </c>
      <c r="B300" s="185">
        <f t="shared" si="227"/>
        <v>0</v>
      </c>
      <c r="C300" s="14">
        <f t="shared" si="218"/>
        <v>0</v>
      </c>
      <c r="D300" s="14">
        <f t="shared" si="236"/>
        <v>0</v>
      </c>
      <c r="E300" s="14">
        <f t="shared" si="219"/>
        <v>0</v>
      </c>
      <c r="F300" s="14">
        <f t="shared" si="250"/>
        <v>0</v>
      </c>
      <c r="G300" s="14">
        <f t="shared" si="250"/>
        <v>0</v>
      </c>
      <c r="H300" s="14">
        <f t="shared" si="204"/>
        <v>0</v>
      </c>
      <c r="I300" s="185">
        <f t="shared" si="237"/>
        <v>0</v>
      </c>
      <c r="J300" s="185">
        <f t="shared" si="238"/>
        <v>0</v>
      </c>
      <c r="K300" s="185">
        <f t="shared" si="239"/>
        <v>0</v>
      </c>
      <c r="L300" s="317">
        <f t="shared" si="201"/>
        <v>23</v>
      </c>
      <c r="M300" s="317">
        <f t="shared" si="228"/>
        <v>284</v>
      </c>
      <c r="N300" s="185">
        <f t="shared" si="229"/>
        <v>764460.59999999986</v>
      </c>
      <c r="O300" s="185">
        <f t="shared" si="211"/>
        <v>19533.41</v>
      </c>
      <c r="P300" s="185">
        <f t="shared" si="240"/>
        <v>4403.4599999999991</v>
      </c>
      <c r="Q300" s="185">
        <f t="shared" si="212"/>
        <v>15129.95</v>
      </c>
      <c r="R300" s="185">
        <f t="shared" si="249"/>
        <v>134.16999999999999</v>
      </c>
      <c r="S300" s="185">
        <f t="shared" si="249"/>
        <v>188.55</v>
      </c>
      <c r="T300" s="185">
        <f t="shared" si="205"/>
        <v>19856.129999999997</v>
      </c>
      <c r="U300" s="185">
        <f t="shared" si="241"/>
        <v>226042.86</v>
      </c>
      <c r="V300" s="185">
        <f t="shared" si="242"/>
        <v>5340978.990000003</v>
      </c>
      <c r="W300" s="185">
        <f t="shared" si="243"/>
        <v>760057.1399999999</v>
      </c>
      <c r="X300" s="401" t="str">
        <f t="shared" si="230"/>
        <v xml:space="preserve"> </v>
      </c>
      <c r="Y300" s="185">
        <f t="shared" si="213"/>
        <v>557807.52000000072</v>
      </c>
      <c r="Z300" s="393">
        <f t="shared" si="221"/>
        <v>0.13125000000000001</v>
      </c>
      <c r="AA300" s="185">
        <f t="shared" si="222"/>
        <v>10874</v>
      </c>
      <c r="AB300" s="185">
        <f t="shared" si="223"/>
        <v>4772.9799999999996</v>
      </c>
      <c r="AC300" s="185">
        <f t="shared" si="224"/>
        <v>6101.02</v>
      </c>
      <c r="AD300" s="185">
        <f t="shared" si="248"/>
        <v>134.16999999999999</v>
      </c>
      <c r="AE300" s="185">
        <f t="shared" si="248"/>
        <v>188.55</v>
      </c>
      <c r="AF300" s="185">
        <f t="shared" si="225"/>
        <v>11196.72</v>
      </c>
      <c r="AG300" s="185">
        <f t="shared" si="244"/>
        <v>432683.55000000005</v>
      </c>
      <c r="AH300" s="185">
        <f t="shared" si="245"/>
        <v>2551633.4500000002</v>
      </c>
      <c r="AI300" s="411">
        <f t="shared" si="207"/>
        <v>2552751.0299999989</v>
      </c>
      <c r="AJ300" s="411">
        <f t="shared" si="247"/>
        <v>207022.59999999916</v>
      </c>
      <c r="AK300" s="411">
        <f t="shared" si="208"/>
        <v>2759773.629999998</v>
      </c>
      <c r="AL300" s="185">
        <f t="shared" si="214"/>
        <v>553034.54000000074</v>
      </c>
      <c r="AM300" s="317">
        <f t="shared" si="231"/>
        <v>23</v>
      </c>
      <c r="AN300" s="14">
        <f t="shared" si="209"/>
        <v>19533.41</v>
      </c>
      <c r="AO300" s="14">
        <f t="shared" si="200"/>
        <v>760057.14</v>
      </c>
      <c r="AP300" s="14">
        <f t="shared" si="210"/>
        <v>10874</v>
      </c>
      <c r="AS300" s="14">
        <f t="shared" si="226"/>
        <v>19533.41</v>
      </c>
      <c r="AT300" s="14">
        <f t="shared" si="232"/>
        <v>5566541.2900000224</v>
      </c>
      <c r="AU300" s="185">
        <f t="shared" si="233"/>
        <v>5009.8561325624769</v>
      </c>
      <c r="AV300" s="185">
        <f t="shared" si="234"/>
        <v>1022852.3091575535</v>
      </c>
    </row>
    <row r="301" spans="1:48">
      <c r="A301" s="401" t="str">
        <f t="shared" si="235"/>
        <v xml:space="preserve"> </v>
      </c>
      <c r="B301" s="185">
        <f t="shared" si="227"/>
        <v>0</v>
      </c>
      <c r="C301" s="14">
        <f t="shared" si="218"/>
        <v>0</v>
      </c>
      <c r="D301" s="14">
        <f t="shared" si="236"/>
        <v>0</v>
      </c>
      <c r="E301" s="14">
        <f t="shared" si="219"/>
        <v>0</v>
      </c>
      <c r="F301" s="14">
        <f t="shared" si="250"/>
        <v>0</v>
      </c>
      <c r="G301" s="14">
        <f t="shared" si="250"/>
        <v>0</v>
      </c>
      <c r="H301" s="14">
        <f t="shared" si="204"/>
        <v>0</v>
      </c>
      <c r="I301" s="185">
        <f t="shared" si="237"/>
        <v>0</v>
      </c>
      <c r="J301" s="185">
        <f t="shared" si="238"/>
        <v>0</v>
      </c>
      <c r="K301" s="185">
        <f t="shared" si="239"/>
        <v>0</v>
      </c>
      <c r="L301" s="317">
        <f t="shared" si="201"/>
        <v>23</v>
      </c>
      <c r="M301" s="317">
        <f t="shared" si="228"/>
        <v>285</v>
      </c>
      <c r="N301" s="185">
        <f t="shared" si="229"/>
        <v>760057.1399999999</v>
      </c>
      <c r="O301" s="185">
        <f t="shared" si="211"/>
        <v>19533.41</v>
      </c>
      <c r="P301" s="185">
        <f t="shared" si="240"/>
        <v>4490.6100000000006</v>
      </c>
      <c r="Q301" s="185">
        <f t="shared" si="212"/>
        <v>15042.8</v>
      </c>
      <c r="R301" s="185">
        <f t="shared" si="249"/>
        <v>134.16999999999999</v>
      </c>
      <c r="S301" s="185">
        <f t="shared" si="249"/>
        <v>188.55</v>
      </c>
      <c r="T301" s="185">
        <f t="shared" si="205"/>
        <v>19856.129999999997</v>
      </c>
      <c r="U301" s="185">
        <f t="shared" si="241"/>
        <v>230533.46999999997</v>
      </c>
      <c r="V301" s="185">
        <f t="shared" si="242"/>
        <v>5356021.7900000028</v>
      </c>
      <c r="W301" s="185">
        <f t="shared" si="243"/>
        <v>755566.52999999991</v>
      </c>
      <c r="X301" s="401" t="str">
        <f t="shared" si="230"/>
        <v xml:space="preserve"> </v>
      </c>
      <c r="Y301" s="185">
        <f t="shared" si="213"/>
        <v>553034.54000000074</v>
      </c>
      <c r="Z301" s="393">
        <f t="shared" si="221"/>
        <v>0.13125000000000001</v>
      </c>
      <c r="AA301" s="185">
        <f t="shared" si="222"/>
        <v>10874</v>
      </c>
      <c r="AB301" s="185">
        <f t="shared" si="223"/>
        <v>4825.18</v>
      </c>
      <c r="AC301" s="185">
        <f t="shared" si="224"/>
        <v>6048.82</v>
      </c>
      <c r="AD301" s="185">
        <f t="shared" ref="AD301:AE316" si="251">+AD300</f>
        <v>134.16999999999999</v>
      </c>
      <c r="AE301" s="185">
        <f t="shared" si="251"/>
        <v>188.55</v>
      </c>
      <c r="AF301" s="185">
        <f t="shared" si="225"/>
        <v>11196.72</v>
      </c>
      <c r="AG301" s="185">
        <f t="shared" si="244"/>
        <v>437508.73000000004</v>
      </c>
      <c r="AH301" s="185">
        <f t="shared" si="245"/>
        <v>2557682.27</v>
      </c>
      <c r="AI301" s="411">
        <f t="shared" si="207"/>
        <v>2561410.439999999</v>
      </c>
      <c r="AJ301" s="411">
        <f t="shared" si="247"/>
        <v>207357.16999999923</v>
      </c>
      <c r="AK301" s="411">
        <f t="shared" si="208"/>
        <v>2768767.6099999985</v>
      </c>
      <c r="AL301" s="185">
        <f t="shared" si="214"/>
        <v>548209.36000000068</v>
      </c>
      <c r="AM301" s="317">
        <f t="shared" si="231"/>
        <v>23</v>
      </c>
      <c r="AN301" s="14">
        <f t="shared" si="209"/>
        <v>19533.41</v>
      </c>
      <c r="AO301" s="14">
        <f t="shared" si="200"/>
        <v>755566.53</v>
      </c>
      <c r="AP301" s="14">
        <f t="shared" si="210"/>
        <v>10874</v>
      </c>
      <c r="AS301" s="14">
        <f t="shared" si="226"/>
        <v>19533.41</v>
      </c>
      <c r="AT301" s="14">
        <f t="shared" si="232"/>
        <v>5586074.7000000225</v>
      </c>
      <c r="AU301" s="185">
        <f t="shared" si="233"/>
        <v>5022.3807728938837</v>
      </c>
      <c r="AV301" s="185">
        <f t="shared" si="234"/>
        <v>1027874.6899304474</v>
      </c>
    </row>
    <row r="302" spans="1:48">
      <c r="A302" s="401" t="str">
        <f t="shared" si="235"/>
        <v xml:space="preserve"> </v>
      </c>
      <c r="B302" s="185">
        <f t="shared" si="227"/>
        <v>0</v>
      </c>
      <c r="C302" s="14">
        <f t="shared" si="218"/>
        <v>0</v>
      </c>
      <c r="D302" s="14">
        <f t="shared" si="236"/>
        <v>0</v>
      </c>
      <c r="E302" s="14">
        <f t="shared" si="219"/>
        <v>0</v>
      </c>
      <c r="F302" s="14">
        <f t="shared" si="250"/>
        <v>0</v>
      </c>
      <c r="G302" s="14">
        <f t="shared" si="250"/>
        <v>0</v>
      </c>
      <c r="H302" s="14">
        <f t="shared" si="204"/>
        <v>0</v>
      </c>
      <c r="I302" s="185">
        <f t="shared" si="237"/>
        <v>0</v>
      </c>
      <c r="J302" s="185">
        <f t="shared" si="238"/>
        <v>0</v>
      </c>
      <c r="K302" s="185">
        <f t="shared" si="239"/>
        <v>0</v>
      </c>
      <c r="L302" s="317">
        <f t="shared" si="201"/>
        <v>23</v>
      </c>
      <c r="M302" s="317">
        <f t="shared" si="228"/>
        <v>286</v>
      </c>
      <c r="N302" s="185">
        <f t="shared" si="229"/>
        <v>755566.52999999991</v>
      </c>
      <c r="O302" s="185">
        <f t="shared" si="211"/>
        <v>19533.41</v>
      </c>
      <c r="P302" s="185">
        <f t="shared" si="240"/>
        <v>4579.49</v>
      </c>
      <c r="Q302" s="185">
        <f t="shared" si="212"/>
        <v>14953.92</v>
      </c>
      <c r="R302" s="185">
        <f t="shared" si="249"/>
        <v>134.16999999999999</v>
      </c>
      <c r="S302" s="185">
        <f t="shared" si="249"/>
        <v>188.55</v>
      </c>
      <c r="T302" s="185">
        <f t="shared" si="205"/>
        <v>19856.129999999997</v>
      </c>
      <c r="U302" s="185">
        <f t="shared" si="241"/>
        <v>235112.95999999996</v>
      </c>
      <c r="V302" s="185">
        <f t="shared" si="242"/>
        <v>5370975.7100000028</v>
      </c>
      <c r="W302" s="185">
        <f t="shared" si="243"/>
        <v>750987.03999999992</v>
      </c>
      <c r="X302" s="401" t="str">
        <f t="shared" si="230"/>
        <v xml:space="preserve"> </v>
      </c>
      <c r="Y302" s="185">
        <f t="shared" si="213"/>
        <v>548209.36000000068</v>
      </c>
      <c r="Z302" s="393">
        <f t="shared" si="221"/>
        <v>0.13125000000000001</v>
      </c>
      <c r="AA302" s="185">
        <f t="shared" si="222"/>
        <v>10874</v>
      </c>
      <c r="AB302" s="185">
        <f t="shared" si="223"/>
        <v>4877.96</v>
      </c>
      <c r="AC302" s="185">
        <f t="shared" si="224"/>
        <v>5996.04</v>
      </c>
      <c r="AD302" s="185">
        <f t="shared" si="251"/>
        <v>134.16999999999999</v>
      </c>
      <c r="AE302" s="185">
        <f t="shared" si="251"/>
        <v>188.55</v>
      </c>
      <c r="AF302" s="185">
        <f t="shared" si="225"/>
        <v>11196.72</v>
      </c>
      <c r="AG302" s="185">
        <f t="shared" si="244"/>
        <v>442386.69000000006</v>
      </c>
      <c r="AH302" s="185">
        <f t="shared" si="245"/>
        <v>2563678.31</v>
      </c>
      <c r="AI302" s="411">
        <f t="shared" si="207"/>
        <v>2570069.8499999992</v>
      </c>
      <c r="AJ302" s="411">
        <f t="shared" si="247"/>
        <v>207655.6399999992</v>
      </c>
      <c r="AK302" s="411">
        <f t="shared" si="208"/>
        <v>2777725.4899999984</v>
      </c>
      <c r="AL302" s="185">
        <f t="shared" si="214"/>
        <v>543331.40000000072</v>
      </c>
      <c r="AM302" s="317">
        <f t="shared" si="231"/>
        <v>23</v>
      </c>
      <c r="AN302" s="14">
        <f t="shared" si="209"/>
        <v>19533.41</v>
      </c>
      <c r="AO302" s="14">
        <f t="shared" ref="AO302:AO365" si="252">IF(W302&lt;=0,0,+$AA$6-$C$2+I302-U302)</f>
        <v>750987.04</v>
      </c>
      <c r="AP302" s="14">
        <f t="shared" si="210"/>
        <v>10874</v>
      </c>
      <c r="AS302" s="14">
        <f t="shared" si="226"/>
        <v>19533.41</v>
      </c>
      <c r="AT302" s="14">
        <f t="shared" si="232"/>
        <v>5605608.1100000227</v>
      </c>
      <c r="AU302" s="185">
        <f t="shared" si="233"/>
        <v>5034.9367248261178</v>
      </c>
      <c r="AV302" s="185">
        <f t="shared" si="234"/>
        <v>1032909.6266552735</v>
      </c>
    </row>
    <row r="303" spans="1:48" ht="15.75" thickBot="1">
      <c r="A303" s="404" t="str">
        <f t="shared" si="235"/>
        <v xml:space="preserve"> </v>
      </c>
      <c r="B303" s="237">
        <f t="shared" si="227"/>
        <v>0</v>
      </c>
      <c r="C303" s="21">
        <f t="shared" si="218"/>
        <v>0</v>
      </c>
      <c r="D303" s="21">
        <f t="shared" si="236"/>
        <v>0</v>
      </c>
      <c r="E303" s="21">
        <f t="shared" si="219"/>
        <v>0</v>
      </c>
      <c r="F303" s="21">
        <f t="shared" si="250"/>
        <v>0</v>
      </c>
      <c r="G303" s="21">
        <f t="shared" si="250"/>
        <v>0</v>
      </c>
      <c r="H303" s="21">
        <f t="shared" si="204"/>
        <v>0</v>
      </c>
      <c r="I303" s="237">
        <f t="shared" si="237"/>
        <v>0</v>
      </c>
      <c r="J303" s="237">
        <f t="shared" si="238"/>
        <v>0</v>
      </c>
      <c r="K303" s="237">
        <f t="shared" si="239"/>
        <v>0</v>
      </c>
      <c r="L303" s="318">
        <f t="shared" si="201"/>
        <v>23</v>
      </c>
      <c r="M303" s="318">
        <f t="shared" si="228"/>
        <v>287</v>
      </c>
      <c r="N303" s="237">
        <f t="shared" si="229"/>
        <v>750987.03999999992</v>
      </c>
      <c r="O303" s="237">
        <f t="shared" si="211"/>
        <v>19533.41</v>
      </c>
      <c r="P303" s="237">
        <f t="shared" si="240"/>
        <v>4670.119999999999</v>
      </c>
      <c r="Q303" s="237">
        <f t="shared" si="212"/>
        <v>14863.29</v>
      </c>
      <c r="R303" s="237">
        <f t="shared" si="249"/>
        <v>134.16999999999999</v>
      </c>
      <c r="S303" s="237">
        <f t="shared" si="249"/>
        <v>188.55</v>
      </c>
      <c r="T303" s="237">
        <f t="shared" si="205"/>
        <v>19856.129999999997</v>
      </c>
      <c r="U303" s="237">
        <f t="shared" si="241"/>
        <v>239783.07999999996</v>
      </c>
      <c r="V303" s="237">
        <f t="shared" si="242"/>
        <v>5385839.0000000028</v>
      </c>
      <c r="W303" s="237">
        <f t="shared" si="243"/>
        <v>746316.91999999993</v>
      </c>
      <c r="X303" s="404" t="str">
        <f t="shared" si="230"/>
        <v xml:space="preserve"> </v>
      </c>
      <c r="Y303" s="237">
        <f t="shared" si="213"/>
        <v>543331.40000000072</v>
      </c>
      <c r="Z303" s="394">
        <f t="shared" si="221"/>
        <v>0.13125000000000001</v>
      </c>
      <c r="AA303" s="237">
        <f t="shared" si="222"/>
        <v>10874</v>
      </c>
      <c r="AB303" s="237">
        <f t="shared" si="223"/>
        <v>4931.3100000000004</v>
      </c>
      <c r="AC303" s="237">
        <f t="shared" si="224"/>
        <v>5942.69</v>
      </c>
      <c r="AD303" s="237">
        <f t="shared" si="251"/>
        <v>134.16999999999999</v>
      </c>
      <c r="AE303" s="237">
        <f t="shared" si="251"/>
        <v>188.55</v>
      </c>
      <c r="AF303" s="237">
        <f t="shared" si="225"/>
        <v>11196.72</v>
      </c>
      <c r="AG303" s="237">
        <f t="shared" si="244"/>
        <v>447318.00000000006</v>
      </c>
      <c r="AH303" s="237">
        <f t="shared" si="245"/>
        <v>2569621</v>
      </c>
      <c r="AI303" s="412">
        <f t="shared" si="207"/>
        <v>2578729.2599999993</v>
      </c>
      <c r="AJ303" s="412">
        <f t="shared" si="247"/>
        <v>207916.82999999926</v>
      </c>
      <c r="AK303" s="411">
        <f t="shared" si="208"/>
        <v>2786646.0899999985</v>
      </c>
      <c r="AL303" s="237">
        <f t="shared" si="214"/>
        <v>538400.09000000067</v>
      </c>
      <c r="AM303" s="318">
        <f t="shared" si="231"/>
        <v>23</v>
      </c>
      <c r="AN303" s="21">
        <f t="shared" si="209"/>
        <v>19533.41</v>
      </c>
      <c r="AO303" s="21">
        <f t="shared" si="252"/>
        <v>746316.92</v>
      </c>
      <c r="AP303" s="21">
        <f t="shared" si="210"/>
        <v>10874</v>
      </c>
      <c r="AQ303" s="21"/>
      <c r="AR303" s="23"/>
      <c r="AS303" s="21">
        <f t="shared" si="226"/>
        <v>19533.41</v>
      </c>
      <c r="AT303" s="21">
        <f t="shared" si="232"/>
        <v>5625141.5200000228</v>
      </c>
      <c r="AU303" s="237">
        <f t="shared" si="233"/>
        <v>5047.5240666381842</v>
      </c>
      <c r="AV303" s="237">
        <f t="shared" si="234"/>
        <v>1037957.1507219117</v>
      </c>
    </row>
    <row r="304" spans="1:48">
      <c r="A304" s="401" t="str">
        <f t="shared" si="235"/>
        <v xml:space="preserve"> </v>
      </c>
      <c r="B304" s="185">
        <f t="shared" si="227"/>
        <v>0</v>
      </c>
      <c r="C304" s="14">
        <f t="shared" si="218"/>
        <v>0</v>
      </c>
      <c r="D304" s="14">
        <f t="shared" si="236"/>
        <v>0</v>
      </c>
      <c r="E304" s="14">
        <f t="shared" si="219"/>
        <v>0</v>
      </c>
      <c r="F304" s="14">
        <f t="shared" si="250"/>
        <v>0</v>
      </c>
      <c r="G304" s="14">
        <f t="shared" si="250"/>
        <v>0</v>
      </c>
      <c r="H304" s="14">
        <f t="shared" si="204"/>
        <v>0</v>
      </c>
      <c r="I304" s="185">
        <f t="shared" si="237"/>
        <v>0</v>
      </c>
      <c r="J304" s="185">
        <f t="shared" si="238"/>
        <v>0</v>
      </c>
      <c r="K304" s="185">
        <f t="shared" si="239"/>
        <v>0</v>
      </c>
      <c r="L304" s="317">
        <f t="shared" ref="L304:L367" si="253">IF(MOD(M304,12)=0,M304/12,L303)</f>
        <v>24</v>
      </c>
      <c r="M304" s="317">
        <f t="shared" si="228"/>
        <v>288</v>
      </c>
      <c r="N304" s="185">
        <f t="shared" si="229"/>
        <v>746316.91999999993</v>
      </c>
      <c r="O304" s="185">
        <f t="shared" si="211"/>
        <v>19533.41</v>
      </c>
      <c r="P304" s="185">
        <f t="shared" si="240"/>
        <v>4762.5499999999993</v>
      </c>
      <c r="Q304" s="185">
        <f t="shared" si="212"/>
        <v>14770.86</v>
      </c>
      <c r="R304" s="185">
        <f t="shared" ref="R304:S319" si="254">+R303</f>
        <v>134.16999999999999</v>
      </c>
      <c r="S304" s="185">
        <f t="shared" si="254"/>
        <v>188.55</v>
      </c>
      <c r="T304" s="185">
        <f t="shared" si="205"/>
        <v>19856.129999999997</v>
      </c>
      <c r="U304" s="185">
        <f t="shared" si="241"/>
        <v>244545.62999999995</v>
      </c>
      <c r="V304" s="185">
        <f t="shared" si="242"/>
        <v>5400609.8600000031</v>
      </c>
      <c r="W304" s="185">
        <f t="shared" si="243"/>
        <v>741554.36999999988</v>
      </c>
      <c r="X304" s="401" t="str">
        <f t="shared" si="230"/>
        <v xml:space="preserve"> </v>
      </c>
      <c r="Y304" s="185">
        <f t="shared" si="213"/>
        <v>538400.09000000067</v>
      </c>
      <c r="Z304" s="393">
        <f t="shared" si="221"/>
        <v>0.13125000000000001</v>
      </c>
      <c r="AA304" s="185">
        <f t="shared" si="222"/>
        <v>10874</v>
      </c>
      <c r="AB304" s="185">
        <f t="shared" si="223"/>
        <v>4985.25</v>
      </c>
      <c r="AC304" s="185">
        <f t="shared" si="224"/>
        <v>5888.75</v>
      </c>
      <c r="AD304" s="185">
        <f t="shared" si="251"/>
        <v>134.16999999999999</v>
      </c>
      <c r="AE304" s="185">
        <f t="shared" si="251"/>
        <v>188.55</v>
      </c>
      <c r="AF304" s="185">
        <f t="shared" si="225"/>
        <v>11196.72</v>
      </c>
      <c r="AG304" s="185">
        <f t="shared" si="244"/>
        <v>452303.25000000006</v>
      </c>
      <c r="AH304" s="185">
        <f t="shared" si="245"/>
        <v>2575509.75</v>
      </c>
      <c r="AI304" s="411">
        <f t="shared" si="207"/>
        <v>2587388.6699999995</v>
      </c>
      <c r="AJ304" s="411">
        <f t="shared" si="247"/>
        <v>208139.52999999921</v>
      </c>
      <c r="AK304" s="411">
        <f t="shared" si="208"/>
        <v>2795528.1999999988</v>
      </c>
      <c r="AL304" s="185">
        <f t="shared" si="214"/>
        <v>533414.84000000067</v>
      </c>
      <c r="AM304" s="317">
        <f t="shared" si="231"/>
        <v>24</v>
      </c>
      <c r="AN304" s="14">
        <f t="shared" si="209"/>
        <v>19533.41</v>
      </c>
      <c r="AO304" s="14">
        <f t="shared" si="252"/>
        <v>741554.37000000011</v>
      </c>
      <c r="AP304" s="14">
        <f t="shared" si="210"/>
        <v>10874</v>
      </c>
      <c r="AS304" s="14">
        <f t="shared" si="226"/>
        <v>19533.41</v>
      </c>
      <c r="AT304" s="14">
        <f t="shared" si="232"/>
        <v>5644674.930000023</v>
      </c>
      <c r="AU304" s="185">
        <f t="shared" si="233"/>
        <v>5060.1428768047799</v>
      </c>
      <c r="AV304" s="185">
        <f t="shared" si="234"/>
        <v>1043017.2935987165</v>
      </c>
    </row>
    <row r="305" spans="1:48">
      <c r="A305" s="401" t="str">
        <f t="shared" si="235"/>
        <v xml:space="preserve"> </v>
      </c>
      <c r="B305" s="185">
        <f t="shared" si="227"/>
        <v>0</v>
      </c>
      <c r="C305" s="14">
        <f t="shared" si="218"/>
        <v>0</v>
      </c>
      <c r="D305" s="14">
        <f t="shared" si="236"/>
        <v>0</v>
      </c>
      <c r="E305" s="14">
        <f t="shared" si="219"/>
        <v>0</v>
      </c>
      <c r="F305" s="14">
        <f t="shared" si="250"/>
        <v>0</v>
      </c>
      <c r="G305" s="14">
        <f t="shared" si="250"/>
        <v>0</v>
      </c>
      <c r="H305" s="14">
        <f t="shared" si="204"/>
        <v>0</v>
      </c>
      <c r="I305" s="185">
        <f t="shared" si="237"/>
        <v>0</v>
      </c>
      <c r="J305" s="185">
        <f t="shared" si="238"/>
        <v>0</v>
      </c>
      <c r="K305" s="185">
        <f t="shared" si="239"/>
        <v>0</v>
      </c>
      <c r="L305" s="317">
        <f t="shared" si="253"/>
        <v>24</v>
      </c>
      <c r="M305" s="317">
        <f t="shared" si="228"/>
        <v>289</v>
      </c>
      <c r="N305" s="185">
        <f t="shared" si="229"/>
        <v>741554.36999999988</v>
      </c>
      <c r="O305" s="185">
        <f t="shared" si="211"/>
        <v>19533.41</v>
      </c>
      <c r="P305" s="185">
        <f t="shared" si="240"/>
        <v>4856.8099999999995</v>
      </c>
      <c r="Q305" s="185">
        <f t="shared" si="212"/>
        <v>14676.6</v>
      </c>
      <c r="R305" s="185">
        <f t="shared" si="254"/>
        <v>134.16999999999999</v>
      </c>
      <c r="S305" s="185">
        <f t="shared" si="254"/>
        <v>188.55</v>
      </c>
      <c r="T305" s="185">
        <f t="shared" si="205"/>
        <v>19856.129999999997</v>
      </c>
      <c r="U305" s="185">
        <f t="shared" si="241"/>
        <v>249402.43999999994</v>
      </c>
      <c r="V305" s="185">
        <f t="shared" si="242"/>
        <v>5415286.4600000028</v>
      </c>
      <c r="W305" s="185">
        <f t="shared" si="243"/>
        <v>736697.55999999982</v>
      </c>
      <c r="X305" s="401" t="str">
        <f t="shared" si="230"/>
        <v xml:space="preserve"> </v>
      </c>
      <c r="Y305" s="185">
        <f t="shared" si="213"/>
        <v>533414.84000000067</v>
      </c>
      <c r="Z305" s="393">
        <f t="shared" si="221"/>
        <v>0.13125000000000001</v>
      </c>
      <c r="AA305" s="185">
        <f t="shared" si="222"/>
        <v>10874</v>
      </c>
      <c r="AB305" s="185">
        <f t="shared" si="223"/>
        <v>5039.78</v>
      </c>
      <c r="AC305" s="185">
        <f t="shared" si="224"/>
        <v>5834.22</v>
      </c>
      <c r="AD305" s="185">
        <f t="shared" si="251"/>
        <v>134.16999999999999</v>
      </c>
      <c r="AE305" s="185">
        <f t="shared" si="251"/>
        <v>188.55</v>
      </c>
      <c r="AF305" s="185">
        <f t="shared" si="225"/>
        <v>11196.72</v>
      </c>
      <c r="AG305" s="185">
        <f t="shared" si="244"/>
        <v>457343.03000000009</v>
      </c>
      <c r="AH305" s="185">
        <f t="shared" si="245"/>
        <v>2581343.9700000002</v>
      </c>
      <c r="AI305" s="411">
        <f t="shared" si="207"/>
        <v>2596048.0799999996</v>
      </c>
      <c r="AJ305" s="411">
        <f t="shared" si="247"/>
        <v>208322.49999999919</v>
      </c>
      <c r="AK305" s="411">
        <f t="shared" si="208"/>
        <v>2804370.5799999987</v>
      </c>
      <c r="AL305" s="185">
        <f t="shared" si="214"/>
        <v>528375.06000000064</v>
      </c>
      <c r="AM305" s="317">
        <f t="shared" si="231"/>
        <v>24</v>
      </c>
      <c r="AN305" s="14">
        <f t="shared" si="209"/>
        <v>19533.41</v>
      </c>
      <c r="AO305" s="14">
        <f t="shared" si="252"/>
        <v>736697.56</v>
      </c>
      <c r="AP305" s="14">
        <f t="shared" si="210"/>
        <v>10874</v>
      </c>
      <c r="AS305" s="14">
        <f t="shared" si="226"/>
        <v>19533.41</v>
      </c>
      <c r="AT305" s="14">
        <f t="shared" si="232"/>
        <v>5664208.3400000231</v>
      </c>
      <c r="AU305" s="185">
        <f t="shared" si="233"/>
        <v>5072.7932339967911</v>
      </c>
      <c r="AV305" s="185">
        <f t="shared" si="234"/>
        <v>1048090.0868327133</v>
      </c>
    </row>
    <row r="306" spans="1:48">
      <c r="A306" s="401" t="str">
        <f t="shared" si="235"/>
        <v xml:space="preserve"> </v>
      </c>
      <c r="B306" s="185">
        <f t="shared" si="227"/>
        <v>0</v>
      </c>
      <c r="C306" s="14">
        <f t="shared" si="218"/>
        <v>0</v>
      </c>
      <c r="D306" s="14">
        <f t="shared" si="236"/>
        <v>0</v>
      </c>
      <c r="E306" s="14">
        <f t="shared" si="219"/>
        <v>0</v>
      </c>
      <c r="F306" s="14">
        <f t="shared" si="250"/>
        <v>0</v>
      </c>
      <c r="G306" s="14">
        <f t="shared" si="250"/>
        <v>0</v>
      </c>
      <c r="H306" s="14">
        <f t="shared" si="204"/>
        <v>0</v>
      </c>
      <c r="I306" s="185">
        <f t="shared" si="237"/>
        <v>0</v>
      </c>
      <c r="J306" s="185">
        <f t="shared" si="238"/>
        <v>0</v>
      </c>
      <c r="K306" s="185">
        <f t="shared" si="239"/>
        <v>0</v>
      </c>
      <c r="L306" s="317">
        <f t="shared" si="253"/>
        <v>24</v>
      </c>
      <c r="M306" s="317">
        <f t="shared" si="228"/>
        <v>290</v>
      </c>
      <c r="N306" s="185">
        <f t="shared" si="229"/>
        <v>736697.55999999982</v>
      </c>
      <c r="O306" s="185">
        <f t="shared" si="211"/>
        <v>19533.41</v>
      </c>
      <c r="P306" s="185">
        <f t="shared" si="240"/>
        <v>4952.9400000000005</v>
      </c>
      <c r="Q306" s="185">
        <f t="shared" si="212"/>
        <v>14580.47</v>
      </c>
      <c r="R306" s="185">
        <f t="shared" si="254"/>
        <v>134.16999999999999</v>
      </c>
      <c r="S306" s="185">
        <f t="shared" si="254"/>
        <v>188.55</v>
      </c>
      <c r="T306" s="185">
        <f t="shared" si="205"/>
        <v>19856.129999999997</v>
      </c>
      <c r="U306" s="185">
        <f t="shared" si="241"/>
        <v>254355.37999999995</v>
      </c>
      <c r="V306" s="185">
        <f t="shared" si="242"/>
        <v>5429866.9300000025</v>
      </c>
      <c r="W306" s="185">
        <f t="shared" si="243"/>
        <v>731744.61999999988</v>
      </c>
      <c r="X306" s="401" t="str">
        <f t="shared" si="230"/>
        <v xml:space="preserve"> </v>
      </c>
      <c r="Y306" s="185">
        <f t="shared" si="213"/>
        <v>528375.06000000064</v>
      </c>
      <c r="Z306" s="393">
        <f t="shared" si="221"/>
        <v>0.13125000000000001</v>
      </c>
      <c r="AA306" s="185">
        <f t="shared" si="222"/>
        <v>10874</v>
      </c>
      <c r="AB306" s="185">
        <f t="shared" si="223"/>
        <v>5094.8999999999996</v>
      </c>
      <c r="AC306" s="185">
        <f t="shared" si="224"/>
        <v>5779.1</v>
      </c>
      <c r="AD306" s="185">
        <f t="shared" si="251"/>
        <v>134.16999999999999</v>
      </c>
      <c r="AE306" s="185">
        <f t="shared" si="251"/>
        <v>188.55</v>
      </c>
      <c r="AF306" s="185">
        <f t="shared" si="225"/>
        <v>11196.72</v>
      </c>
      <c r="AG306" s="185">
        <f t="shared" si="244"/>
        <v>462437.93000000011</v>
      </c>
      <c r="AH306" s="185">
        <f t="shared" si="245"/>
        <v>2587123.0700000003</v>
      </c>
      <c r="AI306" s="411">
        <f t="shared" si="207"/>
        <v>2604707.4899999998</v>
      </c>
      <c r="AJ306" s="411">
        <f t="shared" si="247"/>
        <v>208464.45999999926</v>
      </c>
      <c r="AK306" s="411">
        <f t="shared" si="208"/>
        <v>2813171.9499999993</v>
      </c>
      <c r="AL306" s="185">
        <f t="shared" si="214"/>
        <v>523280.16000000061</v>
      </c>
      <c r="AM306" s="317">
        <f t="shared" si="231"/>
        <v>24</v>
      </c>
      <c r="AN306" s="14">
        <f t="shared" si="209"/>
        <v>19533.41</v>
      </c>
      <c r="AO306" s="14">
        <f t="shared" si="252"/>
        <v>731744.62000000011</v>
      </c>
      <c r="AP306" s="14">
        <f t="shared" si="210"/>
        <v>10874</v>
      </c>
      <c r="AS306" s="14">
        <f t="shared" si="226"/>
        <v>19533.41</v>
      </c>
      <c r="AT306" s="14">
        <f t="shared" si="232"/>
        <v>5683741.7500000233</v>
      </c>
      <c r="AU306" s="185">
        <f t="shared" si="233"/>
        <v>5085.4752170817837</v>
      </c>
      <c r="AV306" s="185">
        <f t="shared" si="234"/>
        <v>1053175.5620497952</v>
      </c>
    </row>
    <row r="307" spans="1:48">
      <c r="A307" s="401" t="str">
        <f t="shared" si="235"/>
        <v xml:space="preserve"> </v>
      </c>
      <c r="B307" s="185">
        <f t="shared" si="227"/>
        <v>0</v>
      </c>
      <c r="C307" s="14">
        <f t="shared" si="218"/>
        <v>0</v>
      </c>
      <c r="D307" s="14">
        <f t="shared" si="236"/>
        <v>0</v>
      </c>
      <c r="E307" s="14">
        <f t="shared" si="219"/>
        <v>0</v>
      </c>
      <c r="F307" s="14">
        <f t="shared" si="250"/>
        <v>0</v>
      </c>
      <c r="G307" s="14">
        <f t="shared" si="250"/>
        <v>0</v>
      </c>
      <c r="H307" s="14">
        <f t="shared" si="204"/>
        <v>0</v>
      </c>
      <c r="I307" s="185">
        <f t="shared" si="237"/>
        <v>0</v>
      </c>
      <c r="J307" s="185">
        <f t="shared" si="238"/>
        <v>0</v>
      </c>
      <c r="K307" s="185">
        <f t="shared" si="239"/>
        <v>0</v>
      </c>
      <c r="L307" s="317">
        <f t="shared" si="253"/>
        <v>24</v>
      </c>
      <c r="M307" s="317">
        <f t="shared" si="228"/>
        <v>291</v>
      </c>
      <c r="N307" s="185">
        <f t="shared" si="229"/>
        <v>731744.61999999988</v>
      </c>
      <c r="O307" s="185">
        <f t="shared" si="211"/>
        <v>19533.41</v>
      </c>
      <c r="P307" s="185">
        <f t="shared" si="240"/>
        <v>5050.9599999999991</v>
      </c>
      <c r="Q307" s="185">
        <f t="shared" si="212"/>
        <v>14482.45</v>
      </c>
      <c r="R307" s="185">
        <f t="shared" si="254"/>
        <v>134.16999999999999</v>
      </c>
      <c r="S307" s="185">
        <f t="shared" si="254"/>
        <v>188.55</v>
      </c>
      <c r="T307" s="185">
        <f t="shared" si="205"/>
        <v>19856.129999999997</v>
      </c>
      <c r="U307" s="185">
        <f t="shared" si="241"/>
        <v>259406.33999999994</v>
      </c>
      <c r="V307" s="185">
        <f t="shared" si="242"/>
        <v>5444349.3800000027</v>
      </c>
      <c r="W307" s="185">
        <f t="shared" si="243"/>
        <v>726693.65999999992</v>
      </c>
      <c r="X307" s="401" t="str">
        <f t="shared" si="230"/>
        <v xml:space="preserve"> </v>
      </c>
      <c r="Y307" s="185">
        <f t="shared" si="213"/>
        <v>523280.16000000061</v>
      </c>
      <c r="Z307" s="393">
        <f t="shared" si="221"/>
        <v>0.13125000000000001</v>
      </c>
      <c r="AA307" s="185">
        <f t="shared" si="222"/>
        <v>10874</v>
      </c>
      <c r="AB307" s="185">
        <f t="shared" si="223"/>
        <v>5150.62</v>
      </c>
      <c r="AC307" s="185">
        <f t="shared" si="224"/>
        <v>5723.38</v>
      </c>
      <c r="AD307" s="185">
        <f t="shared" si="251"/>
        <v>134.16999999999999</v>
      </c>
      <c r="AE307" s="185">
        <f t="shared" si="251"/>
        <v>188.55</v>
      </c>
      <c r="AF307" s="185">
        <f t="shared" si="225"/>
        <v>11196.72</v>
      </c>
      <c r="AG307" s="185">
        <f t="shared" si="244"/>
        <v>467588.5500000001</v>
      </c>
      <c r="AH307" s="185">
        <f t="shared" si="245"/>
        <v>2592846.4500000002</v>
      </c>
      <c r="AI307" s="411">
        <f t="shared" si="207"/>
        <v>2613366.9</v>
      </c>
      <c r="AJ307" s="411">
        <f t="shared" si="247"/>
        <v>208564.1199999993</v>
      </c>
      <c r="AK307" s="411">
        <f t="shared" si="208"/>
        <v>2821931.0199999991</v>
      </c>
      <c r="AL307" s="185">
        <f t="shared" si="214"/>
        <v>518129.54000000062</v>
      </c>
      <c r="AM307" s="317">
        <f t="shared" si="231"/>
        <v>24</v>
      </c>
      <c r="AN307" s="14">
        <f t="shared" si="209"/>
        <v>19533.41</v>
      </c>
      <c r="AO307" s="14">
        <f t="shared" si="252"/>
        <v>726693.66</v>
      </c>
      <c r="AP307" s="14">
        <f t="shared" si="210"/>
        <v>10874</v>
      </c>
      <c r="AS307" s="14">
        <f t="shared" si="226"/>
        <v>19533.41</v>
      </c>
      <c r="AT307" s="14">
        <f t="shared" si="232"/>
        <v>5703275.1600000234</v>
      </c>
      <c r="AU307" s="185">
        <f t="shared" si="233"/>
        <v>5098.188905124488</v>
      </c>
      <c r="AV307" s="185">
        <f t="shared" si="234"/>
        <v>1058273.7509549197</v>
      </c>
    </row>
    <row r="308" spans="1:48">
      <c r="A308" s="401" t="str">
        <f t="shared" si="235"/>
        <v xml:space="preserve"> </v>
      </c>
      <c r="B308" s="185">
        <f t="shared" si="227"/>
        <v>0</v>
      </c>
      <c r="C308" s="14">
        <f t="shared" si="218"/>
        <v>0</v>
      </c>
      <c r="D308" s="14">
        <f t="shared" si="236"/>
        <v>0</v>
      </c>
      <c r="E308" s="14">
        <f t="shared" si="219"/>
        <v>0</v>
      </c>
      <c r="F308" s="14">
        <f t="shared" si="250"/>
        <v>0</v>
      </c>
      <c r="G308" s="14">
        <f t="shared" si="250"/>
        <v>0</v>
      </c>
      <c r="H308" s="14">
        <f t="shared" si="204"/>
        <v>0</v>
      </c>
      <c r="I308" s="185">
        <f t="shared" si="237"/>
        <v>0</v>
      </c>
      <c r="J308" s="185">
        <f t="shared" si="238"/>
        <v>0</v>
      </c>
      <c r="K308" s="185">
        <f t="shared" si="239"/>
        <v>0</v>
      </c>
      <c r="L308" s="317">
        <f t="shared" si="253"/>
        <v>24</v>
      </c>
      <c r="M308" s="317">
        <f t="shared" si="228"/>
        <v>292</v>
      </c>
      <c r="N308" s="185">
        <f t="shared" si="229"/>
        <v>726693.65999999992</v>
      </c>
      <c r="O308" s="185">
        <f t="shared" si="211"/>
        <v>19533.41</v>
      </c>
      <c r="P308" s="185">
        <f t="shared" si="240"/>
        <v>5150.93</v>
      </c>
      <c r="Q308" s="185">
        <f t="shared" si="212"/>
        <v>14382.48</v>
      </c>
      <c r="R308" s="185">
        <f t="shared" si="254"/>
        <v>134.16999999999999</v>
      </c>
      <c r="S308" s="185">
        <f t="shared" si="254"/>
        <v>188.55</v>
      </c>
      <c r="T308" s="185">
        <f t="shared" si="205"/>
        <v>19856.129999999997</v>
      </c>
      <c r="U308" s="185">
        <f t="shared" si="241"/>
        <v>264557.26999999996</v>
      </c>
      <c r="V308" s="185">
        <f t="shared" si="242"/>
        <v>5458731.8600000031</v>
      </c>
      <c r="W308" s="185">
        <f t="shared" si="243"/>
        <v>721542.72999999986</v>
      </c>
      <c r="X308" s="401" t="str">
        <f t="shared" si="230"/>
        <v xml:space="preserve"> </v>
      </c>
      <c r="Y308" s="185">
        <f t="shared" si="213"/>
        <v>518129.54000000062</v>
      </c>
      <c r="Z308" s="393">
        <f t="shared" si="221"/>
        <v>0.13125000000000001</v>
      </c>
      <c r="AA308" s="185">
        <f t="shared" si="222"/>
        <v>10874</v>
      </c>
      <c r="AB308" s="185">
        <f t="shared" si="223"/>
        <v>5206.96</v>
      </c>
      <c r="AC308" s="185">
        <f t="shared" si="224"/>
        <v>5667.04</v>
      </c>
      <c r="AD308" s="185">
        <f t="shared" si="251"/>
        <v>134.16999999999999</v>
      </c>
      <c r="AE308" s="185">
        <f t="shared" si="251"/>
        <v>188.55</v>
      </c>
      <c r="AF308" s="185">
        <f t="shared" si="225"/>
        <v>11196.72</v>
      </c>
      <c r="AG308" s="185">
        <f t="shared" si="244"/>
        <v>472795.51000000013</v>
      </c>
      <c r="AH308" s="185">
        <f t="shared" si="245"/>
        <v>2598513.4900000002</v>
      </c>
      <c r="AI308" s="411">
        <f t="shared" si="207"/>
        <v>2622026.31</v>
      </c>
      <c r="AJ308" s="411">
        <f t="shared" si="247"/>
        <v>208620.14999999927</v>
      </c>
      <c r="AK308" s="411">
        <f t="shared" si="208"/>
        <v>2830646.4599999995</v>
      </c>
      <c r="AL308" s="185">
        <f t="shared" si="214"/>
        <v>512922.5800000006</v>
      </c>
      <c r="AM308" s="317">
        <f t="shared" si="231"/>
        <v>24</v>
      </c>
      <c r="AN308" s="14">
        <f t="shared" si="209"/>
        <v>19533.41</v>
      </c>
      <c r="AO308" s="14">
        <f t="shared" si="252"/>
        <v>721542.73</v>
      </c>
      <c r="AP308" s="14">
        <f t="shared" si="210"/>
        <v>10874</v>
      </c>
      <c r="AS308" s="14">
        <f t="shared" si="226"/>
        <v>19533.41</v>
      </c>
      <c r="AT308" s="14">
        <f t="shared" si="232"/>
        <v>5722808.5700000236</v>
      </c>
      <c r="AU308" s="185">
        <f t="shared" si="233"/>
        <v>5110.9343773872997</v>
      </c>
      <c r="AV308" s="185">
        <f t="shared" si="234"/>
        <v>1063384.6853323071</v>
      </c>
    </row>
    <row r="309" spans="1:48">
      <c r="A309" s="401" t="str">
        <f t="shared" si="235"/>
        <v xml:space="preserve"> </v>
      </c>
      <c r="B309" s="185">
        <f t="shared" si="227"/>
        <v>0</v>
      </c>
      <c r="C309" s="14">
        <f t="shared" si="218"/>
        <v>0</v>
      </c>
      <c r="D309" s="14">
        <f t="shared" si="236"/>
        <v>0</v>
      </c>
      <c r="E309" s="14">
        <f t="shared" si="219"/>
        <v>0</v>
      </c>
      <c r="F309" s="14">
        <f t="shared" si="250"/>
        <v>0</v>
      </c>
      <c r="G309" s="14">
        <f t="shared" si="250"/>
        <v>0</v>
      </c>
      <c r="H309" s="14">
        <f t="shared" si="204"/>
        <v>0</v>
      </c>
      <c r="I309" s="185">
        <f t="shared" si="237"/>
        <v>0</v>
      </c>
      <c r="J309" s="185">
        <f t="shared" si="238"/>
        <v>0</v>
      </c>
      <c r="K309" s="185">
        <f t="shared" si="239"/>
        <v>0</v>
      </c>
      <c r="L309" s="317">
        <f t="shared" si="253"/>
        <v>24</v>
      </c>
      <c r="M309" s="317">
        <f t="shared" si="228"/>
        <v>293</v>
      </c>
      <c r="N309" s="185">
        <f t="shared" si="229"/>
        <v>721542.72999999986</v>
      </c>
      <c r="O309" s="185">
        <f t="shared" si="211"/>
        <v>19533.41</v>
      </c>
      <c r="P309" s="185">
        <f t="shared" si="240"/>
        <v>5252.8799999999992</v>
      </c>
      <c r="Q309" s="185">
        <f t="shared" si="212"/>
        <v>14280.53</v>
      </c>
      <c r="R309" s="185">
        <f t="shared" si="254"/>
        <v>134.16999999999999</v>
      </c>
      <c r="S309" s="185">
        <f t="shared" si="254"/>
        <v>188.55</v>
      </c>
      <c r="T309" s="185">
        <f t="shared" si="205"/>
        <v>19856.129999999997</v>
      </c>
      <c r="U309" s="185">
        <f t="shared" si="241"/>
        <v>269810.14999999997</v>
      </c>
      <c r="V309" s="185">
        <f t="shared" si="242"/>
        <v>5473012.3900000034</v>
      </c>
      <c r="W309" s="185">
        <f t="shared" si="243"/>
        <v>716289.84999999986</v>
      </c>
      <c r="X309" s="401" t="str">
        <f t="shared" si="230"/>
        <v xml:space="preserve"> </v>
      </c>
      <c r="Y309" s="185">
        <f t="shared" si="213"/>
        <v>512922.5800000006</v>
      </c>
      <c r="Z309" s="393">
        <f t="shared" si="221"/>
        <v>0.13125000000000001</v>
      </c>
      <c r="AA309" s="185">
        <f t="shared" si="222"/>
        <v>10874</v>
      </c>
      <c r="AB309" s="185">
        <f t="shared" si="223"/>
        <v>5263.91</v>
      </c>
      <c r="AC309" s="185">
        <f t="shared" si="224"/>
        <v>5610.09</v>
      </c>
      <c r="AD309" s="185">
        <f t="shared" si="251"/>
        <v>134.16999999999999</v>
      </c>
      <c r="AE309" s="185">
        <f t="shared" si="251"/>
        <v>188.55</v>
      </c>
      <c r="AF309" s="185">
        <f t="shared" si="225"/>
        <v>11196.72</v>
      </c>
      <c r="AG309" s="185">
        <f t="shared" si="244"/>
        <v>478059.4200000001</v>
      </c>
      <c r="AH309" s="185">
        <f t="shared" si="245"/>
        <v>2604123.58</v>
      </c>
      <c r="AI309" s="411">
        <f t="shared" si="207"/>
        <v>2630685.7200000002</v>
      </c>
      <c r="AJ309" s="411">
        <f t="shared" si="247"/>
        <v>208631.17999999924</v>
      </c>
      <c r="AK309" s="411">
        <f t="shared" si="208"/>
        <v>2839316.8999999994</v>
      </c>
      <c r="AL309" s="185">
        <f t="shared" si="214"/>
        <v>507658.67000000062</v>
      </c>
      <c r="AM309" s="317">
        <f t="shared" si="231"/>
        <v>24</v>
      </c>
      <c r="AN309" s="14">
        <f t="shared" si="209"/>
        <v>19533.41</v>
      </c>
      <c r="AO309" s="14">
        <f t="shared" si="252"/>
        <v>716289.85000000009</v>
      </c>
      <c r="AP309" s="14">
        <f t="shared" si="210"/>
        <v>10874</v>
      </c>
      <c r="AS309" s="14">
        <f t="shared" si="226"/>
        <v>19533.41</v>
      </c>
      <c r="AT309" s="14">
        <f t="shared" si="232"/>
        <v>5742341.9800000237</v>
      </c>
      <c r="AU309" s="185">
        <f t="shared" si="233"/>
        <v>5123.7117133307675</v>
      </c>
      <c r="AV309" s="185">
        <f t="shared" si="234"/>
        <v>1068508.3970456379</v>
      </c>
    </row>
    <row r="310" spans="1:48">
      <c r="A310" s="401" t="str">
        <f t="shared" si="235"/>
        <v xml:space="preserve"> </v>
      </c>
      <c r="B310" s="185">
        <f t="shared" si="227"/>
        <v>0</v>
      </c>
      <c r="C310" s="14">
        <f t="shared" si="218"/>
        <v>0</v>
      </c>
      <c r="D310" s="14">
        <f t="shared" si="236"/>
        <v>0</v>
      </c>
      <c r="E310" s="14">
        <f t="shared" si="219"/>
        <v>0</v>
      </c>
      <c r="F310" s="14">
        <f t="shared" si="250"/>
        <v>0</v>
      </c>
      <c r="G310" s="14">
        <f t="shared" si="250"/>
        <v>0</v>
      </c>
      <c r="H310" s="14">
        <f t="shared" si="204"/>
        <v>0</v>
      </c>
      <c r="I310" s="185">
        <f t="shared" si="237"/>
        <v>0</v>
      </c>
      <c r="J310" s="185">
        <f t="shared" si="238"/>
        <v>0</v>
      </c>
      <c r="K310" s="185">
        <f t="shared" si="239"/>
        <v>0</v>
      </c>
      <c r="L310" s="317">
        <f t="shared" si="253"/>
        <v>24</v>
      </c>
      <c r="M310" s="317">
        <f t="shared" si="228"/>
        <v>294</v>
      </c>
      <c r="N310" s="185">
        <f t="shared" si="229"/>
        <v>716289.84999999986</v>
      </c>
      <c r="O310" s="185">
        <f t="shared" si="211"/>
        <v>19533.41</v>
      </c>
      <c r="P310" s="185">
        <f t="shared" si="240"/>
        <v>5356.84</v>
      </c>
      <c r="Q310" s="185">
        <f t="shared" si="212"/>
        <v>14176.57</v>
      </c>
      <c r="R310" s="185">
        <f t="shared" si="254"/>
        <v>134.16999999999999</v>
      </c>
      <c r="S310" s="185">
        <f t="shared" si="254"/>
        <v>188.55</v>
      </c>
      <c r="T310" s="185">
        <f t="shared" si="205"/>
        <v>19856.129999999997</v>
      </c>
      <c r="U310" s="185">
        <f t="shared" si="241"/>
        <v>275166.99</v>
      </c>
      <c r="V310" s="185">
        <f t="shared" si="242"/>
        <v>5487188.9600000037</v>
      </c>
      <c r="W310" s="185">
        <f t="shared" si="243"/>
        <v>710933.00999999989</v>
      </c>
      <c r="X310" s="401" t="str">
        <f t="shared" si="230"/>
        <v xml:space="preserve"> </v>
      </c>
      <c r="Y310" s="185">
        <f t="shared" si="213"/>
        <v>507658.67000000062</v>
      </c>
      <c r="Z310" s="393">
        <f t="shared" si="221"/>
        <v>0.13125000000000001</v>
      </c>
      <c r="AA310" s="185">
        <f t="shared" si="222"/>
        <v>10874</v>
      </c>
      <c r="AB310" s="185">
        <f t="shared" si="223"/>
        <v>5321.48</v>
      </c>
      <c r="AC310" s="185">
        <f t="shared" si="224"/>
        <v>5552.52</v>
      </c>
      <c r="AD310" s="185">
        <f t="shared" si="251"/>
        <v>134.16999999999999</v>
      </c>
      <c r="AE310" s="185">
        <f t="shared" si="251"/>
        <v>188.55</v>
      </c>
      <c r="AF310" s="185">
        <f t="shared" si="225"/>
        <v>11196.72</v>
      </c>
      <c r="AG310" s="185">
        <f t="shared" si="244"/>
        <v>483380.90000000008</v>
      </c>
      <c r="AH310" s="185">
        <f t="shared" si="245"/>
        <v>2609676.1</v>
      </c>
      <c r="AI310" s="411">
        <f t="shared" si="207"/>
        <v>2639345.1300000004</v>
      </c>
      <c r="AJ310" s="411">
        <f t="shared" si="247"/>
        <v>208595.81999999925</v>
      </c>
      <c r="AK310" s="411">
        <f t="shared" si="208"/>
        <v>2847940.9499999997</v>
      </c>
      <c r="AL310" s="185">
        <f t="shared" si="214"/>
        <v>502337.19000000064</v>
      </c>
      <c r="AM310" s="317">
        <f t="shared" si="231"/>
        <v>24</v>
      </c>
      <c r="AN310" s="14">
        <f t="shared" si="209"/>
        <v>19533.41</v>
      </c>
      <c r="AO310" s="14">
        <f t="shared" si="252"/>
        <v>710933.01</v>
      </c>
      <c r="AP310" s="14">
        <f t="shared" si="210"/>
        <v>10874</v>
      </c>
      <c r="AS310" s="14">
        <f t="shared" si="226"/>
        <v>19533.41</v>
      </c>
      <c r="AT310" s="14">
        <f t="shared" si="232"/>
        <v>5761875.3900000239</v>
      </c>
      <c r="AU310" s="185">
        <f t="shared" si="233"/>
        <v>5136.5209926140951</v>
      </c>
      <c r="AV310" s="185">
        <f t="shared" si="234"/>
        <v>1073644.918038252</v>
      </c>
    </row>
    <row r="311" spans="1:48">
      <c r="A311" s="401" t="str">
        <f t="shared" si="235"/>
        <v xml:space="preserve"> </v>
      </c>
      <c r="B311" s="185">
        <f t="shared" si="227"/>
        <v>0</v>
      </c>
      <c r="C311" s="14">
        <f t="shared" si="218"/>
        <v>0</v>
      </c>
      <c r="D311" s="14">
        <f t="shared" si="236"/>
        <v>0</v>
      </c>
      <c r="E311" s="14">
        <f t="shared" si="219"/>
        <v>0</v>
      </c>
      <c r="F311" s="14">
        <f t="shared" si="250"/>
        <v>0</v>
      </c>
      <c r="G311" s="14">
        <f t="shared" si="250"/>
        <v>0</v>
      </c>
      <c r="H311" s="14">
        <f t="shared" si="204"/>
        <v>0</v>
      </c>
      <c r="I311" s="185">
        <f t="shared" si="237"/>
        <v>0</v>
      </c>
      <c r="J311" s="185">
        <f t="shared" si="238"/>
        <v>0</v>
      </c>
      <c r="K311" s="185">
        <f t="shared" si="239"/>
        <v>0</v>
      </c>
      <c r="L311" s="317">
        <f t="shared" si="253"/>
        <v>24</v>
      </c>
      <c r="M311" s="317">
        <f t="shared" si="228"/>
        <v>295</v>
      </c>
      <c r="N311" s="185">
        <f t="shared" si="229"/>
        <v>710933.00999999989</v>
      </c>
      <c r="O311" s="185">
        <f t="shared" si="211"/>
        <v>19533.41</v>
      </c>
      <c r="P311" s="185">
        <f t="shared" si="240"/>
        <v>5462.8600000000006</v>
      </c>
      <c r="Q311" s="185">
        <f t="shared" si="212"/>
        <v>14070.55</v>
      </c>
      <c r="R311" s="185">
        <f t="shared" si="254"/>
        <v>134.16999999999999</v>
      </c>
      <c r="S311" s="185">
        <f t="shared" si="254"/>
        <v>188.55</v>
      </c>
      <c r="T311" s="185">
        <f t="shared" si="205"/>
        <v>19856.129999999997</v>
      </c>
      <c r="U311" s="185">
        <f t="shared" si="241"/>
        <v>280629.84999999998</v>
      </c>
      <c r="V311" s="185">
        <f t="shared" si="242"/>
        <v>5501259.5100000035</v>
      </c>
      <c r="W311" s="185">
        <f t="shared" si="243"/>
        <v>705470.14999999991</v>
      </c>
      <c r="X311" s="401" t="str">
        <f t="shared" si="230"/>
        <v xml:space="preserve"> </v>
      </c>
      <c r="Y311" s="185">
        <f t="shared" si="213"/>
        <v>502337.19000000064</v>
      </c>
      <c r="Z311" s="393">
        <f t="shared" si="221"/>
        <v>0.13125000000000001</v>
      </c>
      <c r="AA311" s="185">
        <f t="shared" si="222"/>
        <v>10874</v>
      </c>
      <c r="AB311" s="185">
        <f t="shared" si="223"/>
        <v>5379.69</v>
      </c>
      <c r="AC311" s="185">
        <f t="shared" si="224"/>
        <v>5494.31</v>
      </c>
      <c r="AD311" s="185">
        <f t="shared" si="251"/>
        <v>134.16999999999999</v>
      </c>
      <c r="AE311" s="185">
        <f t="shared" si="251"/>
        <v>188.55</v>
      </c>
      <c r="AF311" s="185">
        <f t="shared" si="225"/>
        <v>11196.72</v>
      </c>
      <c r="AG311" s="185">
        <f t="shared" si="244"/>
        <v>488760.59000000008</v>
      </c>
      <c r="AH311" s="185">
        <f t="shared" si="245"/>
        <v>2615170.41</v>
      </c>
      <c r="AI311" s="411">
        <f t="shared" si="207"/>
        <v>2648004.5400000005</v>
      </c>
      <c r="AJ311" s="411">
        <f t="shared" si="247"/>
        <v>208512.64999999927</v>
      </c>
      <c r="AK311" s="411">
        <f t="shared" si="208"/>
        <v>2856517.19</v>
      </c>
      <c r="AL311" s="185">
        <f t="shared" si="214"/>
        <v>496957.50000000064</v>
      </c>
      <c r="AM311" s="317">
        <f t="shared" si="231"/>
        <v>24</v>
      </c>
      <c r="AN311" s="14">
        <f t="shared" si="209"/>
        <v>19533.41</v>
      </c>
      <c r="AO311" s="14">
        <f t="shared" si="252"/>
        <v>705470.15</v>
      </c>
      <c r="AP311" s="14">
        <f t="shared" si="210"/>
        <v>10874</v>
      </c>
      <c r="AS311" s="14">
        <f t="shared" si="226"/>
        <v>19533.41</v>
      </c>
      <c r="AT311" s="14">
        <f t="shared" si="232"/>
        <v>5781408.800000024</v>
      </c>
      <c r="AU311" s="185">
        <f t="shared" si="233"/>
        <v>5149.3622950956296</v>
      </c>
      <c r="AV311" s="185">
        <f t="shared" si="234"/>
        <v>1078794.2803333476</v>
      </c>
    </row>
    <row r="312" spans="1:48">
      <c r="A312" s="401" t="str">
        <f t="shared" si="235"/>
        <v xml:space="preserve"> </v>
      </c>
      <c r="B312" s="185">
        <f t="shared" si="227"/>
        <v>0</v>
      </c>
      <c r="C312" s="14">
        <f t="shared" si="218"/>
        <v>0</v>
      </c>
      <c r="D312" s="14">
        <f t="shared" si="236"/>
        <v>0</v>
      </c>
      <c r="E312" s="14">
        <f t="shared" si="219"/>
        <v>0</v>
      </c>
      <c r="F312" s="14">
        <f t="shared" si="250"/>
        <v>0</v>
      </c>
      <c r="G312" s="14">
        <f t="shared" si="250"/>
        <v>0</v>
      </c>
      <c r="H312" s="14">
        <f t="shared" si="204"/>
        <v>0</v>
      </c>
      <c r="I312" s="185">
        <f t="shared" si="237"/>
        <v>0</v>
      </c>
      <c r="J312" s="185">
        <f t="shared" si="238"/>
        <v>0</v>
      </c>
      <c r="K312" s="185">
        <f t="shared" si="239"/>
        <v>0</v>
      </c>
      <c r="L312" s="317">
        <f t="shared" si="253"/>
        <v>24</v>
      </c>
      <c r="M312" s="317">
        <f t="shared" si="228"/>
        <v>296</v>
      </c>
      <c r="N312" s="185">
        <f t="shared" si="229"/>
        <v>705470.14999999991</v>
      </c>
      <c r="O312" s="185">
        <f t="shared" si="211"/>
        <v>19533.41</v>
      </c>
      <c r="P312" s="185">
        <f t="shared" si="240"/>
        <v>5570.98</v>
      </c>
      <c r="Q312" s="185">
        <f t="shared" si="212"/>
        <v>13962.43</v>
      </c>
      <c r="R312" s="185">
        <f t="shared" si="254"/>
        <v>134.16999999999999</v>
      </c>
      <c r="S312" s="185">
        <f t="shared" si="254"/>
        <v>188.55</v>
      </c>
      <c r="T312" s="185">
        <f t="shared" si="205"/>
        <v>19856.129999999997</v>
      </c>
      <c r="U312" s="185">
        <f t="shared" si="241"/>
        <v>286200.82999999996</v>
      </c>
      <c r="V312" s="185">
        <f t="shared" si="242"/>
        <v>5515221.9400000032</v>
      </c>
      <c r="W312" s="185">
        <f t="shared" si="243"/>
        <v>699899.16999999993</v>
      </c>
      <c r="X312" s="401" t="str">
        <f t="shared" si="230"/>
        <v xml:space="preserve"> </v>
      </c>
      <c r="Y312" s="185">
        <f t="shared" si="213"/>
        <v>496957.50000000064</v>
      </c>
      <c r="Z312" s="393">
        <f t="shared" si="221"/>
        <v>0.13125000000000001</v>
      </c>
      <c r="AA312" s="185">
        <f t="shared" si="222"/>
        <v>10874</v>
      </c>
      <c r="AB312" s="185">
        <f t="shared" si="223"/>
        <v>5438.53</v>
      </c>
      <c r="AC312" s="185">
        <f t="shared" si="224"/>
        <v>5435.47</v>
      </c>
      <c r="AD312" s="185">
        <f t="shared" si="251"/>
        <v>134.16999999999999</v>
      </c>
      <c r="AE312" s="185">
        <f t="shared" si="251"/>
        <v>188.55</v>
      </c>
      <c r="AF312" s="185">
        <f t="shared" si="225"/>
        <v>11196.72</v>
      </c>
      <c r="AG312" s="185">
        <f t="shared" si="244"/>
        <v>494199.12000000011</v>
      </c>
      <c r="AH312" s="185">
        <f t="shared" si="245"/>
        <v>2620605.8800000004</v>
      </c>
      <c r="AI312" s="411">
        <f t="shared" si="207"/>
        <v>2656663.9500000007</v>
      </c>
      <c r="AJ312" s="411">
        <f t="shared" si="247"/>
        <v>208380.19999999931</v>
      </c>
      <c r="AK312" s="411">
        <f t="shared" si="208"/>
        <v>2865044.15</v>
      </c>
      <c r="AL312" s="185">
        <f t="shared" si="214"/>
        <v>491518.97000000061</v>
      </c>
      <c r="AM312" s="317">
        <f t="shared" si="231"/>
        <v>24</v>
      </c>
      <c r="AN312" s="14">
        <f t="shared" si="209"/>
        <v>19533.41</v>
      </c>
      <c r="AO312" s="14">
        <f t="shared" si="252"/>
        <v>699899.17</v>
      </c>
      <c r="AP312" s="14">
        <f t="shared" si="210"/>
        <v>10874</v>
      </c>
      <c r="AS312" s="14">
        <f t="shared" si="226"/>
        <v>19533.41</v>
      </c>
      <c r="AT312" s="14">
        <f t="shared" si="232"/>
        <v>5800942.2100000242</v>
      </c>
      <c r="AU312" s="185">
        <f t="shared" si="233"/>
        <v>5162.2357008333684</v>
      </c>
      <c r="AV312" s="185">
        <f t="shared" si="234"/>
        <v>1083956.516034181</v>
      </c>
    </row>
    <row r="313" spans="1:48">
      <c r="A313" s="401" t="str">
        <f t="shared" si="235"/>
        <v xml:space="preserve"> </v>
      </c>
      <c r="B313" s="185">
        <f t="shared" si="227"/>
        <v>0</v>
      </c>
      <c r="C313" s="14">
        <f t="shared" si="218"/>
        <v>0</v>
      </c>
      <c r="D313" s="14">
        <f t="shared" si="236"/>
        <v>0</v>
      </c>
      <c r="E313" s="14">
        <f t="shared" si="219"/>
        <v>0</v>
      </c>
      <c r="F313" s="14">
        <f t="shared" si="250"/>
        <v>0</v>
      </c>
      <c r="G313" s="14">
        <f t="shared" si="250"/>
        <v>0</v>
      </c>
      <c r="H313" s="14">
        <f t="shared" si="204"/>
        <v>0</v>
      </c>
      <c r="I313" s="185">
        <f t="shared" si="237"/>
        <v>0</v>
      </c>
      <c r="J313" s="185">
        <f t="shared" si="238"/>
        <v>0</v>
      </c>
      <c r="K313" s="185">
        <f t="shared" si="239"/>
        <v>0</v>
      </c>
      <c r="L313" s="317">
        <f t="shared" si="253"/>
        <v>24</v>
      </c>
      <c r="M313" s="317">
        <f t="shared" si="228"/>
        <v>297</v>
      </c>
      <c r="N313" s="185">
        <f t="shared" si="229"/>
        <v>699899.16999999993</v>
      </c>
      <c r="O313" s="185">
        <f t="shared" si="211"/>
        <v>19533.41</v>
      </c>
      <c r="P313" s="185">
        <f t="shared" si="240"/>
        <v>5681.24</v>
      </c>
      <c r="Q313" s="185">
        <f t="shared" si="212"/>
        <v>13852.17</v>
      </c>
      <c r="R313" s="185">
        <f t="shared" si="254"/>
        <v>134.16999999999999</v>
      </c>
      <c r="S313" s="185">
        <f t="shared" si="254"/>
        <v>188.55</v>
      </c>
      <c r="T313" s="185">
        <f t="shared" si="205"/>
        <v>19856.129999999997</v>
      </c>
      <c r="U313" s="185">
        <f t="shared" si="241"/>
        <v>291882.06999999995</v>
      </c>
      <c r="V313" s="185">
        <f t="shared" si="242"/>
        <v>5529074.1100000031</v>
      </c>
      <c r="W313" s="185">
        <f t="shared" si="243"/>
        <v>694217.92999999993</v>
      </c>
      <c r="X313" s="401" t="str">
        <f t="shared" si="230"/>
        <v xml:space="preserve"> </v>
      </c>
      <c r="Y313" s="185">
        <f t="shared" si="213"/>
        <v>491518.97000000061</v>
      </c>
      <c r="Z313" s="393">
        <f t="shared" si="221"/>
        <v>0.13125000000000001</v>
      </c>
      <c r="AA313" s="185">
        <f t="shared" si="222"/>
        <v>10874</v>
      </c>
      <c r="AB313" s="185">
        <f t="shared" si="223"/>
        <v>5498.01</v>
      </c>
      <c r="AC313" s="185">
        <f t="shared" si="224"/>
        <v>5375.99</v>
      </c>
      <c r="AD313" s="185">
        <f t="shared" si="251"/>
        <v>134.16999999999999</v>
      </c>
      <c r="AE313" s="185">
        <f t="shared" si="251"/>
        <v>188.55</v>
      </c>
      <c r="AF313" s="185">
        <f t="shared" si="225"/>
        <v>11196.72</v>
      </c>
      <c r="AG313" s="185">
        <f t="shared" si="244"/>
        <v>499697.13000000012</v>
      </c>
      <c r="AH313" s="185">
        <f t="shared" si="245"/>
        <v>2625981.8700000006</v>
      </c>
      <c r="AI313" s="411">
        <f t="shared" si="207"/>
        <v>2665323.3600000008</v>
      </c>
      <c r="AJ313" s="411">
        <f t="shared" si="247"/>
        <v>208196.96999999933</v>
      </c>
      <c r="AK313" s="411">
        <f t="shared" si="208"/>
        <v>2873520.33</v>
      </c>
      <c r="AL313" s="185">
        <f t="shared" si="214"/>
        <v>486020.9600000006</v>
      </c>
      <c r="AM313" s="317">
        <f t="shared" si="231"/>
        <v>24</v>
      </c>
      <c r="AN313" s="14">
        <f t="shared" si="209"/>
        <v>19533.41</v>
      </c>
      <c r="AO313" s="14">
        <f t="shared" si="252"/>
        <v>694217.93</v>
      </c>
      <c r="AP313" s="14">
        <f t="shared" si="210"/>
        <v>10874</v>
      </c>
      <c r="AS313" s="14">
        <f t="shared" si="226"/>
        <v>19533.41</v>
      </c>
      <c r="AT313" s="14">
        <f t="shared" si="232"/>
        <v>5820475.6200000243</v>
      </c>
      <c r="AU313" s="185">
        <f t="shared" si="233"/>
        <v>5175.1412900854521</v>
      </c>
      <c r="AV313" s="185">
        <f t="shared" si="234"/>
        <v>1089131.6573242664</v>
      </c>
    </row>
    <row r="314" spans="1:48">
      <c r="A314" s="401" t="str">
        <f t="shared" si="235"/>
        <v xml:space="preserve"> </v>
      </c>
      <c r="B314" s="185">
        <f t="shared" si="227"/>
        <v>0</v>
      </c>
      <c r="C314" s="14">
        <f t="shared" si="218"/>
        <v>0</v>
      </c>
      <c r="D314" s="14">
        <f t="shared" si="236"/>
        <v>0</v>
      </c>
      <c r="E314" s="14">
        <f t="shared" si="219"/>
        <v>0</v>
      </c>
      <c r="F314" s="14">
        <f t="shared" si="250"/>
        <v>0</v>
      </c>
      <c r="G314" s="14">
        <f t="shared" si="250"/>
        <v>0</v>
      </c>
      <c r="H314" s="14">
        <f t="shared" si="204"/>
        <v>0</v>
      </c>
      <c r="I314" s="185">
        <f t="shared" si="237"/>
        <v>0</v>
      </c>
      <c r="J314" s="185">
        <f t="shared" si="238"/>
        <v>0</v>
      </c>
      <c r="K314" s="185">
        <f t="shared" si="239"/>
        <v>0</v>
      </c>
      <c r="L314" s="317">
        <f t="shared" si="253"/>
        <v>24</v>
      </c>
      <c r="M314" s="317">
        <f t="shared" si="228"/>
        <v>298</v>
      </c>
      <c r="N314" s="185">
        <f t="shared" si="229"/>
        <v>694217.92999999993</v>
      </c>
      <c r="O314" s="185">
        <f t="shared" si="211"/>
        <v>19533.41</v>
      </c>
      <c r="P314" s="185">
        <f t="shared" si="240"/>
        <v>5793.68</v>
      </c>
      <c r="Q314" s="185">
        <f t="shared" si="212"/>
        <v>13739.73</v>
      </c>
      <c r="R314" s="185">
        <f t="shared" si="254"/>
        <v>134.16999999999999</v>
      </c>
      <c r="S314" s="185">
        <f t="shared" si="254"/>
        <v>188.55</v>
      </c>
      <c r="T314" s="185">
        <f t="shared" si="205"/>
        <v>19856.129999999997</v>
      </c>
      <c r="U314" s="185">
        <f t="shared" si="241"/>
        <v>297675.74999999994</v>
      </c>
      <c r="V314" s="185">
        <f t="shared" si="242"/>
        <v>5542813.8400000036</v>
      </c>
      <c r="W314" s="185">
        <f t="shared" si="243"/>
        <v>688424.24999999988</v>
      </c>
      <c r="X314" s="401" t="str">
        <f t="shared" si="230"/>
        <v xml:space="preserve"> </v>
      </c>
      <c r="Y314" s="185">
        <f t="shared" si="213"/>
        <v>486020.9600000006</v>
      </c>
      <c r="Z314" s="393">
        <f t="shared" si="221"/>
        <v>0.13125000000000001</v>
      </c>
      <c r="AA314" s="185">
        <f t="shared" si="222"/>
        <v>10874</v>
      </c>
      <c r="AB314" s="185">
        <f t="shared" si="223"/>
        <v>5558.15</v>
      </c>
      <c r="AC314" s="185">
        <f t="shared" si="224"/>
        <v>5315.85</v>
      </c>
      <c r="AD314" s="185">
        <f t="shared" si="251"/>
        <v>134.16999999999999</v>
      </c>
      <c r="AE314" s="185">
        <f t="shared" si="251"/>
        <v>188.55</v>
      </c>
      <c r="AF314" s="185">
        <f t="shared" si="225"/>
        <v>11196.72</v>
      </c>
      <c r="AG314" s="185">
        <f t="shared" si="244"/>
        <v>505255.28000000014</v>
      </c>
      <c r="AH314" s="185">
        <f t="shared" si="245"/>
        <v>2631297.7200000007</v>
      </c>
      <c r="AI314" s="411">
        <f t="shared" si="207"/>
        <v>2673982.7700000009</v>
      </c>
      <c r="AJ314" s="411">
        <f t="shared" si="247"/>
        <v>207961.4399999993</v>
      </c>
      <c r="AK314" s="411">
        <f t="shared" si="208"/>
        <v>2881944.2100000004</v>
      </c>
      <c r="AL314" s="185">
        <f t="shared" si="214"/>
        <v>480462.81000000058</v>
      </c>
      <c r="AM314" s="317">
        <f t="shared" si="231"/>
        <v>24</v>
      </c>
      <c r="AN314" s="14">
        <f t="shared" si="209"/>
        <v>19533.41</v>
      </c>
      <c r="AO314" s="14">
        <f t="shared" si="252"/>
        <v>688424.25</v>
      </c>
      <c r="AP314" s="14">
        <f t="shared" si="210"/>
        <v>10874</v>
      </c>
      <c r="AS314" s="14">
        <f t="shared" si="226"/>
        <v>19533.41</v>
      </c>
      <c r="AT314" s="14">
        <f t="shared" si="232"/>
        <v>5840009.0300000245</v>
      </c>
      <c r="AU314" s="185">
        <f t="shared" si="233"/>
        <v>5188.079143310666</v>
      </c>
      <c r="AV314" s="185">
        <f t="shared" si="234"/>
        <v>1094319.7364675771</v>
      </c>
    </row>
    <row r="315" spans="1:48" ht="15.75" thickBot="1">
      <c r="A315" s="404" t="str">
        <f t="shared" si="235"/>
        <v xml:space="preserve"> </v>
      </c>
      <c r="B315" s="237">
        <f t="shared" si="227"/>
        <v>0</v>
      </c>
      <c r="C315" s="21">
        <f t="shared" si="218"/>
        <v>0</v>
      </c>
      <c r="D315" s="21">
        <f t="shared" si="236"/>
        <v>0</v>
      </c>
      <c r="E315" s="21">
        <f t="shared" si="219"/>
        <v>0</v>
      </c>
      <c r="F315" s="21">
        <f t="shared" ref="F315:G330" si="255">+F314</f>
        <v>0</v>
      </c>
      <c r="G315" s="21">
        <f t="shared" si="255"/>
        <v>0</v>
      </c>
      <c r="H315" s="21">
        <f t="shared" si="204"/>
        <v>0</v>
      </c>
      <c r="I315" s="237">
        <f t="shared" si="237"/>
        <v>0</v>
      </c>
      <c r="J315" s="237">
        <f t="shared" si="238"/>
        <v>0</v>
      </c>
      <c r="K315" s="237">
        <f t="shared" si="239"/>
        <v>0</v>
      </c>
      <c r="L315" s="318">
        <f t="shared" si="253"/>
        <v>24</v>
      </c>
      <c r="M315" s="318">
        <f t="shared" si="228"/>
        <v>299</v>
      </c>
      <c r="N315" s="237">
        <f t="shared" si="229"/>
        <v>688424.24999999988</v>
      </c>
      <c r="O315" s="237">
        <f t="shared" si="211"/>
        <v>19533.41</v>
      </c>
      <c r="P315" s="237">
        <f t="shared" si="240"/>
        <v>5908.35</v>
      </c>
      <c r="Q315" s="237">
        <f t="shared" si="212"/>
        <v>13625.06</v>
      </c>
      <c r="R315" s="237">
        <f t="shared" si="254"/>
        <v>134.16999999999999</v>
      </c>
      <c r="S315" s="237">
        <f t="shared" si="254"/>
        <v>188.55</v>
      </c>
      <c r="T315" s="237">
        <f t="shared" si="205"/>
        <v>19856.129999999997</v>
      </c>
      <c r="U315" s="237">
        <f t="shared" si="241"/>
        <v>303584.09999999992</v>
      </c>
      <c r="V315" s="237">
        <f t="shared" si="242"/>
        <v>5556438.9000000032</v>
      </c>
      <c r="W315" s="237">
        <f t="shared" si="243"/>
        <v>682515.89999999991</v>
      </c>
      <c r="X315" s="404" t="str">
        <f t="shared" si="230"/>
        <v xml:space="preserve"> </v>
      </c>
      <c r="Y315" s="237">
        <f t="shared" si="213"/>
        <v>480462.81000000058</v>
      </c>
      <c r="Z315" s="394">
        <f t="shared" si="221"/>
        <v>0.13125000000000001</v>
      </c>
      <c r="AA315" s="237">
        <f t="shared" si="222"/>
        <v>10874</v>
      </c>
      <c r="AB315" s="237">
        <f t="shared" si="223"/>
        <v>5618.94</v>
      </c>
      <c r="AC315" s="237">
        <f t="shared" si="224"/>
        <v>5255.06</v>
      </c>
      <c r="AD315" s="237">
        <f t="shared" si="251"/>
        <v>134.16999999999999</v>
      </c>
      <c r="AE315" s="237">
        <f t="shared" si="251"/>
        <v>188.55</v>
      </c>
      <c r="AF315" s="237">
        <f t="shared" si="225"/>
        <v>11196.72</v>
      </c>
      <c r="AG315" s="237">
        <f t="shared" si="244"/>
        <v>510874.22000000015</v>
      </c>
      <c r="AH315" s="237">
        <f t="shared" si="245"/>
        <v>2636552.7800000007</v>
      </c>
      <c r="AI315" s="412">
        <f t="shared" si="207"/>
        <v>2682642.1800000011</v>
      </c>
      <c r="AJ315" s="412">
        <f t="shared" si="247"/>
        <v>207672.02999999933</v>
      </c>
      <c r="AK315" s="411">
        <f t="shared" si="208"/>
        <v>2890314.2100000004</v>
      </c>
      <c r="AL315" s="237">
        <f t="shared" si="214"/>
        <v>474843.87000000058</v>
      </c>
      <c r="AM315" s="318">
        <f t="shared" si="231"/>
        <v>24</v>
      </c>
      <c r="AN315" s="21">
        <f t="shared" si="209"/>
        <v>19533.41</v>
      </c>
      <c r="AO315" s="21">
        <f t="shared" si="252"/>
        <v>682515.90000000014</v>
      </c>
      <c r="AP315" s="21">
        <f t="shared" si="210"/>
        <v>10874</v>
      </c>
      <c r="AQ315" s="21"/>
      <c r="AR315" s="23"/>
      <c r="AS315" s="21">
        <f t="shared" si="226"/>
        <v>19533.41</v>
      </c>
      <c r="AT315" s="21">
        <f t="shared" si="232"/>
        <v>5859542.4400000246</v>
      </c>
      <c r="AU315" s="237">
        <f t="shared" si="233"/>
        <v>5201.0493411689422</v>
      </c>
      <c r="AV315" s="237">
        <f t="shared" si="234"/>
        <v>1099520.785808746</v>
      </c>
    </row>
    <row r="316" spans="1:48">
      <c r="A316" s="401" t="str">
        <f t="shared" si="235"/>
        <v xml:space="preserve"> </v>
      </c>
      <c r="B316" s="185">
        <f t="shared" si="227"/>
        <v>0</v>
      </c>
      <c r="C316" s="14">
        <f t="shared" si="218"/>
        <v>0</v>
      </c>
      <c r="D316" s="14">
        <f t="shared" si="236"/>
        <v>0</v>
      </c>
      <c r="E316" s="14">
        <f t="shared" si="219"/>
        <v>0</v>
      </c>
      <c r="F316" s="14">
        <f t="shared" si="255"/>
        <v>0</v>
      </c>
      <c r="G316" s="14">
        <f t="shared" si="255"/>
        <v>0</v>
      </c>
      <c r="H316" s="14">
        <f t="shared" ref="H316:H379" si="256">SUM(D316:G316)</f>
        <v>0</v>
      </c>
      <c r="I316" s="185">
        <f t="shared" si="237"/>
        <v>0</v>
      </c>
      <c r="J316" s="185">
        <f t="shared" si="238"/>
        <v>0</v>
      </c>
      <c r="K316" s="185">
        <f t="shared" si="239"/>
        <v>0</v>
      </c>
      <c r="L316" s="317">
        <f t="shared" si="253"/>
        <v>25</v>
      </c>
      <c r="M316" s="317">
        <f t="shared" si="228"/>
        <v>300</v>
      </c>
      <c r="N316" s="185">
        <f t="shared" si="229"/>
        <v>682515.89999999991</v>
      </c>
      <c r="O316" s="185">
        <f t="shared" si="211"/>
        <v>19533.41</v>
      </c>
      <c r="P316" s="185">
        <f t="shared" si="240"/>
        <v>6025.2800000000007</v>
      </c>
      <c r="Q316" s="185">
        <f t="shared" si="212"/>
        <v>13508.13</v>
      </c>
      <c r="R316" s="185">
        <f t="shared" si="254"/>
        <v>134.16999999999999</v>
      </c>
      <c r="S316" s="185">
        <f t="shared" si="254"/>
        <v>188.55</v>
      </c>
      <c r="T316" s="185">
        <f t="shared" ref="T316:T379" si="257">SUM(P316:S316)</f>
        <v>19856.129999999997</v>
      </c>
      <c r="U316" s="185">
        <f t="shared" si="241"/>
        <v>309609.37999999995</v>
      </c>
      <c r="V316" s="185">
        <f t="shared" si="242"/>
        <v>5569947.0300000031</v>
      </c>
      <c r="W316" s="185">
        <f t="shared" si="243"/>
        <v>676490.61999999988</v>
      </c>
      <c r="X316" s="401" t="str">
        <f t="shared" si="230"/>
        <v xml:space="preserve"> </v>
      </c>
      <c r="Y316" s="185">
        <f t="shared" si="213"/>
        <v>474843.87000000058</v>
      </c>
      <c r="Z316" s="393">
        <f t="shared" si="221"/>
        <v>0.13125000000000001</v>
      </c>
      <c r="AA316" s="185">
        <f t="shared" si="222"/>
        <v>10874</v>
      </c>
      <c r="AB316" s="185">
        <f t="shared" si="223"/>
        <v>5680.4</v>
      </c>
      <c r="AC316" s="185">
        <f t="shared" si="224"/>
        <v>5193.6000000000004</v>
      </c>
      <c r="AD316" s="185">
        <f t="shared" si="251"/>
        <v>134.16999999999999</v>
      </c>
      <c r="AE316" s="185">
        <f t="shared" si="251"/>
        <v>188.55</v>
      </c>
      <c r="AF316" s="185">
        <f t="shared" si="225"/>
        <v>11196.72</v>
      </c>
      <c r="AG316" s="185">
        <f t="shared" si="244"/>
        <v>516554.62000000017</v>
      </c>
      <c r="AH316" s="185">
        <f t="shared" si="245"/>
        <v>2641746.3800000008</v>
      </c>
      <c r="AI316" s="411">
        <f t="shared" si="207"/>
        <v>2691301.5900000012</v>
      </c>
      <c r="AJ316" s="411">
        <f t="shared" si="247"/>
        <v>207327.14999999932</v>
      </c>
      <c r="AK316" s="411">
        <f t="shared" si="208"/>
        <v>2898628.7400000007</v>
      </c>
      <c r="AL316" s="185">
        <f t="shared" si="214"/>
        <v>469163.47000000055</v>
      </c>
      <c r="AM316" s="317">
        <f t="shared" si="231"/>
        <v>25</v>
      </c>
      <c r="AN316" s="14">
        <f t="shared" si="209"/>
        <v>19533.41</v>
      </c>
      <c r="AO316" s="14">
        <f t="shared" si="252"/>
        <v>676490.62000000011</v>
      </c>
      <c r="AP316" s="14">
        <f t="shared" si="210"/>
        <v>10874</v>
      </c>
      <c r="AS316" s="14">
        <f t="shared" si="226"/>
        <v>19533.41</v>
      </c>
      <c r="AT316" s="14">
        <f t="shared" si="232"/>
        <v>5879075.8500000248</v>
      </c>
      <c r="AU316" s="185">
        <f t="shared" si="233"/>
        <v>5214.0519645218646</v>
      </c>
      <c r="AV316" s="185">
        <f t="shared" si="234"/>
        <v>1104734.8377732679</v>
      </c>
    </row>
    <row r="317" spans="1:48">
      <c r="A317" s="401" t="str">
        <f t="shared" si="235"/>
        <v xml:space="preserve"> </v>
      </c>
      <c r="B317" s="185">
        <f t="shared" si="227"/>
        <v>0</v>
      </c>
      <c r="C317" s="14">
        <f t="shared" si="218"/>
        <v>0</v>
      </c>
      <c r="D317" s="14">
        <f t="shared" si="236"/>
        <v>0</v>
      </c>
      <c r="E317" s="14">
        <f t="shared" si="219"/>
        <v>0</v>
      </c>
      <c r="F317" s="14">
        <f t="shared" si="255"/>
        <v>0</v>
      </c>
      <c r="G317" s="14">
        <f t="shared" si="255"/>
        <v>0</v>
      </c>
      <c r="H317" s="14">
        <f t="shared" si="256"/>
        <v>0</v>
      </c>
      <c r="I317" s="185">
        <f t="shared" si="237"/>
        <v>0</v>
      </c>
      <c r="J317" s="185">
        <f t="shared" si="238"/>
        <v>0</v>
      </c>
      <c r="K317" s="185">
        <f t="shared" si="239"/>
        <v>0</v>
      </c>
      <c r="L317" s="317">
        <f t="shared" si="253"/>
        <v>25</v>
      </c>
      <c r="M317" s="317">
        <f t="shared" si="228"/>
        <v>301</v>
      </c>
      <c r="N317" s="185">
        <f t="shared" si="229"/>
        <v>676490.61999999988</v>
      </c>
      <c r="O317" s="185">
        <f t="shared" si="211"/>
        <v>19533.41</v>
      </c>
      <c r="P317" s="185">
        <f t="shared" si="240"/>
        <v>6144.5300000000007</v>
      </c>
      <c r="Q317" s="185">
        <f t="shared" si="212"/>
        <v>13388.88</v>
      </c>
      <c r="R317" s="185">
        <f t="shared" si="254"/>
        <v>134.16999999999999</v>
      </c>
      <c r="S317" s="185">
        <f t="shared" si="254"/>
        <v>188.55</v>
      </c>
      <c r="T317" s="185">
        <f t="shared" si="257"/>
        <v>19856.129999999997</v>
      </c>
      <c r="U317" s="185">
        <f t="shared" si="241"/>
        <v>315753.90999999997</v>
      </c>
      <c r="V317" s="185">
        <f t="shared" si="242"/>
        <v>5583335.9100000029</v>
      </c>
      <c r="W317" s="185">
        <f t="shared" si="243"/>
        <v>670346.08999999985</v>
      </c>
      <c r="X317" s="401" t="str">
        <f t="shared" si="230"/>
        <v xml:space="preserve"> </v>
      </c>
      <c r="Y317" s="185">
        <f t="shared" si="213"/>
        <v>469163.47000000055</v>
      </c>
      <c r="Z317" s="393">
        <f t="shared" si="221"/>
        <v>0.13125000000000001</v>
      </c>
      <c r="AA317" s="185">
        <f t="shared" si="222"/>
        <v>10874</v>
      </c>
      <c r="AB317" s="185">
        <f t="shared" si="223"/>
        <v>5742.52</v>
      </c>
      <c r="AC317" s="185">
        <f t="shared" si="224"/>
        <v>5131.4799999999996</v>
      </c>
      <c r="AD317" s="185">
        <f t="shared" ref="AD317:AE332" si="258">+AD316</f>
        <v>134.16999999999999</v>
      </c>
      <c r="AE317" s="185">
        <f t="shared" si="258"/>
        <v>188.55</v>
      </c>
      <c r="AF317" s="185">
        <f t="shared" si="225"/>
        <v>11196.72</v>
      </c>
      <c r="AG317" s="185">
        <f t="shared" si="244"/>
        <v>522297.14000000019</v>
      </c>
      <c r="AH317" s="185">
        <f t="shared" si="245"/>
        <v>2646877.8600000008</v>
      </c>
      <c r="AI317" s="411">
        <f t="shared" ref="AI317:AI380" si="259">O317-AA317+AI316</f>
        <v>2699961.0000000014</v>
      </c>
      <c r="AJ317" s="411">
        <f t="shared" si="247"/>
        <v>206925.13999999932</v>
      </c>
      <c r="AK317" s="411">
        <f t="shared" ref="AK317:AK380" si="260">SUM(AI317:AJ317)</f>
        <v>2906886.1400000006</v>
      </c>
      <c r="AL317" s="185">
        <f t="shared" si="214"/>
        <v>463420.95000000054</v>
      </c>
      <c r="AM317" s="317">
        <f t="shared" si="231"/>
        <v>25</v>
      </c>
      <c r="AN317" s="14">
        <f t="shared" ref="AN317:AN380" si="261">IF(O317=0,0,+O317-C317)</f>
        <v>19533.41</v>
      </c>
      <c r="AO317" s="14">
        <f t="shared" si="252"/>
        <v>670346.09000000008</v>
      </c>
      <c r="AP317" s="14">
        <f t="shared" ref="AP317:AP380" si="262">IF($O317=0,0,+AA317-$C317)</f>
        <v>10874</v>
      </c>
      <c r="AS317" s="14">
        <f t="shared" si="226"/>
        <v>19533.41</v>
      </c>
      <c r="AT317" s="14">
        <f t="shared" si="232"/>
        <v>5898609.2600000249</v>
      </c>
      <c r="AU317" s="185">
        <f t="shared" si="233"/>
        <v>5227.08709443317</v>
      </c>
      <c r="AV317" s="185">
        <f t="shared" si="234"/>
        <v>1109961.924867701</v>
      </c>
    </row>
    <row r="318" spans="1:48">
      <c r="A318" s="401" t="str">
        <f t="shared" si="235"/>
        <v xml:space="preserve"> </v>
      </c>
      <c r="B318" s="185">
        <f t="shared" si="227"/>
        <v>0</v>
      </c>
      <c r="C318" s="14">
        <f t="shared" si="218"/>
        <v>0</v>
      </c>
      <c r="D318" s="14">
        <f t="shared" si="236"/>
        <v>0</v>
      </c>
      <c r="E318" s="14">
        <f t="shared" si="219"/>
        <v>0</v>
      </c>
      <c r="F318" s="14">
        <f t="shared" si="255"/>
        <v>0</v>
      </c>
      <c r="G318" s="14">
        <f t="shared" si="255"/>
        <v>0</v>
      </c>
      <c r="H318" s="14">
        <f t="shared" si="256"/>
        <v>0</v>
      </c>
      <c r="I318" s="185">
        <f t="shared" si="237"/>
        <v>0</v>
      </c>
      <c r="J318" s="185">
        <f t="shared" si="238"/>
        <v>0</v>
      </c>
      <c r="K318" s="185">
        <f t="shared" si="239"/>
        <v>0</v>
      </c>
      <c r="L318" s="317">
        <f t="shared" si="253"/>
        <v>25</v>
      </c>
      <c r="M318" s="317">
        <f t="shared" si="228"/>
        <v>302</v>
      </c>
      <c r="N318" s="185">
        <f t="shared" si="229"/>
        <v>670346.08999999985</v>
      </c>
      <c r="O318" s="185">
        <f t="shared" si="211"/>
        <v>19533.41</v>
      </c>
      <c r="P318" s="185">
        <f t="shared" si="240"/>
        <v>6266.1399999999994</v>
      </c>
      <c r="Q318" s="185">
        <f t="shared" si="212"/>
        <v>13267.27</v>
      </c>
      <c r="R318" s="185">
        <f t="shared" si="254"/>
        <v>134.16999999999999</v>
      </c>
      <c r="S318" s="185">
        <f t="shared" si="254"/>
        <v>188.55</v>
      </c>
      <c r="T318" s="185">
        <f t="shared" si="257"/>
        <v>19856.129999999997</v>
      </c>
      <c r="U318" s="185">
        <f t="shared" si="241"/>
        <v>322020.05</v>
      </c>
      <c r="V318" s="185">
        <f t="shared" si="242"/>
        <v>5596603.1800000025</v>
      </c>
      <c r="W318" s="185">
        <f t="shared" si="243"/>
        <v>664079.94999999984</v>
      </c>
      <c r="X318" s="401" t="str">
        <f t="shared" si="230"/>
        <v xml:space="preserve"> </v>
      </c>
      <c r="Y318" s="185">
        <f t="shared" si="213"/>
        <v>463420.95000000054</v>
      </c>
      <c r="Z318" s="393">
        <f t="shared" si="221"/>
        <v>0.13125000000000001</v>
      </c>
      <c r="AA318" s="185">
        <f t="shared" si="222"/>
        <v>10874</v>
      </c>
      <c r="AB318" s="185">
        <f t="shared" si="223"/>
        <v>5805.33</v>
      </c>
      <c r="AC318" s="185">
        <f t="shared" si="224"/>
        <v>5068.67</v>
      </c>
      <c r="AD318" s="185">
        <f t="shared" si="258"/>
        <v>134.16999999999999</v>
      </c>
      <c r="AE318" s="185">
        <f t="shared" si="258"/>
        <v>188.55</v>
      </c>
      <c r="AF318" s="185">
        <f t="shared" si="225"/>
        <v>11196.72</v>
      </c>
      <c r="AG318" s="185">
        <f t="shared" si="244"/>
        <v>528102.4700000002</v>
      </c>
      <c r="AH318" s="185">
        <f t="shared" si="245"/>
        <v>2651946.5300000007</v>
      </c>
      <c r="AI318" s="411">
        <f t="shared" si="259"/>
        <v>2708620.4100000015</v>
      </c>
      <c r="AJ318" s="411">
        <f t="shared" si="247"/>
        <v>206464.32999999932</v>
      </c>
      <c r="AK318" s="411">
        <f t="shared" si="260"/>
        <v>2915084.7400000007</v>
      </c>
      <c r="AL318" s="185">
        <f t="shared" si="214"/>
        <v>457615.62000000052</v>
      </c>
      <c r="AM318" s="317">
        <f t="shared" si="231"/>
        <v>25</v>
      </c>
      <c r="AN318" s="14">
        <f t="shared" si="261"/>
        <v>19533.41</v>
      </c>
      <c r="AO318" s="14">
        <f t="shared" si="252"/>
        <v>664079.94999999995</v>
      </c>
      <c r="AP318" s="14">
        <f t="shared" si="262"/>
        <v>10874</v>
      </c>
      <c r="AS318" s="14">
        <f t="shared" si="226"/>
        <v>19533.41</v>
      </c>
      <c r="AT318" s="14">
        <f t="shared" si="232"/>
        <v>5918142.6700000251</v>
      </c>
      <c r="AU318" s="185">
        <f t="shared" si="233"/>
        <v>5240.1548121692522</v>
      </c>
      <c r="AV318" s="185">
        <f t="shared" si="234"/>
        <v>1115202.0796798703</v>
      </c>
    </row>
    <row r="319" spans="1:48">
      <c r="A319" s="401" t="str">
        <f t="shared" si="235"/>
        <v xml:space="preserve"> </v>
      </c>
      <c r="B319" s="185">
        <f t="shared" si="227"/>
        <v>0</v>
      </c>
      <c r="C319" s="14">
        <f t="shared" si="218"/>
        <v>0</v>
      </c>
      <c r="D319" s="14">
        <f t="shared" si="236"/>
        <v>0</v>
      </c>
      <c r="E319" s="14">
        <f t="shared" si="219"/>
        <v>0</v>
      </c>
      <c r="F319" s="14">
        <f t="shared" si="255"/>
        <v>0</v>
      </c>
      <c r="G319" s="14">
        <f t="shared" si="255"/>
        <v>0</v>
      </c>
      <c r="H319" s="14">
        <f t="shared" si="256"/>
        <v>0</v>
      </c>
      <c r="I319" s="185">
        <f t="shared" si="237"/>
        <v>0</v>
      </c>
      <c r="J319" s="185">
        <f t="shared" si="238"/>
        <v>0</v>
      </c>
      <c r="K319" s="185">
        <f t="shared" si="239"/>
        <v>0</v>
      </c>
      <c r="L319" s="317">
        <f t="shared" si="253"/>
        <v>25</v>
      </c>
      <c r="M319" s="317">
        <f t="shared" si="228"/>
        <v>303</v>
      </c>
      <c r="N319" s="185">
        <f t="shared" si="229"/>
        <v>664079.94999999984</v>
      </c>
      <c r="O319" s="185">
        <f t="shared" ref="O319:O382" si="263">IF($O$11&lt;=A319,IF(+$W318&lt;=0,0,$O$8),0)</f>
        <v>19533.41</v>
      </c>
      <c r="P319" s="185">
        <f t="shared" si="240"/>
        <v>6390.16</v>
      </c>
      <c r="Q319" s="185">
        <f t="shared" ref="Q319:Q382" si="264">IF($O$11&lt;=A319,ROUND(N319*($O$7/12),2),0)</f>
        <v>13143.25</v>
      </c>
      <c r="R319" s="185">
        <f t="shared" si="254"/>
        <v>134.16999999999999</v>
      </c>
      <c r="S319" s="185">
        <f t="shared" si="254"/>
        <v>188.55</v>
      </c>
      <c r="T319" s="185">
        <f t="shared" si="257"/>
        <v>19856.129999999997</v>
      </c>
      <c r="U319" s="185">
        <f t="shared" si="241"/>
        <v>328410.20999999996</v>
      </c>
      <c r="V319" s="185">
        <f t="shared" si="242"/>
        <v>5609746.4300000025</v>
      </c>
      <c r="W319" s="185">
        <f t="shared" si="243"/>
        <v>657689.7899999998</v>
      </c>
      <c r="X319" s="401" t="str">
        <f t="shared" si="230"/>
        <v xml:space="preserve"> </v>
      </c>
      <c r="Y319" s="185">
        <f t="shared" ref="Y319:Y382" si="265">IF(+AL318&lt;0,0,+AL318)</f>
        <v>457615.62000000052</v>
      </c>
      <c r="Z319" s="393">
        <f t="shared" si="221"/>
        <v>0.13125000000000001</v>
      </c>
      <c r="AA319" s="185">
        <f t="shared" si="222"/>
        <v>10874</v>
      </c>
      <c r="AB319" s="185">
        <f t="shared" si="223"/>
        <v>5868.83</v>
      </c>
      <c r="AC319" s="185">
        <f t="shared" si="224"/>
        <v>5005.17</v>
      </c>
      <c r="AD319" s="185">
        <f t="shared" si="258"/>
        <v>134.16999999999999</v>
      </c>
      <c r="AE319" s="185">
        <f t="shared" si="258"/>
        <v>188.55</v>
      </c>
      <c r="AF319" s="185">
        <f t="shared" si="225"/>
        <v>11196.72</v>
      </c>
      <c r="AG319" s="185">
        <f t="shared" si="244"/>
        <v>533971.30000000016</v>
      </c>
      <c r="AH319" s="185">
        <f t="shared" si="245"/>
        <v>2656951.7000000007</v>
      </c>
      <c r="AI319" s="411">
        <f t="shared" si="259"/>
        <v>2717279.8200000017</v>
      </c>
      <c r="AJ319" s="411">
        <f t="shared" si="247"/>
        <v>205942.9999999993</v>
      </c>
      <c r="AK319" s="411">
        <f t="shared" si="260"/>
        <v>2923222.8200000012</v>
      </c>
      <c r="AL319" s="185">
        <f t="shared" ref="AL319:AL382" si="266">+Y319-AB319</f>
        <v>451746.7900000005</v>
      </c>
      <c r="AM319" s="317">
        <f t="shared" si="231"/>
        <v>25</v>
      </c>
      <c r="AN319" s="14">
        <f t="shared" si="261"/>
        <v>19533.41</v>
      </c>
      <c r="AO319" s="14">
        <f t="shared" si="252"/>
        <v>657689.79</v>
      </c>
      <c r="AP319" s="14">
        <f t="shared" si="262"/>
        <v>10874</v>
      </c>
      <c r="AS319" s="14">
        <f t="shared" si="226"/>
        <v>19533.41</v>
      </c>
      <c r="AT319" s="14">
        <f t="shared" si="232"/>
        <v>5937676.0800000252</v>
      </c>
      <c r="AU319" s="185">
        <f t="shared" si="233"/>
        <v>5253.2551991996752</v>
      </c>
      <c r="AV319" s="185">
        <f t="shared" si="234"/>
        <v>1120455.3348790701</v>
      </c>
    </row>
    <row r="320" spans="1:48">
      <c r="A320" s="401" t="str">
        <f t="shared" si="235"/>
        <v xml:space="preserve"> </v>
      </c>
      <c r="B320" s="185">
        <f t="shared" si="227"/>
        <v>0</v>
      </c>
      <c r="C320" s="14">
        <f t="shared" si="218"/>
        <v>0</v>
      </c>
      <c r="D320" s="14">
        <f t="shared" si="236"/>
        <v>0</v>
      </c>
      <c r="E320" s="14">
        <f t="shared" si="219"/>
        <v>0</v>
      </c>
      <c r="F320" s="14">
        <f t="shared" si="255"/>
        <v>0</v>
      </c>
      <c r="G320" s="14">
        <f t="shared" si="255"/>
        <v>0</v>
      </c>
      <c r="H320" s="14">
        <f t="shared" si="256"/>
        <v>0</v>
      </c>
      <c r="I320" s="185">
        <f t="shared" si="237"/>
        <v>0</v>
      </c>
      <c r="J320" s="185">
        <f t="shared" si="238"/>
        <v>0</v>
      </c>
      <c r="K320" s="185">
        <f t="shared" si="239"/>
        <v>0</v>
      </c>
      <c r="L320" s="317">
        <f t="shared" si="253"/>
        <v>25</v>
      </c>
      <c r="M320" s="317">
        <f t="shared" si="228"/>
        <v>304</v>
      </c>
      <c r="N320" s="185">
        <f t="shared" si="229"/>
        <v>657689.7899999998</v>
      </c>
      <c r="O320" s="185">
        <f t="shared" si="263"/>
        <v>19533.41</v>
      </c>
      <c r="P320" s="185">
        <f t="shared" si="240"/>
        <v>6516.6299999999992</v>
      </c>
      <c r="Q320" s="185">
        <f t="shared" si="264"/>
        <v>13016.78</v>
      </c>
      <c r="R320" s="185">
        <f t="shared" ref="R320:S335" si="267">+R319</f>
        <v>134.16999999999999</v>
      </c>
      <c r="S320" s="185">
        <f t="shared" si="267"/>
        <v>188.55</v>
      </c>
      <c r="T320" s="185">
        <f t="shared" si="257"/>
        <v>19856.129999999997</v>
      </c>
      <c r="U320" s="185">
        <f t="shared" si="241"/>
        <v>334926.83999999997</v>
      </c>
      <c r="V320" s="185">
        <f t="shared" si="242"/>
        <v>5622763.2100000028</v>
      </c>
      <c r="W320" s="185">
        <f t="shared" si="243"/>
        <v>651173.1599999998</v>
      </c>
      <c r="X320" s="401" t="str">
        <f t="shared" si="230"/>
        <v xml:space="preserve"> </v>
      </c>
      <c r="Y320" s="185">
        <f t="shared" si="265"/>
        <v>451746.7900000005</v>
      </c>
      <c r="Z320" s="393">
        <f t="shared" si="221"/>
        <v>0.13125000000000001</v>
      </c>
      <c r="AA320" s="185">
        <f t="shared" si="222"/>
        <v>10874</v>
      </c>
      <c r="AB320" s="185">
        <f t="shared" si="223"/>
        <v>5933.02</v>
      </c>
      <c r="AC320" s="185">
        <f t="shared" si="224"/>
        <v>4940.9799999999996</v>
      </c>
      <c r="AD320" s="185">
        <f t="shared" si="258"/>
        <v>134.16999999999999</v>
      </c>
      <c r="AE320" s="185">
        <f t="shared" si="258"/>
        <v>188.55</v>
      </c>
      <c r="AF320" s="185">
        <f t="shared" si="225"/>
        <v>11196.72</v>
      </c>
      <c r="AG320" s="185">
        <f t="shared" si="244"/>
        <v>539904.32000000018</v>
      </c>
      <c r="AH320" s="185">
        <f t="shared" si="245"/>
        <v>2661892.6800000006</v>
      </c>
      <c r="AI320" s="411">
        <f t="shared" si="259"/>
        <v>2725939.2300000018</v>
      </c>
      <c r="AJ320" s="411">
        <f t="shared" si="247"/>
        <v>205359.38999999932</v>
      </c>
      <c r="AK320" s="411">
        <f t="shared" si="260"/>
        <v>2931298.620000001</v>
      </c>
      <c r="AL320" s="185">
        <f t="shared" si="266"/>
        <v>445813.77000000048</v>
      </c>
      <c r="AM320" s="317">
        <f t="shared" si="231"/>
        <v>25</v>
      </c>
      <c r="AN320" s="14">
        <f t="shared" si="261"/>
        <v>19533.41</v>
      </c>
      <c r="AO320" s="14">
        <f t="shared" si="252"/>
        <v>651173.16</v>
      </c>
      <c r="AP320" s="14">
        <f t="shared" si="262"/>
        <v>10874</v>
      </c>
      <c r="AS320" s="14">
        <f t="shared" si="226"/>
        <v>19533.41</v>
      </c>
      <c r="AT320" s="14">
        <f t="shared" si="232"/>
        <v>5957209.4900000254</v>
      </c>
      <c r="AU320" s="185">
        <f t="shared" si="233"/>
        <v>5266.3883371976744</v>
      </c>
      <c r="AV320" s="185">
        <f t="shared" si="234"/>
        <v>1125721.7232162678</v>
      </c>
    </row>
    <row r="321" spans="1:48">
      <c r="A321" s="401" t="str">
        <f t="shared" si="235"/>
        <v xml:space="preserve"> </v>
      </c>
      <c r="B321" s="185">
        <f t="shared" si="227"/>
        <v>0</v>
      </c>
      <c r="C321" s="14">
        <f t="shared" si="218"/>
        <v>0</v>
      </c>
      <c r="D321" s="14">
        <f t="shared" si="236"/>
        <v>0</v>
      </c>
      <c r="E321" s="14">
        <f t="shared" si="219"/>
        <v>0</v>
      </c>
      <c r="F321" s="14">
        <f t="shared" si="255"/>
        <v>0</v>
      </c>
      <c r="G321" s="14">
        <f t="shared" si="255"/>
        <v>0</v>
      </c>
      <c r="H321" s="14">
        <f t="shared" si="256"/>
        <v>0</v>
      </c>
      <c r="I321" s="185">
        <f t="shared" si="237"/>
        <v>0</v>
      </c>
      <c r="J321" s="185">
        <f t="shared" si="238"/>
        <v>0</v>
      </c>
      <c r="K321" s="185">
        <f t="shared" si="239"/>
        <v>0</v>
      </c>
      <c r="L321" s="317">
        <f t="shared" si="253"/>
        <v>25</v>
      </c>
      <c r="M321" s="317">
        <f t="shared" si="228"/>
        <v>305</v>
      </c>
      <c r="N321" s="185">
        <f t="shared" si="229"/>
        <v>651173.1599999998</v>
      </c>
      <c r="O321" s="185">
        <f t="shared" si="263"/>
        <v>19533.41</v>
      </c>
      <c r="P321" s="185">
        <f t="shared" si="240"/>
        <v>6645.6100000000006</v>
      </c>
      <c r="Q321" s="185">
        <f t="shared" si="264"/>
        <v>12887.8</v>
      </c>
      <c r="R321" s="185">
        <f t="shared" si="267"/>
        <v>134.16999999999999</v>
      </c>
      <c r="S321" s="185">
        <f t="shared" si="267"/>
        <v>188.55</v>
      </c>
      <c r="T321" s="185">
        <f t="shared" si="257"/>
        <v>19856.129999999997</v>
      </c>
      <c r="U321" s="185">
        <f t="shared" si="241"/>
        <v>341572.44999999995</v>
      </c>
      <c r="V321" s="185">
        <f t="shared" si="242"/>
        <v>5635651.0100000026</v>
      </c>
      <c r="W321" s="185">
        <f t="shared" si="243"/>
        <v>644527.54999999981</v>
      </c>
      <c r="X321" s="401" t="str">
        <f t="shared" si="230"/>
        <v xml:space="preserve"> </v>
      </c>
      <c r="Y321" s="185">
        <f t="shared" si="265"/>
        <v>445813.77000000048</v>
      </c>
      <c r="Z321" s="393">
        <f t="shared" si="221"/>
        <v>0.13125000000000001</v>
      </c>
      <c r="AA321" s="185">
        <f t="shared" si="222"/>
        <v>10874</v>
      </c>
      <c r="AB321" s="185">
        <f t="shared" si="223"/>
        <v>5997.91</v>
      </c>
      <c r="AC321" s="185">
        <f t="shared" si="224"/>
        <v>4876.09</v>
      </c>
      <c r="AD321" s="185">
        <f t="shared" si="258"/>
        <v>134.16999999999999</v>
      </c>
      <c r="AE321" s="185">
        <f t="shared" si="258"/>
        <v>188.55</v>
      </c>
      <c r="AF321" s="185">
        <f t="shared" si="225"/>
        <v>11196.72</v>
      </c>
      <c r="AG321" s="185">
        <f t="shared" si="244"/>
        <v>545902.23000000021</v>
      </c>
      <c r="AH321" s="185">
        <f t="shared" si="245"/>
        <v>2666768.7700000005</v>
      </c>
      <c r="AI321" s="411">
        <f t="shared" si="259"/>
        <v>2734598.640000002</v>
      </c>
      <c r="AJ321" s="411">
        <f t="shared" si="247"/>
        <v>204711.6899999993</v>
      </c>
      <c r="AK321" s="411">
        <f t="shared" si="260"/>
        <v>2939310.3300000015</v>
      </c>
      <c r="AL321" s="185">
        <f t="shared" si="266"/>
        <v>439815.86000000051</v>
      </c>
      <c r="AM321" s="317">
        <f t="shared" si="231"/>
        <v>25</v>
      </c>
      <c r="AN321" s="14">
        <f t="shared" si="261"/>
        <v>19533.41</v>
      </c>
      <c r="AO321" s="14">
        <f t="shared" si="252"/>
        <v>644527.55000000005</v>
      </c>
      <c r="AP321" s="14">
        <f t="shared" si="262"/>
        <v>10874</v>
      </c>
      <c r="AS321" s="14">
        <f t="shared" si="226"/>
        <v>19533.41</v>
      </c>
      <c r="AT321" s="14">
        <f t="shared" si="232"/>
        <v>5976742.9000000255</v>
      </c>
      <c r="AU321" s="185">
        <f t="shared" si="233"/>
        <v>5279.5543080406687</v>
      </c>
      <c r="AV321" s="185">
        <f t="shared" si="234"/>
        <v>1131001.2775243085</v>
      </c>
    </row>
    <row r="322" spans="1:48">
      <c r="A322" s="401" t="str">
        <f t="shared" si="235"/>
        <v xml:space="preserve"> </v>
      </c>
      <c r="B322" s="185">
        <f t="shared" si="227"/>
        <v>0</v>
      </c>
      <c r="C322" s="14">
        <f t="shared" si="218"/>
        <v>0</v>
      </c>
      <c r="D322" s="14">
        <f t="shared" si="236"/>
        <v>0</v>
      </c>
      <c r="E322" s="14">
        <f t="shared" si="219"/>
        <v>0</v>
      </c>
      <c r="F322" s="14">
        <f t="shared" si="255"/>
        <v>0</v>
      </c>
      <c r="G322" s="14">
        <f t="shared" si="255"/>
        <v>0</v>
      </c>
      <c r="H322" s="14">
        <f t="shared" si="256"/>
        <v>0</v>
      </c>
      <c r="I322" s="185">
        <f t="shared" si="237"/>
        <v>0</v>
      </c>
      <c r="J322" s="185">
        <f t="shared" si="238"/>
        <v>0</v>
      </c>
      <c r="K322" s="185">
        <f t="shared" si="239"/>
        <v>0</v>
      </c>
      <c r="L322" s="317">
        <f t="shared" si="253"/>
        <v>25</v>
      </c>
      <c r="M322" s="317">
        <f t="shared" si="228"/>
        <v>306</v>
      </c>
      <c r="N322" s="185">
        <f t="shared" si="229"/>
        <v>644527.54999999981</v>
      </c>
      <c r="O322" s="185">
        <f t="shared" si="263"/>
        <v>19533.41</v>
      </c>
      <c r="P322" s="185">
        <f t="shared" si="240"/>
        <v>6777.1399999999994</v>
      </c>
      <c r="Q322" s="185">
        <f t="shared" si="264"/>
        <v>12756.27</v>
      </c>
      <c r="R322" s="185">
        <f t="shared" si="267"/>
        <v>134.16999999999999</v>
      </c>
      <c r="S322" s="185">
        <f t="shared" si="267"/>
        <v>188.55</v>
      </c>
      <c r="T322" s="185">
        <f t="shared" si="257"/>
        <v>19856.129999999997</v>
      </c>
      <c r="U322" s="185">
        <f t="shared" si="241"/>
        <v>348349.58999999997</v>
      </c>
      <c r="V322" s="185">
        <f t="shared" si="242"/>
        <v>5648407.2800000021</v>
      </c>
      <c r="W322" s="185">
        <f t="shared" si="243"/>
        <v>637750.4099999998</v>
      </c>
      <c r="X322" s="401" t="str">
        <f t="shared" si="230"/>
        <v xml:space="preserve"> </v>
      </c>
      <c r="Y322" s="185">
        <f t="shared" si="265"/>
        <v>439815.86000000051</v>
      </c>
      <c r="Z322" s="393">
        <f t="shared" si="221"/>
        <v>0.13125000000000001</v>
      </c>
      <c r="AA322" s="185">
        <f t="shared" si="222"/>
        <v>10874</v>
      </c>
      <c r="AB322" s="185">
        <f t="shared" si="223"/>
        <v>6063.51</v>
      </c>
      <c r="AC322" s="185">
        <f t="shared" si="224"/>
        <v>4810.49</v>
      </c>
      <c r="AD322" s="185">
        <f t="shared" si="258"/>
        <v>134.16999999999999</v>
      </c>
      <c r="AE322" s="185">
        <f t="shared" si="258"/>
        <v>188.55</v>
      </c>
      <c r="AF322" s="185">
        <f t="shared" si="225"/>
        <v>11196.72</v>
      </c>
      <c r="AG322" s="185">
        <f t="shared" si="244"/>
        <v>551965.74000000022</v>
      </c>
      <c r="AH322" s="185">
        <f t="shared" si="245"/>
        <v>2671579.2600000007</v>
      </c>
      <c r="AI322" s="411">
        <f t="shared" si="259"/>
        <v>2743258.0500000021</v>
      </c>
      <c r="AJ322" s="411">
        <f t="shared" si="247"/>
        <v>203998.0599999993</v>
      </c>
      <c r="AK322" s="411">
        <f t="shared" si="260"/>
        <v>2947256.1100000013</v>
      </c>
      <c r="AL322" s="185">
        <f t="shared" si="266"/>
        <v>433752.3500000005</v>
      </c>
      <c r="AM322" s="317">
        <f t="shared" si="231"/>
        <v>25</v>
      </c>
      <c r="AN322" s="14">
        <f t="shared" si="261"/>
        <v>19533.41</v>
      </c>
      <c r="AO322" s="14">
        <f t="shared" si="252"/>
        <v>637750.41</v>
      </c>
      <c r="AP322" s="14">
        <f t="shared" si="262"/>
        <v>10874</v>
      </c>
      <c r="AS322" s="14">
        <f t="shared" si="226"/>
        <v>19533.41</v>
      </c>
      <c r="AT322" s="14">
        <f t="shared" si="232"/>
        <v>5996276.3100000257</v>
      </c>
      <c r="AU322" s="185">
        <f t="shared" si="233"/>
        <v>5292.7531938107704</v>
      </c>
      <c r="AV322" s="185">
        <f t="shared" si="234"/>
        <v>1136294.0307181193</v>
      </c>
    </row>
    <row r="323" spans="1:48">
      <c r="A323" s="401" t="str">
        <f t="shared" si="235"/>
        <v xml:space="preserve"> </v>
      </c>
      <c r="B323" s="185">
        <f t="shared" si="227"/>
        <v>0</v>
      </c>
      <c r="C323" s="14">
        <f t="shared" si="218"/>
        <v>0</v>
      </c>
      <c r="D323" s="14">
        <f t="shared" si="236"/>
        <v>0</v>
      </c>
      <c r="E323" s="14">
        <f t="shared" si="219"/>
        <v>0</v>
      </c>
      <c r="F323" s="14">
        <f t="shared" si="255"/>
        <v>0</v>
      </c>
      <c r="G323" s="14">
        <f t="shared" si="255"/>
        <v>0</v>
      </c>
      <c r="H323" s="14">
        <f t="shared" si="256"/>
        <v>0</v>
      </c>
      <c r="I323" s="185">
        <f t="shared" si="237"/>
        <v>0</v>
      </c>
      <c r="J323" s="185">
        <f t="shared" si="238"/>
        <v>0</v>
      </c>
      <c r="K323" s="185">
        <f t="shared" si="239"/>
        <v>0</v>
      </c>
      <c r="L323" s="317">
        <f t="shared" si="253"/>
        <v>25</v>
      </c>
      <c r="M323" s="317">
        <f t="shared" si="228"/>
        <v>307</v>
      </c>
      <c r="N323" s="185">
        <f t="shared" si="229"/>
        <v>637750.4099999998</v>
      </c>
      <c r="O323" s="185">
        <f t="shared" si="263"/>
        <v>19533.41</v>
      </c>
      <c r="P323" s="185">
        <f t="shared" si="240"/>
        <v>6911.27</v>
      </c>
      <c r="Q323" s="185">
        <f t="shared" si="264"/>
        <v>12622.14</v>
      </c>
      <c r="R323" s="185">
        <f t="shared" si="267"/>
        <v>134.16999999999999</v>
      </c>
      <c r="S323" s="185">
        <f t="shared" si="267"/>
        <v>188.55</v>
      </c>
      <c r="T323" s="185">
        <f t="shared" si="257"/>
        <v>19856.129999999997</v>
      </c>
      <c r="U323" s="185">
        <f t="shared" si="241"/>
        <v>355260.86</v>
      </c>
      <c r="V323" s="185">
        <f t="shared" si="242"/>
        <v>5661029.4200000018</v>
      </c>
      <c r="W323" s="185">
        <f t="shared" si="243"/>
        <v>630839.13999999978</v>
      </c>
      <c r="X323" s="401" t="str">
        <f t="shared" si="230"/>
        <v xml:space="preserve"> </v>
      </c>
      <c r="Y323" s="185">
        <f t="shared" si="265"/>
        <v>433752.3500000005</v>
      </c>
      <c r="Z323" s="393">
        <f t="shared" si="221"/>
        <v>0.13125000000000001</v>
      </c>
      <c r="AA323" s="185">
        <f t="shared" si="222"/>
        <v>10874</v>
      </c>
      <c r="AB323" s="185">
        <f t="shared" si="223"/>
        <v>6129.83</v>
      </c>
      <c r="AC323" s="185">
        <f t="shared" si="224"/>
        <v>4744.17</v>
      </c>
      <c r="AD323" s="185">
        <f t="shared" si="258"/>
        <v>134.16999999999999</v>
      </c>
      <c r="AE323" s="185">
        <f t="shared" si="258"/>
        <v>188.55</v>
      </c>
      <c r="AF323" s="185">
        <f t="shared" si="225"/>
        <v>11196.72</v>
      </c>
      <c r="AG323" s="185">
        <f t="shared" si="244"/>
        <v>558095.57000000018</v>
      </c>
      <c r="AH323" s="185">
        <f t="shared" si="245"/>
        <v>2676323.4300000006</v>
      </c>
      <c r="AI323" s="411">
        <f t="shared" si="259"/>
        <v>2751917.4600000023</v>
      </c>
      <c r="AJ323" s="411">
        <f t="shared" si="247"/>
        <v>203216.6199999993</v>
      </c>
      <c r="AK323" s="411">
        <f t="shared" si="260"/>
        <v>2955134.0800000015</v>
      </c>
      <c r="AL323" s="185">
        <f t="shared" si="266"/>
        <v>427622.52000000048</v>
      </c>
      <c r="AM323" s="317">
        <f t="shared" si="231"/>
        <v>25</v>
      </c>
      <c r="AN323" s="14">
        <f t="shared" si="261"/>
        <v>19533.41</v>
      </c>
      <c r="AO323" s="14">
        <f t="shared" si="252"/>
        <v>630839.14</v>
      </c>
      <c r="AP323" s="14">
        <f t="shared" si="262"/>
        <v>10874</v>
      </c>
      <c r="AS323" s="14">
        <f t="shared" si="226"/>
        <v>19533.41</v>
      </c>
      <c r="AT323" s="14">
        <f t="shared" si="232"/>
        <v>6015809.7200000258</v>
      </c>
      <c r="AU323" s="185">
        <f t="shared" si="233"/>
        <v>5305.9850767952985</v>
      </c>
      <c r="AV323" s="185">
        <f t="shared" si="234"/>
        <v>1141600.0157949147</v>
      </c>
    </row>
    <row r="324" spans="1:48">
      <c r="A324" s="401" t="str">
        <f t="shared" si="235"/>
        <v xml:space="preserve"> </v>
      </c>
      <c r="B324" s="185">
        <f t="shared" si="227"/>
        <v>0</v>
      </c>
      <c r="C324" s="14">
        <f t="shared" si="218"/>
        <v>0</v>
      </c>
      <c r="D324" s="14">
        <f t="shared" si="236"/>
        <v>0</v>
      </c>
      <c r="E324" s="14">
        <f t="shared" si="219"/>
        <v>0</v>
      </c>
      <c r="F324" s="14">
        <f t="shared" si="255"/>
        <v>0</v>
      </c>
      <c r="G324" s="14">
        <f t="shared" si="255"/>
        <v>0</v>
      </c>
      <c r="H324" s="14">
        <f t="shared" si="256"/>
        <v>0</v>
      </c>
      <c r="I324" s="185">
        <f t="shared" si="237"/>
        <v>0</v>
      </c>
      <c r="J324" s="185">
        <f t="shared" si="238"/>
        <v>0</v>
      </c>
      <c r="K324" s="185">
        <f t="shared" si="239"/>
        <v>0</v>
      </c>
      <c r="L324" s="317">
        <f t="shared" si="253"/>
        <v>25</v>
      </c>
      <c r="M324" s="317">
        <f t="shared" si="228"/>
        <v>308</v>
      </c>
      <c r="N324" s="185">
        <f t="shared" si="229"/>
        <v>630839.13999999978</v>
      </c>
      <c r="O324" s="185">
        <f t="shared" si="263"/>
        <v>19533.41</v>
      </c>
      <c r="P324" s="185">
        <f t="shared" si="240"/>
        <v>7048.0499999999993</v>
      </c>
      <c r="Q324" s="185">
        <f t="shared" si="264"/>
        <v>12485.36</v>
      </c>
      <c r="R324" s="185">
        <f t="shared" si="267"/>
        <v>134.16999999999999</v>
      </c>
      <c r="S324" s="185">
        <f t="shared" si="267"/>
        <v>188.55</v>
      </c>
      <c r="T324" s="185">
        <f t="shared" si="257"/>
        <v>19856.129999999997</v>
      </c>
      <c r="U324" s="185">
        <f t="shared" si="241"/>
        <v>362308.91</v>
      </c>
      <c r="V324" s="185">
        <f t="shared" si="242"/>
        <v>5673514.7800000021</v>
      </c>
      <c r="W324" s="185">
        <f t="shared" si="243"/>
        <v>623791.08999999973</v>
      </c>
      <c r="X324" s="401" t="str">
        <f t="shared" si="230"/>
        <v xml:space="preserve"> </v>
      </c>
      <c r="Y324" s="185">
        <f t="shared" si="265"/>
        <v>427622.52000000048</v>
      </c>
      <c r="Z324" s="393">
        <f t="shared" si="221"/>
        <v>0.13125000000000001</v>
      </c>
      <c r="AA324" s="185">
        <f t="shared" si="222"/>
        <v>10874</v>
      </c>
      <c r="AB324" s="185">
        <f t="shared" si="223"/>
        <v>6196.88</v>
      </c>
      <c r="AC324" s="185">
        <f t="shared" si="224"/>
        <v>4677.12</v>
      </c>
      <c r="AD324" s="185">
        <f t="shared" si="258"/>
        <v>134.16999999999999</v>
      </c>
      <c r="AE324" s="185">
        <f t="shared" si="258"/>
        <v>188.55</v>
      </c>
      <c r="AF324" s="185">
        <f t="shared" si="225"/>
        <v>11196.72</v>
      </c>
      <c r="AG324" s="185">
        <f t="shared" si="244"/>
        <v>564292.45000000019</v>
      </c>
      <c r="AH324" s="185">
        <f t="shared" si="245"/>
        <v>2681000.5500000007</v>
      </c>
      <c r="AI324" s="411">
        <f t="shared" si="259"/>
        <v>2760576.8700000024</v>
      </c>
      <c r="AJ324" s="411">
        <f t="shared" si="247"/>
        <v>202365.44999999925</v>
      </c>
      <c r="AK324" s="411">
        <f t="shared" si="260"/>
        <v>2962942.3200000017</v>
      </c>
      <c r="AL324" s="185">
        <f t="shared" si="266"/>
        <v>421425.64000000048</v>
      </c>
      <c r="AM324" s="317">
        <f t="shared" si="231"/>
        <v>25</v>
      </c>
      <c r="AN324" s="14">
        <f t="shared" si="261"/>
        <v>19533.41</v>
      </c>
      <c r="AO324" s="14">
        <f t="shared" si="252"/>
        <v>623791.09000000008</v>
      </c>
      <c r="AP324" s="14">
        <f t="shared" si="262"/>
        <v>10874</v>
      </c>
      <c r="AS324" s="14">
        <f t="shared" si="226"/>
        <v>19533.41</v>
      </c>
      <c r="AT324" s="14">
        <f t="shared" si="232"/>
        <v>6035343.130000026</v>
      </c>
      <c r="AU324" s="185">
        <f t="shared" si="233"/>
        <v>5319.2500394872868</v>
      </c>
      <c r="AV324" s="185">
        <f t="shared" si="234"/>
        <v>1146919.2658344021</v>
      </c>
    </row>
    <row r="325" spans="1:48">
      <c r="A325" s="401" t="str">
        <f t="shared" si="235"/>
        <v xml:space="preserve"> </v>
      </c>
      <c r="B325" s="185">
        <f t="shared" si="227"/>
        <v>0</v>
      </c>
      <c r="C325" s="14">
        <f t="shared" si="218"/>
        <v>0</v>
      </c>
      <c r="D325" s="14">
        <f t="shared" si="236"/>
        <v>0</v>
      </c>
      <c r="E325" s="14">
        <f t="shared" si="219"/>
        <v>0</v>
      </c>
      <c r="F325" s="14">
        <f t="shared" si="255"/>
        <v>0</v>
      </c>
      <c r="G325" s="14">
        <f t="shared" si="255"/>
        <v>0</v>
      </c>
      <c r="H325" s="14">
        <f t="shared" si="256"/>
        <v>0</v>
      </c>
      <c r="I325" s="185">
        <f t="shared" si="237"/>
        <v>0</v>
      </c>
      <c r="J325" s="185">
        <f t="shared" si="238"/>
        <v>0</v>
      </c>
      <c r="K325" s="185">
        <f t="shared" si="239"/>
        <v>0</v>
      </c>
      <c r="L325" s="317">
        <f t="shared" si="253"/>
        <v>25</v>
      </c>
      <c r="M325" s="317">
        <f t="shared" si="228"/>
        <v>309</v>
      </c>
      <c r="N325" s="185">
        <f t="shared" si="229"/>
        <v>623791.08999999973</v>
      </c>
      <c r="O325" s="185">
        <f t="shared" si="263"/>
        <v>19533.41</v>
      </c>
      <c r="P325" s="185">
        <f t="shared" si="240"/>
        <v>7187.5399999999991</v>
      </c>
      <c r="Q325" s="185">
        <f t="shared" si="264"/>
        <v>12345.87</v>
      </c>
      <c r="R325" s="185">
        <f t="shared" si="267"/>
        <v>134.16999999999999</v>
      </c>
      <c r="S325" s="185">
        <f t="shared" si="267"/>
        <v>188.55</v>
      </c>
      <c r="T325" s="185">
        <f t="shared" si="257"/>
        <v>19856.129999999997</v>
      </c>
      <c r="U325" s="185">
        <f t="shared" si="241"/>
        <v>369496.44999999995</v>
      </c>
      <c r="V325" s="185">
        <f t="shared" si="242"/>
        <v>5685860.6500000022</v>
      </c>
      <c r="W325" s="185">
        <f t="shared" si="243"/>
        <v>616603.5499999997</v>
      </c>
      <c r="X325" s="401" t="str">
        <f t="shared" si="230"/>
        <v xml:space="preserve"> </v>
      </c>
      <c r="Y325" s="185">
        <f t="shared" si="265"/>
        <v>421425.64000000048</v>
      </c>
      <c r="Z325" s="393">
        <f t="shared" si="221"/>
        <v>0.13125000000000001</v>
      </c>
      <c r="AA325" s="185">
        <f t="shared" si="222"/>
        <v>10874</v>
      </c>
      <c r="AB325" s="185">
        <f t="shared" si="223"/>
        <v>6264.66</v>
      </c>
      <c r="AC325" s="185">
        <f t="shared" si="224"/>
        <v>4609.34</v>
      </c>
      <c r="AD325" s="185">
        <f t="shared" si="258"/>
        <v>134.16999999999999</v>
      </c>
      <c r="AE325" s="185">
        <f t="shared" si="258"/>
        <v>188.55</v>
      </c>
      <c r="AF325" s="185">
        <f t="shared" si="225"/>
        <v>11196.72</v>
      </c>
      <c r="AG325" s="185">
        <f t="shared" si="244"/>
        <v>570557.11000000022</v>
      </c>
      <c r="AH325" s="185">
        <f t="shared" si="245"/>
        <v>2685609.8900000006</v>
      </c>
      <c r="AI325" s="411">
        <f t="shared" si="259"/>
        <v>2769236.2800000026</v>
      </c>
      <c r="AJ325" s="411">
        <f t="shared" si="247"/>
        <v>201442.56999999919</v>
      </c>
      <c r="AK325" s="411">
        <f t="shared" si="260"/>
        <v>2970678.850000002</v>
      </c>
      <c r="AL325" s="185">
        <f t="shared" si="266"/>
        <v>415160.98000000051</v>
      </c>
      <c r="AM325" s="317">
        <f t="shared" si="231"/>
        <v>25</v>
      </c>
      <c r="AN325" s="14">
        <f t="shared" si="261"/>
        <v>19533.41</v>
      </c>
      <c r="AO325" s="14">
        <f t="shared" si="252"/>
        <v>616603.55000000005</v>
      </c>
      <c r="AP325" s="14">
        <f t="shared" si="262"/>
        <v>10874</v>
      </c>
      <c r="AS325" s="14">
        <f t="shared" si="226"/>
        <v>19533.41</v>
      </c>
      <c r="AT325" s="14">
        <f t="shared" si="232"/>
        <v>6054876.5400000261</v>
      </c>
      <c r="AU325" s="185">
        <f t="shared" si="233"/>
        <v>5332.5481645860054</v>
      </c>
      <c r="AV325" s="185">
        <f t="shared" si="234"/>
        <v>1152251.8139989881</v>
      </c>
    </row>
    <row r="326" spans="1:48">
      <c r="A326" s="401" t="str">
        <f t="shared" si="235"/>
        <v xml:space="preserve"> </v>
      </c>
      <c r="B326" s="185">
        <f t="shared" si="227"/>
        <v>0</v>
      </c>
      <c r="C326" s="14">
        <f t="shared" si="218"/>
        <v>0</v>
      </c>
      <c r="D326" s="14">
        <f t="shared" si="236"/>
        <v>0</v>
      </c>
      <c r="E326" s="14">
        <f t="shared" si="219"/>
        <v>0</v>
      </c>
      <c r="F326" s="14">
        <f t="shared" si="255"/>
        <v>0</v>
      </c>
      <c r="G326" s="14">
        <f t="shared" si="255"/>
        <v>0</v>
      </c>
      <c r="H326" s="14">
        <f t="shared" si="256"/>
        <v>0</v>
      </c>
      <c r="I326" s="185">
        <f t="shared" si="237"/>
        <v>0</v>
      </c>
      <c r="J326" s="185">
        <f t="shared" si="238"/>
        <v>0</v>
      </c>
      <c r="K326" s="185">
        <f t="shared" si="239"/>
        <v>0</v>
      </c>
      <c r="L326" s="317">
        <f t="shared" si="253"/>
        <v>25</v>
      </c>
      <c r="M326" s="317">
        <f t="shared" si="228"/>
        <v>310</v>
      </c>
      <c r="N326" s="185">
        <f t="shared" si="229"/>
        <v>616603.5499999997</v>
      </c>
      <c r="O326" s="185">
        <f t="shared" si="263"/>
        <v>19533.41</v>
      </c>
      <c r="P326" s="185">
        <f t="shared" si="240"/>
        <v>7329.7999999999993</v>
      </c>
      <c r="Q326" s="185">
        <f t="shared" si="264"/>
        <v>12203.61</v>
      </c>
      <c r="R326" s="185">
        <f t="shared" si="267"/>
        <v>134.16999999999999</v>
      </c>
      <c r="S326" s="185">
        <f t="shared" si="267"/>
        <v>188.55</v>
      </c>
      <c r="T326" s="185">
        <f t="shared" si="257"/>
        <v>19856.129999999997</v>
      </c>
      <c r="U326" s="185">
        <f t="shared" si="241"/>
        <v>376826.24999999994</v>
      </c>
      <c r="V326" s="185">
        <f t="shared" si="242"/>
        <v>5698064.2600000026</v>
      </c>
      <c r="W326" s="185">
        <f t="shared" si="243"/>
        <v>609273.74999999965</v>
      </c>
      <c r="X326" s="401" t="str">
        <f t="shared" si="230"/>
        <v xml:space="preserve"> </v>
      </c>
      <c r="Y326" s="185">
        <f t="shared" si="265"/>
        <v>415160.98000000051</v>
      </c>
      <c r="Z326" s="393">
        <f t="shared" si="221"/>
        <v>0.13125000000000001</v>
      </c>
      <c r="AA326" s="185">
        <f t="shared" si="222"/>
        <v>10874</v>
      </c>
      <c r="AB326" s="185">
        <f t="shared" si="223"/>
        <v>6333.18</v>
      </c>
      <c r="AC326" s="185">
        <f t="shared" si="224"/>
        <v>4540.82</v>
      </c>
      <c r="AD326" s="185">
        <f t="shared" si="258"/>
        <v>134.16999999999999</v>
      </c>
      <c r="AE326" s="185">
        <f t="shared" si="258"/>
        <v>188.55</v>
      </c>
      <c r="AF326" s="185">
        <f t="shared" si="225"/>
        <v>11196.72</v>
      </c>
      <c r="AG326" s="185">
        <f t="shared" si="244"/>
        <v>576890.29000000027</v>
      </c>
      <c r="AH326" s="185">
        <f t="shared" si="245"/>
        <v>2690150.7100000004</v>
      </c>
      <c r="AI326" s="411">
        <f t="shared" si="259"/>
        <v>2777895.6900000027</v>
      </c>
      <c r="AJ326" s="411">
        <f t="shared" si="247"/>
        <v>200445.94999999914</v>
      </c>
      <c r="AK326" s="411">
        <f t="shared" si="260"/>
        <v>2978341.640000002</v>
      </c>
      <c r="AL326" s="185">
        <f t="shared" si="266"/>
        <v>408827.80000000051</v>
      </c>
      <c r="AM326" s="317">
        <f t="shared" si="231"/>
        <v>25</v>
      </c>
      <c r="AN326" s="14">
        <f t="shared" si="261"/>
        <v>19533.41</v>
      </c>
      <c r="AO326" s="14">
        <f t="shared" si="252"/>
        <v>609273.75</v>
      </c>
      <c r="AP326" s="14">
        <f t="shared" si="262"/>
        <v>10874</v>
      </c>
      <c r="AS326" s="14">
        <f t="shared" si="226"/>
        <v>19533.41</v>
      </c>
      <c r="AT326" s="14">
        <f t="shared" si="232"/>
        <v>6074409.9500000263</v>
      </c>
      <c r="AU326" s="185">
        <f t="shared" si="233"/>
        <v>5345.8795349974698</v>
      </c>
      <c r="AV326" s="185">
        <f t="shared" si="234"/>
        <v>1157597.6935339856</v>
      </c>
    </row>
    <row r="327" spans="1:48" ht="15.75" thickBot="1">
      <c r="A327" s="404" t="str">
        <f t="shared" si="235"/>
        <v xml:space="preserve"> </v>
      </c>
      <c r="B327" s="237">
        <f t="shared" si="227"/>
        <v>0</v>
      </c>
      <c r="C327" s="21">
        <f t="shared" si="218"/>
        <v>0</v>
      </c>
      <c r="D327" s="21">
        <f t="shared" si="236"/>
        <v>0</v>
      </c>
      <c r="E327" s="21">
        <f t="shared" si="219"/>
        <v>0</v>
      </c>
      <c r="F327" s="21">
        <f t="shared" si="255"/>
        <v>0</v>
      </c>
      <c r="G327" s="21">
        <f t="shared" si="255"/>
        <v>0</v>
      </c>
      <c r="H327" s="21">
        <f t="shared" si="256"/>
        <v>0</v>
      </c>
      <c r="I327" s="237">
        <f t="shared" si="237"/>
        <v>0</v>
      </c>
      <c r="J327" s="237">
        <f t="shared" si="238"/>
        <v>0</v>
      </c>
      <c r="K327" s="237">
        <f t="shared" si="239"/>
        <v>0</v>
      </c>
      <c r="L327" s="318">
        <f t="shared" si="253"/>
        <v>25</v>
      </c>
      <c r="M327" s="318">
        <f t="shared" si="228"/>
        <v>311</v>
      </c>
      <c r="N327" s="237">
        <f t="shared" si="229"/>
        <v>609273.74999999965</v>
      </c>
      <c r="O327" s="237">
        <f t="shared" si="263"/>
        <v>19533.41</v>
      </c>
      <c r="P327" s="237">
        <f t="shared" si="240"/>
        <v>7474.869999999999</v>
      </c>
      <c r="Q327" s="237">
        <f t="shared" si="264"/>
        <v>12058.54</v>
      </c>
      <c r="R327" s="237">
        <f t="shared" si="267"/>
        <v>134.16999999999999</v>
      </c>
      <c r="S327" s="237">
        <f t="shared" si="267"/>
        <v>188.55</v>
      </c>
      <c r="T327" s="237">
        <f t="shared" si="257"/>
        <v>19856.129999999997</v>
      </c>
      <c r="U327" s="237">
        <f t="shared" si="241"/>
        <v>384301.11999999994</v>
      </c>
      <c r="V327" s="237">
        <f t="shared" si="242"/>
        <v>5710122.8000000026</v>
      </c>
      <c r="W327" s="237">
        <f t="shared" si="243"/>
        <v>601798.87999999966</v>
      </c>
      <c r="X327" s="404" t="str">
        <f t="shared" si="230"/>
        <v xml:space="preserve"> </v>
      </c>
      <c r="Y327" s="237">
        <f t="shared" si="265"/>
        <v>408827.80000000051</v>
      </c>
      <c r="Z327" s="394">
        <f t="shared" si="221"/>
        <v>0.13125000000000001</v>
      </c>
      <c r="AA327" s="237">
        <f t="shared" si="222"/>
        <v>10874</v>
      </c>
      <c r="AB327" s="237">
        <f t="shared" si="223"/>
        <v>6402.45</v>
      </c>
      <c r="AC327" s="237">
        <f t="shared" si="224"/>
        <v>4471.55</v>
      </c>
      <c r="AD327" s="237">
        <f t="shared" si="258"/>
        <v>134.16999999999999</v>
      </c>
      <c r="AE327" s="237">
        <f t="shared" si="258"/>
        <v>188.55</v>
      </c>
      <c r="AF327" s="237">
        <f t="shared" si="225"/>
        <v>11196.72</v>
      </c>
      <c r="AG327" s="237">
        <f t="shared" si="244"/>
        <v>583292.74000000022</v>
      </c>
      <c r="AH327" s="237">
        <f t="shared" si="245"/>
        <v>2694622.2600000002</v>
      </c>
      <c r="AI327" s="412">
        <f t="shared" si="259"/>
        <v>2786555.1000000029</v>
      </c>
      <c r="AJ327" s="412">
        <f t="shared" si="247"/>
        <v>199373.52999999915</v>
      </c>
      <c r="AK327" s="411">
        <f t="shared" si="260"/>
        <v>2985928.6300000022</v>
      </c>
      <c r="AL327" s="237">
        <f t="shared" si="266"/>
        <v>402425.3500000005</v>
      </c>
      <c r="AM327" s="318">
        <f t="shared" si="231"/>
        <v>25</v>
      </c>
      <c r="AN327" s="21">
        <f t="shared" si="261"/>
        <v>19533.41</v>
      </c>
      <c r="AO327" s="21">
        <f t="shared" si="252"/>
        <v>601798.88000000012</v>
      </c>
      <c r="AP327" s="21">
        <f t="shared" si="262"/>
        <v>10874</v>
      </c>
      <c r="AQ327" s="21"/>
      <c r="AR327" s="23"/>
      <c r="AS327" s="21">
        <f t="shared" si="226"/>
        <v>19533.41</v>
      </c>
      <c r="AT327" s="21">
        <f t="shared" si="232"/>
        <v>6093943.3600000264</v>
      </c>
      <c r="AU327" s="237">
        <f t="shared" si="233"/>
        <v>5359.2442338349647</v>
      </c>
      <c r="AV327" s="237">
        <f t="shared" si="234"/>
        <v>1162956.9377678207</v>
      </c>
    </row>
    <row r="328" spans="1:48">
      <c r="A328" s="401" t="str">
        <f t="shared" si="235"/>
        <v xml:space="preserve"> </v>
      </c>
      <c r="B328" s="185">
        <f t="shared" si="227"/>
        <v>0</v>
      </c>
      <c r="C328" s="14">
        <f t="shared" si="218"/>
        <v>0</v>
      </c>
      <c r="D328" s="14">
        <f t="shared" si="236"/>
        <v>0</v>
      </c>
      <c r="E328" s="14">
        <f t="shared" si="219"/>
        <v>0</v>
      </c>
      <c r="F328" s="14">
        <f t="shared" si="255"/>
        <v>0</v>
      </c>
      <c r="G328" s="14">
        <f t="shared" si="255"/>
        <v>0</v>
      </c>
      <c r="H328" s="14">
        <f t="shared" si="256"/>
        <v>0</v>
      </c>
      <c r="I328" s="185">
        <f t="shared" si="237"/>
        <v>0</v>
      </c>
      <c r="J328" s="185">
        <f t="shared" si="238"/>
        <v>0</v>
      </c>
      <c r="K328" s="185">
        <f t="shared" si="239"/>
        <v>0</v>
      </c>
      <c r="L328" s="317">
        <f t="shared" si="253"/>
        <v>26</v>
      </c>
      <c r="M328" s="317">
        <f t="shared" si="228"/>
        <v>312</v>
      </c>
      <c r="N328" s="185">
        <f t="shared" si="229"/>
        <v>601798.87999999966</v>
      </c>
      <c r="O328" s="185">
        <f t="shared" si="263"/>
        <v>19533.41</v>
      </c>
      <c r="P328" s="185">
        <f t="shared" si="240"/>
        <v>7622.8099999999995</v>
      </c>
      <c r="Q328" s="185">
        <f t="shared" si="264"/>
        <v>11910.6</v>
      </c>
      <c r="R328" s="185">
        <f t="shared" si="267"/>
        <v>134.16999999999999</v>
      </c>
      <c r="S328" s="185">
        <f t="shared" si="267"/>
        <v>188.55</v>
      </c>
      <c r="T328" s="185">
        <f t="shared" si="257"/>
        <v>19856.129999999997</v>
      </c>
      <c r="U328" s="185">
        <f t="shared" si="241"/>
        <v>391923.92999999993</v>
      </c>
      <c r="V328" s="185">
        <f t="shared" si="242"/>
        <v>5722033.4000000022</v>
      </c>
      <c r="W328" s="185">
        <f t="shared" si="243"/>
        <v>594176.0699999996</v>
      </c>
      <c r="X328" s="401" t="str">
        <f t="shared" si="230"/>
        <v xml:space="preserve"> </v>
      </c>
      <c r="Y328" s="185">
        <f t="shared" si="265"/>
        <v>402425.3500000005</v>
      </c>
      <c r="Z328" s="393">
        <f t="shared" si="221"/>
        <v>0.13125000000000001</v>
      </c>
      <c r="AA328" s="185">
        <f t="shared" si="222"/>
        <v>10874</v>
      </c>
      <c r="AB328" s="185">
        <f t="shared" si="223"/>
        <v>6472.47</v>
      </c>
      <c r="AC328" s="185">
        <f t="shared" si="224"/>
        <v>4401.53</v>
      </c>
      <c r="AD328" s="185">
        <f t="shared" si="258"/>
        <v>134.16999999999999</v>
      </c>
      <c r="AE328" s="185">
        <f t="shared" si="258"/>
        <v>188.55</v>
      </c>
      <c r="AF328" s="185">
        <f t="shared" si="225"/>
        <v>11196.72</v>
      </c>
      <c r="AG328" s="185">
        <f t="shared" si="244"/>
        <v>589765.2100000002</v>
      </c>
      <c r="AH328" s="185">
        <f t="shared" si="245"/>
        <v>2699023.79</v>
      </c>
      <c r="AI328" s="411">
        <f t="shared" si="259"/>
        <v>2795214.510000003</v>
      </c>
      <c r="AJ328" s="411">
        <f t="shared" si="247"/>
        <v>198223.18999999907</v>
      </c>
      <c r="AK328" s="411">
        <f t="shared" si="260"/>
        <v>2993437.700000002</v>
      </c>
      <c r="AL328" s="185">
        <f t="shared" si="266"/>
        <v>395952.88000000053</v>
      </c>
      <c r="AM328" s="317">
        <f t="shared" si="231"/>
        <v>26</v>
      </c>
      <c r="AN328" s="14">
        <f t="shared" si="261"/>
        <v>19533.41</v>
      </c>
      <c r="AO328" s="14">
        <f t="shared" si="252"/>
        <v>594176.07000000007</v>
      </c>
      <c r="AP328" s="14">
        <f t="shared" si="262"/>
        <v>10874</v>
      </c>
      <c r="AS328" s="14">
        <f t="shared" si="226"/>
        <v>19533.41</v>
      </c>
      <c r="AT328" s="14">
        <f t="shared" si="232"/>
        <v>6113476.7700000266</v>
      </c>
      <c r="AU328" s="185">
        <f t="shared" si="233"/>
        <v>5372.6423444195507</v>
      </c>
      <c r="AV328" s="185">
        <f t="shared" si="234"/>
        <v>1168329.5801122403</v>
      </c>
    </row>
    <row r="329" spans="1:48">
      <c r="A329" s="401" t="str">
        <f t="shared" si="235"/>
        <v xml:space="preserve"> </v>
      </c>
      <c r="B329" s="185">
        <f t="shared" si="227"/>
        <v>0</v>
      </c>
      <c r="C329" s="14">
        <f t="shared" si="218"/>
        <v>0</v>
      </c>
      <c r="D329" s="14">
        <f t="shared" si="236"/>
        <v>0</v>
      </c>
      <c r="E329" s="14">
        <f t="shared" si="219"/>
        <v>0</v>
      </c>
      <c r="F329" s="14">
        <f t="shared" si="255"/>
        <v>0</v>
      </c>
      <c r="G329" s="14">
        <f t="shared" si="255"/>
        <v>0</v>
      </c>
      <c r="H329" s="14">
        <f t="shared" si="256"/>
        <v>0</v>
      </c>
      <c r="I329" s="185">
        <f t="shared" si="237"/>
        <v>0</v>
      </c>
      <c r="J329" s="185">
        <f t="shared" si="238"/>
        <v>0</v>
      </c>
      <c r="K329" s="185">
        <f t="shared" si="239"/>
        <v>0</v>
      </c>
      <c r="L329" s="317">
        <f t="shared" si="253"/>
        <v>26</v>
      </c>
      <c r="M329" s="317">
        <f t="shared" si="228"/>
        <v>313</v>
      </c>
      <c r="N329" s="185">
        <f t="shared" si="229"/>
        <v>594176.0699999996</v>
      </c>
      <c r="O329" s="185">
        <f t="shared" si="263"/>
        <v>19533.41</v>
      </c>
      <c r="P329" s="185">
        <f t="shared" si="240"/>
        <v>7773.68</v>
      </c>
      <c r="Q329" s="185">
        <f t="shared" si="264"/>
        <v>11759.73</v>
      </c>
      <c r="R329" s="185">
        <f t="shared" si="267"/>
        <v>134.16999999999999</v>
      </c>
      <c r="S329" s="185">
        <f t="shared" si="267"/>
        <v>188.55</v>
      </c>
      <c r="T329" s="185">
        <f t="shared" si="257"/>
        <v>19856.129999999997</v>
      </c>
      <c r="U329" s="185">
        <f t="shared" si="241"/>
        <v>399697.60999999993</v>
      </c>
      <c r="V329" s="185">
        <f t="shared" si="242"/>
        <v>5733793.1300000027</v>
      </c>
      <c r="W329" s="185">
        <f t="shared" si="243"/>
        <v>586402.38999999955</v>
      </c>
      <c r="X329" s="401" t="str">
        <f t="shared" si="230"/>
        <v xml:space="preserve"> </v>
      </c>
      <c r="Y329" s="185">
        <f t="shared" si="265"/>
        <v>395952.88000000053</v>
      </c>
      <c r="Z329" s="393">
        <f t="shared" si="221"/>
        <v>0.13125000000000001</v>
      </c>
      <c r="AA329" s="185">
        <f t="shared" si="222"/>
        <v>10874</v>
      </c>
      <c r="AB329" s="185">
        <f t="shared" si="223"/>
        <v>6543.27</v>
      </c>
      <c r="AC329" s="185">
        <f t="shared" si="224"/>
        <v>4330.7299999999996</v>
      </c>
      <c r="AD329" s="185">
        <f t="shared" si="258"/>
        <v>134.16999999999999</v>
      </c>
      <c r="AE329" s="185">
        <f t="shared" si="258"/>
        <v>188.55</v>
      </c>
      <c r="AF329" s="185">
        <f t="shared" si="225"/>
        <v>11196.72</v>
      </c>
      <c r="AG329" s="185">
        <f t="shared" si="244"/>
        <v>596308.48000000021</v>
      </c>
      <c r="AH329" s="185">
        <f t="shared" si="245"/>
        <v>2703354.52</v>
      </c>
      <c r="AI329" s="411">
        <f t="shared" si="259"/>
        <v>2803873.9200000032</v>
      </c>
      <c r="AJ329" s="411">
        <f t="shared" si="247"/>
        <v>196992.77999999904</v>
      </c>
      <c r="AK329" s="411">
        <f t="shared" si="260"/>
        <v>3000866.700000002</v>
      </c>
      <c r="AL329" s="185">
        <f t="shared" si="266"/>
        <v>389409.61000000051</v>
      </c>
      <c r="AM329" s="317">
        <f t="shared" si="231"/>
        <v>26</v>
      </c>
      <c r="AN329" s="14">
        <f t="shared" si="261"/>
        <v>19533.41</v>
      </c>
      <c r="AO329" s="14">
        <f t="shared" si="252"/>
        <v>586402.39000000013</v>
      </c>
      <c r="AP329" s="14">
        <f t="shared" si="262"/>
        <v>10874</v>
      </c>
      <c r="AS329" s="14">
        <f t="shared" si="226"/>
        <v>19533.41</v>
      </c>
      <c r="AT329" s="14">
        <f t="shared" si="232"/>
        <v>6133010.1800000267</v>
      </c>
      <c r="AU329" s="185">
        <f t="shared" si="233"/>
        <v>5386.0739502806</v>
      </c>
      <c r="AV329" s="185">
        <f t="shared" si="234"/>
        <v>1173715.6540625209</v>
      </c>
    </row>
    <row r="330" spans="1:48">
      <c r="A330" s="401" t="str">
        <f t="shared" si="235"/>
        <v xml:space="preserve"> </v>
      </c>
      <c r="B330" s="185">
        <f t="shared" si="227"/>
        <v>0</v>
      </c>
      <c r="C330" s="14">
        <f t="shared" si="218"/>
        <v>0</v>
      </c>
      <c r="D330" s="14">
        <f t="shared" si="236"/>
        <v>0</v>
      </c>
      <c r="E330" s="14">
        <f t="shared" si="219"/>
        <v>0</v>
      </c>
      <c r="F330" s="14">
        <f t="shared" si="255"/>
        <v>0</v>
      </c>
      <c r="G330" s="14">
        <f t="shared" si="255"/>
        <v>0</v>
      </c>
      <c r="H330" s="14">
        <f t="shared" si="256"/>
        <v>0</v>
      </c>
      <c r="I330" s="185">
        <f t="shared" si="237"/>
        <v>0</v>
      </c>
      <c r="J330" s="185">
        <f t="shared" si="238"/>
        <v>0</v>
      </c>
      <c r="K330" s="185">
        <f t="shared" si="239"/>
        <v>0</v>
      </c>
      <c r="L330" s="317">
        <f t="shared" si="253"/>
        <v>26</v>
      </c>
      <c r="M330" s="317">
        <f t="shared" si="228"/>
        <v>314</v>
      </c>
      <c r="N330" s="185">
        <f t="shared" si="229"/>
        <v>586402.38999999955</v>
      </c>
      <c r="O330" s="185">
        <f t="shared" si="263"/>
        <v>19533.41</v>
      </c>
      <c r="P330" s="185">
        <f t="shared" si="240"/>
        <v>7927.5300000000007</v>
      </c>
      <c r="Q330" s="185">
        <f t="shared" si="264"/>
        <v>11605.88</v>
      </c>
      <c r="R330" s="185">
        <f t="shared" si="267"/>
        <v>134.16999999999999</v>
      </c>
      <c r="S330" s="185">
        <f t="shared" si="267"/>
        <v>188.55</v>
      </c>
      <c r="T330" s="185">
        <f t="shared" si="257"/>
        <v>19856.129999999997</v>
      </c>
      <c r="U330" s="185">
        <f t="shared" si="241"/>
        <v>407625.13999999996</v>
      </c>
      <c r="V330" s="185">
        <f t="shared" si="242"/>
        <v>5745399.0100000026</v>
      </c>
      <c r="W330" s="185">
        <f t="shared" si="243"/>
        <v>578474.85999999952</v>
      </c>
      <c r="X330" s="401" t="str">
        <f t="shared" si="230"/>
        <v xml:space="preserve"> </v>
      </c>
      <c r="Y330" s="185">
        <f t="shared" si="265"/>
        <v>389409.61000000051</v>
      </c>
      <c r="Z330" s="393">
        <f t="shared" si="221"/>
        <v>0.13125000000000001</v>
      </c>
      <c r="AA330" s="185">
        <f t="shared" si="222"/>
        <v>10874</v>
      </c>
      <c r="AB330" s="185">
        <f t="shared" si="223"/>
        <v>6614.83</v>
      </c>
      <c r="AC330" s="185">
        <f t="shared" si="224"/>
        <v>4259.17</v>
      </c>
      <c r="AD330" s="185">
        <f t="shared" si="258"/>
        <v>134.16999999999999</v>
      </c>
      <c r="AE330" s="185">
        <f t="shared" si="258"/>
        <v>188.55</v>
      </c>
      <c r="AF330" s="185">
        <f t="shared" si="225"/>
        <v>11196.72</v>
      </c>
      <c r="AG330" s="185">
        <f t="shared" si="244"/>
        <v>602923.31000000017</v>
      </c>
      <c r="AH330" s="185">
        <f t="shared" si="245"/>
        <v>2707613.69</v>
      </c>
      <c r="AI330" s="411">
        <f t="shared" si="259"/>
        <v>2812533.3300000033</v>
      </c>
      <c r="AJ330" s="411">
        <f t="shared" si="247"/>
        <v>195680.07999999903</v>
      </c>
      <c r="AK330" s="411">
        <f t="shared" si="260"/>
        <v>3008213.4100000025</v>
      </c>
      <c r="AL330" s="185">
        <f t="shared" si="266"/>
        <v>382794.78000000049</v>
      </c>
      <c r="AM330" s="317">
        <f t="shared" si="231"/>
        <v>26</v>
      </c>
      <c r="AN330" s="14">
        <f t="shared" si="261"/>
        <v>19533.41</v>
      </c>
      <c r="AO330" s="14">
        <f t="shared" si="252"/>
        <v>578474.8600000001</v>
      </c>
      <c r="AP330" s="14">
        <f t="shared" si="262"/>
        <v>10874</v>
      </c>
      <c r="AS330" s="14">
        <f t="shared" si="226"/>
        <v>19533.41</v>
      </c>
      <c r="AT330" s="14">
        <f t="shared" si="232"/>
        <v>6152543.5900000269</v>
      </c>
      <c r="AU330" s="185">
        <f t="shared" si="233"/>
        <v>5399.5391351563021</v>
      </c>
      <c r="AV330" s="185">
        <f t="shared" si="234"/>
        <v>1179115.1931976771</v>
      </c>
    </row>
    <row r="331" spans="1:48">
      <c r="A331" s="401" t="str">
        <f t="shared" si="235"/>
        <v xml:space="preserve"> </v>
      </c>
      <c r="B331" s="185">
        <f t="shared" si="227"/>
        <v>0</v>
      </c>
      <c r="C331" s="14">
        <f t="shared" si="218"/>
        <v>0</v>
      </c>
      <c r="D331" s="14">
        <f t="shared" si="236"/>
        <v>0</v>
      </c>
      <c r="E331" s="14">
        <f t="shared" si="219"/>
        <v>0</v>
      </c>
      <c r="F331" s="14">
        <f t="shared" ref="F331:G346" si="268">+F330</f>
        <v>0</v>
      </c>
      <c r="G331" s="14">
        <f t="shared" si="268"/>
        <v>0</v>
      </c>
      <c r="H331" s="14">
        <f t="shared" si="256"/>
        <v>0</v>
      </c>
      <c r="I331" s="185">
        <f t="shared" si="237"/>
        <v>0</v>
      </c>
      <c r="J331" s="185">
        <f t="shared" si="238"/>
        <v>0</v>
      </c>
      <c r="K331" s="185">
        <f t="shared" si="239"/>
        <v>0</v>
      </c>
      <c r="L331" s="317">
        <f t="shared" si="253"/>
        <v>26</v>
      </c>
      <c r="M331" s="317">
        <f t="shared" si="228"/>
        <v>315</v>
      </c>
      <c r="N331" s="185">
        <f t="shared" si="229"/>
        <v>578474.85999999952</v>
      </c>
      <c r="O331" s="185">
        <f t="shared" si="263"/>
        <v>19533.41</v>
      </c>
      <c r="P331" s="185">
        <f t="shared" si="240"/>
        <v>8084.43</v>
      </c>
      <c r="Q331" s="185">
        <f t="shared" si="264"/>
        <v>11448.98</v>
      </c>
      <c r="R331" s="185">
        <f t="shared" si="267"/>
        <v>134.16999999999999</v>
      </c>
      <c r="S331" s="185">
        <f t="shared" si="267"/>
        <v>188.55</v>
      </c>
      <c r="T331" s="185">
        <f t="shared" si="257"/>
        <v>19856.129999999997</v>
      </c>
      <c r="U331" s="185">
        <f t="shared" si="241"/>
        <v>415709.56999999995</v>
      </c>
      <c r="V331" s="185">
        <f t="shared" si="242"/>
        <v>5756847.990000003</v>
      </c>
      <c r="W331" s="185">
        <f t="shared" si="243"/>
        <v>570390.42999999947</v>
      </c>
      <c r="X331" s="401" t="str">
        <f t="shared" si="230"/>
        <v xml:space="preserve"> </v>
      </c>
      <c r="Y331" s="185">
        <f t="shared" si="265"/>
        <v>382794.78000000049</v>
      </c>
      <c r="Z331" s="393">
        <f t="shared" si="221"/>
        <v>0.13125000000000001</v>
      </c>
      <c r="AA331" s="185">
        <f t="shared" si="222"/>
        <v>10874</v>
      </c>
      <c r="AB331" s="185">
        <f t="shared" si="223"/>
        <v>6687.18</v>
      </c>
      <c r="AC331" s="185">
        <f t="shared" si="224"/>
        <v>4186.82</v>
      </c>
      <c r="AD331" s="185">
        <f t="shared" si="258"/>
        <v>134.16999999999999</v>
      </c>
      <c r="AE331" s="185">
        <f t="shared" si="258"/>
        <v>188.55</v>
      </c>
      <c r="AF331" s="185">
        <f t="shared" si="225"/>
        <v>11196.72</v>
      </c>
      <c r="AG331" s="185">
        <f t="shared" si="244"/>
        <v>609610.49000000022</v>
      </c>
      <c r="AH331" s="185">
        <f t="shared" si="245"/>
        <v>2711800.51</v>
      </c>
      <c r="AI331" s="411">
        <f t="shared" si="259"/>
        <v>2821192.7400000035</v>
      </c>
      <c r="AJ331" s="411">
        <f t="shared" si="247"/>
        <v>194282.82999999897</v>
      </c>
      <c r="AK331" s="411">
        <f t="shared" si="260"/>
        <v>3015475.5700000026</v>
      </c>
      <c r="AL331" s="185">
        <f t="shared" si="266"/>
        <v>376107.6000000005</v>
      </c>
      <c r="AM331" s="317">
        <f t="shared" si="231"/>
        <v>26</v>
      </c>
      <c r="AN331" s="14">
        <f t="shared" si="261"/>
        <v>19533.41</v>
      </c>
      <c r="AO331" s="14">
        <f t="shared" si="252"/>
        <v>570390.43000000005</v>
      </c>
      <c r="AP331" s="14">
        <f t="shared" si="262"/>
        <v>10874</v>
      </c>
      <c r="AS331" s="14">
        <f t="shared" si="226"/>
        <v>19533.41</v>
      </c>
      <c r="AT331" s="14">
        <f t="shared" si="232"/>
        <v>6172077.000000027</v>
      </c>
      <c r="AU331" s="185">
        <f t="shared" si="233"/>
        <v>5413.0379829941921</v>
      </c>
      <c r="AV331" s="185">
        <f t="shared" si="234"/>
        <v>1184528.2311806714</v>
      </c>
    </row>
    <row r="332" spans="1:48">
      <c r="A332" s="401" t="str">
        <f t="shared" si="235"/>
        <v xml:space="preserve"> </v>
      </c>
      <c r="B332" s="185">
        <f t="shared" si="227"/>
        <v>0</v>
      </c>
      <c r="C332" s="14">
        <f t="shared" si="218"/>
        <v>0</v>
      </c>
      <c r="D332" s="14">
        <f t="shared" si="236"/>
        <v>0</v>
      </c>
      <c r="E332" s="14">
        <f t="shared" si="219"/>
        <v>0</v>
      </c>
      <c r="F332" s="14">
        <f t="shared" si="268"/>
        <v>0</v>
      </c>
      <c r="G332" s="14">
        <f t="shared" si="268"/>
        <v>0</v>
      </c>
      <c r="H332" s="14">
        <f t="shared" si="256"/>
        <v>0</v>
      </c>
      <c r="I332" s="185">
        <f t="shared" si="237"/>
        <v>0</v>
      </c>
      <c r="J332" s="185">
        <f t="shared" si="238"/>
        <v>0</v>
      </c>
      <c r="K332" s="185">
        <f t="shared" si="239"/>
        <v>0</v>
      </c>
      <c r="L332" s="317">
        <f t="shared" si="253"/>
        <v>26</v>
      </c>
      <c r="M332" s="317">
        <f t="shared" si="228"/>
        <v>316</v>
      </c>
      <c r="N332" s="185">
        <f t="shared" si="229"/>
        <v>570390.42999999947</v>
      </c>
      <c r="O332" s="185">
        <f t="shared" si="263"/>
        <v>19533.41</v>
      </c>
      <c r="P332" s="185">
        <f t="shared" si="240"/>
        <v>8244.43</v>
      </c>
      <c r="Q332" s="185">
        <f t="shared" si="264"/>
        <v>11288.98</v>
      </c>
      <c r="R332" s="185">
        <f t="shared" si="267"/>
        <v>134.16999999999999</v>
      </c>
      <c r="S332" s="185">
        <f t="shared" si="267"/>
        <v>188.55</v>
      </c>
      <c r="T332" s="185">
        <f t="shared" si="257"/>
        <v>19856.129999999997</v>
      </c>
      <c r="U332" s="185">
        <f t="shared" si="241"/>
        <v>423953.99999999994</v>
      </c>
      <c r="V332" s="185">
        <f t="shared" si="242"/>
        <v>5768136.9700000035</v>
      </c>
      <c r="W332" s="185">
        <f t="shared" si="243"/>
        <v>562145.99999999942</v>
      </c>
      <c r="X332" s="401" t="str">
        <f t="shared" si="230"/>
        <v xml:space="preserve"> </v>
      </c>
      <c r="Y332" s="185">
        <f t="shared" si="265"/>
        <v>376107.6000000005</v>
      </c>
      <c r="Z332" s="393">
        <f t="shared" si="221"/>
        <v>0.13125000000000001</v>
      </c>
      <c r="AA332" s="185">
        <f t="shared" si="222"/>
        <v>10874</v>
      </c>
      <c r="AB332" s="185">
        <f t="shared" si="223"/>
        <v>6760.32</v>
      </c>
      <c r="AC332" s="185">
        <f t="shared" si="224"/>
        <v>4113.68</v>
      </c>
      <c r="AD332" s="185">
        <f t="shared" si="258"/>
        <v>134.16999999999999</v>
      </c>
      <c r="AE332" s="185">
        <f t="shared" si="258"/>
        <v>188.55</v>
      </c>
      <c r="AF332" s="185">
        <f t="shared" si="225"/>
        <v>11196.72</v>
      </c>
      <c r="AG332" s="185">
        <f t="shared" si="244"/>
        <v>616370.81000000017</v>
      </c>
      <c r="AH332" s="185">
        <f t="shared" si="245"/>
        <v>2715914.19</v>
      </c>
      <c r="AI332" s="411">
        <f t="shared" si="259"/>
        <v>2829852.1500000036</v>
      </c>
      <c r="AJ332" s="411">
        <f t="shared" si="247"/>
        <v>192798.71999999892</v>
      </c>
      <c r="AK332" s="411">
        <f t="shared" si="260"/>
        <v>3022650.8700000024</v>
      </c>
      <c r="AL332" s="185">
        <f t="shared" si="266"/>
        <v>369347.28000000049</v>
      </c>
      <c r="AM332" s="317">
        <f t="shared" si="231"/>
        <v>26</v>
      </c>
      <c r="AN332" s="14">
        <f t="shared" si="261"/>
        <v>19533.41</v>
      </c>
      <c r="AO332" s="14">
        <f t="shared" si="252"/>
        <v>562146</v>
      </c>
      <c r="AP332" s="14">
        <f t="shared" si="262"/>
        <v>10874</v>
      </c>
      <c r="AS332" s="14">
        <f t="shared" si="226"/>
        <v>19533.41</v>
      </c>
      <c r="AT332" s="14">
        <f t="shared" si="232"/>
        <v>6191610.4100000272</v>
      </c>
      <c r="AU332" s="185">
        <f t="shared" si="233"/>
        <v>5426.5705779516784</v>
      </c>
      <c r="AV332" s="185">
        <f t="shared" si="234"/>
        <v>1189954.801758623</v>
      </c>
    </row>
    <row r="333" spans="1:48">
      <c r="A333" s="401" t="str">
        <f t="shared" si="235"/>
        <v xml:space="preserve"> </v>
      </c>
      <c r="B333" s="185">
        <f t="shared" si="227"/>
        <v>0</v>
      </c>
      <c r="C333" s="14">
        <f t="shared" si="218"/>
        <v>0</v>
      </c>
      <c r="D333" s="14">
        <f t="shared" si="236"/>
        <v>0</v>
      </c>
      <c r="E333" s="14">
        <f t="shared" si="219"/>
        <v>0</v>
      </c>
      <c r="F333" s="14">
        <f t="shared" si="268"/>
        <v>0</v>
      </c>
      <c r="G333" s="14">
        <f t="shared" si="268"/>
        <v>0</v>
      </c>
      <c r="H333" s="14">
        <f t="shared" si="256"/>
        <v>0</v>
      </c>
      <c r="I333" s="185">
        <f t="shared" si="237"/>
        <v>0</v>
      </c>
      <c r="J333" s="185">
        <f t="shared" si="238"/>
        <v>0</v>
      </c>
      <c r="K333" s="185">
        <f t="shared" si="239"/>
        <v>0</v>
      </c>
      <c r="L333" s="317">
        <f t="shared" si="253"/>
        <v>26</v>
      </c>
      <c r="M333" s="317">
        <f t="shared" si="228"/>
        <v>317</v>
      </c>
      <c r="N333" s="185">
        <f t="shared" si="229"/>
        <v>562145.99999999942</v>
      </c>
      <c r="O333" s="185">
        <f t="shared" si="263"/>
        <v>19533.41</v>
      </c>
      <c r="P333" s="185">
        <f t="shared" si="240"/>
        <v>8407.6</v>
      </c>
      <c r="Q333" s="185">
        <f t="shared" si="264"/>
        <v>11125.81</v>
      </c>
      <c r="R333" s="185">
        <f t="shared" si="267"/>
        <v>134.16999999999999</v>
      </c>
      <c r="S333" s="185">
        <f t="shared" si="267"/>
        <v>188.55</v>
      </c>
      <c r="T333" s="185">
        <f t="shared" si="257"/>
        <v>19856.129999999997</v>
      </c>
      <c r="U333" s="185">
        <f t="shared" si="241"/>
        <v>432361.59999999992</v>
      </c>
      <c r="V333" s="185">
        <f t="shared" si="242"/>
        <v>5779262.7800000031</v>
      </c>
      <c r="W333" s="185">
        <f t="shared" si="243"/>
        <v>553738.39999999944</v>
      </c>
      <c r="X333" s="401" t="str">
        <f t="shared" si="230"/>
        <v xml:space="preserve"> </v>
      </c>
      <c r="Y333" s="185">
        <f t="shared" si="265"/>
        <v>369347.28000000049</v>
      </c>
      <c r="Z333" s="393">
        <f t="shared" si="221"/>
        <v>0.13125000000000001</v>
      </c>
      <c r="AA333" s="185">
        <f t="shared" si="222"/>
        <v>10874</v>
      </c>
      <c r="AB333" s="185">
        <f t="shared" si="223"/>
        <v>6834.26</v>
      </c>
      <c r="AC333" s="185">
        <f t="shared" si="224"/>
        <v>4039.74</v>
      </c>
      <c r="AD333" s="185">
        <f t="shared" ref="AD333:AE348" si="269">+AD332</f>
        <v>134.16999999999999</v>
      </c>
      <c r="AE333" s="185">
        <f t="shared" si="269"/>
        <v>188.55</v>
      </c>
      <c r="AF333" s="185">
        <f t="shared" si="225"/>
        <v>11196.72</v>
      </c>
      <c r="AG333" s="185">
        <f t="shared" si="244"/>
        <v>623205.07000000018</v>
      </c>
      <c r="AH333" s="185">
        <f t="shared" si="245"/>
        <v>2719953.93</v>
      </c>
      <c r="AI333" s="411">
        <f t="shared" si="259"/>
        <v>2838511.5600000038</v>
      </c>
      <c r="AJ333" s="411">
        <f t="shared" si="247"/>
        <v>191225.37999999896</v>
      </c>
      <c r="AK333" s="411">
        <f t="shared" si="260"/>
        <v>3029736.9400000027</v>
      </c>
      <c r="AL333" s="185">
        <f t="shared" si="266"/>
        <v>362513.02000000048</v>
      </c>
      <c r="AM333" s="317">
        <f t="shared" si="231"/>
        <v>26</v>
      </c>
      <c r="AN333" s="14">
        <f t="shared" si="261"/>
        <v>19533.41</v>
      </c>
      <c r="AO333" s="14">
        <f t="shared" si="252"/>
        <v>553738.40000000014</v>
      </c>
      <c r="AP333" s="14">
        <f t="shared" si="262"/>
        <v>10874</v>
      </c>
      <c r="AS333" s="14">
        <f t="shared" si="226"/>
        <v>19533.41</v>
      </c>
      <c r="AT333" s="14">
        <f t="shared" si="232"/>
        <v>6211143.8200000273</v>
      </c>
      <c r="AU333" s="185">
        <f t="shared" si="233"/>
        <v>5440.1370043965571</v>
      </c>
      <c r="AV333" s="185">
        <f t="shared" si="234"/>
        <v>1195394.9387630196</v>
      </c>
    </row>
    <row r="334" spans="1:48">
      <c r="A334" s="401" t="str">
        <f t="shared" si="235"/>
        <v xml:space="preserve"> </v>
      </c>
      <c r="B334" s="185">
        <f t="shared" si="227"/>
        <v>0</v>
      </c>
      <c r="C334" s="14">
        <f t="shared" si="218"/>
        <v>0</v>
      </c>
      <c r="D334" s="14">
        <f t="shared" si="236"/>
        <v>0</v>
      </c>
      <c r="E334" s="14">
        <f t="shared" si="219"/>
        <v>0</v>
      </c>
      <c r="F334" s="14">
        <f t="shared" si="268"/>
        <v>0</v>
      </c>
      <c r="G334" s="14">
        <f t="shared" si="268"/>
        <v>0</v>
      </c>
      <c r="H334" s="14">
        <f t="shared" si="256"/>
        <v>0</v>
      </c>
      <c r="I334" s="185">
        <f t="shared" si="237"/>
        <v>0</v>
      </c>
      <c r="J334" s="185">
        <f t="shared" si="238"/>
        <v>0</v>
      </c>
      <c r="K334" s="185">
        <f t="shared" si="239"/>
        <v>0</v>
      </c>
      <c r="L334" s="317">
        <f t="shared" si="253"/>
        <v>26</v>
      </c>
      <c r="M334" s="317">
        <f t="shared" si="228"/>
        <v>318</v>
      </c>
      <c r="N334" s="185">
        <f t="shared" si="229"/>
        <v>553738.39999999944</v>
      </c>
      <c r="O334" s="185">
        <f t="shared" si="263"/>
        <v>19533.41</v>
      </c>
      <c r="P334" s="185">
        <f t="shared" si="240"/>
        <v>8574</v>
      </c>
      <c r="Q334" s="185">
        <f t="shared" si="264"/>
        <v>10959.41</v>
      </c>
      <c r="R334" s="185">
        <f t="shared" si="267"/>
        <v>134.16999999999999</v>
      </c>
      <c r="S334" s="185">
        <f t="shared" si="267"/>
        <v>188.55</v>
      </c>
      <c r="T334" s="185">
        <f t="shared" si="257"/>
        <v>19856.129999999997</v>
      </c>
      <c r="U334" s="185">
        <f t="shared" si="241"/>
        <v>440935.59999999992</v>
      </c>
      <c r="V334" s="185">
        <f t="shared" si="242"/>
        <v>5790222.1900000032</v>
      </c>
      <c r="W334" s="185">
        <f t="shared" si="243"/>
        <v>545164.39999999944</v>
      </c>
      <c r="X334" s="401" t="str">
        <f t="shared" si="230"/>
        <v xml:space="preserve"> </v>
      </c>
      <c r="Y334" s="185">
        <f t="shared" si="265"/>
        <v>362513.02000000048</v>
      </c>
      <c r="Z334" s="393">
        <f t="shared" si="221"/>
        <v>0.13125000000000001</v>
      </c>
      <c r="AA334" s="185">
        <f t="shared" si="222"/>
        <v>10874</v>
      </c>
      <c r="AB334" s="185">
        <f t="shared" si="223"/>
        <v>6909.01</v>
      </c>
      <c r="AC334" s="185">
        <f t="shared" si="224"/>
        <v>3964.99</v>
      </c>
      <c r="AD334" s="185">
        <f t="shared" si="269"/>
        <v>134.16999999999999</v>
      </c>
      <c r="AE334" s="185">
        <f t="shared" si="269"/>
        <v>188.55</v>
      </c>
      <c r="AF334" s="185">
        <f t="shared" si="225"/>
        <v>11196.72</v>
      </c>
      <c r="AG334" s="185">
        <f t="shared" si="244"/>
        <v>630114.08000000019</v>
      </c>
      <c r="AH334" s="185">
        <f t="shared" si="245"/>
        <v>2723918.9200000004</v>
      </c>
      <c r="AI334" s="411">
        <f t="shared" si="259"/>
        <v>2847170.9700000039</v>
      </c>
      <c r="AJ334" s="411">
        <f t="shared" si="247"/>
        <v>189560.38999999897</v>
      </c>
      <c r="AK334" s="411">
        <f t="shared" si="260"/>
        <v>3036731.3600000031</v>
      </c>
      <c r="AL334" s="185">
        <f t="shared" si="266"/>
        <v>355604.01000000047</v>
      </c>
      <c r="AM334" s="317">
        <f t="shared" si="231"/>
        <v>26</v>
      </c>
      <c r="AN334" s="14">
        <f t="shared" si="261"/>
        <v>19533.41</v>
      </c>
      <c r="AO334" s="14">
        <f t="shared" si="252"/>
        <v>545164.40000000014</v>
      </c>
      <c r="AP334" s="14">
        <f t="shared" si="262"/>
        <v>10874</v>
      </c>
      <c r="AS334" s="14">
        <f t="shared" si="226"/>
        <v>19533.41</v>
      </c>
      <c r="AT334" s="14">
        <f t="shared" si="232"/>
        <v>6230677.2300000275</v>
      </c>
      <c r="AU334" s="185">
        <f t="shared" si="233"/>
        <v>5453.7373469075492</v>
      </c>
      <c r="AV334" s="185">
        <f t="shared" si="234"/>
        <v>1200848.6761099272</v>
      </c>
    </row>
    <row r="335" spans="1:48">
      <c r="A335" s="401" t="str">
        <f t="shared" si="235"/>
        <v xml:space="preserve"> </v>
      </c>
      <c r="B335" s="185">
        <f t="shared" si="227"/>
        <v>0</v>
      </c>
      <c r="C335" s="14">
        <f t="shared" si="218"/>
        <v>0</v>
      </c>
      <c r="D335" s="14">
        <f t="shared" si="236"/>
        <v>0</v>
      </c>
      <c r="E335" s="14">
        <f t="shared" si="219"/>
        <v>0</v>
      </c>
      <c r="F335" s="14">
        <f t="shared" si="268"/>
        <v>0</v>
      </c>
      <c r="G335" s="14">
        <f t="shared" si="268"/>
        <v>0</v>
      </c>
      <c r="H335" s="14">
        <f t="shared" si="256"/>
        <v>0</v>
      </c>
      <c r="I335" s="185">
        <f t="shared" si="237"/>
        <v>0</v>
      </c>
      <c r="J335" s="185">
        <f t="shared" si="238"/>
        <v>0</v>
      </c>
      <c r="K335" s="185">
        <f t="shared" si="239"/>
        <v>0</v>
      </c>
      <c r="L335" s="317">
        <f t="shared" si="253"/>
        <v>26</v>
      </c>
      <c r="M335" s="317">
        <f t="shared" si="228"/>
        <v>319</v>
      </c>
      <c r="N335" s="185">
        <f t="shared" si="229"/>
        <v>545164.39999999944</v>
      </c>
      <c r="O335" s="185">
        <f t="shared" si="263"/>
        <v>19533.41</v>
      </c>
      <c r="P335" s="185">
        <f t="shared" si="240"/>
        <v>8743.7000000000007</v>
      </c>
      <c r="Q335" s="185">
        <f t="shared" si="264"/>
        <v>10789.71</v>
      </c>
      <c r="R335" s="185">
        <f t="shared" si="267"/>
        <v>134.16999999999999</v>
      </c>
      <c r="S335" s="185">
        <f t="shared" si="267"/>
        <v>188.55</v>
      </c>
      <c r="T335" s="185">
        <f t="shared" si="257"/>
        <v>19856.129999999997</v>
      </c>
      <c r="U335" s="185">
        <f t="shared" si="241"/>
        <v>449679.29999999993</v>
      </c>
      <c r="V335" s="185">
        <f t="shared" si="242"/>
        <v>5801011.9000000032</v>
      </c>
      <c r="W335" s="185">
        <f t="shared" si="243"/>
        <v>536420.69999999949</v>
      </c>
      <c r="X335" s="401" t="str">
        <f t="shared" si="230"/>
        <v xml:space="preserve"> </v>
      </c>
      <c r="Y335" s="185">
        <f t="shared" si="265"/>
        <v>355604.01000000047</v>
      </c>
      <c r="Z335" s="393">
        <f t="shared" si="221"/>
        <v>0.13125000000000001</v>
      </c>
      <c r="AA335" s="185">
        <f t="shared" si="222"/>
        <v>10874</v>
      </c>
      <c r="AB335" s="185">
        <f t="shared" si="223"/>
        <v>6984.58</v>
      </c>
      <c r="AC335" s="185">
        <f t="shared" si="224"/>
        <v>3889.42</v>
      </c>
      <c r="AD335" s="185">
        <f t="shared" si="269"/>
        <v>134.16999999999999</v>
      </c>
      <c r="AE335" s="185">
        <f t="shared" si="269"/>
        <v>188.55</v>
      </c>
      <c r="AF335" s="185">
        <f t="shared" si="225"/>
        <v>11196.72</v>
      </c>
      <c r="AG335" s="185">
        <f t="shared" si="244"/>
        <v>637098.66000000015</v>
      </c>
      <c r="AH335" s="185">
        <f t="shared" si="245"/>
        <v>2727808.3400000003</v>
      </c>
      <c r="AI335" s="411">
        <f t="shared" si="259"/>
        <v>2855830.3800000041</v>
      </c>
      <c r="AJ335" s="411">
        <f t="shared" si="247"/>
        <v>187801.26999999903</v>
      </c>
      <c r="AK335" s="411">
        <f t="shared" si="260"/>
        <v>3043631.6500000032</v>
      </c>
      <c r="AL335" s="185">
        <f t="shared" si="266"/>
        <v>348619.43000000046</v>
      </c>
      <c r="AM335" s="317">
        <f t="shared" si="231"/>
        <v>26</v>
      </c>
      <c r="AN335" s="14">
        <f t="shared" si="261"/>
        <v>19533.41</v>
      </c>
      <c r="AO335" s="14">
        <f t="shared" si="252"/>
        <v>536420.70000000007</v>
      </c>
      <c r="AP335" s="14">
        <f t="shared" si="262"/>
        <v>10874</v>
      </c>
      <c r="AS335" s="14">
        <f t="shared" si="226"/>
        <v>19533.41</v>
      </c>
      <c r="AT335" s="14">
        <f t="shared" si="232"/>
        <v>6250210.6400000276</v>
      </c>
      <c r="AU335" s="185">
        <f t="shared" si="233"/>
        <v>5467.3716902748174</v>
      </c>
      <c r="AV335" s="185">
        <f t="shared" si="234"/>
        <v>1206316.0478002022</v>
      </c>
    </row>
    <row r="336" spans="1:48">
      <c r="A336" s="401" t="str">
        <f t="shared" si="235"/>
        <v xml:space="preserve"> </v>
      </c>
      <c r="B336" s="185">
        <f t="shared" si="227"/>
        <v>0</v>
      </c>
      <c r="C336" s="14">
        <f t="shared" ref="C336:C399" si="270">IF(+$K335&lt;=0,0,$C$6)</f>
        <v>0</v>
      </c>
      <c r="D336" s="14">
        <f t="shared" si="236"/>
        <v>0</v>
      </c>
      <c r="E336" s="14">
        <f t="shared" ref="E336:E399" si="271">ROUND($B336*($C$4/12), 2)</f>
        <v>0</v>
      </c>
      <c r="F336" s="14">
        <f t="shared" si="268"/>
        <v>0</v>
      </c>
      <c r="G336" s="14">
        <f t="shared" si="268"/>
        <v>0</v>
      </c>
      <c r="H336" s="14">
        <f t="shared" si="256"/>
        <v>0</v>
      </c>
      <c r="I336" s="185">
        <f t="shared" si="237"/>
        <v>0</v>
      </c>
      <c r="J336" s="185">
        <f t="shared" si="238"/>
        <v>0</v>
      </c>
      <c r="K336" s="185">
        <f t="shared" si="239"/>
        <v>0</v>
      </c>
      <c r="L336" s="317">
        <f t="shared" si="253"/>
        <v>26</v>
      </c>
      <c r="M336" s="317">
        <f t="shared" si="228"/>
        <v>320</v>
      </c>
      <c r="N336" s="185">
        <f t="shared" si="229"/>
        <v>536420.69999999949</v>
      </c>
      <c r="O336" s="185">
        <f t="shared" si="263"/>
        <v>19533.41</v>
      </c>
      <c r="P336" s="185">
        <f t="shared" si="240"/>
        <v>8916.75</v>
      </c>
      <c r="Q336" s="185">
        <f t="shared" si="264"/>
        <v>10616.66</v>
      </c>
      <c r="R336" s="185">
        <f t="shared" ref="R336:S351" si="272">+R335</f>
        <v>134.16999999999999</v>
      </c>
      <c r="S336" s="185">
        <f t="shared" si="272"/>
        <v>188.55</v>
      </c>
      <c r="T336" s="185">
        <f t="shared" si="257"/>
        <v>19856.129999999997</v>
      </c>
      <c r="U336" s="185">
        <f t="shared" si="241"/>
        <v>458596.04999999993</v>
      </c>
      <c r="V336" s="185">
        <f t="shared" si="242"/>
        <v>5811628.5600000033</v>
      </c>
      <c r="W336" s="185">
        <f t="shared" si="243"/>
        <v>527503.94999999949</v>
      </c>
      <c r="X336" s="401" t="str">
        <f t="shared" si="230"/>
        <v xml:space="preserve"> </v>
      </c>
      <c r="Y336" s="185">
        <f t="shared" si="265"/>
        <v>348619.43000000046</v>
      </c>
      <c r="Z336" s="393">
        <f t="shared" ref="Z336:Z399" si="273">IF(L336&gt;4,$AA$10,$AA$9)</f>
        <v>0.13125000000000001</v>
      </c>
      <c r="AA336" s="185">
        <f t="shared" ref="AA336:AA399" si="274">IF($O$11&lt;=$A336,IF(+AL335&lt;=0,0,IF(Z336=$AA$9,$Z$9,$Z$10)),0)</f>
        <v>10874</v>
      </c>
      <c r="AB336" s="185">
        <f t="shared" ref="AB336:AB399" si="275">+AA336-AC336</f>
        <v>7060.9699999999993</v>
      </c>
      <c r="AC336" s="185">
        <f t="shared" ref="AC336:AC399" si="276">IF($O$11&lt;=$A336,ROUND(Y336*(Z336/12),2),0)</f>
        <v>3813.03</v>
      </c>
      <c r="AD336" s="185">
        <f t="shared" si="269"/>
        <v>134.16999999999999</v>
      </c>
      <c r="AE336" s="185">
        <f t="shared" si="269"/>
        <v>188.55</v>
      </c>
      <c r="AF336" s="185">
        <f t="shared" ref="AF336:AF399" si="277">SUM(AB336:AE336)</f>
        <v>11196.72</v>
      </c>
      <c r="AG336" s="185">
        <f t="shared" si="244"/>
        <v>644159.63000000012</v>
      </c>
      <c r="AH336" s="185">
        <f t="shared" si="245"/>
        <v>2731621.37</v>
      </c>
      <c r="AI336" s="411">
        <f t="shared" si="259"/>
        <v>2864489.7900000042</v>
      </c>
      <c r="AJ336" s="411">
        <f t="shared" si="247"/>
        <v>185945.489999999</v>
      </c>
      <c r="AK336" s="411">
        <f t="shared" si="260"/>
        <v>3050435.2800000031</v>
      </c>
      <c r="AL336" s="185">
        <f t="shared" si="266"/>
        <v>341558.46000000049</v>
      </c>
      <c r="AM336" s="317">
        <f t="shared" si="231"/>
        <v>26</v>
      </c>
      <c r="AN336" s="14">
        <f t="shared" si="261"/>
        <v>19533.41</v>
      </c>
      <c r="AO336" s="14">
        <f t="shared" si="252"/>
        <v>527503.95000000007</v>
      </c>
      <c r="AP336" s="14">
        <f t="shared" si="262"/>
        <v>10874</v>
      </c>
      <c r="AS336" s="14">
        <f t="shared" ref="AS336:AS399" si="278">+AN336-AR336</f>
        <v>19533.41</v>
      </c>
      <c r="AT336" s="14">
        <f t="shared" si="232"/>
        <v>6269744.0500000278</v>
      </c>
      <c r="AU336" s="185">
        <f t="shared" si="233"/>
        <v>5481.0401195005043</v>
      </c>
      <c r="AV336" s="185">
        <f t="shared" si="234"/>
        <v>1211797.0879197028</v>
      </c>
    </row>
    <row r="337" spans="1:48">
      <c r="A337" s="401" t="str">
        <f t="shared" si="235"/>
        <v xml:space="preserve"> </v>
      </c>
      <c r="B337" s="185">
        <f t="shared" ref="B337:B374" si="279">IF(+K336&lt;0,0,+K336)</f>
        <v>0</v>
      </c>
      <c r="C337" s="14">
        <f t="shared" si="270"/>
        <v>0</v>
      </c>
      <c r="D337" s="14">
        <f t="shared" si="236"/>
        <v>0</v>
      </c>
      <c r="E337" s="14">
        <f t="shared" si="271"/>
        <v>0</v>
      </c>
      <c r="F337" s="14">
        <f t="shared" si="268"/>
        <v>0</v>
      </c>
      <c r="G337" s="14">
        <f t="shared" si="268"/>
        <v>0</v>
      </c>
      <c r="H337" s="14">
        <f t="shared" si="256"/>
        <v>0</v>
      </c>
      <c r="I337" s="185">
        <f t="shared" si="237"/>
        <v>0</v>
      </c>
      <c r="J337" s="185">
        <f t="shared" si="238"/>
        <v>0</v>
      </c>
      <c r="K337" s="185">
        <f t="shared" si="239"/>
        <v>0</v>
      </c>
      <c r="L337" s="317">
        <f t="shared" si="253"/>
        <v>26</v>
      </c>
      <c r="M337" s="317">
        <f t="shared" ref="M337:M400" si="280">IF(N337&lt;&gt;"",IF(N337=$O$5,0,+M336+1),0)</f>
        <v>321</v>
      </c>
      <c r="N337" s="185">
        <f t="shared" ref="N337:N400" si="281">IF(+W336&lt;0,0,+W336)</f>
        <v>527503.94999999949</v>
      </c>
      <c r="O337" s="185">
        <f t="shared" si="263"/>
        <v>19533.41</v>
      </c>
      <c r="P337" s="185">
        <f t="shared" si="240"/>
        <v>9093.23</v>
      </c>
      <c r="Q337" s="185">
        <f t="shared" si="264"/>
        <v>10440.18</v>
      </c>
      <c r="R337" s="185">
        <f t="shared" si="272"/>
        <v>134.16999999999999</v>
      </c>
      <c r="S337" s="185">
        <f t="shared" si="272"/>
        <v>188.55</v>
      </c>
      <c r="T337" s="185">
        <f t="shared" si="257"/>
        <v>19856.129999999997</v>
      </c>
      <c r="U337" s="185">
        <f t="shared" si="241"/>
        <v>467689.27999999991</v>
      </c>
      <c r="V337" s="185">
        <f t="shared" si="242"/>
        <v>5822068.740000003</v>
      </c>
      <c r="W337" s="185">
        <f t="shared" si="243"/>
        <v>518410.71999999951</v>
      </c>
      <c r="X337" s="401" t="str">
        <f t="shared" ref="X337:X400" si="282">+A337</f>
        <v xml:space="preserve"> </v>
      </c>
      <c r="Y337" s="185">
        <f t="shared" si="265"/>
        <v>341558.46000000049</v>
      </c>
      <c r="Z337" s="393">
        <f t="shared" si="273"/>
        <v>0.13125000000000001</v>
      </c>
      <c r="AA337" s="185">
        <f t="shared" si="274"/>
        <v>10874</v>
      </c>
      <c r="AB337" s="185">
        <f t="shared" si="275"/>
        <v>7138.2</v>
      </c>
      <c r="AC337" s="185">
        <f t="shared" si="276"/>
        <v>3735.8</v>
      </c>
      <c r="AD337" s="185">
        <f t="shared" si="269"/>
        <v>134.16999999999999</v>
      </c>
      <c r="AE337" s="185">
        <f t="shared" si="269"/>
        <v>188.55</v>
      </c>
      <c r="AF337" s="185">
        <f t="shared" si="277"/>
        <v>11196.72</v>
      </c>
      <c r="AG337" s="185">
        <f t="shared" si="244"/>
        <v>651297.83000000007</v>
      </c>
      <c r="AH337" s="185">
        <f t="shared" si="245"/>
        <v>2735357.17</v>
      </c>
      <c r="AI337" s="411">
        <f t="shared" si="259"/>
        <v>2873149.2000000044</v>
      </c>
      <c r="AJ337" s="411">
        <f t="shared" si="247"/>
        <v>183990.45999999903</v>
      </c>
      <c r="AK337" s="411">
        <f t="shared" si="260"/>
        <v>3057139.6600000034</v>
      </c>
      <c r="AL337" s="185">
        <f t="shared" si="266"/>
        <v>334420.26000000047</v>
      </c>
      <c r="AM337" s="317">
        <f t="shared" ref="AM337:AM400" si="283">+L337</f>
        <v>26</v>
      </c>
      <c r="AN337" s="14">
        <f t="shared" si="261"/>
        <v>19533.41</v>
      </c>
      <c r="AO337" s="14">
        <f t="shared" si="252"/>
        <v>518410.72000000009</v>
      </c>
      <c r="AP337" s="14">
        <f t="shared" si="262"/>
        <v>10874</v>
      </c>
      <c r="AS337" s="14">
        <f t="shared" si="278"/>
        <v>19533.41</v>
      </c>
      <c r="AT337" s="14">
        <f t="shared" ref="AT337:AT400" si="284">IF(W337&lt;=0,0,+AS337+AT336)</f>
        <v>6289277.4600000279</v>
      </c>
      <c r="AU337" s="185">
        <f t="shared" ref="AU337:AU400" si="285">IF(W337&lt;=0,0,+($O$5+AV336)*$AQ$2/12)</f>
        <v>5494.7427197992574</v>
      </c>
      <c r="AV337" s="185">
        <f t="shared" ref="AV337:AV400" si="286">IF(W337&lt;=0,0,+AV336+AU337)</f>
        <v>1217291.830639502</v>
      </c>
    </row>
    <row r="338" spans="1:48">
      <c r="A338" s="401" t="str">
        <f t="shared" ref="A338:A401" si="287">IF(K338&lt;=0," ",+A337+30)</f>
        <v xml:space="preserve"> </v>
      </c>
      <c r="B338" s="185">
        <f t="shared" si="279"/>
        <v>0</v>
      </c>
      <c r="C338" s="14">
        <f t="shared" si="270"/>
        <v>0</v>
      </c>
      <c r="D338" s="14">
        <f t="shared" ref="D338:D401" si="288">+C338-E338</f>
        <v>0</v>
      </c>
      <c r="E338" s="14">
        <f t="shared" si="271"/>
        <v>0</v>
      </c>
      <c r="F338" s="14">
        <f t="shared" si="268"/>
        <v>0</v>
      </c>
      <c r="G338" s="14">
        <f t="shared" si="268"/>
        <v>0</v>
      </c>
      <c r="H338" s="14">
        <f t="shared" si="256"/>
        <v>0</v>
      </c>
      <c r="I338" s="185">
        <f t="shared" ref="I338:I401" si="289">$D338+$I337</f>
        <v>0</v>
      </c>
      <c r="J338" s="185">
        <f t="shared" ref="J338:J401" si="290">$E338+$J337</f>
        <v>0</v>
      </c>
      <c r="K338" s="185">
        <f t="shared" ref="K338:K401" si="291">+B338-D338</f>
        <v>0</v>
      </c>
      <c r="L338" s="317">
        <f t="shared" si="253"/>
        <v>26</v>
      </c>
      <c r="M338" s="317">
        <f t="shared" si="280"/>
        <v>322</v>
      </c>
      <c r="N338" s="185">
        <f t="shared" si="281"/>
        <v>518410.71999999951</v>
      </c>
      <c r="O338" s="185">
        <f t="shared" si="263"/>
        <v>19533.41</v>
      </c>
      <c r="P338" s="185">
        <f t="shared" ref="P338:P401" si="292">+O338-Q338</f>
        <v>9273.2000000000007</v>
      </c>
      <c r="Q338" s="185">
        <f t="shared" si="264"/>
        <v>10260.209999999999</v>
      </c>
      <c r="R338" s="185">
        <f t="shared" si="272"/>
        <v>134.16999999999999</v>
      </c>
      <c r="S338" s="185">
        <f t="shared" si="272"/>
        <v>188.55</v>
      </c>
      <c r="T338" s="185">
        <f t="shared" si="257"/>
        <v>19856.129999999997</v>
      </c>
      <c r="U338" s="185">
        <f t="shared" ref="U338:U401" si="293">+P338+U337</f>
        <v>476962.47999999992</v>
      </c>
      <c r="V338" s="185">
        <f t="shared" ref="V338:V401" si="294">+V337+Q338</f>
        <v>5832328.950000003</v>
      </c>
      <c r="W338" s="185">
        <f t="shared" ref="W338:W401" si="295">+N338-P338</f>
        <v>509137.51999999949</v>
      </c>
      <c r="X338" s="401" t="str">
        <f t="shared" si="282"/>
        <v xml:space="preserve"> </v>
      </c>
      <c r="Y338" s="185">
        <f t="shared" si="265"/>
        <v>334420.26000000047</v>
      </c>
      <c r="Z338" s="393">
        <f t="shared" si="273"/>
        <v>0.13125000000000001</v>
      </c>
      <c r="AA338" s="185">
        <f t="shared" si="274"/>
        <v>10874</v>
      </c>
      <c r="AB338" s="185">
        <f t="shared" si="275"/>
        <v>7216.2800000000007</v>
      </c>
      <c r="AC338" s="185">
        <f t="shared" si="276"/>
        <v>3657.72</v>
      </c>
      <c r="AD338" s="185">
        <f t="shared" si="269"/>
        <v>134.16999999999999</v>
      </c>
      <c r="AE338" s="185">
        <f t="shared" si="269"/>
        <v>188.55</v>
      </c>
      <c r="AF338" s="185">
        <f t="shared" si="277"/>
        <v>11196.72</v>
      </c>
      <c r="AG338" s="185">
        <f t="shared" ref="AG338:AG401" si="296">+AB338+AG337</f>
        <v>658514.1100000001</v>
      </c>
      <c r="AH338" s="185">
        <f t="shared" ref="AH338:AH401" si="297">+AH337+AC338</f>
        <v>2739014.89</v>
      </c>
      <c r="AI338" s="411">
        <f t="shared" si="259"/>
        <v>2881808.6100000045</v>
      </c>
      <c r="AJ338" s="411">
        <f t="shared" si="247"/>
        <v>181933.53999999905</v>
      </c>
      <c r="AK338" s="411">
        <f t="shared" si="260"/>
        <v>3063742.1500000036</v>
      </c>
      <c r="AL338" s="185">
        <f t="shared" si="266"/>
        <v>327203.98000000045</v>
      </c>
      <c r="AM338" s="317">
        <f t="shared" si="283"/>
        <v>26</v>
      </c>
      <c r="AN338" s="14">
        <f t="shared" si="261"/>
        <v>19533.41</v>
      </c>
      <c r="AO338" s="14">
        <f t="shared" si="252"/>
        <v>509137.52000000008</v>
      </c>
      <c r="AP338" s="14">
        <f t="shared" si="262"/>
        <v>10874</v>
      </c>
      <c r="AS338" s="14">
        <f t="shared" si="278"/>
        <v>19533.41</v>
      </c>
      <c r="AT338" s="14">
        <f t="shared" si="284"/>
        <v>6308810.8700000281</v>
      </c>
      <c r="AU338" s="185">
        <f t="shared" si="285"/>
        <v>5508.4795765987546</v>
      </c>
      <c r="AV338" s="185">
        <f t="shared" si="286"/>
        <v>1222800.3102161009</v>
      </c>
    </row>
    <row r="339" spans="1:48" ht="15.75" thickBot="1">
      <c r="A339" s="404" t="str">
        <f t="shared" si="287"/>
        <v xml:space="preserve"> </v>
      </c>
      <c r="B339" s="237">
        <f t="shared" si="279"/>
        <v>0</v>
      </c>
      <c r="C339" s="21">
        <f t="shared" si="270"/>
        <v>0</v>
      </c>
      <c r="D339" s="21">
        <f t="shared" si="288"/>
        <v>0</v>
      </c>
      <c r="E339" s="21">
        <f t="shared" si="271"/>
        <v>0</v>
      </c>
      <c r="F339" s="21">
        <f t="shared" si="268"/>
        <v>0</v>
      </c>
      <c r="G339" s="21">
        <f t="shared" si="268"/>
        <v>0</v>
      </c>
      <c r="H339" s="21">
        <f t="shared" si="256"/>
        <v>0</v>
      </c>
      <c r="I339" s="237">
        <f t="shared" si="289"/>
        <v>0</v>
      </c>
      <c r="J339" s="237">
        <f t="shared" si="290"/>
        <v>0</v>
      </c>
      <c r="K339" s="237">
        <f t="shared" si="291"/>
        <v>0</v>
      </c>
      <c r="L339" s="318">
        <f t="shared" si="253"/>
        <v>26</v>
      </c>
      <c r="M339" s="318">
        <f t="shared" si="280"/>
        <v>323</v>
      </c>
      <c r="N339" s="237">
        <f t="shared" si="281"/>
        <v>509137.51999999949</v>
      </c>
      <c r="O339" s="237">
        <f t="shared" si="263"/>
        <v>19533.41</v>
      </c>
      <c r="P339" s="237">
        <f t="shared" si="292"/>
        <v>9456.73</v>
      </c>
      <c r="Q339" s="237">
        <f t="shared" si="264"/>
        <v>10076.68</v>
      </c>
      <c r="R339" s="237">
        <f t="shared" si="272"/>
        <v>134.16999999999999</v>
      </c>
      <c r="S339" s="237">
        <f t="shared" si="272"/>
        <v>188.55</v>
      </c>
      <c r="T339" s="237">
        <f t="shared" si="257"/>
        <v>19856.129999999997</v>
      </c>
      <c r="U339" s="237">
        <f t="shared" si="293"/>
        <v>486419.2099999999</v>
      </c>
      <c r="V339" s="237">
        <f t="shared" si="294"/>
        <v>5842405.6300000027</v>
      </c>
      <c r="W339" s="237">
        <f t="shared" si="295"/>
        <v>499680.78999999951</v>
      </c>
      <c r="X339" s="404" t="str">
        <f t="shared" si="282"/>
        <v xml:space="preserve"> </v>
      </c>
      <c r="Y339" s="237">
        <f t="shared" si="265"/>
        <v>327203.98000000045</v>
      </c>
      <c r="Z339" s="394">
        <f t="shared" si="273"/>
        <v>0.13125000000000001</v>
      </c>
      <c r="AA339" s="237">
        <f t="shared" si="274"/>
        <v>10874</v>
      </c>
      <c r="AB339" s="237">
        <f t="shared" si="275"/>
        <v>7295.21</v>
      </c>
      <c r="AC339" s="237">
        <f t="shared" si="276"/>
        <v>3578.79</v>
      </c>
      <c r="AD339" s="237">
        <f t="shared" si="269"/>
        <v>134.16999999999999</v>
      </c>
      <c r="AE339" s="237">
        <f t="shared" si="269"/>
        <v>188.55</v>
      </c>
      <c r="AF339" s="237">
        <f t="shared" si="277"/>
        <v>11196.72</v>
      </c>
      <c r="AG339" s="237">
        <f t="shared" si="296"/>
        <v>665809.32000000007</v>
      </c>
      <c r="AH339" s="237">
        <f t="shared" si="297"/>
        <v>2742593.68</v>
      </c>
      <c r="AI339" s="412">
        <f t="shared" si="259"/>
        <v>2890468.0200000047</v>
      </c>
      <c r="AJ339" s="412">
        <f t="shared" si="247"/>
        <v>179772.01999999909</v>
      </c>
      <c r="AK339" s="411">
        <f t="shared" si="260"/>
        <v>3070240.0400000038</v>
      </c>
      <c r="AL339" s="237">
        <f t="shared" si="266"/>
        <v>319908.77000000043</v>
      </c>
      <c r="AM339" s="318">
        <f t="shared" si="283"/>
        <v>26</v>
      </c>
      <c r="AN339" s="21">
        <f t="shared" si="261"/>
        <v>19533.41</v>
      </c>
      <c r="AO339" s="21">
        <f t="shared" si="252"/>
        <v>499680.7900000001</v>
      </c>
      <c r="AP339" s="21">
        <f t="shared" si="262"/>
        <v>10874</v>
      </c>
      <c r="AQ339" s="21"/>
      <c r="AR339" s="23"/>
      <c r="AS339" s="21">
        <f t="shared" si="278"/>
        <v>19533.41</v>
      </c>
      <c r="AT339" s="21">
        <f t="shared" si="284"/>
        <v>6328344.2800000282</v>
      </c>
      <c r="AU339" s="237">
        <f t="shared" si="285"/>
        <v>5522.2507755402521</v>
      </c>
      <c r="AV339" s="237">
        <f t="shared" si="286"/>
        <v>1228322.5609916411</v>
      </c>
    </row>
    <row r="340" spans="1:48">
      <c r="A340" s="401" t="str">
        <f t="shared" si="287"/>
        <v xml:space="preserve"> </v>
      </c>
      <c r="B340" s="185">
        <f t="shared" si="279"/>
        <v>0</v>
      </c>
      <c r="C340" s="14">
        <f t="shared" si="270"/>
        <v>0</v>
      </c>
      <c r="D340" s="14">
        <f t="shared" si="288"/>
        <v>0</v>
      </c>
      <c r="E340" s="14">
        <f t="shared" si="271"/>
        <v>0</v>
      </c>
      <c r="F340" s="14">
        <f t="shared" si="268"/>
        <v>0</v>
      </c>
      <c r="G340" s="14">
        <f t="shared" si="268"/>
        <v>0</v>
      </c>
      <c r="H340" s="14">
        <f t="shared" si="256"/>
        <v>0</v>
      </c>
      <c r="I340" s="185">
        <f t="shared" si="289"/>
        <v>0</v>
      </c>
      <c r="J340" s="185">
        <f t="shared" si="290"/>
        <v>0</v>
      </c>
      <c r="K340" s="185">
        <f t="shared" si="291"/>
        <v>0</v>
      </c>
      <c r="L340" s="317">
        <f t="shared" si="253"/>
        <v>27</v>
      </c>
      <c r="M340" s="317">
        <f t="shared" si="280"/>
        <v>324</v>
      </c>
      <c r="N340" s="185">
        <f t="shared" si="281"/>
        <v>499680.78999999951</v>
      </c>
      <c r="O340" s="185">
        <f t="shared" si="263"/>
        <v>19533.41</v>
      </c>
      <c r="P340" s="185">
        <f t="shared" si="292"/>
        <v>9643.89</v>
      </c>
      <c r="Q340" s="185">
        <f t="shared" si="264"/>
        <v>9889.52</v>
      </c>
      <c r="R340" s="185">
        <f t="shared" si="272"/>
        <v>134.16999999999999</v>
      </c>
      <c r="S340" s="185">
        <f t="shared" si="272"/>
        <v>188.55</v>
      </c>
      <c r="T340" s="185">
        <f t="shared" si="257"/>
        <v>19856.129999999997</v>
      </c>
      <c r="U340" s="185">
        <f t="shared" si="293"/>
        <v>496063.09999999992</v>
      </c>
      <c r="V340" s="185">
        <f t="shared" si="294"/>
        <v>5852295.1500000022</v>
      </c>
      <c r="W340" s="185">
        <f t="shared" si="295"/>
        <v>490036.8999999995</v>
      </c>
      <c r="X340" s="401" t="str">
        <f t="shared" si="282"/>
        <v xml:space="preserve"> </v>
      </c>
      <c r="Y340" s="185">
        <f t="shared" si="265"/>
        <v>319908.77000000043</v>
      </c>
      <c r="Z340" s="393">
        <f t="shared" si="273"/>
        <v>0.13125000000000001</v>
      </c>
      <c r="AA340" s="185">
        <f t="shared" si="274"/>
        <v>10874</v>
      </c>
      <c r="AB340" s="185">
        <f t="shared" si="275"/>
        <v>7375</v>
      </c>
      <c r="AC340" s="185">
        <f t="shared" si="276"/>
        <v>3499</v>
      </c>
      <c r="AD340" s="185">
        <f t="shared" si="269"/>
        <v>134.16999999999999</v>
      </c>
      <c r="AE340" s="185">
        <f t="shared" si="269"/>
        <v>188.55</v>
      </c>
      <c r="AF340" s="185">
        <f t="shared" si="277"/>
        <v>11196.72</v>
      </c>
      <c r="AG340" s="185">
        <f t="shared" si="296"/>
        <v>673184.32000000007</v>
      </c>
      <c r="AH340" s="185">
        <f t="shared" si="297"/>
        <v>2746092.68</v>
      </c>
      <c r="AI340" s="411">
        <f t="shared" si="259"/>
        <v>2899127.4300000048</v>
      </c>
      <c r="AJ340" s="411">
        <f t="shared" si="247"/>
        <v>177503.12999999907</v>
      </c>
      <c r="AK340" s="411">
        <f t="shared" si="260"/>
        <v>3076630.5600000038</v>
      </c>
      <c r="AL340" s="185">
        <f t="shared" si="266"/>
        <v>312533.77000000043</v>
      </c>
      <c r="AM340" s="317">
        <f t="shared" si="283"/>
        <v>27</v>
      </c>
      <c r="AN340" s="14">
        <f t="shared" si="261"/>
        <v>19533.41</v>
      </c>
      <c r="AO340" s="14">
        <f t="shared" si="252"/>
        <v>490036.90000000008</v>
      </c>
      <c r="AP340" s="14">
        <f t="shared" si="262"/>
        <v>10874</v>
      </c>
      <c r="AS340" s="14">
        <f t="shared" si="278"/>
        <v>19533.41</v>
      </c>
      <c r="AT340" s="14">
        <f t="shared" si="284"/>
        <v>6347877.6900000283</v>
      </c>
      <c r="AU340" s="185">
        <f t="shared" si="285"/>
        <v>5536.0564024791029</v>
      </c>
      <c r="AV340" s="185">
        <f t="shared" si="286"/>
        <v>1233858.6173941202</v>
      </c>
    </row>
    <row r="341" spans="1:48">
      <c r="A341" s="401" t="str">
        <f t="shared" si="287"/>
        <v xml:space="preserve"> </v>
      </c>
      <c r="B341" s="185">
        <f t="shared" si="279"/>
        <v>0</v>
      </c>
      <c r="C341" s="14">
        <f t="shared" si="270"/>
        <v>0</v>
      </c>
      <c r="D341" s="14">
        <f t="shared" si="288"/>
        <v>0</v>
      </c>
      <c r="E341" s="14">
        <f t="shared" si="271"/>
        <v>0</v>
      </c>
      <c r="F341" s="14">
        <f t="shared" si="268"/>
        <v>0</v>
      </c>
      <c r="G341" s="14">
        <f t="shared" si="268"/>
        <v>0</v>
      </c>
      <c r="H341" s="14">
        <f t="shared" si="256"/>
        <v>0</v>
      </c>
      <c r="I341" s="185">
        <f t="shared" si="289"/>
        <v>0</v>
      </c>
      <c r="J341" s="185">
        <f t="shared" si="290"/>
        <v>0</v>
      </c>
      <c r="K341" s="185">
        <f t="shared" si="291"/>
        <v>0</v>
      </c>
      <c r="L341" s="317">
        <f t="shared" si="253"/>
        <v>27</v>
      </c>
      <c r="M341" s="317">
        <f t="shared" si="280"/>
        <v>325</v>
      </c>
      <c r="N341" s="185">
        <f t="shared" si="281"/>
        <v>490036.8999999995</v>
      </c>
      <c r="O341" s="185">
        <f t="shared" si="263"/>
        <v>19533.41</v>
      </c>
      <c r="P341" s="185">
        <f t="shared" si="292"/>
        <v>9834.76</v>
      </c>
      <c r="Q341" s="185">
        <f t="shared" si="264"/>
        <v>9698.65</v>
      </c>
      <c r="R341" s="185">
        <f t="shared" si="272"/>
        <v>134.16999999999999</v>
      </c>
      <c r="S341" s="185">
        <f t="shared" si="272"/>
        <v>188.55</v>
      </c>
      <c r="T341" s="185">
        <f t="shared" si="257"/>
        <v>19856.129999999997</v>
      </c>
      <c r="U341" s="185">
        <f t="shared" si="293"/>
        <v>505897.85999999993</v>
      </c>
      <c r="V341" s="185">
        <f t="shared" si="294"/>
        <v>5861993.8000000026</v>
      </c>
      <c r="W341" s="185">
        <f t="shared" si="295"/>
        <v>480202.13999999949</v>
      </c>
      <c r="X341" s="401" t="str">
        <f t="shared" si="282"/>
        <v xml:space="preserve"> </v>
      </c>
      <c r="Y341" s="185">
        <f t="shared" si="265"/>
        <v>312533.77000000043</v>
      </c>
      <c r="Z341" s="393">
        <f t="shared" si="273"/>
        <v>0.13125000000000001</v>
      </c>
      <c r="AA341" s="185">
        <f t="shared" si="274"/>
        <v>10874</v>
      </c>
      <c r="AB341" s="185">
        <f t="shared" si="275"/>
        <v>7455.66</v>
      </c>
      <c r="AC341" s="185">
        <f t="shared" si="276"/>
        <v>3418.34</v>
      </c>
      <c r="AD341" s="185">
        <f t="shared" si="269"/>
        <v>134.16999999999999</v>
      </c>
      <c r="AE341" s="185">
        <f t="shared" si="269"/>
        <v>188.55</v>
      </c>
      <c r="AF341" s="185">
        <f t="shared" si="277"/>
        <v>11196.72</v>
      </c>
      <c r="AG341" s="185">
        <f t="shared" si="296"/>
        <v>680639.9800000001</v>
      </c>
      <c r="AH341" s="185">
        <f t="shared" si="297"/>
        <v>2749511.02</v>
      </c>
      <c r="AI341" s="411">
        <f t="shared" si="259"/>
        <v>2907786.840000005</v>
      </c>
      <c r="AJ341" s="411">
        <f t="shared" si="247"/>
        <v>175124.02999999904</v>
      </c>
      <c r="AK341" s="411">
        <f t="shared" si="260"/>
        <v>3082910.8700000038</v>
      </c>
      <c r="AL341" s="185">
        <f t="shared" si="266"/>
        <v>305078.11000000045</v>
      </c>
      <c r="AM341" s="317">
        <f t="shared" si="283"/>
        <v>27</v>
      </c>
      <c r="AN341" s="14">
        <f t="shared" si="261"/>
        <v>19533.41</v>
      </c>
      <c r="AO341" s="14">
        <f t="shared" si="252"/>
        <v>480202.14000000007</v>
      </c>
      <c r="AP341" s="14">
        <f t="shared" si="262"/>
        <v>10874</v>
      </c>
      <c r="AS341" s="14">
        <f t="shared" si="278"/>
        <v>19533.41</v>
      </c>
      <c r="AT341" s="14">
        <f t="shared" si="284"/>
        <v>6367411.1000000285</v>
      </c>
      <c r="AU341" s="185">
        <f t="shared" si="285"/>
        <v>5549.8965434853008</v>
      </c>
      <c r="AV341" s="185">
        <f t="shared" si="286"/>
        <v>1239408.5139376055</v>
      </c>
    </row>
    <row r="342" spans="1:48">
      <c r="A342" s="401" t="str">
        <f t="shared" si="287"/>
        <v xml:space="preserve"> </v>
      </c>
      <c r="B342" s="185">
        <f t="shared" si="279"/>
        <v>0</v>
      </c>
      <c r="C342" s="14">
        <f t="shared" si="270"/>
        <v>0</v>
      </c>
      <c r="D342" s="14">
        <f t="shared" si="288"/>
        <v>0</v>
      </c>
      <c r="E342" s="14">
        <f t="shared" si="271"/>
        <v>0</v>
      </c>
      <c r="F342" s="14">
        <f t="shared" si="268"/>
        <v>0</v>
      </c>
      <c r="G342" s="14">
        <f t="shared" si="268"/>
        <v>0</v>
      </c>
      <c r="H342" s="14">
        <f t="shared" si="256"/>
        <v>0</v>
      </c>
      <c r="I342" s="185">
        <f t="shared" si="289"/>
        <v>0</v>
      </c>
      <c r="J342" s="185">
        <f t="shared" si="290"/>
        <v>0</v>
      </c>
      <c r="K342" s="185">
        <f t="shared" si="291"/>
        <v>0</v>
      </c>
      <c r="L342" s="317">
        <f t="shared" si="253"/>
        <v>27</v>
      </c>
      <c r="M342" s="317">
        <f t="shared" si="280"/>
        <v>326</v>
      </c>
      <c r="N342" s="185">
        <f t="shared" si="281"/>
        <v>480202.13999999949</v>
      </c>
      <c r="O342" s="185">
        <f t="shared" si="263"/>
        <v>19533.41</v>
      </c>
      <c r="P342" s="185">
        <f t="shared" si="292"/>
        <v>10029.41</v>
      </c>
      <c r="Q342" s="185">
        <f t="shared" si="264"/>
        <v>9504</v>
      </c>
      <c r="R342" s="185">
        <f t="shared" si="272"/>
        <v>134.16999999999999</v>
      </c>
      <c r="S342" s="185">
        <f t="shared" si="272"/>
        <v>188.55</v>
      </c>
      <c r="T342" s="185">
        <f t="shared" si="257"/>
        <v>19856.129999999997</v>
      </c>
      <c r="U342" s="185">
        <f t="shared" si="293"/>
        <v>515927.2699999999</v>
      </c>
      <c r="V342" s="185">
        <f t="shared" si="294"/>
        <v>5871497.8000000026</v>
      </c>
      <c r="W342" s="185">
        <f t="shared" si="295"/>
        <v>470172.72999999952</v>
      </c>
      <c r="X342" s="401" t="str">
        <f t="shared" si="282"/>
        <v xml:space="preserve"> </v>
      </c>
      <c r="Y342" s="185">
        <f t="shared" si="265"/>
        <v>305078.11000000045</v>
      </c>
      <c r="Z342" s="393">
        <f t="shared" si="273"/>
        <v>0.13125000000000001</v>
      </c>
      <c r="AA342" s="185">
        <f t="shared" si="274"/>
        <v>10874</v>
      </c>
      <c r="AB342" s="185">
        <f t="shared" si="275"/>
        <v>7537.21</v>
      </c>
      <c r="AC342" s="185">
        <f t="shared" si="276"/>
        <v>3336.79</v>
      </c>
      <c r="AD342" s="185">
        <f t="shared" si="269"/>
        <v>134.16999999999999</v>
      </c>
      <c r="AE342" s="185">
        <f t="shared" si="269"/>
        <v>188.55</v>
      </c>
      <c r="AF342" s="185">
        <f t="shared" si="277"/>
        <v>11196.72</v>
      </c>
      <c r="AG342" s="185">
        <f t="shared" si="296"/>
        <v>688177.19000000006</v>
      </c>
      <c r="AH342" s="185">
        <f t="shared" si="297"/>
        <v>2752847.81</v>
      </c>
      <c r="AI342" s="411">
        <f t="shared" si="259"/>
        <v>2916446.2500000051</v>
      </c>
      <c r="AJ342" s="411">
        <f t="shared" si="247"/>
        <v>172631.82999999908</v>
      </c>
      <c r="AK342" s="411">
        <f t="shared" si="260"/>
        <v>3089078.0800000043</v>
      </c>
      <c r="AL342" s="185">
        <f t="shared" si="266"/>
        <v>297540.90000000043</v>
      </c>
      <c r="AM342" s="317">
        <f t="shared" si="283"/>
        <v>27</v>
      </c>
      <c r="AN342" s="14">
        <f t="shared" si="261"/>
        <v>19533.41</v>
      </c>
      <c r="AO342" s="14">
        <f t="shared" si="252"/>
        <v>470172.7300000001</v>
      </c>
      <c r="AP342" s="14">
        <f t="shared" si="262"/>
        <v>10874</v>
      </c>
      <c r="AS342" s="14">
        <f t="shared" si="278"/>
        <v>19533.41</v>
      </c>
      <c r="AT342" s="14">
        <f t="shared" si="284"/>
        <v>6386944.5100000286</v>
      </c>
      <c r="AU342" s="185">
        <f t="shared" si="285"/>
        <v>5563.7712848440133</v>
      </c>
      <c r="AV342" s="185">
        <f t="shared" si="286"/>
        <v>1244972.2852224496</v>
      </c>
    </row>
    <row r="343" spans="1:48">
      <c r="A343" s="401" t="str">
        <f t="shared" si="287"/>
        <v xml:space="preserve"> </v>
      </c>
      <c r="B343" s="185">
        <f t="shared" si="279"/>
        <v>0</v>
      </c>
      <c r="C343" s="14">
        <f t="shared" si="270"/>
        <v>0</v>
      </c>
      <c r="D343" s="14">
        <f t="shared" si="288"/>
        <v>0</v>
      </c>
      <c r="E343" s="14">
        <f t="shared" si="271"/>
        <v>0</v>
      </c>
      <c r="F343" s="14">
        <f t="shared" si="268"/>
        <v>0</v>
      </c>
      <c r="G343" s="14">
        <f t="shared" si="268"/>
        <v>0</v>
      </c>
      <c r="H343" s="14">
        <f t="shared" si="256"/>
        <v>0</v>
      </c>
      <c r="I343" s="185">
        <f t="shared" si="289"/>
        <v>0</v>
      </c>
      <c r="J343" s="185">
        <f t="shared" si="290"/>
        <v>0</v>
      </c>
      <c r="K343" s="185">
        <f t="shared" si="291"/>
        <v>0</v>
      </c>
      <c r="L343" s="317">
        <f t="shared" si="253"/>
        <v>27</v>
      </c>
      <c r="M343" s="317">
        <f t="shared" si="280"/>
        <v>327</v>
      </c>
      <c r="N343" s="185">
        <f t="shared" si="281"/>
        <v>470172.72999999952</v>
      </c>
      <c r="O343" s="185">
        <f t="shared" si="263"/>
        <v>19533.41</v>
      </c>
      <c r="P343" s="185">
        <f t="shared" si="292"/>
        <v>10227.91</v>
      </c>
      <c r="Q343" s="185">
        <f t="shared" si="264"/>
        <v>9305.5</v>
      </c>
      <c r="R343" s="185">
        <f t="shared" si="272"/>
        <v>134.16999999999999</v>
      </c>
      <c r="S343" s="185">
        <f t="shared" si="272"/>
        <v>188.55</v>
      </c>
      <c r="T343" s="185">
        <f t="shared" si="257"/>
        <v>19856.129999999997</v>
      </c>
      <c r="U343" s="185">
        <f t="shared" si="293"/>
        <v>526155.17999999993</v>
      </c>
      <c r="V343" s="185">
        <f t="shared" si="294"/>
        <v>5880803.3000000026</v>
      </c>
      <c r="W343" s="185">
        <f t="shared" si="295"/>
        <v>459944.81999999954</v>
      </c>
      <c r="X343" s="401" t="str">
        <f t="shared" si="282"/>
        <v xml:space="preserve"> </v>
      </c>
      <c r="Y343" s="185">
        <f t="shared" si="265"/>
        <v>297540.90000000043</v>
      </c>
      <c r="Z343" s="393">
        <f t="shared" si="273"/>
        <v>0.13125000000000001</v>
      </c>
      <c r="AA343" s="185">
        <f t="shared" si="274"/>
        <v>10874</v>
      </c>
      <c r="AB343" s="185">
        <f t="shared" si="275"/>
        <v>7619.65</v>
      </c>
      <c r="AC343" s="185">
        <f t="shared" si="276"/>
        <v>3254.35</v>
      </c>
      <c r="AD343" s="185">
        <f t="shared" si="269"/>
        <v>134.16999999999999</v>
      </c>
      <c r="AE343" s="185">
        <f t="shared" si="269"/>
        <v>188.55</v>
      </c>
      <c r="AF343" s="185">
        <f t="shared" si="277"/>
        <v>11196.72</v>
      </c>
      <c r="AG343" s="185">
        <f t="shared" si="296"/>
        <v>695796.84000000008</v>
      </c>
      <c r="AH343" s="185">
        <f t="shared" si="297"/>
        <v>2756102.16</v>
      </c>
      <c r="AI343" s="411">
        <f t="shared" si="259"/>
        <v>2925105.6600000053</v>
      </c>
      <c r="AJ343" s="411">
        <f t="shared" si="247"/>
        <v>170023.56999999913</v>
      </c>
      <c r="AK343" s="411">
        <f t="shared" si="260"/>
        <v>3095129.2300000042</v>
      </c>
      <c r="AL343" s="185">
        <f t="shared" si="266"/>
        <v>289921.25000000041</v>
      </c>
      <c r="AM343" s="317">
        <f t="shared" si="283"/>
        <v>27</v>
      </c>
      <c r="AN343" s="14">
        <f t="shared" si="261"/>
        <v>19533.41</v>
      </c>
      <c r="AO343" s="14">
        <f t="shared" si="252"/>
        <v>459944.82000000007</v>
      </c>
      <c r="AP343" s="14">
        <f t="shared" si="262"/>
        <v>10874</v>
      </c>
      <c r="AS343" s="14">
        <f t="shared" si="278"/>
        <v>19533.41</v>
      </c>
      <c r="AT343" s="14">
        <f t="shared" si="284"/>
        <v>6406477.9200000288</v>
      </c>
      <c r="AU343" s="185">
        <f t="shared" si="285"/>
        <v>5577.6807130561237</v>
      </c>
      <c r="AV343" s="185">
        <f t="shared" si="286"/>
        <v>1250549.9659355057</v>
      </c>
    </row>
    <row r="344" spans="1:48">
      <c r="A344" s="401" t="str">
        <f t="shared" si="287"/>
        <v xml:space="preserve"> </v>
      </c>
      <c r="B344" s="185">
        <f t="shared" si="279"/>
        <v>0</v>
      </c>
      <c r="C344" s="14">
        <f t="shared" si="270"/>
        <v>0</v>
      </c>
      <c r="D344" s="14">
        <f t="shared" si="288"/>
        <v>0</v>
      </c>
      <c r="E344" s="14">
        <f t="shared" si="271"/>
        <v>0</v>
      </c>
      <c r="F344" s="14">
        <f t="shared" si="268"/>
        <v>0</v>
      </c>
      <c r="G344" s="14">
        <f t="shared" si="268"/>
        <v>0</v>
      </c>
      <c r="H344" s="14">
        <f t="shared" si="256"/>
        <v>0</v>
      </c>
      <c r="I344" s="185">
        <f t="shared" si="289"/>
        <v>0</v>
      </c>
      <c r="J344" s="185">
        <f t="shared" si="290"/>
        <v>0</v>
      </c>
      <c r="K344" s="185">
        <f t="shared" si="291"/>
        <v>0</v>
      </c>
      <c r="L344" s="317">
        <f t="shared" si="253"/>
        <v>27</v>
      </c>
      <c r="M344" s="317">
        <f t="shared" si="280"/>
        <v>328</v>
      </c>
      <c r="N344" s="185">
        <f t="shared" si="281"/>
        <v>459944.81999999954</v>
      </c>
      <c r="O344" s="185">
        <f t="shared" si="263"/>
        <v>19533.41</v>
      </c>
      <c r="P344" s="185">
        <f t="shared" si="292"/>
        <v>10430.34</v>
      </c>
      <c r="Q344" s="185">
        <f t="shared" si="264"/>
        <v>9103.07</v>
      </c>
      <c r="R344" s="185">
        <f t="shared" si="272"/>
        <v>134.16999999999999</v>
      </c>
      <c r="S344" s="185">
        <f t="shared" si="272"/>
        <v>188.55</v>
      </c>
      <c r="T344" s="185">
        <f t="shared" si="257"/>
        <v>19856.129999999997</v>
      </c>
      <c r="U344" s="185">
        <f t="shared" si="293"/>
        <v>536585.5199999999</v>
      </c>
      <c r="V344" s="185">
        <f t="shared" si="294"/>
        <v>5889906.3700000029</v>
      </c>
      <c r="W344" s="185">
        <f t="shared" si="295"/>
        <v>449514.47999999952</v>
      </c>
      <c r="X344" s="401" t="str">
        <f t="shared" si="282"/>
        <v xml:space="preserve"> </v>
      </c>
      <c r="Y344" s="185">
        <f t="shared" si="265"/>
        <v>289921.25000000041</v>
      </c>
      <c r="Z344" s="393">
        <f t="shared" si="273"/>
        <v>0.13125000000000001</v>
      </c>
      <c r="AA344" s="185">
        <f t="shared" si="274"/>
        <v>10874</v>
      </c>
      <c r="AB344" s="185">
        <f t="shared" si="275"/>
        <v>7702.99</v>
      </c>
      <c r="AC344" s="185">
        <f t="shared" si="276"/>
        <v>3171.01</v>
      </c>
      <c r="AD344" s="185">
        <f t="shared" si="269"/>
        <v>134.16999999999999</v>
      </c>
      <c r="AE344" s="185">
        <f t="shared" si="269"/>
        <v>188.55</v>
      </c>
      <c r="AF344" s="185">
        <f t="shared" si="277"/>
        <v>11196.72</v>
      </c>
      <c r="AG344" s="185">
        <f t="shared" si="296"/>
        <v>703499.83000000007</v>
      </c>
      <c r="AH344" s="185">
        <f t="shared" si="297"/>
        <v>2759273.17</v>
      </c>
      <c r="AI344" s="411">
        <f t="shared" si="259"/>
        <v>2933765.0700000054</v>
      </c>
      <c r="AJ344" s="411">
        <f t="shared" si="247"/>
        <v>167296.2199999991</v>
      </c>
      <c r="AK344" s="411">
        <f t="shared" si="260"/>
        <v>3101061.2900000047</v>
      </c>
      <c r="AL344" s="185">
        <f t="shared" si="266"/>
        <v>282218.26000000042</v>
      </c>
      <c r="AM344" s="317">
        <f t="shared" si="283"/>
        <v>27</v>
      </c>
      <c r="AN344" s="14">
        <f t="shared" si="261"/>
        <v>19533.41</v>
      </c>
      <c r="AO344" s="14">
        <f t="shared" si="252"/>
        <v>449514.4800000001</v>
      </c>
      <c r="AP344" s="14">
        <f t="shared" si="262"/>
        <v>10874</v>
      </c>
      <c r="AS344" s="14">
        <f t="shared" si="278"/>
        <v>19533.41</v>
      </c>
      <c r="AT344" s="14">
        <f t="shared" si="284"/>
        <v>6426011.3300000289</v>
      </c>
      <c r="AU344" s="185">
        <f t="shared" si="285"/>
        <v>5591.6249148387651</v>
      </c>
      <c r="AV344" s="185">
        <f t="shared" si="286"/>
        <v>1256141.5908503444</v>
      </c>
    </row>
    <row r="345" spans="1:48">
      <c r="A345" s="401" t="str">
        <f t="shared" si="287"/>
        <v xml:space="preserve"> </v>
      </c>
      <c r="B345" s="185">
        <f t="shared" si="279"/>
        <v>0</v>
      </c>
      <c r="C345" s="14">
        <f t="shared" si="270"/>
        <v>0</v>
      </c>
      <c r="D345" s="14">
        <f t="shared" si="288"/>
        <v>0</v>
      </c>
      <c r="E345" s="14">
        <f t="shared" si="271"/>
        <v>0</v>
      </c>
      <c r="F345" s="14">
        <f t="shared" si="268"/>
        <v>0</v>
      </c>
      <c r="G345" s="14">
        <f t="shared" si="268"/>
        <v>0</v>
      </c>
      <c r="H345" s="14">
        <f t="shared" si="256"/>
        <v>0</v>
      </c>
      <c r="I345" s="185">
        <f t="shared" si="289"/>
        <v>0</v>
      </c>
      <c r="J345" s="185">
        <f t="shared" si="290"/>
        <v>0</v>
      </c>
      <c r="K345" s="185">
        <f t="shared" si="291"/>
        <v>0</v>
      </c>
      <c r="L345" s="317">
        <f t="shared" si="253"/>
        <v>27</v>
      </c>
      <c r="M345" s="317">
        <f t="shared" si="280"/>
        <v>329</v>
      </c>
      <c r="N345" s="185">
        <f t="shared" si="281"/>
        <v>449514.47999999952</v>
      </c>
      <c r="O345" s="185">
        <f t="shared" si="263"/>
        <v>19533.41</v>
      </c>
      <c r="P345" s="185">
        <f t="shared" si="292"/>
        <v>10636.77</v>
      </c>
      <c r="Q345" s="185">
        <f t="shared" si="264"/>
        <v>8896.64</v>
      </c>
      <c r="R345" s="185">
        <f t="shared" si="272"/>
        <v>134.16999999999999</v>
      </c>
      <c r="S345" s="185">
        <f t="shared" si="272"/>
        <v>188.55</v>
      </c>
      <c r="T345" s="185">
        <f t="shared" si="257"/>
        <v>19856.129999999997</v>
      </c>
      <c r="U345" s="185">
        <f t="shared" si="293"/>
        <v>547222.28999999992</v>
      </c>
      <c r="V345" s="185">
        <f t="shared" si="294"/>
        <v>5898803.0100000026</v>
      </c>
      <c r="W345" s="185">
        <f t="shared" si="295"/>
        <v>438877.7099999995</v>
      </c>
      <c r="X345" s="401" t="str">
        <f t="shared" si="282"/>
        <v xml:space="preserve"> </v>
      </c>
      <c r="Y345" s="185">
        <f t="shared" si="265"/>
        <v>282218.26000000042</v>
      </c>
      <c r="Z345" s="393">
        <f t="shared" si="273"/>
        <v>0.13125000000000001</v>
      </c>
      <c r="AA345" s="185">
        <f t="shared" si="274"/>
        <v>10874</v>
      </c>
      <c r="AB345" s="185">
        <f t="shared" si="275"/>
        <v>7787.24</v>
      </c>
      <c r="AC345" s="185">
        <f t="shared" si="276"/>
        <v>3086.76</v>
      </c>
      <c r="AD345" s="185">
        <f t="shared" si="269"/>
        <v>134.16999999999999</v>
      </c>
      <c r="AE345" s="185">
        <f t="shared" si="269"/>
        <v>188.55</v>
      </c>
      <c r="AF345" s="185">
        <f t="shared" si="277"/>
        <v>11196.72</v>
      </c>
      <c r="AG345" s="185">
        <f t="shared" si="296"/>
        <v>711287.07000000007</v>
      </c>
      <c r="AH345" s="185">
        <f t="shared" si="297"/>
        <v>2762359.9299999997</v>
      </c>
      <c r="AI345" s="411">
        <f t="shared" si="259"/>
        <v>2942424.4800000056</v>
      </c>
      <c r="AJ345" s="411">
        <f t="shared" si="247"/>
        <v>164446.68999999907</v>
      </c>
      <c r="AK345" s="411">
        <f t="shared" si="260"/>
        <v>3106871.1700000046</v>
      </c>
      <c r="AL345" s="185">
        <f t="shared" si="266"/>
        <v>274431.02000000043</v>
      </c>
      <c r="AM345" s="317">
        <f t="shared" si="283"/>
        <v>27</v>
      </c>
      <c r="AN345" s="14">
        <f t="shared" si="261"/>
        <v>19533.41</v>
      </c>
      <c r="AO345" s="14">
        <f t="shared" si="252"/>
        <v>438877.71000000008</v>
      </c>
      <c r="AP345" s="14">
        <f t="shared" si="262"/>
        <v>10874</v>
      </c>
      <c r="AS345" s="14">
        <f t="shared" si="278"/>
        <v>19533.41</v>
      </c>
      <c r="AT345" s="14">
        <f t="shared" si="284"/>
        <v>6445544.7400000291</v>
      </c>
      <c r="AU345" s="185">
        <f t="shared" si="285"/>
        <v>5605.6039771258611</v>
      </c>
      <c r="AV345" s="185">
        <f t="shared" si="286"/>
        <v>1261747.1948274702</v>
      </c>
    </row>
    <row r="346" spans="1:48">
      <c r="A346" s="401" t="str">
        <f t="shared" si="287"/>
        <v xml:space="preserve"> </v>
      </c>
      <c r="B346" s="185">
        <f t="shared" si="279"/>
        <v>0</v>
      </c>
      <c r="C346" s="14">
        <f t="shared" si="270"/>
        <v>0</v>
      </c>
      <c r="D346" s="14">
        <f t="shared" si="288"/>
        <v>0</v>
      </c>
      <c r="E346" s="14">
        <f t="shared" si="271"/>
        <v>0</v>
      </c>
      <c r="F346" s="14">
        <f t="shared" si="268"/>
        <v>0</v>
      </c>
      <c r="G346" s="14">
        <f t="shared" si="268"/>
        <v>0</v>
      </c>
      <c r="H346" s="14">
        <f t="shared" si="256"/>
        <v>0</v>
      </c>
      <c r="I346" s="185">
        <f t="shared" si="289"/>
        <v>0</v>
      </c>
      <c r="J346" s="185">
        <f t="shared" si="290"/>
        <v>0</v>
      </c>
      <c r="K346" s="185">
        <f t="shared" si="291"/>
        <v>0</v>
      </c>
      <c r="L346" s="317">
        <f t="shared" si="253"/>
        <v>27</v>
      </c>
      <c r="M346" s="317">
        <f t="shared" si="280"/>
        <v>330</v>
      </c>
      <c r="N346" s="185">
        <f t="shared" si="281"/>
        <v>438877.7099999995</v>
      </c>
      <c r="O346" s="185">
        <f t="shared" si="263"/>
        <v>19533.41</v>
      </c>
      <c r="P346" s="185">
        <f t="shared" si="292"/>
        <v>10847.289999999999</v>
      </c>
      <c r="Q346" s="185">
        <f t="shared" si="264"/>
        <v>8686.1200000000008</v>
      </c>
      <c r="R346" s="185">
        <f t="shared" si="272"/>
        <v>134.16999999999999</v>
      </c>
      <c r="S346" s="185">
        <f t="shared" si="272"/>
        <v>188.55</v>
      </c>
      <c r="T346" s="185">
        <f t="shared" si="257"/>
        <v>19856.129999999997</v>
      </c>
      <c r="U346" s="185">
        <f t="shared" si="293"/>
        <v>558069.57999999996</v>
      </c>
      <c r="V346" s="185">
        <f t="shared" si="294"/>
        <v>5907489.1300000027</v>
      </c>
      <c r="W346" s="185">
        <f t="shared" si="295"/>
        <v>428030.41999999952</v>
      </c>
      <c r="X346" s="401" t="str">
        <f t="shared" si="282"/>
        <v xml:space="preserve"> </v>
      </c>
      <c r="Y346" s="185">
        <f t="shared" si="265"/>
        <v>274431.02000000043</v>
      </c>
      <c r="Z346" s="393">
        <f t="shared" si="273"/>
        <v>0.13125000000000001</v>
      </c>
      <c r="AA346" s="185">
        <f t="shared" si="274"/>
        <v>10874</v>
      </c>
      <c r="AB346" s="185">
        <f t="shared" si="275"/>
        <v>7872.41</v>
      </c>
      <c r="AC346" s="185">
        <f t="shared" si="276"/>
        <v>3001.59</v>
      </c>
      <c r="AD346" s="185">
        <f t="shared" si="269"/>
        <v>134.16999999999999</v>
      </c>
      <c r="AE346" s="185">
        <f t="shared" si="269"/>
        <v>188.55</v>
      </c>
      <c r="AF346" s="185">
        <f t="shared" si="277"/>
        <v>11196.72</v>
      </c>
      <c r="AG346" s="185">
        <f t="shared" si="296"/>
        <v>719159.4800000001</v>
      </c>
      <c r="AH346" s="185">
        <f t="shared" si="297"/>
        <v>2765361.5199999996</v>
      </c>
      <c r="AI346" s="411">
        <f t="shared" si="259"/>
        <v>2951083.8900000057</v>
      </c>
      <c r="AJ346" s="411">
        <f t="shared" si="247"/>
        <v>161471.80999999907</v>
      </c>
      <c r="AK346" s="411">
        <f t="shared" si="260"/>
        <v>3112555.7000000048</v>
      </c>
      <c r="AL346" s="185">
        <f t="shared" si="266"/>
        <v>266558.61000000045</v>
      </c>
      <c r="AM346" s="317">
        <f t="shared" si="283"/>
        <v>27</v>
      </c>
      <c r="AN346" s="14">
        <f t="shared" si="261"/>
        <v>19533.41</v>
      </c>
      <c r="AO346" s="14">
        <f t="shared" si="252"/>
        <v>428030.42000000004</v>
      </c>
      <c r="AP346" s="14">
        <f t="shared" si="262"/>
        <v>10874</v>
      </c>
      <c r="AS346" s="14">
        <f t="shared" si="278"/>
        <v>19533.41</v>
      </c>
      <c r="AT346" s="14">
        <f t="shared" si="284"/>
        <v>6465078.1500000292</v>
      </c>
      <c r="AU346" s="185">
        <f t="shared" si="285"/>
        <v>5619.6179870686747</v>
      </c>
      <c r="AV346" s="185">
        <f t="shared" si="286"/>
        <v>1267366.8128145388</v>
      </c>
    </row>
    <row r="347" spans="1:48">
      <c r="A347" s="401" t="str">
        <f t="shared" si="287"/>
        <v xml:space="preserve"> </v>
      </c>
      <c r="B347" s="185">
        <f t="shared" si="279"/>
        <v>0</v>
      </c>
      <c r="C347" s="14">
        <f t="shared" si="270"/>
        <v>0</v>
      </c>
      <c r="D347" s="14">
        <f t="shared" si="288"/>
        <v>0</v>
      </c>
      <c r="E347" s="14">
        <f t="shared" si="271"/>
        <v>0</v>
      </c>
      <c r="F347" s="14">
        <f t="shared" ref="F347:G362" si="298">+F346</f>
        <v>0</v>
      </c>
      <c r="G347" s="14">
        <f t="shared" si="298"/>
        <v>0</v>
      </c>
      <c r="H347" s="14">
        <f t="shared" si="256"/>
        <v>0</v>
      </c>
      <c r="I347" s="185">
        <f t="shared" si="289"/>
        <v>0</v>
      </c>
      <c r="J347" s="185">
        <f t="shared" si="290"/>
        <v>0</v>
      </c>
      <c r="K347" s="185">
        <f t="shared" si="291"/>
        <v>0</v>
      </c>
      <c r="L347" s="317">
        <f t="shared" si="253"/>
        <v>27</v>
      </c>
      <c r="M347" s="317">
        <f t="shared" si="280"/>
        <v>331</v>
      </c>
      <c r="N347" s="185">
        <f t="shared" si="281"/>
        <v>428030.41999999952</v>
      </c>
      <c r="O347" s="185">
        <f t="shared" si="263"/>
        <v>19533.41</v>
      </c>
      <c r="P347" s="185">
        <f t="shared" si="292"/>
        <v>11061.97</v>
      </c>
      <c r="Q347" s="185">
        <f t="shared" si="264"/>
        <v>8471.44</v>
      </c>
      <c r="R347" s="185">
        <f t="shared" si="272"/>
        <v>134.16999999999999</v>
      </c>
      <c r="S347" s="185">
        <f t="shared" si="272"/>
        <v>188.55</v>
      </c>
      <c r="T347" s="185">
        <f t="shared" si="257"/>
        <v>19856.129999999997</v>
      </c>
      <c r="U347" s="185">
        <f t="shared" si="293"/>
        <v>569131.54999999993</v>
      </c>
      <c r="V347" s="185">
        <f t="shared" si="294"/>
        <v>5915960.5700000031</v>
      </c>
      <c r="W347" s="185">
        <f t="shared" si="295"/>
        <v>416968.44999999955</v>
      </c>
      <c r="X347" s="401" t="str">
        <f t="shared" si="282"/>
        <v xml:space="preserve"> </v>
      </c>
      <c r="Y347" s="185">
        <f t="shared" si="265"/>
        <v>266558.61000000045</v>
      </c>
      <c r="Z347" s="393">
        <f t="shared" si="273"/>
        <v>0.13125000000000001</v>
      </c>
      <c r="AA347" s="185">
        <f t="shared" si="274"/>
        <v>10874</v>
      </c>
      <c r="AB347" s="185">
        <f t="shared" si="275"/>
        <v>7958.52</v>
      </c>
      <c r="AC347" s="185">
        <f t="shared" si="276"/>
        <v>2915.48</v>
      </c>
      <c r="AD347" s="185">
        <f t="shared" si="269"/>
        <v>134.16999999999999</v>
      </c>
      <c r="AE347" s="185">
        <f t="shared" si="269"/>
        <v>188.55</v>
      </c>
      <c r="AF347" s="185">
        <f t="shared" si="277"/>
        <v>11196.72</v>
      </c>
      <c r="AG347" s="185">
        <f t="shared" si="296"/>
        <v>727118.00000000012</v>
      </c>
      <c r="AH347" s="185">
        <f t="shared" si="297"/>
        <v>2768276.9999999995</v>
      </c>
      <c r="AI347" s="411">
        <f t="shared" si="259"/>
        <v>2959743.3000000059</v>
      </c>
      <c r="AJ347" s="411">
        <f t="shared" si="247"/>
        <v>158368.35999999908</v>
      </c>
      <c r="AK347" s="411">
        <f t="shared" si="260"/>
        <v>3118111.6600000048</v>
      </c>
      <c r="AL347" s="185">
        <f t="shared" si="266"/>
        <v>258600.09000000046</v>
      </c>
      <c r="AM347" s="317">
        <f t="shared" si="283"/>
        <v>27</v>
      </c>
      <c r="AN347" s="14">
        <f t="shared" si="261"/>
        <v>19533.41</v>
      </c>
      <c r="AO347" s="14">
        <f t="shared" si="252"/>
        <v>416968.45000000007</v>
      </c>
      <c r="AP347" s="14">
        <f t="shared" si="262"/>
        <v>10874</v>
      </c>
      <c r="AS347" s="14">
        <f t="shared" si="278"/>
        <v>19533.41</v>
      </c>
      <c r="AT347" s="14">
        <f t="shared" si="284"/>
        <v>6484611.5600000294</v>
      </c>
      <c r="AU347" s="185">
        <f t="shared" si="285"/>
        <v>5633.6670320363473</v>
      </c>
      <c r="AV347" s="185">
        <f t="shared" si="286"/>
        <v>1273000.4798465751</v>
      </c>
    </row>
    <row r="348" spans="1:48">
      <c r="A348" s="401" t="str">
        <f t="shared" si="287"/>
        <v xml:space="preserve"> </v>
      </c>
      <c r="B348" s="185">
        <f t="shared" si="279"/>
        <v>0</v>
      </c>
      <c r="C348" s="14">
        <f t="shared" si="270"/>
        <v>0</v>
      </c>
      <c r="D348" s="14">
        <f t="shared" si="288"/>
        <v>0</v>
      </c>
      <c r="E348" s="14">
        <f t="shared" si="271"/>
        <v>0</v>
      </c>
      <c r="F348" s="14">
        <f t="shared" si="298"/>
        <v>0</v>
      </c>
      <c r="G348" s="14">
        <f t="shared" si="298"/>
        <v>0</v>
      </c>
      <c r="H348" s="14">
        <f t="shared" si="256"/>
        <v>0</v>
      </c>
      <c r="I348" s="185">
        <f t="shared" si="289"/>
        <v>0</v>
      </c>
      <c r="J348" s="185">
        <f t="shared" si="290"/>
        <v>0</v>
      </c>
      <c r="K348" s="185">
        <f t="shared" si="291"/>
        <v>0</v>
      </c>
      <c r="L348" s="317">
        <f t="shared" si="253"/>
        <v>27</v>
      </c>
      <c r="M348" s="317">
        <f t="shared" si="280"/>
        <v>332</v>
      </c>
      <c r="N348" s="185">
        <f t="shared" si="281"/>
        <v>416968.44999999955</v>
      </c>
      <c r="O348" s="185">
        <f t="shared" si="263"/>
        <v>19533.41</v>
      </c>
      <c r="P348" s="185">
        <f t="shared" si="292"/>
        <v>11280.91</v>
      </c>
      <c r="Q348" s="185">
        <f t="shared" si="264"/>
        <v>8252.5</v>
      </c>
      <c r="R348" s="185">
        <f t="shared" si="272"/>
        <v>134.16999999999999</v>
      </c>
      <c r="S348" s="185">
        <f t="shared" si="272"/>
        <v>188.55</v>
      </c>
      <c r="T348" s="185">
        <f t="shared" si="257"/>
        <v>19856.129999999997</v>
      </c>
      <c r="U348" s="185">
        <f t="shared" si="293"/>
        <v>580412.46</v>
      </c>
      <c r="V348" s="185">
        <f t="shared" si="294"/>
        <v>5924213.0700000031</v>
      </c>
      <c r="W348" s="185">
        <f t="shared" si="295"/>
        <v>405687.53999999957</v>
      </c>
      <c r="X348" s="401" t="str">
        <f t="shared" si="282"/>
        <v xml:space="preserve"> </v>
      </c>
      <c r="Y348" s="185">
        <f t="shared" si="265"/>
        <v>258600.09000000046</v>
      </c>
      <c r="Z348" s="393">
        <f t="shared" si="273"/>
        <v>0.13125000000000001</v>
      </c>
      <c r="AA348" s="185">
        <f t="shared" si="274"/>
        <v>10874</v>
      </c>
      <c r="AB348" s="185">
        <f t="shared" si="275"/>
        <v>8045.5599999999995</v>
      </c>
      <c r="AC348" s="185">
        <f t="shared" si="276"/>
        <v>2828.44</v>
      </c>
      <c r="AD348" s="185">
        <f t="shared" si="269"/>
        <v>134.16999999999999</v>
      </c>
      <c r="AE348" s="185">
        <f t="shared" si="269"/>
        <v>188.55</v>
      </c>
      <c r="AF348" s="185">
        <f t="shared" si="277"/>
        <v>11196.72</v>
      </c>
      <c r="AG348" s="185">
        <f t="shared" si="296"/>
        <v>735163.56000000017</v>
      </c>
      <c r="AH348" s="185">
        <f t="shared" si="297"/>
        <v>2771105.4399999995</v>
      </c>
      <c r="AI348" s="411">
        <f t="shared" si="259"/>
        <v>2968402.710000006</v>
      </c>
      <c r="AJ348" s="411">
        <f t="shared" ref="AJ348:AJ411" si="299">+W348-AL348</f>
        <v>155133.00999999911</v>
      </c>
      <c r="AK348" s="411">
        <f t="shared" si="260"/>
        <v>3123535.7200000053</v>
      </c>
      <c r="AL348" s="185">
        <f t="shared" si="266"/>
        <v>250554.53000000046</v>
      </c>
      <c r="AM348" s="317">
        <f t="shared" si="283"/>
        <v>27</v>
      </c>
      <c r="AN348" s="14">
        <f t="shared" si="261"/>
        <v>19533.41</v>
      </c>
      <c r="AO348" s="14">
        <f t="shared" si="252"/>
        <v>405687.54000000004</v>
      </c>
      <c r="AP348" s="14">
        <f t="shared" si="262"/>
        <v>10874</v>
      </c>
      <c r="AS348" s="14">
        <f t="shared" si="278"/>
        <v>19533.41</v>
      </c>
      <c r="AT348" s="14">
        <f t="shared" si="284"/>
        <v>6504144.9700000295</v>
      </c>
      <c r="AU348" s="185">
        <f t="shared" si="285"/>
        <v>5647.7511996164385</v>
      </c>
      <c r="AV348" s="185">
        <f t="shared" si="286"/>
        <v>1278648.2310461914</v>
      </c>
    </row>
    <row r="349" spans="1:48">
      <c r="A349" s="401" t="str">
        <f t="shared" si="287"/>
        <v xml:space="preserve"> </v>
      </c>
      <c r="B349" s="185">
        <f t="shared" si="279"/>
        <v>0</v>
      </c>
      <c r="C349" s="14">
        <f t="shared" si="270"/>
        <v>0</v>
      </c>
      <c r="D349" s="14">
        <f t="shared" si="288"/>
        <v>0</v>
      </c>
      <c r="E349" s="14">
        <f t="shared" si="271"/>
        <v>0</v>
      </c>
      <c r="F349" s="14">
        <f t="shared" si="298"/>
        <v>0</v>
      </c>
      <c r="G349" s="14">
        <f t="shared" si="298"/>
        <v>0</v>
      </c>
      <c r="H349" s="14">
        <f t="shared" si="256"/>
        <v>0</v>
      </c>
      <c r="I349" s="185">
        <f t="shared" si="289"/>
        <v>0</v>
      </c>
      <c r="J349" s="185">
        <f t="shared" si="290"/>
        <v>0</v>
      </c>
      <c r="K349" s="185">
        <f t="shared" si="291"/>
        <v>0</v>
      </c>
      <c r="L349" s="317">
        <f t="shared" si="253"/>
        <v>27</v>
      </c>
      <c r="M349" s="317">
        <f t="shared" si="280"/>
        <v>333</v>
      </c>
      <c r="N349" s="185">
        <f t="shared" si="281"/>
        <v>405687.53999999957</v>
      </c>
      <c r="O349" s="185">
        <f t="shared" si="263"/>
        <v>19533.41</v>
      </c>
      <c r="P349" s="185">
        <f t="shared" si="292"/>
        <v>11504.18</v>
      </c>
      <c r="Q349" s="185">
        <f t="shared" si="264"/>
        <v>8029.23</v>
      </c>
      <c r="R349" s="185">
        <f t="shared" si="272"/>
        <v>134.16999999999999</v>
      </c>
      <c r="S349" s="185">
        <f t="shared" si="272"/>
        <v>188.55</v>
      </c>
      <c r="T349" s="185">
        <f t="shared" si="257"/>
        <v>19856.129999999997</v>
      </c>
      <c r="U349" s="185">
        <f t="shared" si="293"/>
        <v>591916.64</v>
      </c>
      <c r="V349" s="185">
        <f t="shared" si="294"/>
        <v>5932242.3000000035</v>
      </c>
      <c r="W349" s="185">
        <f t="shared" si="295"/>
        <v>394183.35999999958</v>
      </c>
      <c r="X349" s="401" t="str">
        <f t="shared" si="282"/>
        <v xml:space="preserve"> </v>
      </c>
      <c r="Y349" s="185">
        <f t="shared" si="265"/>
        <v>250554.53000000046</v>
      </c>
      <c r="Z349" s="393">
        <f t="shared" si="273"/>
        <v>0.13125000000000001</v>
      </c>
      <c r="AA349" s="185">
        <f t="shared" si="274"/>
        <v>10874</v>
      </c>
      <c r="AB349" s="185">
        <f t="shared" si="275"/>
        <v>8133.5599999999995</v>
      </c>
      <c r="AC349" s="185">
        <f t="shared" si="276"/>
        <v>2740.44</v>
      </c>
      <c r="AD349" s="185">
        <f t="shared" ref="AD349:AE364" si="300">+AD348</f>
        <v>134.16999999999999</v>
      </c>
      <c r="AE349" s="185">
        <f t="shared" si="300"/>
        <v>188.55</v>
      </c>
      <c r="AF349" s="185">
        <f t="shared" si="277"/>
        <v>11196.72</v>
      </c>
      <c r="AG349" s="185">
        <f t="shared" si="296"/>
        <v>743297.12000000023</v>
      </c>
      <c r="AH349" s="185">
        <f t="shared" si="297"/>
        <v>2773845.8799999994</v>
      </c>
      <c r="AI349" s="411">
        <f t="shared" si="259"/>
        <v>2977062.1200000062</v>
      </c>
      <c r="AJ349" s="411">
        <f t="shared" si="299"/>
        <v>151762.38999999911</v>
      </c>
      <c r="AK349" s="411">
        <f t="shared" si="260"/>
        <v>3128824.5100000054</v>
      </c>
      <c r="AL349" s="185">
        <f t="shared" si="266"/>
        <v>242420.97000000047</v>
      </c>
      <c r="AM349" s="317">
        <f t="shared" si="283"/>
        <v>27</v>
      </c>
      <c r="AN349" s="14">
        <f t="shared" si="261"/>
        <v>19533.41</v>
      </c>
      <c r="AO349" s="14">
        <f t="shared" si="252"/>
        <v>394183.36</v>
      </c>
      <c r="AP349" s="14">
        <f t="shared" si="262"/>
        <v>10874</v>
      </c>
      <c r="AS349" s="14">
        <f t="shared" si="278"/>
        <v>19533.41</v>
      </c>
      <c r="AT349" s="14">
        <f t="shared" si="284"/>
        <v>6523678.3800000297</v>
      </c>
      <c r="AU349" s="185">
        <f t="shared" si="285"/>
        <v>5661.8705776154784</v>
      </c>
      <c r="AV349" s="185">
        <f t="shared" si="286"/>
        <v>1284310.1016238069</v>
      </c>
    </row>
    <row r="350" spans="1:48">
      <c r="A350" s="401" t="str">
        <f t="shared" si="287"/>
        <v xml:space="preserve"> </v>
      </c>
      <c r="B350" s="185">
        <f t="shared" si="279"/>
        <v>0</v>
      </c>
      <c r="C350" s="14">
        <f t="shared" si="270"/>
        <v>0</v>
      </c>
      <c r="D350" s="14">
        <f t="shared" si="288"/>
        <v>0</v>
      </c>
      <c r="E350" s="14">
        <f t="shared" si="271"/>
        <v>0</v>
      </c>
      <c r="F350" s="14">
        <f t="shared" si="298"/>
        <v>0</v>
      </c>
      <c r="G350" s="14">
        <f t="shared" si="298"/>
        <v>0</v>
      </c>
      <c r="H350" s="14">
        <f t="shared" si="256"/>
        <v>0</v>
      </c>
      <c r="I350" s="185">
        <f t="shared" si="289"/>
        <v>0</v>
      </c>
      <c r="J350" s="185">
        <f t="shared" si="290"/>
        <v>0</v>
      </c>
      <c r="K350" s="185">
        <f t="shared" si="291"/>
        <v>0</v>
      </c>
      <c r="L350" s="317">
        <f t="shared" si="253"/>
        <v>27</v>
      </c>
      <c r="M350" s="317">
        <f t="shared" si="280"/>
        <v>334</v>
      </c>
      <c r="N350" s="185">
        <f t="shared" si="281"/>
        <v>394183.35999999958</v>
      </c>
      <c r="O350" s="185">
        <f t="shared" si="263"/>
        <v>19533.41</v>
      </c>
      <c r="P350" s="185">
        <f t="shared" si="292"/>
        <v>11731.86</v>
      </c>
      <c r="Q350" s="185">
        <f t="shared" si="264"/>
        <v>7801.55</v>
      </c>
      <c r="R350" s="185">
        <f t="shared" si="272"/>
        <v>134.16999999999999</v>
      </c>
      <c r="S350" s="185">
        <f t="shared" si="272"/>
        <v>188.55</v>
      </c>
      <c r="T350" s="185">
        <f t="shared" si="257"/>
        <v>19856.129999999997</v>
      </c>
      <c r="U350" s="185">
        <f t="shared" si="293"/>
        <v>603648.5</v>
      </c>
      <c r="V350" s="185">
        <f t="shared" si="294"/>
        <v>5940043.8500000034</v>
      </c>
      <c r="W350" s="185">
        <f t="shared" si="295"/>
        <v>382451.49999999959</v>
      </c>
      <c r="X350" s="401" t="str">
        <f t="shared" si="282"/>
        <v xml:space="preserve"> </v>
      </c>
      <c r="Y350" s="185">
        <f t="shared" si="265"/>
        <v>242420.97000000047</v>
      </c>
      <c r="Z350" s="393">
        <f t="shared" si="273"/>
        <v>0.13125000000000001</v>
      </c>
      <c r="AA350" s="185">
        <f t="shared" si="274"/>
        <v>10874</v>
      </c>
      <c r="AB350" s="185">
        <f t="shared" si="275"/>
        <v>8222.52</v>
      </c>
      <c r="AC350" s="185">
        <f t="shared" si="276"/>
        <v>2651.48</v>
      </c>
      <c r="AD350" s="185">
        <f t="shared" si="300"/>
        <v>134.16999999999999</v>
      </c>
      <c r="AE350" s="185">
        <f t="shared" si="300"/>
        <v>188.55</v>
      </c>
      <c r="AF350" s="185">
        <f t="shared" si="277"/>
        <v>11196.72</v>
      </c>
      <c r="AG350" s="185">
        <f t="shared" si="296"/>
        <v>751519.64000000025</v>
      </c>
      <c r="AH350" s="185">
        <f t="shared" si="297"/>
        <v>2776497.3599999994</v>
      </c>
      <c r="AI350" s="411">
        <f t="shared" si="259"/>
        <v>2985721.5300000063</v>
      </c>
      <c r="AJ350" s="411">
        <f t="shared" si="299"/>
        <v>148253.04999999912</v>
      </c>
      <c r="AK350" s="411">
        <f t="shared" si="260"/>
        <v>3133974.5800000057</v>
      </c>
      <c r="AL350" s="185">
        <f t="shared" si="266"/>
        <v>234198.45000000048</v>
      </c>
      <c r="AM350" s="317">
        <f t="shared" si="283"/>
        <v>27</v>
      </c>
      <c r="AN350" s="14">
        <f t="shared" si="261"/>
        <v>19533.41</v>
      </c>
      <c r="AO350" s="14">
        <f t="shared" si="252"/>
        <v>382451.5</v>
      </c>
      <c r="AP350" s="14">
        <f t="shared" si="262"/>
        <v>10874</v>
      </c>
      <c r="AS350" s="14">
        <f t="shared" si="278"/>
        <v>19533.41</v>
      </c>
      <c r="AT350" s="14">
        <f t="shared" si="284"/>
        <v>6543211.7900000298</v>
      </c>
      <c r="AU350" s="185">
        <f t="shared" si="285"/>
        <v>5676.0252540595175</v>
      </c>
      <c r="AV350" s="185">
        <f t="shared" si="286"/>
        <v>1289986.1268778665</v>
      </c>
    </row>
    <row r="351" spans="1:48" ht="15.75" thickBot="1">
      <c r="A351" s="404" t="str">
        <f t="shared" si="287"/>
        <v xml:space="preserve"> </v>
      </c>
      <c r="B351" s="237">
        <f t="shared" si="279"/>
        <v>0</v>
      </c>
      <c r="C351" s="21">
        <f t="shared" si="270"/>
        <v>0</v>
      </c>
      <c r="D351" s="21">
        <f t="shared" si="288"/>
        <v>0</v>
      </c>
      <c r="E351" s="21">
        <f t="shared" si="271"/>
        <v>0</v>
      </c>
      <c r="F351" s="21">
        <f t="shared" si="298"/>
        <v>0</v>
      </c>
      <c r="G351" s="21">
        <f t="shared" si="298"/>
        <v>0</v>
      </c>
      <c r="H351" s="21">
        <f t="shared" si="256"/>
        <v>0</v>
      </c>
      <c r="I351" s="237">
        <f t="shared" si="289"/>
        <v>0</v>
      </c>
      <c r="J351" s="237">
        <f t="shared" si="290"/>
        <v>0</v>
      </c>
      <c r="K351" s="237">
        <f t="shared" si="291"/>
        <v>0</v>
      </c>
      <c r="L351" s="318">
        <f t="shared" si="253"/>
        <v>27</v>
      </c>
      <c r="M351" s="318">
        <f t="shared" si="280"/>
        <v>335</v>
      </c>
      <c r="N351" s="237">
        <f t="shared" si="281"/>
        <v>382451.49999999959</v>
      </c>
      <c r="O351" s="237">
        <f t="shared" si="263"/>
        <v>19533.41</v>
      </c>
      <c r="P351" s="237">
        <f t="shared" si="292"/>
        <v>11964.06</v>
      </c>
      <c r="Q351" s="237">
        <f t="shared" si="264"/>
        <v>7569.35</v>
      </c>
      <c r="R351" s="237">
        <f t="shared" si="272"/>
        <v>134.16999999999999</v>
      </c>
      <c r="S351" s="237">
        <f t="shared" si="272"/>
        <v>188.55</v>
      </c>
      <c r="T351" s="237">
        <f t="shared" si="257"/>
        <v>19856.129999999997</v>
      </c>
      <c r="U351" s="237">
        <f t="shared" si="293"/>
        <v>615612.56000000006</v>
      </c>
      <c r="V351" s="237">
        <f t="shared" si="294"/>
        <v>5947613.200000003</v>
      </c>
      <c r="W351" s="237">
        <f t="shared" si="295"/>
        <v>370487.43999999959</v>
      </c>
      <c r="X351" s="404" t="str">
        <f t="shared" si="282"/>
        <v xml:space="preserve"> </v>
      </c>
      <c r="Y351" s="237">
        <f t="shared" si="265"/>
        <v>234198.45000000048</v>
      </c>
      <c r="Z351" s="394">
        <f t="shared" si="273"/>
        <v>0.13125000000000001</v>
      </c>
      <c r="AA351" s="237">
        <f t="shared" si="274"/>
        <v>10874</v>
      </c>
      <c r="AB351" s="237">
        <f t="shared" si="275"/>
        <v>8312.4500000000007</v>
      </c>
      <c r="AC351" s="237">
        <f t="shared" si="276"/>
        <v>2561.5500000000002</v>
      </c>
      <c r="AD351" s="237">
        <f t="shared" si="300"/>
        <v>134.16999999999999</v>
      </c>
      <c r="AE351" s="237">
        <f t="shared" si="300"/>
        <v>188.55</v>
      </c>
      <c r="AF351" s="237">
        <f t="shared" si="277"/>
        <v>11196.72</v>
      </c>
      <c r="AG351" s="237">
        <f t="shared" si="296"/>
        <v>759832.0900000002</v>
      </c>
      <c r="AH351" s="237">
        <f t="shared" si="297"/>
        <v>2779058.9099999992</v>
      </c>
      <c r="AI351" s="412">
        <f t="shared" si="259"/>
        <v>2994380.9400000065</v>
      </c>
      <c r="AJ351" s="412">
        <f t="shared" si="299"/>
        <v>144601.43999999913</v>
      </c>
      <c r="AK351" s="411">
        <f t="shared" si="260"/>
        <v>3138982.3800000055</v>
      </c>
      <c r="AL351" s="237">
        <f t="shared" si="266"/>
        <v>225886.00000000047</v>
      </c>
      <c r="AM351" s="318">
        <f t="shared" si="283"/>
        <v>27</v>
      </c>
      <c r="AN351" s="21">
        <f t="shared" si="261"/>
        <v>19533.41</v>
      </c>
      <c r="AO351" s="21">
        <f t="shared" si="252"/>
        <v>370487.43999999994</v>
      </c>
      <c r="AP351" s="21">
        <f t="shared" si="262"/>
        <v>10874</v>
      </c>
      <c r="AQ351" s="21"/>
      <c r="AR351" s="23"/>
      <c r="AS351" s="21">
        <f t="shared" si="278"/>
        <v>19533.41</v>
      </c>
      <c r="AT351" s="21">
        <f t="shared" si="284"/>
        <v>6562745.20000003</v>
      </c>
      <c r="AU351" s="237">
        <f t="shared" si="285"/>
        <v>5690.2153171946666</v>
      </c>
      <c r="AV351" s="237">
        <f t="shared" si="286"/>
        <v>1295676.342195061</v>
      </c>
    </row>
    <row r="352" spans="1:48">
      <c r="A352" s="401" t="str">
        <f t="shared" si="287"/>
        <v xml:space="preserve"> </v>
      </c>
      <c r="B352" s="185">
        <f t="shared" si="279"/>
        <v>0</v>
      </c>
      <c r="C352" s="14">
        <f t="shared" si="270"/>
        <v>0</v>
      </c>
      <c r="D352" s="14">
        <f t="shared" si="288"/>
        <v>0</v>
      </c>
      <c r="E352" s="14">
        <f t="shared" si="271"/>
        <v>0</v>
      </c>
      <c r="F352" s="14">
        <f t="shared" si="298"/>
        <v>0</v>
      </c>
      <c r="G352" s="14">
        <f t="shared" si="298"/>
        <v>0</v>
      </c>
      <c r="H352" s="14">
        <f t="shared" si="256"/>
        <v>0</v>
      </c>
      <c r="I352" s="185">
        <f t="shared" si="289"/>
        <v>0</v>
      </c>
      <c r="J352" s="185">
        <f t="shared" si="290"/>
        <v>0</v>
      </c>
      <c r="K352" s="185">
        <f t="shared" si="291"/>
        <v>0</v>
      </c>
      <c r="L352" s="317">
        <f t="shared" si="253"/>
        <v>28</v>
      </c>
      <c r="M352" s="317">
        <f t="shared" si="280"/>
        <v>336</v>
      </c>
      <c r="N352" s="185">
        <f t="shared" si="281"/>
        <v>370487.43999999959</v>
      </c>
      <c r="O352" s="185">
        <f t="shared" si="263"/>
        <v>19533.41</v>
      </c>
      <c r="P352" s="185">
        <f t="shared" si="292"/>
        <v>12200.849999999999</v>
      </c>
      <c r="Q352" s="185">
        <f t="shared" si="264"/>
        <v>7332.56</v>
      </c>
      <c r="R352" s="185">
        <f t="shared" ref="R352:S367" si="301">+R351</f>
        <v>134.16999999999999</v>
      </c>
      <c r="S352" s="185">
        <f t="shared" si="301"/>
        <v>188.55</v>
      </c>
      <c r="T352" s="185">
        <f t="shared" si="257"/>
        <v>19856.129999999997</v>
      </c>
      <c r="U352" s="185">
        <f t="shared" si="293"/>
        <v>627813.41</v>
      </c>
      <c r="V352" s="185">
        <f t="shared" si="294"/>
        <v>5954945.7600000026</v>
      </c>
      <c r="W352" s="185">
        <f t="shared" si="295"/>
        <v>358286.58999999962</v>
      </c>
      <c r="X352" s="401" t="str">
        <f t="shared" si="282"/>
        <v xml:space="preserve"> </v>
      </c>
      <c r="Y352" s="185">
        <f t="shared" si="265"/>
        <v>225886.00000000047</v>
      </c>
      <c r="Z352" s="393">
        <f t="shared" si="273"/>
        <v>0.13125000000000001</v>
      </c>
      <c r="AA352" s="185">
        <f t="shared" si="274"/>
        <v>10874</v>
      </c>
      <c r="AB352" s="185">
        <f t="shared" si="275"/>
        <v>8403.369999999999</v>
      </c>
      <c r="AC352" s="185">
        <f t="shared" si="276"/>
        <v>2470.63</v>
      </c>
      <c r="AD352" s="185">
        <f t="shared" si="300"/>
        <v>134.16999999999999</v>
      </c>
      <c r="AE352" s="185">
        <f t="shared" si="300"/>
        <v>188.55</v>
      </c>
      <c r="AF352" s="185">
        <f t="shared" si="277"/>
        <v>11196.72</v>
      </c>
      <c r="AG352" s="185">
        <f t="shared" si="296"/>
        <v>768235.4600000002</v>
      </c>
      <c r="AH352" s="185">
        <f t="shared" si="297"/>
        <v>2781529.5399999991</v>
      </c>
      <c r="AI352" s="411">
        <f t="shared" si="259"/>
        <v>3003040.3500000066</v>
      </c>
      <c r="AJ352" s="411">
        <f t="shared" si="299"/>
        <v>140803.95999999915</v>
      </c>
      <c r="AK352" s="411">
        <f t="shared" si="260"/>
        <v>3143844.3100000056</v>
      </c>
      <c r="AL352" s="185">
        <f t="shared" si="266"/>
        <v>217482.63000000047</v>
      </c>
      <c r="AM352" s="317">
        <f t="shared" si="283"/>
        <v>28</v>
      </c>
      <c r="AN352" s="14">
        <f t="shared" si="261"/>
        <v>19533.41</v>
      </c>
      <c r="AO352" s="14">
        <f t="shared" si="252"/>
        <v>358286.58999999997</v>
      </c>
      <c r="AP352" s="14">
        <f t="shared" si="262"/>
        <v>10874</v>
      </c>
      <c r="AS352" s="14">
        <f t="shared" si="278"/>
        <v>19533.41</v>
      </c>
      <c r="AT352" s="14">
        <f t="shared" si="284"/>
        <v>6582278.6100000301</v>
      </c>
      <c r="AU352" s="185">
        <f t="shared" si="285"/>
        <v>5704.4408554876527</v>
      </c>
      <c r="AV352" s="185">
        <f t="shared" si="286"/>
        <v>1301380.7830505488</v>
      </c>
    </row>
    <row r="353" spans="1:48">
      <c r="A353" s="401" t="str">
        <f t="shared" si="287"/>
        <v xml:space="preserve"> </v>
      </c>
      <c r="B353" s="185">
        <f t="shared" si="279"/>
        <v>0</v>
      </c>
      <c r="C353" s="14">
        <f t="shared" si="270"/>
        <v>0</v>
      </c>
      <c r="D353" s="14">
        <f t="shared" si="288"/>
        <v>0</v>
      </c>
      <c r="E353" s="14">
        <f t="shared" si="271"/>
        <v>0</v>
      </c>
      <c r="F353" s="14">
        <f t="shared" si="298"/>
        <v>0</v>
      </c>
      <c r="G353" s="14">
        <f t="shared" si="298"/>
        <v>0</v>
      </c>
      <c r="H353" s="14">
        <f t="shared" si="256"/>
        <v>0</v>
      </c>
      <c r="I353" s="185">
        <f t="shared" si="289"/>
        <v>0</v>
      </c>
      <c r="J353" s="185">
        <f t="shared" si="290"/>
        <v>0</v>
      </c>
      <c r="K353" s="185">
        <f t="shared" si="291"/>
        <v>0</v>
      </c>
      <c r="L353" s="317">
        <f t="shared" si="253"/>
        <v>28</v>
      </c>
      <c r="M353" s="317">
        <f t="shared" si="280"/>
        <v>337</v>
      </c>
      <c r="N353" s="185">
        <f t="shared" si="281"/>
        <v>358286.58999999962</v>
      </c>
      <c r="O353" s="185">
        <f t="shared" si="263"/>
        <v>19533.41</v>
      </c>
      <c r="P353" s="185">
        <f t="shared" si="292"/>
        <v>12442.32</v>
      </c>
      <c r="Q353" s="185">
        <f t="shared" si="264"/>
        <v>7091.09</v>
      </c>
      <c r="R353" s="185">
        <f t="shared" si="301"/>
        <v>134.16999999999999</v>
      </c>
      <c r="S353" s="185">
        <f t="shared" si="301"/>
        <v>188.55</v>
      </c>
      <c r="T353" s="185">
        <f t="shared" si="257"/>
        <v>19856.129999999997</v>
      </c>
      <c r="U353" s="185">
        <f t="shared" si="293"/>
        <v>640255.73</v>
      </c>
      <c r="V353" s="185">
        <f t="shared" si="294"/>
        <v>5962036.8500000024</v>
      </c>
      <c r="W353" s="185">
        <f t="shared" si="295"/>
        <v>345844.26999999961</v>
      </c>
      <c r="X353" s="401" t="str">
        <f t="shared" si="282"/>
        <v xml:space="preserve"> </v>
      </c>
      <c r="Y353" s="185">
        <f t="shared" si="265"/>
        <v>217482.63000000047</v>
      </c>
      <c r="Z353" s="393">
        <f t="shared" si="273"/>
        <v>0.13125000000000001</v>
      </c>
      <c r="AA353" s="185">
        <f t="shared" si="274"/>
        <v>10874</v>
      </c>
      <c r="AB353" s="185">
        <f t="shared" si="275"/>
        <v>8495.2800000000007</v>
      </c>
      <c r="AC353" s="185">
        <f t="shared" si="276"/>
        <v>2378.7199999999998</v>
      </c>
      <c r="AD353" s="185">
        <f t="shared" si="300"/>
        <v>134.16999999999999</v>
      </c>
      <c r="AE353" s="185">
        <f t="shared" si="300"/>
        <v>188.55</v>
      </c>
      <c r="AF353" s="185">
        <f t="shared" si="277"/>
        <v>11196.72</v>
      </c>
      <c r="AG353" s="185">
        <f t="shared" si="296"/>
        <v>776730.74000000022</v>
      </c>
      <c r="AH353" s="185">
        <f t="shared" si="297"/>
        <v>2783908.2599999993</v>
      </c>
      <c r="AI353" s="411">
        <f t="shared" si="259"/>
        <v>3011699.7600000068</v>
      </c>
      <c r="AJ353" s="411">
        <f t="shared" si="299"/>
        <v>136856.91999999914</v>
      </c>
      <c r="AK353" s="411">
        <f t="shared" si="260"/>
        <v>3148556.6800000058</v>
      </c>
      <c r="AL353" s="185">
        <f t="shared" si="266"/>
        <v>208987.35000000047</v>
      </c>
      <c r="AM353" s="317">
        <f t="shared" si="283"/>
        <v>28</v>
      </c>
      <c r="AN353" s="14">
        <f t="shared" si="261"/>
        <v>19533.41</v>
      </c>
      <c r="AO353" s="14">
        <f t="shared" si="252"/>
        <v>345844.27</v>
      </c>
      <c r="AP353" s="14">
        <f t="shared" si="262"/>
        <v>10874</v>
      </c>
      <c r="AS353" s="14">
        <f t="shared" si="278"/>
        <v>19533.41</v>
      </c>
      <c r="AT353" s="14">
        <f t="shared" si="284"/>
        <v>6601812.0200000303</v>
      </c>
      <c r="AU353" s="185">
        <f t="shared" si="285"/>
        <v>5718.701957626371</v>
      </c>
      <c r="AV353" s="185">
        <f t="shared" si="286"/>
        <v>1307099.485008175</v>
      </c>
    </row>
    <row r="354" spans="1:48">
      <c r="A354" s="401" t="str">
        <f t="shared" si="287"/>
        <v xml:space="preserve"> </v>
      </c>
      <c r="B354" s="185">
        <f t="shared" si="279"/>
        <v>0</v>
      </c>
      <c r="C354" s="14">
        <f t="shared" si="270"/>
        <v>0</v>
      </c>
      <c r="D354" s="14">
        <f t="shared" si="288"/>
        <v>0</v>
      </c>
      <c r="E354" s="14">
        <f t="shared" si="271"/>
        <v>0</v>
      </c>
      <c r="F354" s="14">
        <f t="shared" si="298"/>
        <v>0</v>
      </c>
      <c r="G354" s="14">
        <f t="shared" si="298"/>
        <v>0</v>
      </c>
      <c r="H354" s="14">
        <f t="shared" si="256"/>
        <v>0</v>
      </c>
      <c r="I354" s="185">
        <f t="shared" si="289"/>
        <v>0</v>
      </c>
      <c r="J354" s="185">
        <f t="shared" si="290"/>
        <v>0</v>
      </c>
      <c r="K354" s="185">
        <f t="shared" si="291"/>
        <v>0</v>
      </c>
      <c r="L354" s="317">
        <f t="shared" si="253"/>
        <v>28</v>
      </c>
      <c r="M354" s="317">
        <f t="shared" si="280"/>
        <v>338</v>
      </c>
      <c r="N354" s="185">
        <f t="shared" si="281"/>
        <v>345844.26999999961</v>
      </c>
      <c r="O354" s="185">
        <f t="shared" si="263"/>
        <v>19533.41</v>
      </c>
      <c r="P354" s="185">
        <f t="shared" si="292"/>
        <v>12688.58</v>
      </c>
      <c r="Q354" s="185">
        <f t="shared" si="264"/>
        <v>6844.83</v>
      </c>
      <c r="R354" s="185">
        <f t="shared" si="301"/>
        <v>134.16999999999999</v>
      </c>
      <c r="S354" s="185">
        <f t="shared" si="301"/>
        <v>188.55</v>
      </c>
      <c r="T354" s="185">
        <f t="shared" si="257"/>
        <v>19856.129999999997</v>
      </c>
      <c r="U354" s="185">
        <f t="shared" si="293"/>
        <v>652944.30999999994</v>
      </c>
      <c r="V354" s="185">
        <f t="shared" si="294"/>
        <v>5968881.6800000025</v>
      </c>
      <c r="W354" s="185">
        <f t="shared" si="295"/>
        <v>333155.68999999959</v>
      </c>
      <c r="X354" s="401" t="str">
        <f t="shared" si="282"/>
        <v xml:space="preserve"> </v>
      </c>
      <c r="Y354" s="185">
        <f t="shared" si="265"/>
        <v>208987.35000000047</v>
      </c>
      <c r="Z354" s="393">
        <f t="shared" si="273"/>
        <v>0.13125000000000001</v>
      </c>
      <c r="AA354" s="185">
        <f t="shared" si="274"/>
        <v>10874</v>
      </c>
      <c r="AB354" s="185">
        <f t="shared" si="275"/>
        <v>8588.2000000000007</v>
      </c>
      <c r="AC354" s="185">
        <f t="shared" si="276"/>
        <v>2285.8000000000002</v>
      </c>
      <c r="AD354" s="185">
        <f t="shared" si="300"/>
        <v>134.16999999999999</v>
      </c>
      <c r="AE354" s="185">
        <f t="shared" si="300"/>
        <v>188.55</v>
      </c>
      <c r="AF354" s="185">
        <f t="shared" si="277"/>
        <v>11196.72</v>
      </c>
      <c r="AG354" s="185">
        <f t="shared" si="296"/>
        <v>785318.94000000018</v>
      </c>
      <c r="AH354" s="185">
        <f t="shared" si="297"/>
        <v>2786194.0599999991</v>
      </c>
      <c r="AI354" s="411">
        <f t="shared" si="259"/>
        <v>3020359.1700000069</v>
      </c>
      <c r="AJ354" s="411">
        <f t="shared" si="299"/>
        <v>132756.53999999914</v>
      </c>
      <c r="AK354" s="411">
        <f t="shared" si="260"/>
        <v>3153115.710000006</v>
      </c>
      <c r="AL354" s="185">
        <f t="shared" si="266"/>
        <v>200399.15000000046</v>
      </c>
      <c r="AM354" s="317">
        <f t="shared" si="283"/>
        <v>28</v>
      </c>
      <c r="AN354" s="14">
        <f t="shared" si="261"/>
        <v>19533.41</v>
      </c>
      <c r="AO354" s="14">
        <f t="shared" si="252"/>
        <v>333155.69000000006</v>
      </c>
      <c r="AP354" s="14">
        <f t="shared" si="262"/>
        <v>10874</v>
      </c>
      <c r="AS354" s="14">
        <f t="shared" si="278"/>
        <v>19533.41</v>
      </c>
      <c r="AT354" s="14">
        <f t="shared" si="284"/>
        <v>6621345.4300000304</v>
      </c>
      <c r="AU354" s="185">
        <f t="shared" si="285"/>
        <v>5732.9987125204379</v>
      </c>
      <c r="AV354" s="185">
        <f t="shared" si="286"/>
        <v>1312832.4837206954</v>
      </c>
    </row>
    <row r="355" spans="1:48">
      <c r="A355" s="401" t="str">
        <f t="shared" si="287"/>
        <v xml:space="preserve"> </v>
      </c>
      <c r="B355" s="185">
        <f t="shared" si="279"/>
        <v>0</v>
      </c>
      <c r="C355" s="14">
        <f t="shared" si="270"/>
        <v>0</v>
      </c>
      <c r="D355" s="14">
        <f t="shared" si="288"/>
        <v>0</v>
      </c>
      <c r="E355" s="14">
        <f t="shared" si="271"/>
        <v>0</v>
      </c>
      <c r="F355" s="14">
        <f t="shared" si="298"/>
        <v>0</v>
      </c>
      <c r="G355" s="14">
        <f t="shared" si="298"/>
        <v>0</v>
      </c>
      <c r="H355" s="14">
        <f t="shared" si="256"/>
        <v>0</v>
      </c>
      <c r="I355" s="185">
        <f t="shared" si="289"/>
        <v>0</v>
      </c>
      <c r="J355" s="185">
        <f t="shared" si="290"/>
        <v>0</v>
      </c>
      <c r="K355" s="185">
        <f t="shared" si="291"/>
        <v>0</v>
      </c>
      <c r="L355" s="317">
        <f t="shared" si="253"/>
        <v>28</v>
      </c>
      <c r="M355" s="317">
        <f t="shared" si="280"/>
        <v>339</v>
      </c>
      <c r="N355" s="185">
        <f t="shared" si="281"/>
        <v>333155.68999999959</v>
      </c>
      <c r="O355" s="185">
        <f t="shared" si="263"/>
        <v>19533.41</v>
      </c>
      <c r="P355" s="185">
        <f t="shared" si="292"/>
        <v>12939.7</v>
      </c>
      <c r="Q355" s="185">
        <f t="shared" si="264"/>
        <v>6593.71</v>
      </c>
      <c r="R355" s="185">
        <f t="shared" si="301"/>
        <v>134.16999999999999</v>
      </c>
      <c r="S355" s="185">
        <f t="shared" si="301"/>
        <v>188.55</v>
      </c>
      <c r="T355" s="185">
        <f t="shared" si="257"/>
        <v>19856.129999999997</v>
      </c>
      <c r="U355" s="185">
        <f t="shared" si="293"/>
        <v>665884.00999999989</v>
      </c>
      <c r="V355" s="185">
        <f t="shared" si="294"/>
        <v>5975475.3900000025</v>
      </c>
      <c r="W355" s="185">
        <f t="shared" si="295"/>
        <v>320215.98999999958</v>
      </c>
      <c r="X355" s="401" t="str">
        <f t="shared" si="282"/>
        <v xml:space="preserve"> </v>
      </c>
      <c r="Y355" s="185">
        <f t="shared" si="265"/>
        <v>200399.15000000046</v>
      </c>
      <c r="Z355" s="393">
        <f t="shared" si="273"/>
        <v>0.13125000000000001</v>
      </c>
      <c r="AA355" s="185">
        <f t="shared" si="274"/>
        <v>10874</v>
      </c>
      <c r="AB355" s="185">
        <f t="shared" si="275"/>
        <v>8682.130000000001</v>
      </c>
      <c r="AC355" s="185">
        <f t="shared" si="276"/>
        <v>2191.87</v>
      </c>
      <c r="AD355" s="185">
        <f t="shared" si="300"/>
        <v>134.16999999999999</v>
      </c>
      <c r="AE355" s="185">
        <f t="shared" si="300"/>
        <v>188.55</v>
      </c>
      <c r="AF355" s="185">
        <f t="shared" si="277"/>
        <v>11196.72</v>
      </c>
      <c r="AG355" s="185">
        <f t="shared" si="296"/>
        <v>794001.07000000018</v>
      </c>
      <c r="AH355" s="185">
        <f t="shared" si="297"/>
        <v>2788385.9299999992</v>
      </c>
      <c r="AI355" s="411">
        <f t="shared" si="259"/>
        <v>3029018.5800000071</v>
      </c>
      <c r="AJ355" s="411">
        <f t="shared" si="299"/>
        <v>128498.96999999913</v>
      </c>
      <c r="AK355" s="411">
        <f t="shared" si="260"/>
        <v>3157517.5500000063</v>
      </c>
      <c r="AL355" s="185">
        <f t="shared" si="266"/>
        <v>191717.02000000046</v>
      </c>
      <c r="AM355" s="317">
        <f t="shared" si="283"/>
        <v>28</v>
      </c>
      <c r="AN355" s="14">
        <f t="shared" si="261"/>
        <v>19533.41</v>
      </c>
      <c r="AO355" s="14">
        <f t="shared" si="252"/>
        <v>320215.99000000011</v>
      </c>
      <c r="AP355" s="14">
        <f t="shared" si="262"/>
        <v>10874</v>
      </c>
      <c r="AS355" s="14">
        <f t="shared" si="278"/>
        <v>19533.41</v>
      </c>
      <c r="AT355" s="14">
        <f t="shared" si="284"/>
        <v>6640878.8400000306</v>
      </c>
      <c r="AU355" s="185">
        <f t="shared" si="285"/>
        <v>5747.3312093017385</v>
      </c>
      <c r="AV355" s="185">
        <f t="shared" si="286"/>
        <v>1318579.8149299971</v>
      </c>
    </row>
    <row r="356" spans="1:48">
      <c r="A356" s="401" t="str">
        <f t="shared" si="287"/>
        <v xml:space="preserve"> </v>
      </c>
      <c r="B356" s="185">
        <f t="shared" si="279"/>
        <v>0</v>
      </c>
      <c r="C356" s="14">
        <f t="shared" si="270"/>
        <v>0</v>
      </c>
      <c r="D356" s="14">
        <f t="shared" si="288"/>
        <v>0</v>
      </c>
      <c r="E356" s="14">
        <f t="shared" si="271"/>
        <v>0</v>
      </c>
      <c r="F356" s="14">
        <f t="shared" si="298"/>
        <v>0</v>
      </c>
      <c r="G356" s="14">
        <f t="shared" si="298"/>
        <v>0</v>
      </c>
      <c r="H356" s="14">
        <f t="shared" si="256"/>
        <v>0</v>
      </c>
      <c r="I356" s="185">
        <f t="shared" si="289"/>
        <v>0</v>
      </c>
      <c r="J356" s="185">
        <f t="shared" si="290"/>
        <v>0</v>
      </c>
      <c r="K356" s="185">
        <f t="shared" si="291"/>
        <v>0</v>
      </c>
      <c r="L356" s="317">
        <f t="shared" si="253"/>
        <v>28</v>
      </c>
      <c r="M356" s="317">
        <f t="shared" si="280"/>
        <v>340</v>
      </c>
      <c r="N356" s="185">
        <f t="shared" si="281"/>
        <v>320215.98999999958</v>
      </c>
      <c r="O356" s="185">
        <f t="shared" si="263"/>
        <v>19533.41</v>
      </c>
      <c r="P356" s="185">
        <f t="shared" si="292"/>
        <v>13195.8</v>
      </c>
      <c r="Q356" s="185">
        <f t="shared" si="264"/>
        <v>6337.61</v>
      </c>
      <c r="R356" s="185">
        <f t="shared" si="301"/>
        <v>134.16999999999999</v>
      </c>
      <c r="S356" s="185">
        <f t="shared" si="301"/>
        <v>188.55</v>
      </c>
      <c r="T356" s="185">
        <f t="shared" si="257"/>
        <v>19856.129999999997</v>
      </c>
      <c r="U356" s="185">
        <f t="shared" si="293"/>
        <v>679079.80999999994</v>
      </c>
      <c r="V356" s="185">
        <f t="shared" si="294"/>
        <v>5981813.0000000028</v>
      </c>
      <c r="W356" s="185">
        <f t="shared" si="295"/>
        <v>307020.18999999959</v>
      </c>
      <c r="X356" s="401" t="str">
        <f t="shared" si="282"/>
        <v xml:space="preserve"> </v>
      </c>
      <c r="Y356" s="185">
        <f t="shared" si="265"/>
        <v>191717.02000000046</v>
      </c>
      <c r="Z356" s="393">
        <f t="shared" si="273"/>
        <v>0.13125000000000001</v>
      </c>
      <c r="AA356" s="185">
        <f t="shared" si="274"/>
        <v>10874</v>
      </c>
      <c r="AB356" s="185">
        <f t="shared" si="275"/>
        <v>8777.1</v>
      </c>
      <c r="AC356" s="185">
        <f t="shared" si="276"/>
        <v>2096.9</v>
      </c>
      <c r="AD356" s="185">
        <f t="shared" si="300"/>
        <v>134.16999999999999</v>
      </c>
      <c r="AE356" s="185">
        <f t="shared" si="300"/>
        <v>188.55</v>
      </c>
      <c r="AF356" s="185">
        <f t="shared" si="277"/>
        <v>11196.72</v>
      </c>
      <c r="AG356" s="185">
        <f t="shared" si="296"/>
        <v>802778.17000000016</v>
      </c>
      <c r="AH356" s="185">
        <f t="shared" si="297"/>
        <v>2790482.8299999991</v>
      </c>
      <c r="AI356" s="411">
        <f t="shared" si="259"/>
        <v>3037677.9900000072</v>
      </c>
      <c r="AJ356" s="411">
        <f t="shared" si="299"/>
        <v>124080.26999999915</v>
      </c>
      <c r="AK356" s="411">
        <f t="shared" si="260"/>
        <v>3161758.2600000063</v>
      </c>
      <c r="AL356" s="185">
        <f t="shared" si="266"/>
        <v>182939.92000000045</v>
      </c>
      <c r="AM356" s="317">
        <f t="shared" si="283"/>
        <v>28</v>
      </c>
      <c r="AN356" s="14">
        <f t="shared" si="261"/>
        <v>19533.41</v>
      </c>
      <c r="AO356" s="14">
        <f t="shared" si="252"/>
        <v>307020.19000000006</v>
      </c>
      <c r="AP356" s="14">
        <f t="shared" si="262"/>
        <v>10874</v>
      </c>
      <c r="AS356" s="14">
        <f t="shared" si="278"/>
        <v>19533.41</v>
      </c>
      <c r="AT356" s="14">
        <f t="shared" si="284"/>
        <v>6660412.2500000307</v>
      </c>
      <c r="AU356" s="185">
        <f t="shared" si="285"/>
        <v>5761.699537324992</v>
      </c>
      <c r="AV356" s="185">
        <f t="shared" si="286"/>
        <v>1324341.514467322</v>
      </c>
    </row>
    <row r="357" spans="1:48">
      <c r="A357" s="401" t="str">
        <f t="shared" si="287"/>
        <v xml:space="preserve"> </v>
      </c>
      <c r="B357" s="185">
        <f t="shared" si="279"/>
        <v>0</v>
      </c>
      <c r="C357" s="14">
        <f t="shared" si="270"/>
        <v>0</v>
      </c>
      <c r="D357" s="14">
        <f t="shared" si="288"/>
        <v>0</v>
      </c>
      <c r="E357" s="14">
        <f t="shared" si="271"/>
        <v>0</v>
      </c>
      <c r="F357" s="14">
        <f t="shared" si="298"/>
        <v>0</v>
      </c>
      <c r="G357" s="14">
        <f t="shared" si="298"/>
        <v>0</v>
      </c>
      <c r="H357" s="14">
        <f t="shared" si="256"/>
        <v>0</v>
      </c>
      <c r="I357" s="185">
        <f t="shared" si="289"/>
        <v>0</v>
      </c>
      <c r="J357" s="185">
        <f t="shared" si="290"/>
        <v>0</v>
      </c>
      <c r="K357" s="185">
        <f t="shared" si="291"/>
        <v>0</v>
      </c>
      <c r="L357" s="317">
        <f t="shared" si="253"/>
        <v>28</v>
      </c>
      <c r="M357" s="317">
        <f t="shared" si="280"/>
        <v>341</v>
      </c>
      <c r="N357" s="185">
        <f t="shared" si="281"/>
        <v>307020.18999999959</v>
      </c>
      <c r="O357" s="185">
        <f t="shared" si="263"/>
        <v>19533.41</v>
      </c>
      <c r="P357" s="185">
        <f t="shared" si="292"/>
        <v>13456.970000000001</v>
      </c>
      <c r="Q357" s="185">
        <f t="shared" si="264"/>
        <v>6076.44</v>
      </c>
      <c r="R357" s="185">
        <f t="shared" si="301"/>
        <v>134.16999999999999</v>
      </c>
      <c r="S357" s="185">
        <f t="shared" si="301"/>
        <v>188.55</v>
      </c>
      <c r="T357" s="185">
        <f t="shared" si="257"/>
        <v>19856.129999999997</v>
      </c>
      <c r="U357" s="185">
        <f t="shared" si="293"/>
        <v>692536.77999999991</v>
      </c>
      <c r="V357" s="185">
        <f t="shared" si="294"/>
        <v>5987889.4400000032</v>
      </c>
      <c r="W357" s="185">
        <f t="shared" si="295"/>
        <v>293563.21999999962</v>
      </c>
      <c r="X357" s="401" t="str">
        <f t="shared" si="282"/>
        <v xml:space="preserve"> </v>
      </c>
      <c r="Y357" s="185">
        <f t="shared" si="265"/>
        <v>182939.92000000045</v>
      </c>
      <c r="Z357" s="393">
        <f t="shared" si="273"/>
        <v>0.13125000000000001</v>
      </c>
      <c r="AA357" s="185">
        <f t="shared" si="274"/>
        <v>10874</v>
      </c>
      <c r="AB357" s="185">
        <f t="shared" si="275"/>
        <v>8873.09</v>
      </c>
      <c r="AC357" s="185">
        <f t="shared" si="276"/>
        <v>2000.91</v>
      </c>
      <c r="AD357" s="185">
        <f t="shared" si="300"/>
        <v>134.16999999999999</v>
      </c>
      <c r="AE357" s="185">
        <f t="shared" si="300"/>
        <v>188.55</v>
      </c>
      <c r="AF357" s="185">
        <f t="shared" si="277"/>
        <v>11196.72</v>
      </c>
      <c r="AG357" s="185">
        <f t="shared" si="296"/>
        <v>811651.26000000013</v>
      </c>
      <c r="AH357" s="185">
        <f t="shared" si="297"/>
        <v>2792483.7399999993</v>
      </c>
      <c r="AI357" s="411">
        <f t="shared" si="259"/>
        <v>3046337.4000000074</v>
      </c>
      <c r="AJ357" s="411">
        <f t="shared" si="299"/>
        <v>119496.38999999917</v>
      </c>
      <c r="AK357" s="411">
        <f t="shared" si="260"/>
        <v>3165833.7900000066</v>
      </c>
      <c r="AL357" s="185">
        <f t="shared" si="266"/>
        <v>174066.83000000045</v>
      </c>
      <c r="AM357" s="317">
        <f t="shared" si="283"/>
        <v>28</v>
      </c>
      <c r="AN357" s="14">
        <f t="shared" si="261"/>
        <v>19533.41</v>
      </c>
      <c r="AO357" s="14">
        <f t="shared" si="252"/>
        <v>293563.22000000009</v>
      </c>
      <c r="AP357" s="14">
        <f t="shared" si="262"/>
        <v>10874</v>
      </c>
      <c r="AS357" s="14">
        <f t="shared" si="278"/>
        <v>19533.41</v>
      </c>
      <c r="AT357" s="14">
        <f t="shared" si="284"/>
        <v>6679945.6600000309</v>
      </c>
      <c r="AU357" s="185">
        <f t="shared" si="285"/>
        <v>5776.1037861683062</v>
      </c>
      <c r="AV357" s="185">
        <f t="shared" si="286"/>
        <v>1330117.6182534904</v>
      </c>
    </row>
    <row r="358" spans="1:48">
      <c r="A358" s="401" t="str">
        <f t="shared" si="287"/>
        <v xml:space="preserve"> </v>
      </c>
      <c r="B358" s="185">
        <f t="shared" si="279"/>
        <v>0</v>
      </c>
      <c r="C358" s="14">
        <f t="shared" si="270"/>
        <v>0</v>
      </c>
      <c r="D358" s="14">
        <f t="shared" si="288"/>
        <v>0</v>
      </c>
      <c r="E358" s="14">
        <f t="shared" si="271"/>
        <v>0</v>
      </c>
      <c r="F358" s="14">
        <f t="shared" si="298"/>
        <v>0</v>
      </c>
      <c r="G358" s="14">
        <f t="shared" si="298"/>
        <v>0</v>
      </c>
      <c r="H358" s="14">
        <f t="shared" si="256"/>
        <v>0</v>
      </c>
      <c r="I358" s="185">
        <f t="shared" si="289"/>
        <v>0</v>
      </c>
      <c r="J358" s="185">
        <f t="shared" si="290"/>
        <v>0</v>
      </c>
      <c r="K358" s="185">
        <f t="shared" si="291"/>
        <v>0</v>
      </c>
      <c r="L358" s="317">
        <f t="shared" si="253"/>
        <v>28</v>
      </c>
      <c r="M358" s="317">
        <f t="shared" si="280"/>
        <v>342</v>
      </c>
      <c r="N358" s="185">
        <f t="shared" si="281"/>
        <v>293563.21999999962</v>
      </c>
      <c r="O358" s="185">
        <f t="shared" si="263"/>
        <v>19533.41</v>
      </c>
      <c r="P358" s="185">
        <f t="shared" si="292"/>
        <v>13723.3</v>
      </c>
      <c r="Q358" s="185">
        <f t="shared" si="264"/>
        <v>5810.11</v>
      </c>
      <c r="R358" s="185">
        <f t="shared" si="301"/>
        <v>134.16999999999999</v>
      </c>
      <c r="S358" s="185">
        <f t="shared" si="301"/>
        <v>188.55</v>
      </c>
      <c r="T358" s="185">
        <f t="shared" si="257"/>
        <v>19856.129999999997</v>
      </c>
      <c r="U358" s="185">
        <f t="shared" si="293"/>
        <v>706260.08</v>
      </c>
      <c r="V358" s="185">
        <f t="shared" si="294"/>
        <v>5993699.5500000035</v>
      </c>
      <c r="W358" s="185">
        <f t="shared" si="295"/>
        <v>279839.91999999963</v>
      </c>
      <c r="X358" s="401" t="str">
        <f t="shared" si="282"/>
        <v xml:space="preserve"> </v>
      </c>
      <c r="Y358" s="185">
        <f t="shared" si="265"/>
        <v>174066.83000000045</v>
      </c>
      <c r="Z358" s="393">
        <f t="shared" si="273"/>
        <v>0.13125000000000001</v>
      </c>
      <c r="AA358" s="185">
        <f t="shared" si="274"/>
        <v>10874</v>
      </c>
      <c r="AB358" s="185">
        <f t="shared" si="275"/>
        <v>8970.14</v>
      </c>
      <c r="AC358" s="185">
        <f t="shared" si="276"/>
        <v>1903.86</v>
      </c>
      <c r="AD358" s="185">
        <f t="shared" si="300"/>
        <v>134.16999999999999</v>
      </c>
      <c r="AE358" s="185">
        <f t="shared" si="300"/>
        <v>188.55</v>
      </c>
      <c r="AF358" s="185">
        <f t="shared" si="277"/>
        <v>11196.72</v>
      </c>
      <c r="AG358" s="185">
        <f t="shared" si="296"/>
        <v>820621.40000000014</v>
      </c>
      <c r="AH358" s="185">
        <f t="shared" si="297"/>
        <v>2794387.5999999992</v>
      </c>
      <c r="AI358" s="411">
        <f t="shared" si="259"/>
        <v>3054996.8100000075</v>
      </c>
      <c r="AJ358" s="411">
        <f t="shared" si="299"/>
        <v>114743.22999999917</v>
      </c>
      <c r="AK358" s="411">
        <f t="shared" si="260"/>
        <v>3169740.0400000066</v>
      </c>
      <c r="AL358" s="185">
        <f t="shared" si="266"/>
        <v>165096.69000000047</v>
      </c>
      <c r="AM358" s="317">
        <f t="shared" si="283"/>
        <v>28</v>
      </c>
      <c r="AN358" s="14">
        <f t="shared" si="261"/>
        <v>19533.41</v>
      </c>
      <c r="AO358" s="14">
        <f t="shared" si="252"/>
        <v>279839.92000000004</v>
      </c>
      <c r="AP358" s="14">
        <f t="shared" si="262"/>
        <v>10874</v>
      </c>
      <c r="AS358" s="14">
        <f t="shared" si="278"/>
        <v>19533.41</v>
      </c>
      <c r="AT358" s="14">
        <f t="shared" si="284"/>
        <v>6699479.070000031</v>
      </c>
      <c r="AU358" s="185">
        <f t="shared" si="285"/>
        <v>5790.5440456337265</v>
      </c>
      <c r="AV358" s="185">
        <f t="shared" si="286"/>
        <v>1335908.1622991241</v>
      </c>
    </row>
    <row r="359" spans="1:48">
      <c r="A359" s="401" t="str">
        <f t="shared" si="287"/>
        <v xml:space="preserve"> </v>
      </c>
      <c r="B359" s="185">
        <f t="shared" si="279"/>
        <v>0</v>
      </c>
      <c r="C359" s="14">
        <f t="shared" si="270"/>
        <v>0</v>
      </c>
      <c r="D359" s="14">
        <f t="shared" si="288"/>
        <v>0</v>
      </c>
      <c r="E359" s="14">
        <f t="shared" si="271"/>
        <v>0</v>
      </c>
      <c r="F359" s="14">
        <f t="shared" si="298"/>
        <v>0</v>
      </c>
      <c r="G359" s="14">
        <f t="shared" si="298"/>
        <v>0</v>
      </c>
      <c r="H359" s="14">
        <f t="shared" si="256"/>
        <v>0</v>
      </c>
      <c r="I359" s="185">
        <f t="shared" si="289"/>
        <v>0</v>
      </c>
      <c r="J359" s="185">
        <f t="shared" si="290"/>
        <v>0</v>
      </c>
      <c r="K359" s="185">
        <f t="shared" si="291"/>
        <v>0</v>
      </c>
      <c r="L359" s="317">
        <f t="shared" si="253"/>
        <v>28</v>
      </c>
      <c r="M359" s="317">
        <f t="shared" si="280"/>
        <v>343</v>
      </c>
      <c r="N359" s="185">
        <f t="shared" si="281"/>
        <v>279839.91999999963</v>
      </c>
      <c r="O359" s="185">
        <f t="shared" si="263"/>
        <v>19533.41</v>
      </c>
      <c r="P359" s="185">
        <f t="shared" si="292"/>
        <v>13994.91</v>
      </c>
      <c r="Q359" s="185">
        <f t="shared" si="264"/>
        <v>5538.5</v>
      </c>
      <c r="R359" s="185">
        <f t="shared" si="301"/>
        <v>134.16999999999999</v>
      </c>
      <c r="S359" s="185">
        <f t="shared" si="301"/>
        <v>188.55</v>
      </c>
      <c r="T359" s="185">
        <f t="shared" si="257"/>
        <v>19856.129999999997</v>
      </c>
      <c r="U359" s="185">
        <f t="shared" si="293"/>
        <v>720254.99</v>
      </c>
      <c r="V359" s="185">
        <f t="shared" si="294"/>
        <v>5999238.0500000035</v>
      </c>
      <c r="W359" s="185">
        <f t="shared" si="295"/>
        <v>265845.00999999966</v>
      </c>
      <c r="X359" s="401" t="str">
        <f t="shared" si="282"/>
        <v xml:space="preserve"> </v>
      </c>
      <c r="Y359" s="185">
        <f t="shared" si="265"/>
        <v>165096.69000000047</v>
      </c>
      <c r="Z359" s="393">
        <f t="shared" si="273"/>
        <v>0.13125000000000001</v>
      </c>
      <c r="AA359" s="185">
        <f t="shared" si="274"/>
        <v>10874</v>
      </c>
      <c r="AB359" s="185">
        <f t="shared" si="275"/>
        <v>9068.25</v>
      </c>
      <c r="AC359" s="185">
        <f t="shared" si="276"/>
        <v>1805.75</v>
      </c>
      <c r="AD359" s="185">
        <f t="shared" si="300"/>
        <v>134.16999999999999</v>
      </c>
      <c r="AE359" s="185">
        <f t="shared" si="300"/>
        <v>188.55</v>
      </c>
      <c r="AF359" s="185">
        <f t="shared" si="277"/>
        <v>11196.72</v>
      </c>
      <c r="AG359" s="185">
        <f t="shared" si="296"/>
        <v>829689.65000000014</v>
      </c>
      <c r="AH359" s="185">
        <f t="shared" si="297"/>
        <v>2796193.3499999992</v>
      </c>
      <c r="AI359" s="411">
        <f t="shared" si="259"/>
        <v>3063656.2200000077</v>
      </c>
      <c r="AJ359" s="411">
        <f t="shared" si="299"/>
        <v>109816.56999999919</v>
      </c>
      <c r="AK359" s="411">
        <f t="shared" si="260"/>
        <v>3173472.790000007</v>
      </c>
      <c r="AL359" s="185">
        <f t="shared" si="266"/>
        <v>156028.44000000047</v>
      </c>
      <c r="AM359" s="317">
        <f t="shared" si="283"/>
        <v>28</v>
      </c>
      <c r="AN359" s="14">
        <f t="shared" si="261"/>
        <v>19533.41</v>
      </c>
      <c r="AO359" s="14">
        <f t="shared" si="252"/>
        <v>265845.01</v>
      </c>
      <c r="AP359" s="14">
        <f t="shared" si="262"/>
        <v>10874</v>
      </c>
      <c r="AS359" s="14">
        <f t="shared" si="278"/>
        <v>19533.41</v>
      </c>
      <c r="AT359" s="14">
        <f t="shared" si="284"/>
        <v>6719012.4800000312</v>
      </c>
      <c r="AU359" s="185">
        <f t="shared" si="285"/>
        <v>5805.0204057478104</v>
      </c>
      <c r="AV359" s="185">
        <f t="shared" si="286"/>
        <v>1341713.1827048718</v>
      </c>
    </row>
    <row r="360" spans="1:48">
      <c r="A360" s="401" t="str">
        <f t="shared" si="287"/>
        <v xml:space="preserve"> </v>
      </c>
      <c r="B360" s="185">
        <f t="shared" si="279"/>
        <v>0</v>
      </c>
      <c r="C360" s="14">
        <f t="shared" si="270"/>
        <v>0</v>
      </c>
      <c r="D360" s="14">
        <f t="shared" si="288"/>
        <v>0</v>
      </c>
      <c r="E360" s="14">
        <f t="shared" si="271"/>
        <v>0</v>
      </c>
      <c r="F360" s="14">
        <f t="shared" si="298"/>
        <v>0</v>
      </c>
      <c r="G360" s="14">
        <f t="shared" si="298"/>
        <v>0</v>
      </c>
      <c r="H360" s="14">
        <f t="shared" si="256"/>
        <v>0</v>
      </c>
      <c r="I360" s="185">
        <f t="shared" si="289"/>
        <v>0</v>
      </c>
      <c r="J360" s="185">
        <f t="shared" si="290"/>
        <v>0</v>
      </c>
      <c r="K360" s="185">
        <f t="shared" si="291"/>
        <v>0</v>
      </c>
      <c r="L360" s="317">
        <f t="shared" si="253"/>
        <v>28</v>
      </c>
      <c r="M360" s="317">
        <f t="shared" si="280"/>
        <v>344</v>
      </c>
      <c r="N360" s="185">
        <f t="shared" si="281"/>
        <v>265845.00999999966</v>
      </c>
      <c r="O360" s="185">
        <f t="shared" si="263"/>
        <v>19533.41</v>
      </c>
      <c r="P360" s="185">
        <f t="shared" si="292"/>
        <v>14271.89</v>
      </c>
      <c r="Q360" s="185">
        <f t="shared" si="264"/>
        <v>5261.52</v>
      </c>
      <c r="R360" s="185">
        <f t="shared" si="301"/>
        <v>134.16999999999999</v>
      </c>
      <c r="S360" s="185">
        <f t="shared" si="301"/>
        <v>188.55</v>
      </c>
      <c r="T360" s="185">
        <f t="shared" si="257"/>
        <v>19856.129999999997</v>
      </c>
      <c r="U360" s="185">
        <f t="shared" si="293"/>
        <v>734526.88</v>
      </c>
      <c r="V360" s="185">
        <f t="shared" si="294"/>
        <v>6004499.5700000031</v>
      </c>
      <c r="W360" s="185">
        <f t="shared" si="295"/>
        <v>251573.11999999965</v>
      </c>
      <c r="X360" s="401" t="str">
        <f t="shared" si="282"/>
        <v xml:space="preserve"> </v>
      </c>
      <c r="Y360" s="185">
        <f t="shared" si="265"/>
        <v>156028.44000000047</v>
      </c>
      <c r="Z360" s="393">
        <f t="shared" si="273"/>
        <v>0.13125000000000001</v>
      </c>
      <c r="AA360" s="185">
        <f t="shared" si="274"/>
        <v>10874</v>
      </c>
      <c r="AB360" s="185">
        <f t="shared" si="275"/>
        <v>9167.44</v>
      </c>
      <c r="AC360" s="185">
        <f t="shared" si="276"/>
        <v>1706.56</v>
      </c>
      <c r="AD360" s="185">
        <f t="shared" si="300"/>
        <v>134.16999999999999</v>
      </c>
      <c r="AE360" s="185">
        <f t="shared" si="300"/>
        <v>188.55</v>
      </c>
      <c r="AF360" s="185">
        <f t="shared" si="277"/>
        <v>11196.72</v>
      </c>
      <c r="AG360" s="185">
        <f t="shared" si="296"/>
        <v>838857.09000000008</v>
      </c>
      <c r="AH360" s="185">
        <f t="shared" si="297"/>
        <v>2797899.9099999992</v>
      </c>
      <c r="AI360" s="411">
        <f t="shared" si="259"/>
        <v>3072315.6300000078</v>
      </c>
      <c r="AJ360" s="411">
        <f t="shared" si="299"/>
        <v>104712.11999999918</v>
      </c>
      <c r="AK360" s="411">
        <f t="shared" si="260"/>
        <v>3177027.750000007</v>
      </c>
      <c r="AL360" s="185">
        <f t="shared" si="266"/>
        <v>146861.00000000047</v>
      </c>
      <c r="AM360" s="317">
        <f t="shared" si="283"/>
        <v>28</v>
      </c>
      <c r="AN360" s="14">
        <f t="shared" si="261"/>
        <v>19533.41</v>
      </c>
      <c r="AO360" s="14">
        <f t="shared" si="252"/>
        <v>251573.12</v>
      </c>
      <c r="AP360" s="14">
        <f t="shared" si="262"/>
        <v>10874</v>
      </c>
      <c r="AS360" s="14">
        <f t="shared" si="278"/>
        <v>19533.41</v>
      </c>
      <c r="AT360" s="14">
        <f t="shared" si="284"/>
        <v>6738545.8900000313</v>
      </c>
      <c r="AU360" s="185">
        <f t="shared" si="285"/>
        <v>5819.5329567621784</v>
      </c>
      <c r="AV360" s="185">
        <f t="shared" si="286"/>
        <v>1347532.715661634</v>
      </c>
    </row>
    <row r="361" spans="1:48">
      <c r="A361" s="401" t="str">
        <f t="shared" si="287"/>
        <v xml:space="preserve"> </v>
      </c>
      <c r="B361" s="185">
        <f t="shared" si="279"/>
        <v>0</v>
      </c>
      <c r="C361" s="14">
        <f t="shared" si="270"/>
        <v>0</v>
      </c>
      <c r="D361" s="14">
        <f t="shared" si="288"/>
        <v>0</v>
      </c>
      <c r="E361" s="14">
        <f t="shared" si="271"/>
        <v>0</v>
      </c>
      <c r="F361" s="14">
        <f t="shared" si="298"/>
        <v>0</v>
      </c>
      <c r="G361" s="14">
        <f t="shared" si="298"/>
        <v>0</v>
      </c>
      <c r="H361" s="14">
        <f t="shared" si="256"/>
        <v>0</v>
      </c>
      <c r="I361" s="185">
        <f t="shared" si="289"/>
        <v>0</v>
      </c>
      <c r="J361" s="185">
        <f t="shared" si="290"/>
        <v>0</v>
      </c>
      <c r="K361" s="185">
        <f t="shared" si="291"/>
        <v>0</v>
      </c>
      <c r="L361" s="317">
        <f t="shared" si="253"/>
        <v>28</v>
      </c>
      <c r="M361" s="317">
        <f t="shared" si="280"/>
        <v>345</v>
      </c>
      <c r="N361" s="185">
        <f t="shared" si="281"/>
        <v>251573.11999999965</v>
      </c>
      <c r="O361" s="185">
        <f t="shared" si="263"/>
        <v>19533.41</v>
      </c>
      <c r="P361" s="185">
        <f t="shared" si="292"/>
        <v>14554.36</v>
      </c>
      <c r="Q361" s="185">
        <f t="shared" si="264"/>
        <v>4979.05</v>
      </c>
      <c r="R361" s="185">
        <f t="shared" si="301"/>
        <v>134.16999999999999</v>
      </c>
      <c r="S361" s="185">
        <f t="shared" si="301"/>
        <v>188.55</v>
      </c>
      <c r="T361" s="185">
        <f t="shared" si="257"/>
        <v>19856.129999999997</v>
      </c>
      <c r="U361" s="185">
        <f t="shared" si="293"/>
        <v>749081.24</v>
      </c>
      <c r="V361" s="185">
        <f t="shared" si="294"/>
        <v>6009478.6200000029</v>
      </c>
      <c r="W361" s="185">
        <f t="shared" si="295"/>
        <v>237018.75999999966</v>
      </c>
      <c r="X361" s="401" t="str">
        <f t="shared" si="282"/>
        <v xml:space="preserve"> </v>
      </c>
      <c r="Y361" s="185">
        <f t="shared" si="265"/>
        <v>146861.00000000047</v>
      </c>
      <c r="Z361" s="393">
        <f t="shared" si="273"/>
        <v>0.13125000000000001</v>
      </c>
      <c r="AA361" s="185">
        <f t="shared" si="274"/>
        <v>10874</v>
      </c>
      <c r="AB361" s="185">
        <f t="shared" si="275"/>
        <v>9267.7099999999991</v>
      </c>
      <c r="AC361" s="185">
        <f t="shared" si="276"/>
        <v>1606.29</v>
      </c>
      <c r="AD361" s="185">
        <f t="shared" si="300"/>
        <v>134.16999999999999</v>
      </c>
      <c r="AE361" s="185">
        <f t="shared" si="300"/>
        <v>188.55</v>
      </c>
      <c r="AF361" s="185">
        <f t="shared" si="277"/>
        <v>11196.72</v>
      </c>
      <c r="AG361" s="185">
        <f t="shared" si="296"/>
        <v>848124.8</v>
      </c>
      <c r="AH361" s="185">
        <f t="shared" si="297"/>
        <v>2799506.1999999993</v>
      </c>
      <c r="AI361" s="411">
        <f t="shared" si="259"/>
        <v>3080975.040000008</v>
      </c>
      <c r="AJ361" s="411">
        <f t="shared" si="299"/>
        <v>99425.469999999186</v>
      </c>
      <c r="AK361" s="411">
        <f t="shared" si="260"/>
        <v>3180400.5100000072</v>
      </c>
      <c r="AL361" s="185">
        <f t="shared" si="266"/>
        <v>137593.29000000047</v>
      </c>
      <c r="AM361" s="317">
        <f t="shared" si="283"/>
        <v>28</v>
      </c>
      <c r="AN361" s="14">
        <f t="shared" si="261"/>
        <v>19533.41</v>
      </c>
      <c r="AO361" s="14">
        <f t="shared" si="252"/>
        <v>237018.76</v>
      </c>
      <c r="AP361" s="14">
        <f t="shared" si="262"/>
        <v>10874</v>
      </c>
      <c r="AS361" s="14">
        <f t="shared" si="278"/>
        <v>19533.41</v>
      </c>
      <c r="AT361" s="14">
        <f t="shared" si="284"/>
        <v>6758079.3000000315</v>
      </c>
      <c r="AU361" s="185">
        <f t="shared" si="285"/>
        <v>5834.0817891540837</v>
      </c>
      <c r="AV361" s="185">
        <f t="shared" si="286"/>
        <v>1353366.7974507881</v>
      </c>
    </row>
    <row r="362" spans="1:48">
      <c r="A362" s="401" t="str">
        <f t="shared" si="287"/>
        <v xml:space="preserve"> </v>
      </c>
      <c r="B362" s="185">
        <f t="shared" si="279"/>
        <v>0</v>
      </c>
      <c r="C362" s="14">
        <f t="shared" si="270"/>
        <v>0</v>
      </c>
      <c r="D362" s="14">
        <f t="shared" si="288"/>
        <v>0</v>
      </c>
      <c r="E362" s="14">
        <f t="shared" si="271"/>
        <v>0</v>
      </c>
      <c r="F362" s="14">
        <f t="shared" si="298"/>
        <v>0</v>
      </c>
      <c r="G362" s="14">
        <f t="shared" si="298"/>
        <v>0</v>
      </c>
      <c r="H362" s="14">
        <f t="shared" si="256"/>
        <v>0</v>
      </c>
      <c r="I362" s="185">
        <f t="shared" si="289"/>
        <v>0</v>
      </c>
      <c r="J362" s="185">
        <f t="shared" si="290"/>
        <v>0</v>
      </c>
      <c r="K362" s="185">
        <f t="shared" si="291"/>
        <v>0</v>
      </c>
      <c r="L362" s="317">
        <f t="shared" si="253"/>
        <v>28</v>
      </c>
      <c r="M362" s="317">
        <f t="shared" si="280"/>
        <v>346</v>
      </c>
      <c r="N362" s="185">
        <f t="shared" si="281"/>
        <v>237018.75999999966</v>
      </c>
      <c r="O362" s="185">
        <f t="shared" si="263"/>
        <v>19533.41</v>
      </c>
      <c r="P362" s="185">
        <f t="shared" si="292"/>
        <v>14842.41</v>
      </c>
      <c r="Q362" s="185">
        <f t="shared" si="264"/>
        <v>4691</v>
      </c>
      <c r="R362" s="185">
        <f t="shared" si="301"/>
        <v>134.16999999999999</v>
      </c>
      <c r="S362" s="185">
        <f t="shared" si="301"/>
        <v>188.55</v>
      </c>
      <c r="T362" s="185">
        <f t="shared" si="257"/>
        <v>19856.129999999997</v>
      </c>
      <c r="U362" s="185">
        <f t="shared" si="293"/>
        <v>763923.65</v>
      </c>
      <c r="V362" s="185">
        <f t="shared" si="294"/>
        <v>6014169.6200000029</v>
      </c>
      <c r="W362" s="185">
        <f t="shared" si="295"/>
        <v>222176.34999999966</v>
      </c>
      <c r="X362" s="401" t="str">
        <f t="shared" si="282"/>
        <v xml:space="preserve"> </v>
      </c>
      <c r="Y362" s="185">
        <f t="shared" si="265"/>
        <v>137593.29000000047</v>
      </c>
      <c r="Z362" s="393">
        <f t="shared" si="273"/>
        <v>0.13125000000000001</v>
      </c>
      <c r="AA362" s="185">
        <f t="shared" si="274"/>
        <v>10874</v>
      </c>
      <c r="AB362" s="185">
        <f t="shared" si="275"/>
        <v>9369.07</v>
      </c>
      <c r="AC362" s="185">
        <f t="shared" si="276"/>
        <v>1504.93</v>
      </c>
      <c r="AD362" s="185">
        <f t="shared" si="300"/>
        <v>134.16999999999999</v>
      </c>
      <c r="AE362" s="185">
        <f t="shared" si="300"/>
        <v>188.55</v>
      </c>
      <c r="AF362" s="185">
        <f t="shared" si="277"/>
        <v>11196.72</v>
      </c>
      <c r="AG362" s="185">
        <f t="shared" si="296"/>
        <v>857493.87</v>
      </c>
      <c r="AH362" s="185">
        <f t="shared" si="297"/>
        <v>2801011.1299999994</v>
      </c>
      <c r="AI362" s="411">
        <f t="shared" si="259"/>
        <v>3089634.4500000081</v>
      </c>
      <c r="AJ362" s="411">
        <f t="shared" si="299"/>
        <v>93952.12999999919</v>
      </c>
      <c r="AK362" s="411">
        <f t="shared" si="260"/>
        <v>3183586.5800000075</v>
      </c>
      <c r="AL362" s="185">
        <f t="shared" si="266"/>
        <v>128224.22000000047</v>
      </c>
      <c r="AM362" s="317">
        <f t="shared" si="283"/>
        <v>28</v>
      </c>
      <c r="AN362" s="14">
        <f t="shared" si="261"/>
        <v>19533.41</v>
      </c>
      <c r="AO362" s="14">
        <f t="shared" si="252"/>
        <v>222176.34999999998</v>
      </c>
      <c r="AP362" s="14">
        <f t="shared" si="262"/>
        <v>10874</v>
      </c>
      <c r="AS362" s="14">
        <f t="shared" si="278"/>
        <v>19533.41</v>
      </c>
      <c r="AT362" s="14">
        <f t="shared" si="284"/>
        <v>6777612.7100000316</v>
      </c>
      <c r="AU362" s="185">
        <f t="shared" si="285"/>
        <v>5848.6669936269709</v>
      </c>
      <c r="AV362" s="185">
        <f t="shared" si="286"/>
        <v>1359215.4644444149</v>
      </c>
    </row>
    <row r="363" spans="1:48" ht="15.75" thickBot="1">
      <c r="A363" s="404" t="str">
        <f t="shared" si="287"/>
        <v xml:space="preserve"> </v>
      </c>
      <c r="B363" s="237">
        <f t="shared" si="279"/>
        <v>0</v>
      </c>
      <c r="C363" s="21">
        <f t="shared" si="270"/>
        <v>0</v>
      </c>
      <c r="D363" s="21">
        <f t="shared" si="288"/>
        <v>0</v>
      </c>
      <c r="E363" s="21">
        <f t="shared" si="271"/>
        <v>0</v>
      </c>
      <c r="F363" s="21">
        <f t="shared" ref="F363:G378" si="302">+F362</f>
        <v>0</v>
      </c>
      <c r="G363" s="21">
        <f t="shared" si="302"/>
        <v>0</v>
      </c>
      <c r="H363" s="21">
        <f t="shared" si="256"/>
        <v>0</v>
      </c>
      <c r="I363" s="237">
        <f t="shared" si="289"/>
        <v>0</v>
      </c>
      <c r="J363" s="237">
        <f t="shared" si="290"/>
        <v>0</v>
      </c>
      <c r="K363" s="237">
        <f t="shared" si="291"/>
        <v>0</v>
      </c>
      <c r="L363" s="318">
        <f t="shared" si="253"/>
        <v>28</v>
      </c>
      <c r="M363" s="318">
        <f t="shared" si="280"/>
        <v>347</v>
      </c>
      <c r="N363" s="237">
        <f t="shared" si="281"/>
        <v>222176.34999999966</v>
      </c>
      <c r="O363" s="237">
        <f t="shared" si="263"/>
        <v>19533.41</v>
      </c>
      <c r="P363" s="237">
        <f t="shared" si="292"/>
        <v>15136.17</v>
      </c>
      <c r="Q363" s="237">
        <f t="shared" si="264"/>
        <v>4397.24</v>
      </c>
      <c r="R363" s="237">
        <f t="shared" si="301"/>
        <v>134.16999999999999</v>
      </c>
      <c r="S363" s="237">
        <f t="shared" si="301"/>
        <v>188.55</v>
      </c>
      <c r="T363" s="237">
        <f t="shared" si="257"/>
        <v>19856.129999999997</v>
      </c>
      <c r="U363" s="237">
        <f t="shared" si="293"/>
        <v>779059.82000000007</v>
      </c>
      <c r="V363" s="237">
        <f t="shared" si="294"/>
        <v>6018566.8600000031</v>
      </c>
      <c r="W363" s="237">
        <f t="shared" si="295"/>
        <v>207040.17999999964</v>
      </c>
      <c r="X363" s="404" t="str">
        <f t="shared" si="282"/>
        <v xml:space="preserve"> </v>
      </c>
      <c r="Y363" s="237">
        <f t="shared" si="265"/>
        <v>128224.22000000047</v>
      </c>
      <c r="Z363" s="394">
        <f t="shared" si="273"/>
        <v>0.13125000000000001</v>
      </c>
      <c r="AA363" s="237">
        <f t="shared" si="274"/>
        <v>10874</v>
      </c>
      <c r="AB363" s="237">
        <f t="shared" si="275"/>
        <v>9471.5499999999993</v>
      </c>
      <c r="AC363" s="237">
        <f t="shared" si="276"/>
        <v>1402.45</v>
      </c>
      <c r="AD363" s="237">
        <f t="shared" si="300"/>
        <v>134.16999999999999</v>
      </c>
      <c r="AE363" s="237">
        <f t="shared" si="300"/>
        <v>188.55</v>
      </c>
      <c r="AF363" s="237">
        <f t="shared" si="277"/>
        <v>11196.72</v>
      </c>
      <c r="AG363" s="237">
        <f t="shared" si="296"/>
        <v>866965.42</v>
      </c>
      <c r="AH363" s="237">
        <f t="shared" si="297"/>
        <v>2802413.5799999996</v>
      </c>
      <c r="AI363" s="412">
        <f t="shared" si="259"/>
        <v>3098293.8600000083</v>
      </c>
      <c r="AJ363" s="412">
        <f t="shared" si="299"/>
        <v>88287.50999999918</v>
      </c>
      <c r="AK363" s="411">
        <f t="shared" si="260"/>
        <v>3186581.3700000076</v>
      </c>
      <c r="AL363" s="237">
        <f t="shared" si="266"/>
        <v>118752.67000000046</v>
      </c>
      <c r="AM363" s="318">
        <f t="shared" si="283"/>
        <v>28</v>
      </c>
      <c r="AN363" s="21">
        <f t="shared" si="261"/>
        <v>19533.41</v>
      </c>
      <c r="AO363" s="21">
        <f t="shared" si="252"/>
        <v>207040.17999999993</v>
      </c>
      <c r="AP363" s="21">
        <f t="shared" si="262"/>
        <v>10874</v>
      </c>
      <c r="AQ363" s="21"/>
      <c r="AR363" s="23"/>
      <c r="AS363" s="21">
        <f t="shared" si="278"/>
        <v>19533.41</v>
      </c>
      <c r="AT363" s="21">
        <f t="shared" si="284"/>
        <v>6797146.1200000318</v>
      </c>
      <c r="AU363" s="237">
        <f t="shared" si="285"/>
        <v>5863.2886611110371</v>
      </c>
      <c r="AV363" s="237">
        <f t="shared" si="286"/>
        <v>1365078.7531055261</v>
      </c>
    </row>
    <row r="364" spans="1:48">
      <c r="A364" s="401" t="str">
        <f t="shared" si="287"/>
        <v xml:space="preserve"> </v>
      </c>
      <c r="B364" s="185">
        <f t="shared" si="279"/>
        <v>0</v>
      </c>
      <c r="C364" s="14">
        <f t="shared" si="270"/>
        <v>0</v>
      </c>
      <c r="D364" s="14">
        <f t="shared" si="288"/>
        <v>0</v>
      </c>
      <c r="E364" s="14">
        <f t="shared" si="271"/>
        <v>0</v>
      </c>
      <c r="F364" s="14">
        <f t="shared" si="302"/>
        <v>0</v>
      </c>
      <c r="G364" s="14">
        <f t="shared" si="302"/>
        <v>0</v>
      </c>
      <c r="H364" s="14">
        <f t="shared" si="256"/>
        <v>0</v>
      </c>
      <c r="I364" s="185">
        <f t="shared" si="289"/>
        <v>0</v>
      </c>
      <c r="J364" s="185">
        <f t="shared" si="290"/>
        <v>0</v>
      </c>
      <c r="K364" s="185">
        <f t="shared" si="291"/>
        <v>0</v>
      </c>
      <c r="L364" s="317">
        <f t="shared" si="253"/>
        <v>29</v>
      </c>
      <c r="M364" s="317">
        <f t="shared" si="280"/>
        <v>348</v>
      </c>
      <c r="N364" s="185">
        <f t="shared" si="281"/>
        <v>207040.17999999964</v>
      </c>
      <c r="O364" s="185">
        <f t="shared" si="263"/>
        <v>19533.41</v>
      </c>
      <c r="P364" s="185">
        <f t="shared" si="292"/>
        <v>15435.74</v>
      </c>
      <c r="Q364" s="185">
        <f t="shared" si="264"/>
        <v>4097.67</v>
      </c>
      <c r="R364" s="185">
        <f t="shared" si="301"/>
        <v>134.16999999999999</v>
      </c>
      <c r="S364" s="185">
        <f t="shared" si="301"/>
        <v>188.55</v>
      </c>
      <c r="T364" s="185">
        <f t="shared" si="257"/>
        <v>19856.129999999997</v>
      </c>
      <c r="U364" s="185">
        <f t="shared" si="293"/>
        <v>794495.56</v>
      </c>
      <c r="V364" s="185">
        <f t="shared" si="294"/>
        <v>6022664.5300000031</v>
      </c>
      <c r="W364" s="185">
        <f t="shared" si="295"/>
        <v>191604.43999999965</v>
      </c>
      <c r="X364" s="401" t="str">
        <f t="shared" si="282"/>
        <v xml:space="preserve"> </v>
      </c>
      <c r="Y364" s="185">
        <f t="shared" si="265"/>
        <v>118752.67000000046</v>
      </c>
      <c r="Z364" s="393">
        <f t="shared" si="273"/>
        <v>0.13125000000000001</v>
      </c>
      <c r="AA364" s="185">
        <f t="shared" si="274"/>
        <v>10874</v>
      </c>
      <c r="AB364" s="185">
        <f t="shared" si="275"/>
        <v>9575.14</v>
      </c>
      <c r="AC364" s="185">
        <f t="shared" si="276"/>
        <v>1298.8599999999999</v>
      </c>
      <c r="AD364" s="185">
        <f t="shared" si="300"/>
        <v>134.16999999999999</v>
      </c>
      <c r="AE364" s="185">
        <f t="shared" si="300"/>
        <v>188.55</v>
      </c>
      <c r="AF364" s="185">
        <f t="shared" si="277"/>
        <v>11196.72</v>
      </c>
      <c r="AG364" s="185">
        <f t="shared" si="296"/>
        <v>876540.56</v>
      </c>
      <c r="AH364" s="185">
        <f t="shared" si="297"/>
        <v>2803712.4399999995</v>
      </c>
      <c r="AI364" s="411">
        <f t="shared" si="259"/>
        <v>3106953.2700000084</v>
      </c>
      <c r="AJ364" s="411">
        <f t="shared" si="299"/>
        <v>82426.909999999189</v>
      </c>
      <c r="AK364" s="411">
        <f t="shared" si="260"/>
        <v>3189380.1800000076</v>
      </c>
      <c r="AL364" s="185">
        <f t="shared" si="266"/>
        <v>109177.53000000046</v>
      </c>
      <c r="AM364" s="317">
        <f t="shared" si="283"/>
        <v>29</v>
      </c>
      <c r="AN364" s="14">
        <f t="shared" si="261"/>
        <v>19533.41</v>
      </c>
      <c r="AO364" s="14">
        <f t="shared" si="252"/>
        <v>191604.43999999994</v>
      </c>
      <c r="AP364" s="14">
        <f t="shared" si="262"/>
        <v>10874</v>
      </c>
      <c r="AS364" s="14">
        <f t="shared" si="278"/>
        <v>19533.41</v>
      </c>
      <c r="AT364" s="14">
        <f t="shared" si="284"/>
        <v>6816679.5300000319</v>
      </c>
      <c r="AU364" s="185">
        <f t="shared" si="285"/>
        <v>5877.9468827638148</v>
      </c>
      <c r="AV364" s="185">
        <f t="shared" si="286"/>
        <v>1370956.69998829</v>
      </c>
    </row>
    <row r="365" spans="1:48">
      <c r="A365" s="401" t="str">
        <f t="shared" si="287"/>
        <v xml:space="preserve"> </v>
      </c>
      <c r="B365" s="185">
        <f t="shared" si="279"/>
        <v>0</v>
      </c>
      <c r="C365" s="14">
        <f t="shared" si="270"/>
        <v>0</v>
      </c>
      <c r="D365" s="14">
        <f t="shared" si="288"/>
        <v>0</v>
      </c>
      <c r="E365" s="14">
        <f t="shared" si="271"/>
        <v>0</v>
      </c>
      <c r="F365" s="14">
        <f t="shared" si="302"/>
        <v>0</v>
      </c>
      <c r="G365" s="14">
        <f t="shared" si="302"/>
        <v>0</v>
      </c>
      <c r="H365" s="14">
        <f t="shared" si="256"/>
        <v>0</v>
      </c>
      <c r="I365" s="185">
        <f t="shared" si="289"/>
        <v>0</v>
      </c>
      <c r="J365" s="185">
        <f t="shared" si="290"/>
        <v>0</v>
      </c>
      <c r="K365" s="185">
        <f t="shared" si="291"/>
        <v>0</v>
      </c>
      <c r="L365" s="317">
        <f t="shared" si="253"/>
        <v>29</v>
      </c>
      <c r="M365" s="317">
        <f t="shared" si="280"/>
        <v>349</v>
      </c>
      <c r="N365" s="185">
        <f t="shared" si="281"/>
        <v>191604.43999999965</v>
      </c>
      <c r="O365" s="185">
        <f t="shared" si="263"/>
        <v>19533.41</v>
      </c>
      <c r="P365" s="185">
        <f t="shared" si="292"/>
        <v>15741.24</v>
      </c>
      <c r="Q365" s="185">
        <f t="shared" si="264"/>
        <v>3792.17</v>
      </c>
      <c r="R365" s="185">
        <f t="shared" si="301"/>
        <v>134.16999999999999</v>
      </c>
      <c r="S365" s="185">
        <f t="shared" si="301"/>
        <v>188.55</v>
      </c>
      <c r="T365" s="185">
        <f t="shared" si="257"/>
        <v>19856.129999999997</v>
      </c>
      <c r="U365" s="185">
        <f t="shared" si="293"/>
        <v>810236.8</v>
      </c>
      <c r="V365" s="185">
        <f t="shared" si="294"/>
        <v>6026456.700000003</v>
      </c>
      <c r="W365" s="185">
        <f t="shared" si="295"/>
        <v>175863.19999999966</v>
      </c>
      <c r="X365" s="401" t="str">
        <f t="shared" si="282"/>
        <v xml:space="preserve"> </v>
      </c>
      <c r="Y365" s="185">
        <f t="shared" si="265"/>
        <v>109177.53000000046</v>
      </c>
      <c r="Z365" s="393">
        <f t="shared" si="273"/>
        <v>0.13125000000000001</v>
      </c>
      <c r="AA365" s="185">
        <f t="shared" si="274"/>
        <v>10874</v>
      </c>
      <c r="AB365" s="185">
        <f t="shared" si="275"/>
        <v>9679.869999999999</v>
      </c>
      <c r="AC365" s="185">
        <f t="shared" si="276"/>
        <v>1194.1300000000001</v>
      </c>
      <c r="AD365" s="185">
        <f t="shared" ref="AD365:AE380" si="303">+AD364</f>
        <v>134.16999999999999</v>
      </c>
      <c r="AE365" s="185">
        <f t="shared" si="303"/>
        <v>188.55</v>
      </c>
      <c r="AF365" s="185">
        <f t="shared" si="277"/>
        <v>11196.72</v>
      </c>
      <c r="AG365" s="185">
        <f t="shared" si="296"/>
        <v>886220.43</v>
      </c>
      <c r="AH365" s="185">
        <f t="shared" si="297"/>
        <v>2804906.5699999994</v>
      </c>
      <c r="AI365" s="411">
        <f t="shared" si="259"/>
        <v>3115612.6800000085</v>
      </c>
      <c r="AJ365" s="411">
        <f t="shared" si="299"/>
        <v>76365.539999999193</v>
      </c>
      <c r="AK365" s="411">
        <f t="shared" si="260"/>
        <v>3191978.2200000077</v>
      </c>
      <c r="AL365" s="185">
        <f t="shared" si="266"/>
        <v>99497.660000000469</v>
      </c>
      <c r="AM365" s="317">
        <f t="shared" si="283"/>
        <v>29</v>
      </c>
      <c r="AN365" s="14">
        <f t="shared" si="261"/>
        <v>19533.41</v>
      </c>
      <c r="AO365" s="14">
        <f t="shared" si="252"/>
        <v>175863.19999999995</v>
      </c>
      <c r="AP365" s="14">
        <f t="shared" si="262"/>
        <v>10874</v>
      </c>
      <c r="AS365" s="14">
        <f t="shared" si="278"/>
        <v>19533.41</v>
      </c>
      <c r="AT365" s="14">
        <f t="shared" si="284"/>
        <v>6836212.9400000321</v>
      </c>
      <c r="AU365" s="185">
        <f t="shared" si="285"/>
        <v>5892.641749970724</v>
      </c>
      <c r="AV365" s="185">
        <f t="shared" si="286"/>
        <v>1376849.3417382606</v>
      </c>
    </row>
    <row r="366" spans="1:48">
      <c r="A366" s="401" t="str">
        <f t="shared" si="287"/>
        <v xml:space="preserve"> </v>
      </c>
      <c r="B366" s="185">
        <f t="shared" si="279"/>
        <v>0</v>
      </c>
      <c r="C366" s="14">
        <f t="shared" si="270"/>
        <v>0</v>
      </c>
      <c r="D366" s="14">
        <f t="shared" si="288"/>
        <v>0</v>
      </c>
      <c r="E366" s="14">
        <f t="shared" si="271"/>
        <v>0</v>
      </c>
      <c r="F366" s="14">
        <f t="shared" si="302"/>
        <v>0</v>
      </c>
      <c r="G366" s="14">
        <f t="shared" si="302"/>
        <v>0</v>
      </c>
      <c r="H366" s="14">
        <f t="shared" si="256"/>
        <v>0</v>
      </c>
      <c r="I366" s="185">
        <f t="shared" si="289"/>
        <v>0</v>
      </c>
      <c r="J366" s="185">
        <f t="shared" si="290"/>
        <v>0</v>
      </c>
      <c r="K366" s="185">
        <f t="shared" si="291"/>
        <v>0</v>
      </c>
      <c r="L366" s="317">
        <f t="shared" si="253"/>
        <v>29</v>
      </c>
      <c r="M366" s="317">
        <f t="shared" si="280"/>
        <v>350</v>
      </c>
      <c r="N366" s="185">
        <f t="shared" si="281"/>
        <v>175863.19999999966</v>
      </c>
      <c r="O366" s="185">
        <f t="shared" si="263"/>
        <v>19533.41</v>
      </c>
      <c r="P366" s="185">
        <f t="shared" si="292"/>
        <v>16052.779999999999</v>
      </c>
      <c r="Q366" s="185">
        <f t="shared" si="264"/>
        <v>3480.63</v>
      </c>
      <c r="R366" s="185">
        <f t="shared" si="301"/>
        <v>134.16999999999999</v>
      </c>
      <c r="S366" s="185">
        <f t="shared" si="301"/>
        <v>188.55</v>
      </c>
      <c r="T366" s="185">
        <f t="shared" si="257"/>
        <v>19856.129999999997</v>
      </c>
      <c r="U366" s="185">
        <f t="shared" si="293"/>
        <v>826289.58000000007</v>
      </c>
      <c r="V366" s="185">
        <f t="shared" si="294"/>
        <v>6029937.3300000029</v>
      </c>
      <c r="W366" s="185">
        <f t="shared" si="295"/>
        <v>159810.41999999966</v>
      </c>
      <c r="X366" s="401" t="str">
        <f t="shared" si="282"/>
        <v xml:space="preserve"> </v>
      </c>
      <c r="Y366" s="185">
        <f t="shared" si="265"/>
        <v>99497.660000000469</v>
      </c>
      <c r="Z366" s="393">
        <f t="shared" si="273"/>
        <v>0.13125000000000001</v>
      </c>
      <c r="AA366" s="185">
        <f t="shared" si="274"/>
        <v>10874</v>
      </c>
      <c r="AB366" s="185">
        <f t="shared" si="275"/>
        <v>9785.74</v>
      </c>
      <c r="AC366" s="185">
        <f t="shared" si="276"/>
        <v>1088.26</v>
      </c>
      <c r="AD366" s="185">
        <f t="shared" si="303"/>
        <v>134.16999999999999</v>
      </c>
      <c r="AE366" s="185">
        <f t="shared" si="303"/>
        <v>188.55</v>
      </c>
      <c r="AF366" s="185">
        <f t="shared" si="277"/>
        <v>11196.72</v>
      </c>
      <c r="AG366" s="185">
        <f t="shared" si="296"/>
        <v>896006.17</v>
      </c>
      <c r="AH366" s="185">
        <f t="shared" si="297"/>
        <v>2805994.8299999991</v>
      </c>
      <c r="AI366" s="411">
        <f t="shared" si="259"/>
        <v>3124272.0900000087</v>
      </c>
      <c r="AJ366" s="411">
        <f t="shared" si="299"/>
        <v>70098.4999999992</v>
      </c>
      <c r="AK366" s="411">
        <f t="shared" si="260"/>
        <v>3194370.5900000078</v>
      </c>
      <c r="AL366" s="185">
        <f t="shared" si="266"/>
        <v>89711.920000000464</v>
      </c>
      <c r="AM366" s="317">
        <f t="shared" si="283"/>
        <v>29</v>
      </c>
      <c r="AN366" s="14">
        <f t="shared" si="261"/>
        <v>19533.41</v>
      </c>
      <c r="AO366" s="14">
        <f t="shared" ref="AO366:AO429" si="304">IF(W366&lt;=0,0,+$AA$6-$C$2+I366-U366)</f>
        <v>159810.41999999993</v>
      </c>
      <c r="AP366" s="14">
        <f t="shared" si="262"/>
        <v>10874</v>
      </c>
      <c r="AS366" s="14">
        <f t="shared" si="278"/>
        <v>19533.41</v>
      </c>
      <c r="AT366" s="14">
        <f t="shared" si="284"/>
        <v>6855746.3500000322</v>
      </c>
      <c r="AU366" s="185">
        <f t="shared" si="285"/>
        <v>5907.373354345651</v>
      </c>
      <c r="AV366" s="185">
        <f t="shared" si="286"/>
        <v>1382756.7150926061</v>
      </c>
    </row>
    <row r="367" spans="1:48">
      <c r="A367" s="401" t="str">
        <f t="shared" si="287"/>
        <v xml:space="preserve"> </v>
      </c>
      <c r="B367" s="185">
        <f t="shared" si="279"/>
        <v>0</v>
      </c>
      <c r="C367" s="14">
        <f t="shared" si="270"/>
        <v>0</v>
      </c>
      <c r="D367" s="14">
        <f t="shared" si="288"/>
        <v>0</v>
      </c>
      <c r="E367" s="14">
        <f t="shared" si="271"/>
        <v>0</v>
      </c>
      <c r="F367" s="14">
        <f t="shared" si="302"/>
        <v>0</v>
      </c>
      <c r="G367" s="14">
        <f t="shared" si="302"/>
        <v>0</v>
      </c>
      <c r="H367" s="14">
        <f t="shared" si="256"/>
        <v>0</v>
      </c>
      <c r="I367" s="185">
        <f t="shared" si="289"/>
        <v>0</v>
      </c>
      <c r="J367" s="185">
        <f t="shared" si="290"/>
        <v>0</v>
      </c>
      <c r="K367" s="185">
        <f t="shared" si="291"/>
        <v>0</v>
      </c>
      <c r="L367" s="317">
        <f t="shared" si="253"/>
        <v>29</v>
      </c>
      <c r="M367" s="317">
        <f t="shared" si="280"/>
        <v>351</v>
      </c>
      <c r="N367" s="185">
        <f t="shared" si="281"/>
        <v>159810.41999999966</v>
      </c>
      <c r="O367" s="185">
        <f t="shared" si="263"/>
        <v>19533.41</v>
      </c>
      <c r="P367" s="185">
        <f t="shared" si="292"/>
        <v>16370.5</v>
      </c>
      <c r="Q367" s="185">
        <f t="shared" si="264"/>
        <v>3162.91</v>
      </c>
      <c r="R367" s="185">
        <f t="shared" si="301"/>
        <v>134.16999999999999</v>
      </c>
      <c r="S367" s="185">
        <f t="shared" si="301"/>
        <v>188.55</v>
      </c>
      <c r="T367" s="185">
        <f t="shared" si="257"/>
        <v>19856.129999999997</v>
      </c>
      <c r="U367" s="185">
        <f t="shared" si="293"/>
        <v>842660.08000000007</v>
      </c>
      <c r="V367" s="185">
        <f t="shared" si="294"/>
        <v>6033100.240000003</v>
      </c>
      <c r="W367" s="185">
        <f t="shared" si="295"/>
        <v>143439.91999999966</v>
      </c>
      <c r="X367" s="401" t="str">
        <f t="shared" si="282"/>
        <v xml:space="preserve"> </v>
      </c>
      <c r="Y367" s="185">
        <f t="shared" si="265"/>
        <v>89711.920000000464</v>
      </c>
      <c r="Z367" s="393">
        <f t="shared" si="273"/>
        <v>0.13125000000000001</v>
      </c>
      <c r="AA367" s="185">
        <f t="shared" si="274"/>
        <v>10874</v>
      </c>
      <c r="AB367" s="185">
        <f t="shared" si="275"/>
        <v>9892.7800000000007</v>
      </c>
      <c r="AC367" s="185">
        <f t="shared" si="276"/>
        <v>981.22</v>
      </c>
      <c r="AD367" s="185">
        <f t="shared" si="303"/>
        <v>134.16999999999999</v>
      </c>
      <c r="AE367" s="185">
        <f t="shared" si="303"/>
        <v>188.55</v>
      </c>
      <c r="AF367" s="185">
        <f t="shared" si="277"/>
        <v>11196.72</v>
      </c>
      <c r="AG367" s="185">
        <f t="shared" si="296"/>
        <v>905898.95000000007</v>
      </c>
      <c r="AH367" s="185">
        <f t="shared" si="297"/>
        <v>2806976.0499999993</v>
      </c>
      <c r="AI367" s="411">
        <f t="shared" si="259"/>
        <v>3132931.5000000088</v>
      </c>
      <c r="AJ367" s="411">
        <f t="shared" si="299"/>
        <v>63620.779999999198</v>
      </c>
      <c r="AK367" s="411">
        <f t="shared" si="260"/>
        <v>3196552.2800000082</v>
      </c>
      <c r="AL367" s="185">
        <f t="shared" si="266"/>
        <v>79819.140000000465</v>
      </c>
      <c r="AM367" s="317">
        <f t="shared" si="283"/>
        <v>29</v>
      </c>
      <c r="AN367" s="14">
        <f t="shared" si="261"/>
        <v>19533.41</v>
      </c>
      <c r="AO367" s="14">
        <f t="shared" si="304"/>
        <v>143439.91999999993</v>
      </c>
      <c r="AP367" s="14">
        <f t="shared" si="262"/>
        <v>10874</v>
      </c>
      <c r="AS367" s="14">
        <f t="shared" si="278"/>
        <v>19533.41</v>
      </c>
      <c r="AT367" s="14">
        <f t="shared" si="284"/>
        <v>6875279.7600000324</v>
      </c>
      <c r="AU367" s="185">
        <f t="shared" si="285"/>
        <v>5922.1417877315143</v>
      </c>
      <c r="AV367" s="185">
        <f t="shared" si="286"/>
        <v>1388678.8568803377</v>
      </c>
    </row>
    <row r="368" spans="1:48">
      <c r="A368" s="401" t="str">
        <f t="shared" si="287"/>
        <v xml:space="preserve"> </v>
      </c>
      <c r="B368" s="185">
        <f t="shared" si="279"/>
        <v>0</v>
      </c>
      <c r="C368" s="14">
        <f t="shared" si="270"/>
        <v>0</v>
      </c>
      <c r="D368" s="14">
        <f t="shared" si="288"/>
        <v>0</v>
      </c>
      <c r="E368" s="14">
        <f t="shared" si="271"/>
        <v>0</v>
      </c>
      <c r="F368" s="14">
        <f t="shared" si="302"/>
        <v>0</v>
      </c>
      <c r="G368" s="14">
        <f t="shared" si="302"/>
        <v>0</v>
      </c>
      <c r="H368" s="14">
        <f t="shared" si="256"/>
        <v>0</v>
      </c>
      <c r="I368" s="185">
        <f t="shared" si="289"/>
        <v>0</v>
      </c>
      <c r="J368" s="185">
        <f t="shared" si="290"/>
        <v>0</v>
      </c>
      <c r="K368" s="185">
        <f t="shared" si="291"/>
        <v>0</v>
      </c>
      <c r="L368" s="317">
        <f t="shared" ref="L368:L431" si="305">IF(MOD(M368,12)=0,M368/12,L367)</f>
        <v>29</v>
      </c>
      <c r="M368" s="317">
        <f t="shared" si="280"/>
        <v>352</v>
      </c>
      <c r="N368" s="185">
        <f t="shared" si="281"/>
        <v>143439.91999999966</v>
      </c>
      <c r="O368" s="185">
        <f t="shared" si="263"/>
        <v>19533.41</v>
      </c>
      <c r="P368" s="185">
        <f t="shared" si="292"/>
        <v>16694.489999999998</v>
      </c>
      <c r="Q368" s="185">
        <f t="shared" si="264"/>
        <v>2838.92</v>
      </c>
      <c r="R368" s="185">
        <f t="shared" ref="R368:S383" si="306">+R367</f>
        <v>134.16999999999999</v>
      </c>
      <c r="S368" s="185">
        <f t="shared" si="306"/>
        <v>188.55</v>
      </c>
      <c r="T368" s="185">
        <f t="shared" si="257"/>
        <v>19856.129999999994</v>
      </c>
      <c r="U368" s="185">
        <f t="shared" si="293"/>
        <v>859354.57000000007</v>
      </c>
      <c r="V368" s="185">
        <f t="shared" si="294"/>
        <v>6035939.1600000029</v>
      </c>
      <c r="W368" s="185">
        <f t="shared" si="295"/>
        <v>126745.42999999967</v>
      </c>
      <c r="X368" s="401" t="str">
        <f t="shared" si="282"/>
        <v xml:space="preserve"> </v>
      </c>
      <c r="Y368" s="185">
        <f t="shared" si="265"/>
        <v>79819.140000000465</v>
      </c>
      <c r="Z368" s="393">
        <f t="shared" si="273"/>
        <v>0.13125000000000001</v>
      </c>
      <c r="AA368" s="185">
        <f t="shared" si="274"/>
        <v>10874</v>
      </c>
      <c r="AB368" s="185">
        <f t="shared" si="275"/>
        <v>10000.98</v>
      </c>
      <c r="AC368" s="185">
        <f t="shared" si="276"/>
        <v>873.02</v>
      </c>
      <c r="AD368" s="185">
        <f t="shared" si="303"/>
        <v>134.16999999999999</v>
      </c>
      <c r="AE368" s="185">
        <f t="shared" si="303"/>
        <v>188.55</v>
      </c>
      <c r="AF368" s="185">
        <f t="shared" si="277"/>
        <v>11196.72</v>
      </c>
      <c r="AG368" s="185">
        <f t="shared" si="296"/>
        <v>915899.93</v>
      </c>
      <c r="AH368" s="185">
        <f t="shared" si="297"/>
        <v>2807849.0699999994</v>
      </c>
      <c r="AI368" s="411">
        <f t="shared" si="259"/>
        <v>3141590.910000009</v>
      </c>
      <c r="AJ368" s="411">
        <f t="shared" si="299"/>
        <v>56927.269999999204</v>
      </c>
      <c r="AK368" s="411">
        <f t="shared" si="260"/>
        <v>3198518.1800000081</v>
      </c>
      <c r="AL368" s="185">
        <f t="shared" si="266"/>
        <v>69818.160000000469</v>
      </c>
      <c r="AM368" s="317">
        <f t="shared" si="283"/>
        <v>29</v>
      </c>
      <c r="AN368" s="14">
        <f t="shared" si="261"/>
        <v>19533.41</v>
      </c>
      <c r="AO368" s="14">
        <f t="shared" si="304"/>
        <v>126745.42999999993</v>
      </c>
      <c r="AP368" s="14">
        <f t="shared" si="262"/>
        <v>10874</v>
      </c>
      <c r="AS368" s="14">
        <f t="shared" si="278"/>
        <v>19533.41</v>
      </c>
      <c r="AT368" s="14">
        <f t="shared" si="284"/>
        <v>6894813.1700000325</v>
      </c>
      <c r="AU368" s="185">
        <f t="shared" si="285"/>
        <v>5936.9471422008437</v>
      </c>
      <c r="AV368" s="185">
        <f t="shared" si="286"/>
        <v>1394615.8040225385</v>
      </c>
    </row>
    <row r="369" spans="1:48">
      <c r="A369" s="401" t="str">
        <f t="shared" si="287"/>
        <v xml:space="preserve"> </v>
      </c>
      <c r="B369" s="185">
        <f t="shared" si="279"/>
        <v>0</v>
      </c>
      <c r="C369" s="14">
        <f t="shared" si="270"/>
        <v>0</v>
      </c>
      <c r="D369" s="14">
        <f t="shared" si="288"/>
        <v>0</v>
      </c>
      <c r="E369" s="14">
        <f t="shared" si="271"/>
        <v>0</v>
      </c>
      <c r="F369" s="14">
        <f t="shared" si="302"/>
        <v>0</v>
      </c>
      <c r="G369" s="14">
        <f t="shared" si="302"/>
        <v>0</v>
      </c>
      <c r="H369" s="14">
        <f t="shared" si="256"/>
        <v>0</v>
      </c>
      <c r="I369" s="185">
        <f t="shared" si="289"/>
        <v>0</v>
      </c>
      <c r="J369" s="185">
        <f t="shared" si="290"/>
        <v>0</v>
      </c>
      <c r="K369" s="185">
        <f t="shared" si="291"/>
        <v>0</v>
      </c>
      <c r="L369" s="317">
        <f t="shared" si="305"/>
        <v>29</v>
      </c>
      <c r="M369" s="317">
        <f t="shared" si="280"/>
        <v>353</v>
      </c>
      <c r="N369" s="185">
        <f t="shared" si="281"/>
        <v>126745.42999999967</v>
      </c>
      <c r="O369" s="185">
        <f t="shared" si="263"/>
        <v>19533.41</v>
      </c>
      <c r="P369" s="185">
        <f t="shared" si="292"/>
        <v>17024.91</v>
      </c>
      <c r="Q369" s="185">
        <f t="shared" si="264"/>
        <v>2508.5</v>
      </c>
      <c r="R369" s="185">
        <f t="shared" si="306"/>
        <v>134.16999999999999</v>
      </c>
      <c r="S369" s="185">
        <f t="shared" si="306"/>
        <v>188.55</v>
      </c>
      <c r="T369" s="185">
        <f t="shared" si="257"/>
        <v>19856.129999999997</v>
      </c>
      <c r="U369" s="185">
        <f t="shared" si="293"/>
        <v>876379.4800000001</v>
      </c>
      <c r="V369" s="185">
        <f t="shared" si="294"/>
        <v>6038447.6600000029</v>
      </c>
      <c r="W369" s="185">
        <f t="shared" si="295"/>
        <v>109720.51999999967</v>
      </c>
      <c r="X369" s="401" t="str">
        <f t="shared" si="282"/>
        <v xml:space="preserve"> </v>
      </c>
      <c r="Y369" s="185">
        <f t="shared" si="265"/>
        <v>69818.160000000469</v>
      </c>
      <c r="Z369" s="393">
        <f t="shared" si="273"/>
        <v>0.13125000000000001</v>
      </c>
      <c r="AA369" s="185">
        <f t="shared" si="274"/>
        <v>10874</v>
      </c>
      <c r="AB369" s="185">
        <f t="shared" si="275"/>
        <v>10110.36</v>
      </c>
      <c r="AC369" s="185">
        <f t="shared" si="276"/>
        <v>763.64</v>
      </c>
      <c r="AD369" s="185">
        <f t="shared" si="303"/>
        <v>134.16999999999999</v>
      </c>
      <c r="AE369" s="185">
        <f t="shared" si="303"/>
        <v>188.55</v>
      </c>
      <c r="AF369" s="185">
        <f t="shared" si="277"/>
        <v>11196.72</v>
      </c>
      <c r="AG369" s="185">
        <f t="shared" si="296"/>
        <v>926010.29</v>
      </c>
      <c r="AH369" s="185">
        <f t="shared" si="297"/>
        <v>2808612.7099999995</v>
      </c>
      <c r="AI369" s="411">
        <f t="shared" si="259"/>
        <v>3150250.3200000091</v>
      </c>
      <c r="AJ369" s="411">
        <f t="shared" si="299"/>
        <v>50012.719999999201</v>
      </c>
      <c r="AK369" s="411">
        <f t="shared" si="260"/>
        <v>3200263.0400000084</v>
      </c>
      <c r="AL369" s="185">
        <f t="shared" si="266"/>
        <v>59707.800000000469</v>
      </c>
      <c r="AM369" s="317">
        <f t="shared" si="283"/>
        <v>29</v>
      </c>
      <c r="AN369" s="14">
        <f t="shared" si="261"/>
        <v>19533.41</v>
      </c>
      <c r="AO369" s="14">
        <f t="shared" si="304"/>
        <v>109720.5199999999</v>
      </c>
      <c r="AP369" s="14">
        <f t="shared" si="262"/>
        <v>10874</v>
      </c>
      <c r="AS369" s="14">
        <f t="shared" si="278"/>
        <v>19533.41</v>
      </c>
      <c r="AT369" s="14">
        <f t="shared" si="284"/>
        <v>6914346.5800000327</v>
      </c>
      <c r="AU369" s="185">
        <f t="shared" si="285"/>
        <v>5951.7895100563464</v>
      </c>
      <c r="AV369" s="185">
        <f t="shared" si="286"/>
        <v>1400567.5935325949</v>
      </c>
    </row>
    <row r="370" spans="1:48">
      <c r="A370" s="401" t="str">
        <f t="shared" si="287"/>
        <v xml:space="preserve"> </v>
      </c>
      <c r="B370" s="185">
        <f t="shared" si="279"/>
        <v>0</v>
      </c>
      <c r="C370" s="14">
        <f t="shared" si="270"/>
        <v>0</v>
      </c>
      <c r="D370" s="14">
        <f t="shared" si="288"/>
        <v>0</v>
      </c>
      <c r="E370" s="14">
        <f t="shared" si="271"/>
        <v>0</v>
      </c>
      <c r="F370" s="14">
        <f t="shared" si="302"/>
        <v>0</v>
      </c>
      <c r="G370" s="14">
        <f t="shared" si="302"/>
        <v>0</v>
      </c>
      <c r="H370" s="14">
        <f t="shared" si="256"/>
        <v>0</v>
      </c>
      <c r="I370" s="185">
        <f t="shared" si="289"/>
        <v>0</v>
      </c>
      <c r="J370" s="185">
        <f t="shared" si="290"/>
        <v>0</v>
      </c>
      <c r="K370" s="185">
        <f t="shared" si="291"/>
        <v>0</v>
      </c>
      <c r="L370" s="317">
        <f t="shared" si="305"/>
        <v>29</v>
      </c>
      <c r="M370" s="317">
        <f t="shared" si="280"/>
        <v>354</v>
      </c>
      <c r="N370" s="185">
        <f t="shared" si="281"/>
        <v>109720.51999999967</v>
      </c>
      <c r="O370" s="185">
        <f t="shared" si="263"/>
        <v>19533.41</v>
      </c>
      <c r="P370" s="185">
        <f t="shared" si="292"/>
        <v>17361.86</v>
      </c>
      <c r="Q370" s="185">
        <f t="shared" si="264"/>
        <v>2171.5500000000002</v>
      </c>
      <c r="R370" s="185">
        <f t="shared" si="306"/>
        <v>134.16999999999999</v>
      </c>
      <c r="S370" s="185">
        <f t="shared" si="306"/>
        <v>188.55</v>
      </c>
      <c r="T370" s="185">
        <f t="shared" si="257"/>
        <v>19856.129999999997</v>
      </c>
      <c r="U370" s="185">
        <f t="shared" si="293"/>
        <v>893741.34000000008</v>
      </c>
      <c r="V370" s="185">
        <f t="shared" si="294"/>
        <v>6040619.2100000028</v>
      </c>
      <c r="W370" s="185">
        <f t="shared" si="295"/>
        <v>92358.659999999669</v>
      </c>
      <c r="X370" s="401" t="str">
        <f t="shared" si="282"/>
        <v xml:space="preserve"> </v>
      </c>
      <c r="Y370" s="185">
        <f t="shared" si="265"/>
        <v>59707.800000000469</v>
      </c>
      <c r="Z370" s="393">
        <f t="shared" si="273"/>
        <v>0.13125000000000001</v>
      </c>
      <c r="AA370" s="185">
        <f t="shared" si="274"/>
        <v>10874</v>
      </c>
      <c r="AB370" s="185">
        <f t="shared" si="275"/>
        <v>10220.950000000001</v>
      </c>
      <c r="AC370" s="185">
        <f t="shared" si="276"/>
        <v>653.04999999999995</v>
      </c>
      <c r="AD370" s="185">
        <f t="shared" si="303"/>
        <v>134.16999999999999</v>
      </c>
      <c r="AE370" s="185">
        <f t="shared" si="303"/>
        <v>188.55</v>
      </c>
      <c r="AF370" s="185">
        <f t="shared" si="277"/>
        <v>11196.72</v>
      </c>
      <c r="AG370" s="185">
        <f t="shared" si="296"/>
        <v>936231.24</v>
      </c>
      <c r="AH370" s="185">
        <f t="shared" si="297"/>
        <v>2809265.7599999993</v>
      </c>
      <c r="AI370" s="411">
        <f t="shared" si="259"/>
        <v>3158909.7300000093</v>
      </c>
      <c r="AJ370" s="411">
        <f t="shared" si="299"/>
        <v>42871.809999999197</v>
      </c>
      <c r="AK370" s="411">
        <f t="shared" si="260"/>
        <v>3201781.5400000084</v>
      </c>
      <c r="AL370" s="185">
        <f t="shared" si="266"/>
        <v>49486.850000000471</v>
      </c>
      <c r="AM370" s="317">
        <f t="shared" si="283"/>
        <v>29</v>
      </c>
      <c r="AN370" s="14">
        <f t="shared" si="261"/>
        <v>19533.41</v>
      </c>
      <c r="AO370" s="14">
        <f t="shared" si="304"/>
        <v>92358.659999999916</v>
      </c>
      <c r="AP370" s="14">
        <f t="shared" si="262"/>
        <v>10874</v>
      </c>
      <c r="AS370" s="14">
        <f t="shared" si="278"/>
        <v>19533.41</v>
      </c>
      <c r="AT370" s="14">
        <f t="shared" si="284"/>
        <v>6933879.9900000328</v>
      </c>
      <c r="AU370" s="185">
        <f t="shared" si="285"/>
        <v>5966.668983831486</v>
      </c>
      <c r="AV370" s="185">
        <f t="shared" si="286"/>
        <v>1406534.2625164264</v>
      </c>
    </row>
    <row r="371" spans="1:48">
      <c r="A371" s="401" t="str">
        <f t="shared" si="287"/>
        <v xml:space="preserve"> </v>
      </c>
      <c r="B371" s="185">
        <f t="shared" si="279"/>
        <v>0</v>
      </c>
      <c r="C371" s="14">
        <f t="shared" si="270"/>
        <v>0</v>
      </c>
      <c r="D371" s="14">
        <f t="shared" si="288"/>
        <v>0</v>
      </c>
      <c r="E371" s="14">
        <f t="shared" si="271"/>
        <v>0</v>
      </c>
      <c r="F371" s="14">
        <f t="shared" si="302"/>
        <v>0</v>
      </c>
      <c r="G371" s="14">
        <f t="shared" si="302"/>
        <v>0</v>
      </c>
      <c r="H371" s="14">
        <f t="shared" si="256"/>
        <v>0</v>
      </c>
      <c r="I371" s="185">
        <f t="shared" si="289"/>
        <v>0</v>
      </c>
      <c r="J371" s="185">
        <f t="shared" si="290"/>
        <v>0</v>
      </c>
      <c r="K371" s="185">
        <f t="shared" si="291"/>
        <v>0</v>
      </c>
      <c r="L371" s="317">
        <f t="shared" si="305"/>
        <v>29</v>
      </c>
      <c r="M371" s="317">
        <f t="shared" si="280"/>
        <v>355</v>
      </c>
      <c r="N371" s="185">
        <f t="shared" si="281"/>
        <v>92358.659999999669</v>
      </c>
      <c r="O371" s="185">
        <f t="shared" si="263"/>
        <v>19533.41</v>
      </c>
      <c r="P371" s="185">
        <f t="shared" si="292"/>
        <v>17705.48</v>
      </c>
      <c r="Q371" s="185">
        <f t="shared" si="264"/>
        <v>1827.93</v>
      </c>
      <c r="R371" s="185">
        <f t="shared" si="306"/>
        <v>134.16999999999999</v>
      </c>
      <c r="S371" s="185">
        <f t="shared" si="306"/>
        <v>188.55</v>
      </c>
      <c r="T371" s="185">
        <f t="shared" si="257"/>
        <v>19856.129999999997</v>
      </c>
      <c r="U371" s="185">
        <f t="shared" si="293"/>
        <v>911446.82000000007</v>
      </c>
      <c r="V371" s="185">
        <f t="shared" si="294"/>
        <v>6042447.1400000025</v>
      </c>
      <c r="W371" s="185">
        <f t="shared" si="295"/>
        <v>74653.179999999673</v>
      </c>
      <c r="X371" s="401" t="str">
        <f t="shared" si="282"/>
        <v xml:space="preserve"> </v>
      </c>
      <c r="Y371" s="185">
        <f t="shared" si="265"/>
        <v>49486.850000000471</v>
      </c>
      <c r="Z371" s="393">
        <f t="shared" si="273"/>
        <v>0.13125000000000001</v>
      </c>
      <c r="AA371" s="185">
        <f t="shared" si="274"/>
        <v>10874</v>
      </c>
      <c r="AB371" s="185">
        <f t="shared" si="275"/>
        <v>10332.74</v>
      </c>
      <c r="AC371" s="185">
        <f t="shared" si="276"/>
        <v>541.26</v>
      </c>
      <c r="AD371" s="185">
        <f t="shared" si="303"/>
        <v>134.16999999999999</v>
      </c>
      <c r="AE371" s="185">
        <f t="shared" si="303"/>
        <v>188.55</v>
      </c>
      <c r="AF371" s="185">
        <f t="shared" si="277"/>
        <v>11196.72</v>
      </c>
      <c r="AG371" s="185">
        <f t="shared" si="296"/>
        <v>946563.98</v>
      </c>
      <c r="AH371" s="185">
        <f t="shared" si="297"/>
        <v>2809807.0199999991</v>
      </c>
      <c r="AI371" s="411">
        <f t="shared" si="259"/>
        <v>3167569.1400000094</v>
      </c>
      <c r="AJ371" s="411">
        <f t="shared" si="299"/>
        <v>35499.069999999199</v>
      </c>
      <c r="AK371" s="411">
        <f t="shared" si="260"/>
        <v>3203068.2100000088</v>
      </c>
      <c r="AL371" s="185">
        <f t="shared" si="266"/>
        <v>39154.110000000474</v>
      </c>
      <c r="AM371" s="317">
        <f t="shared" si="283"/>
        <v>29</v>
      </c>
      <c r="AN371" s="14">
        <f t="shared" si="261"/>
        <v>19533.41</v>
      </c>
      <c r="AO371" s="14">
        <f t="shared" si="304"/>
        <v>74653.179999999935</v>
      </c>
      <c r="AP371" s="14">
        <f t="shared" si="262"/>
        <v>10874</v>
      </c>
      <c r="AS371" s="14">
        <f t="shared" si="278"/>
        <v>19533.41</v>
      </c>
      <c r="AT371" s="14">
        <f t="shared" si="284"/>
        <v>6953413.400000033</v>
      </c>
      <c r="AU371" s="185">
        <f t="shared" si="285"/>
        <v>5981.5856562910658</v>
      </c>
      <c r="AV371" s="185">
        <f t="shared" si="286"/>
        <v>1412515.8481727175</v>
      </c>
    </row>
    <row r="372" spans="1:48">
      <c r="A372" s="401" t="str">
        <f t="shared" si="287"/>
        <v xml:space="preserve"> </v>
      </c>
      <c r="B372" s="185">
        <f t="shared" si="279"/>
        <v>0</v>
      </c>
      <c r="C372" s="14">
        <f t="shared" si="270"/>
        <v>0</v>
      </c>
      <c r="D372" s="14">
        <f t="shared" si="288"/>
        <v>0</v>
      </c>
      <c r="E372" s="14">
        <f t="shared" si="271"/>
        <v>0</v>
      </c>
      <c r="F372" s="14">
        <f t="shared" si="302"/>
        <v>0</v>
      </c>
      <c r="G372" s="14">
        <f t="shared" si="302"/>
        <v>0</v>
      </c>
      <c r="H372" s="14">
        <f t="shared" si="256"/>
        <v>0</v>
      </c>
      <c r="I372" s="185">
        <f t="shared" si="289"/>
        <v>0</v>
      </c>
      <c r="J372" s="185">
        <f t="shared" si="290"/>
        <v>0</v>
      </c>
      <c r="K372" s="185">
        <f t="shared" si="291"/>
        <v>0</v>
      </c>
      <c r="L372" s="317">
        <f t="shared" si="305"/>
        <v>29</v>
      </c>
      <c r="M372" s="317">
        <f t="shared" si="280"/>
        <v>356</v>
      </c>
      <c r="N372" s="185">
        <f t="shared" si="281"/>
        <v>74653.179999999673</v>
      </c>
      <c r="O372" s="185">
        <f t="shared" si="263"/>
        <v>19533.41</v>
      </c>
      <c r="P372" s="185">
        <f t="shared" si="292"/>
        <v>18055.900000000001</v>
      </c>
      <c r="Q372" s="185">
        <f t="shared" si="264"/>
        <v>1477.51</v>
      </c>
      <c r="R372" s="185">
        <f t="shared" si="306"/>
        <v>134.16999999999999</v>
      </c>
      <c r="S372" s="185">
        <f t="shared" si="306"/>
        <v>188.55</v>
      </c>
      <c r="T372" s="185">
        <f t="shared" si="257"/>
        <v>19856.129999999997</v>
      </c>
      <c r="U372" s="185">
        <f t="shared" si="293"/>
        <v>929502.72000000009</v>
      </c>
      <c r="V372" s="185">
        <f t="shared" si="294"/>
        <v>6043924.6500000022</v>
      </c>
      <c r="W372" s="185">
        <f t="shared" si="295"/>
        <v>56597.279999999671</v>
      </c>
      <c r="X372" s="401" t="str">
        <f t="shared" si="282"/>
        <v xml:space="preserve"> </v>
      </c>
      <c r="Y372" s="185">
        <f t="shared" si="265"/>
        <v>39154.110000000474</v>
      </c>
      <c r="Z372" s="393">
        <f t="shared" si="273"/>
        <v>0.13125000000000001</v>
      </c>
      <c r="AA372" s="185">
        <f t="shared" si="274"/>
        <v>10874</v>
      </c>
      <c r="AB372" s="185">
        <f t="shared" si="275"/>
        <v>10445.75</v>
      </c>
      <c r="AC372" s="185">
        <f t="shared" si="276"/>
        <v>428.25</v>
      </c>
      <c r="AD372" s="185">
        <f t="shared" si="303"/>
        <v>134.16999999999999</v>
      </c>
      <c r="AE372" s="185">
        <f t="shared" si="303"/>
        <v>188.55</v>
      </c>
      <c r="AF372" s="185">
        <f t="shared" si="277"/>
        <v>11196.72</v>
      </c>
      <c r="AG372" s="185">
        <f t="shared" si="296"/>
        <v>957009.73</v>
      </c>
      <c r="AH372" s="185">
        <f t="shared" si="297"/>
        <v>2810235.2699999991</v>
      </c>
      <c r="AI372" s="411">
        <f t="shared" si="259"/>
        <v>3176228.5500000096</v>
      </c>
      <c r="AJ372" s="411">
        <f t="shared" si="299"/>
        <v>27888.919999999198</v>
      </c>
      <c r="AK372" s="411">
        <f t="shared" si="260"/>
        <v>3204117.4700000086</v>
      </c>
      <c r="AL372" s="185">
        <f t="shared" si="266"/>
        <v>28708.360000000474</v>
      </c>
      <c r="AM372" s="317">
        <f t="shared" si="283"/>
        <v>29</v>
      </c>
      <c r="AN372" s="14">
        <f t="shared" si="261"/>
        <v>19533.41</v>
      </c>
      <c r="AO372" s="14">
        <f t="shared" si="304"/>
        <v>56597.279999999912</v>
      </c>
      <c r="AP372" s="14">
        <f t="shared" si="262"/>
        <v>10874</v>
      </c>
      <c r="AS372" s="14">
        <f t="shared" si="278"/>
        <v>19533.41</v>
      </c>
      <c r="AT372" s="14">
        <f t="shared" si="284"/>
        <v>6972946.8100000331</v>
      </c>
      <c r="AU372" s="185">
        <f t="shared" si="285"/>
        <v>5996.539620431794</v>
      </c>
      <c r="AV372" s="185">
        <f t="shared" si="286"/>
        <v>1418512.3877931493</v>
      </c>
    </row>
    <row r="373" spans="1:48">
      <c r="A373" s="401" t="str">
        <f t="shared" si="287"/>
        <v xml:space="preserve"> </v>
      </c>
      <c r="B373" s="185">
        <f t="shared" si="279"/>
        <v>0</v>
      </c>
      <c r="C373" s="14">
        <f t="shared" si="270"/>
        <v>0</v>
      </c>
      <c r="D373" s="14">
        <f t="shared" si="288"/>
        <v>0</v>
      </c>
      <c r="E373" s="14">
        <f t="shared" si="271"/>
        <v>0</v>
      </c>
      <c r="F373" s="14">
        <f t="shared" si="302"/>
        <v>0</v>
      </c>
      <c r="G373" s="14">
        <f t="shared" si="302"/>
        <v>0</v>
      </c>
      <c r="H373" s="14">
        <f t="shared" si="256"/>
        <v>0</v>
      </c>
      <c r="I373" s="185">
        <f t="shared" si="289"/>
        <v>0</v>
      </c>
      <c r="J373" s="185">
        <f t="shared" si="290"/>
        <v>0</v>
      </c>
      <c r="K373" s="185">
        <f t="shared" si="291"/>
        <v>0</v>
      </c>
      <c r="L373" s="317">
        <f t="shared" si="305"/>
        <v>29</v>
      </c>
      <c r="M373" s="317">
        <f t="shared" si="280"/>
        <v>357</v>
      </c>
      <c r="N373" s="185">
        <f t="shared" si="281"/>
        <v>56597.279999999671</v>
      </c>
      <c r="O373" s="185">
        <f t="shared" si="263"/>
        <v>19533.41</v>
      </c>
      <c r="P373" s="185">
        <f t="shared" si="292"/>
        <v>18413.259999999998</v>
      </c>
      <c r="Q373" s="185">
        <f t="shared" si="264"/>
        <v>1120.1500000000001</v>
      </c>
      <c r="R373" s="185">
        <f t="shared" si="306"/>
        <v>134.16999999999999</v>
      </c>
      <c r="S373" s="185">
        <f t="shared" si="306"/>
        <v>188.55</v>
      </c>
      <c r="T373" s="185">
        <f t="shared" si="257"/>
        <v>19856.129999999997</v>
      </c>
      <c r="U373" s="185">
        <f t="shared" si="293"/>
        <v>947915.9800000001</v>
      </c>
      <c r="V373" s="185">
        <f t="shared" si="294"/>
        <v>6045044.8000000026</v>
      </c>
      <c r="W373" s="185">
        <f t="shared" si="295"/>
        <v>38184.019999999669</v>
      </c>
      <c r="X373" s="401" t="str">
        <f t="shared" si="282"/>
        <v xml:space="preserve"> </v>
      </c>
      <c r="Y373" s="185">
        <f t="shared" si="265"/>
        <v>28708.360000000474</v>
      </c>
      <c r="Z373" s="393">
        <f t="shared" si="273"/>
        <v>0.13125000000000001</v>
      </c>
      <c r="AA373" s="185">
        <f t="shared" si="274"/>
        <v>10874</v>
      </c>
      <c r="AB373" s="185">
        <f t="shared" si="275"/>
        <v>10560</v>
      </c>
      <c r="AC373" s="185">
        <f t="shared" si="276"/>
        <v>314</v>
      </c>
      <c r="AD373" s="185">
        <f t="shared" si="303"/>
        <v>134.16999999999999</v>
      </c>
      <c r="AE373" s="185">
        <f t="shared" si="303"/>
        <v>188.55</v>
      </c>
      <c r="AF373" s="185">
        <f t="shared" si="277"/>
        <v>11196.72</v>
      </c>
      <c r="AG373" s="185">
        <f t="shared" si="296"/>
        <v>967569.73</v>
      </c>
      <c r="AH373" s="185">
        <f t="shared" si="297"/>
        <v>2810549.2699999991</v>
      </c>
      <c r="AI373" s="411">
        <f t="shared" si="259"/>
        <v>3184887.9600000097</v>
      </c>
      <c r="AJ373" s="411">
        <f t="shared" si="299"/>
        <v>20035.659999999196</v>
      </c>
      <c r="AK373" s="411">
        <f t="shared" si="260"/>
        <v>3204923.620000009</v>
      </c>
      <c r="AL373" s="185">
        <f t="shared" si="266"/>
        <v>18148.360000000474</v>
      </c>
      <c r="AM373" s="317">
        <f t="shared" si="283"/>
        <v>29</v>
      </c>
      <c r="AN373" s="14">
        <f t="shared" si="261"/>
        <v>19533.41</v>
      </c>
      <c r="AO373" s="14">
        <f t="shared" si="304"/>
        <v>38184.019999999902</v>
      </c>
      <c r="AP373" s="14">
        <f t="shared" si="262"/>
        <v>10874</v>
      </c>
      <c r="AS373" s="14">
        <f t="shared" si="278"/>
        <v>19533.41</v>
      </c>
      <c r="AT373" s="14">
        <f t="shared" si="284"/>
        <v>6992480.2200000333</v>
      </c>
      <c r="AU373" s="185">
        <f t="shared" si="285"/>
        <v>6011.5309694828729</v>
      </c>
      <c r="AV373" s="185">
        <f t="shared" si="286"/>
        <v>1424523.9187626322</v>
      </c>
    </row>
    <row r="374" spans="1:48">
      <c r="A374" s="401" t="str">
        <f t="shared" si="287"/>
        <v xml:space="preserve"> </v>
      </c>
      <c r="B374" s="185">
        <f t="shared" si="279"/>
        <v>0</v>
      </c>
      <c r="C374" s="14">
        <f t="shared" si="270"/>
        <v>0</v>
      </c>
      <c r="D374" s="14">
        <f t="shared" si="288"/>
        <v>0</v>
      </c>
      <c r="E374" s="14">
        <f t="shared" si="271"/>
        <v>0</v>
      </c>
      <c r="F374" s="14">
        <f t="shared" si="302"/>
        <v>0</v>
      </c>
      <c r="G374" s="14">
        <f t="shared" si="302"/>
        <v>0</v>
      </c>
      <c r="H374" s="14">
        <f t="shared" si="256"/>
        <v>0</v>
      </c>
      <c r="I374" s="185">
        <f t="shared" si="289"/>
        <v>0</v>
      </c>
      <c r="J374" s="185">
        <f t="shared" si="290"/>
        <v>0</v>
      </c>
      <c r="K374" s="185">
        <f t="shared" si="291"/>
        <v>0</v>
      </c>
      <c r="L374" s="317">
        <f t="shared" si="305"/>
        <v>29</v>
      </c>
      <c r="M374" s="317">
        <f t="shared" si="280"/>
        <v>358</v>
      </c>
      <c r="N374" s="185">
        <f t="shared" si="281"/>
        <v>38184.019999999669</v>
      </c>
      <c r="O374" s="185">
        <f t="shared" si="263"/>
        <v>19533.41</v>
      </c>
      <c r="P374" s="185">
        <f t="shared" si="292"/>
        <v>18777.68</v>
      </c>
      <c r="Q374" s="185">
        <f t="shared" si="264"/>
        <v>755.73</v>
      </c>
      <c r="R374" s="185">
        <f t="shared" si="306"/>
        <v>134.16999999999999</v>
      </c>
      <c r="S374" s="185">
        <f t="shared" si="306"/>
        <v>188.55</v>
      </c>
      <c r="T374" s="185">
        <f t="shared" si="257"/>
        <v>19856.129999999997</v>
      </c>
      <c r="U374" s="185">
        <f t="shared" si="293"/>
        <v>966693.66000000015</v>
      </c>
      <c r="V374" s="185">
        <f t="shared" si="294"/>
        <v>6045800.5300000031</v>
      </c>
      <c r="W374" s="185">
        <f t="shared" si="295"/>
        <v>19406.339999999669</v>
      </c>
      <c r="X374" s="401" t="str">
        <f t="shared" si="282"/>
        <v xml:space="preserve"> </v>
      </c>
      <c r="Y374" s="185">
        <f t="shared" si="265"/>
        <v>18148.360000000474</v>
      </c>
      <c r="Z374" s="393">
        <f t="shared" si="273"/>
        <v>0.13125000000000001</v>
      </c>
      <c r="AA374" s="185">
        <f t="shared" si="274"/>
        <v>10874</v>
      </c>
      <c r="AB374" s="185">
        <f t="shared" si="275"/>
        <v>10675.5</v>
      </c>
      <c r="AC374" s="185">
        <f t="shared" si="276"/>
        <v>198.5</v>
      </c>
      <c r="AD374" s="185">
        <f t="shared" si="303"/>
        <v>134.16999999999999</v>
      </c>
      <c r="AE374" s="185">
        <f t="shared" si="303"/>
        <v>188.55</v>
      </c>
      <c r="AF374" s="185">
        <f t="shared" si="277"/>
        <v>11196.72</v>
      </c>
      <c r="AG374" s="185">
        <f t="shared" si="296"/>
        <v>978245.23</v>
      </c>
      <c r="AH374" s="185">
        <f t="shared" si="297"/>
        <v>2810747.7699999991</v>
      </c>
      <c r="AI374" s="411">
        <f t="shared" si="259"/>
        <v>3193547.3700000099</v>
      </c>
      <c r="AJ374" s="411">
        <f t="shared" si="299"/>
        <v>11933.479999999196</v>
      </c>
      <c r="AK374" s="411">
        <f t="shared" si="260"/>
        <v>3205480.8500000089</v>
      </c>
      <c r="AL374" s="185">
        <f t="shared" si="266"/>
        <v>7472.8600000004735</v>
      </c>
      <c r="AM374" s="317">
        <f t="shared" si="283"/>
        <v>29</v>
      </c>
      <c r="AN374" s="14">
        <f t="shared" si="261"/>
        <v>19533.41</v>
      </c>
      <c r="AO374" s="14">
        <f t="shared" si="304"/>
        <v>19406.339999999851</v>
      </c>
      <c r="AP374" s="14">
        <f t="shared" si="262"/>
        <v>10874</v>
      </c>
      <c r="AS374" s="14">
        <f t="shared" si="278"/>
        <v>19533.41</v>
      </c>
      <c r="AT374" s="14">
        <f t="shared" si="284"/>
        <v>7012013.6300000334</v>
      </c>
      <c r="AU374" s="185">
        <f t="shared" si="285"/>
        <v>6026.5597969065793</v>
      </c>
      <c r="AV374" s="185">
        <f t="shared" si="286"/>
        <v>1430550.4785595387</v>
      </c>
    </row>
    <row r="375" spans="1:48" ht="15.75" thickBot="1">
      <c r="A375" s="404" t="str">
        <f t="shared" si="287"/>
        <v xml:space="preserve"> </v>
      </c>
      <c r="B375" s="237">
        <f>IF(+K374&lt;0,0,+K374)</f>
        <v>0</v>
      </c>
      <c r="C375" s="21">
        <f t="shared" si="270"/>
        <v>0</v>
      </c>
      <c r="D375" s="21">
        <f t="shared" si="288"/>
        <v>0</v>
      </c>
      <c r="E375" s="21">
        <f t="shared" si="271"/>
        <v>0</v>
      </c>
      <c r="F375" s="21">
        <f t="shared" si="302"/>
        <v>0</v>
      </c>
      <c r="G375" s="21">
        <f t="shared" si="302"/>
        <v>0</v>
      </c>
      <c r="H375" s="21">
        <f t="shared" si="256"/>
        <v>0</v>
      </c>
      <c r="I375" s="237">
        <f t="shared" si="289"/>
        <v>0</v>
      </c>
      <c r="J375" s="237">
        <f t="shared" si="290"/>
        <v>0</v>
      </c>
      <c r="K375" s="237">
        <f t="shared" si="291"/>
        <v>0</v>
      </c>
      <c r="L375" s="318">
        <f t="shared" si="305"/>
        <v>29</v>
      </c>
      <c r="M375" s="318">
        <f t="shared" si="280"/>
        <v>359</v>
      </c>
      <c r="N375" s="237">
        <f t="shared" si="281"/>
        <v>19406.339999999669</v>
      </c>
      <c r="O375" s="237">
        <f t="shared" si="263"/>
        <v>19533.41</v>
      </c>
      <c r="P375" s="237">
        <f t="shared" si="292"/>
        <v>19149.329999999998</v>
      </c>
      <c r="Q375" s="237">
        <f t="shared" si="264"/>
        <v>384.08</v>
      </c>
      <c r="R375" s="237">
        <f t="shared" si="306"/>
        <v>134.16999999999999</v>
      </c>
      <c r="S375" s="237">
        <f t="shared" si="306"/>
        <v>188.55</v>
      </c>
      <c r="T375" s="237">
        <f t="shared" si="257"/>
        <v>19856.129999999997</v>
      </c>
      <c r="U375" s="237">
        <f t="shared" si="293"/>
        <v>985842.99000000011</v>
      </c>
      <c r="V375" s="237">
        <f t="shared" si="294"/>
        <v>6046184.6100000031</v>
      </c>
      <c r="W375" s="237">
        <f t="shared" si="295"/>
        <v>257.00999999967098</v>
      </c>
      <c r="X375" s="404" t="str">
        <f t="shared" si="282"/>
        <v xml:space="preserve"> </v>
      </c>
      <c r="Y375" s="237">
        <f t="shared" si="265"/>
        <v>7472.8600000004735</v>
      </c>
      <c r="Z375" s="394">
        <f t="shared" si="273"/>
        <v>0.13125000000000001</v>
      </c>
      <c r="AA375" s="237">
        <f t="shared" si="274"/>
        <v>10874</v>
      </c>
      <c r="AB375" s="237">
        <f t="shared" si="275"/>
        <v>10792.27</v>
      </c>
      <c r="AC375" s="237">
        <f t="shared" si="276"/>
        <v>81.73</v>
      </c>
      <c r="AD375" s="237">
        <f t="shared" si="303"/>
        <v>134.16999999999999</v>
      </c>
      <c r="AE375" s="237">
        <f t="shared" si="303"/>
        <v>188.55</v>
      </c>
      <c r="AF375" s="237">
        <f t="shared" si="277"/>
        <v>11196.72</v>
      </c>
      <c r="AG375" s="237">
        <f t="shared" si="296"/>
        <v>989037.5</v>
      </c>
      <c r="AH375" s="237">
        <f t="shared" si="297"/>
        <v>2810829.4999999991</v>
      </c>
      <c r="AI375" s="412">
        <f t="shared" si="259"/>
        <v>3202206.78000001</v>
      </c>
      <c r="AJ375" s="412">
        <f t="shared" si="299"/>
        <v>3576.4199999991979</v>
      </c>
      <c r="AK375" s="411">
        <f t="shared" si="260"/>
        <v>3205783.200000009</v>
      </c>
      <c r="AL375" s="237">
        <f t="shared" si="266"/>
        <v>-3319.4099999995269</v>
      </c>
      <c r="AM375" s="318">
        <f t="shared" si="283"/>
        <v>29</v>
      </c>
      <c r="AN375" s="21">
        <f t="shared" si="261"/>
        <v>19533.41</v>
      </c>
      <c r="AO375" s="21">
        <f t="shared" si="304"/>
        <v>257.0099999998929</v>
      </c>
      <c r="AP375" s="21">
        <f t="shared" si="262"/>
        <v>10874</v>
      </c>
      <c r="AQ375" s="21"/>
      <c r="AR375" s="23"/>
      <c r="AS375" s="21">
        <f t="shared" si="278"/>
        <v>19533.41</v>
      </c>
      <c r="AT375" s="21">
        <f t="shared" si="284"/>
        <v>7031547.0400000336</v>
      </c>
      <c r="AU375" s="237">
        <f t="shared" si="285"/>
        <v>6041.6261963988463</v>
      </c>
      <c r="AV375" s="237">
        <f t="shared" si="286"/>
        <v>1436592.1047559376</v>
      </c>
    </row>
    <row r="376" spans="1:48">
      <c r="A376" s="401" t="str">
        <f t="shared" si="287"/>
        <v xml:space="preserve"> </v>
      </c>
      <c r="B376" s="185">
        <f>IF(+$K375&lt;0,0,+K375)</f>
        <v>0</v>
      </c>
      <c r="C376" s="14">
        <f t="shared" si="270"/>
        <v>0</v>
      </c>
      <c r="D376" s="14">
        <f t="shared" si="288"/>
        <v>0</v>
      </c>
      <c r="E376" s="14">
        <f t="shared" si="271"/>
        <v>0</v>
      </c>
      <c r="F376" s="14">
        <f t="shared" si="302"/>
        <v>0</v>
      </c>
      <c r="G376" s="14">
        <f t="shared" si="302"/>
        <v>0</v>
      </c>
      <c r="H376" s="14">
        <f t="shared" si="256"/>
        <v>0</v>
      </c>
      <c r="I376" s="185">
        <f t="shared" si="289"/>
        <v>0</v>
      </c>
      <c r="J376" s="185">
        <f t="shared" si="290"/>
        <v>0</v>
      </c>
      <c r="K376" s="185">
        <f t="shared" si="291"/>
        <v>0</v>
      </c>
      <c r="L376" s="317">
        <f t="shared" si="305"/>
        <v>30</v>
      </c>
      <c r="M376" s="317">
        <f t="shared" si="280"/>
        <v>360</v>
      </c>
      <c r="N376" s="185">
        <f t="shared" si="281"/>
        <v>257.00999999967098</v>
      </c>
      <c r="O376" s="185">
        <f t="shared" si="263"/>
        <v>19533.41</v>
      </c>
      <c r="P376" s="185">
        <f t="shared" si="292"/>
        <v>19528.32</v>
      </c>
      <c r="Q376" s="185">
        <f t="shared" si="264"/>
        <v>5.09</v>
      </c>
      <c r="R376" s="185">
        <f t="shared" si="306"/>
        <v>134.16999999999999</v>
      </c>
      <c r="S376" s="185">
        <f t="shared" si="306"/>
        <v>188.55</v>
      </c>
      <c r="T376" s="185">
        <f t="shared" si="257"/>
        <v>19856.129999999997</v>
      </c>
      <c r="U376" s="185">
        <f t="shared" si="293"/>
        <v>1005371.31</v>
      </c>
      <c r="V376" s="185">
        <f t="shared" si="294"/>
        <v>6046189.700000003</v>
      </c>
      <c r="W376" s="185">
        <f t="shared" si="295"/>
        <v>-19271.310000000329</v>
      </c>
      <c r="X376" s="401" t="str">
        <f t="shared" si="282"/>
        <v xml:space="preserve"> </v>
      </c>
      <c r="Y376" s="185">
        <f t="shared" si="265"/>
        <v>0</v>
      </c>
      <c r="Z376" s="393">
        <f t="shared" si="273"/>
        <v>0.13125000000000001</v>
      </c>
      <c r="AA376" s="185">
        <f t="shared" si="274"/>
        <v>0</v>
      </c>
      <c r="AB376" s="185">
        <f t="shared" si="275"/>
        <v>0</v>
      </c>
      <c r="AC376" s="185">
        <f t="shared" si="276"/>
        <v>0</v>
      </c>
      <c r="AD376" s="185">
        <f t="shared" si="303"/>
        <v>134.16999999999999</v>
      </c>
      <c r="AE376" s="185">
        <f t="shared" si="303"/>
        <v>188.55</v>
      </c>
      <c r="AF376" s="185">
        <f t="shared" si="277"/>
        <v>322.72000000000003</v>
      </c>
      <c r="AG376" s="185">
        <f t="shared" si="296"/>
        <v>989037.5</v>
      </c>
      <c r="AH376" s="185">
        <f t="shared" si="297"/>
        <v>2810829.4999999991</v>
      </c>
      <c r="AI376" s="411">
        <f t="shared" si="259"/>
        <v>3221740.1900000102</v>
      </c>
      <c r="AJ376" s="411">
        <f t="shared" si="299"/>
        <v>-19271.310000000329</v>
      </c>
      <c r="AK376" s="411">
        <f t="shared" si="260"/>
        <v>3202468.8800000097</v>
      </c>
      <c r="AL376" s="185">
        <f t="shared" si="266"/>
        <v>0</v>
      </c>
      <c r="AM376" s="317">
        <f t="shared" si="283"/>
        <v>30</v>
      </c>
      <c r="AN376" s="14">
        <f t="shared" si="261"/>
        <v>19533.41</v>
      </c>
      <c r="AO376" s="14">
        <f t="shared" si="304"/>
        <v>0</v>
      </c>
      <c r="AP376" s="14">
        <f t="shared" si="262"/>
        <v>0</v>
      </c>
      <c r="AS376" s="14">
        <f t="shared" si="278"/>
        <v>19533.41</v>
      </c>
      <c r="AT376" s="14">
        <f t="shared" si="284"/>
        <v>0</v>
      </c>
      <c r="AU376" s="185">
        <f t="shared" si="285"/>
        <v>0</v>
      </c>
      <c r="AV376" s="185">
        <f t="shared" si="286"/>
        <v>0</v>
      </c>
    </row>
    <row r="377" spans="1:48">
      <c r="A377" s="401" t="str">
        <f t="shared" si="287"/>
        <v xml:space="preserve"> </v>
      </c>
      <c r="B377" s="185">
        <f t="shared" ref="B377:B440" si="307">IF(+K376&lt;0,0,+K376)</f>
        <v>0</v>
      </c>
      <c r="C377" s="14">
        <f t="shared" si="270"/>
        <v>0</v>
      </c>
      <c r="D377" s="14">
        <f t="shared" si="288"/>
        <v>0</v>
      </c>
      <c r="E377" s="14">
        <f t="shared" si="271"/>
        <v>0</v>
      </c>
      <c r="F377" s="14">
        <f t="shared" si="302"/>
        <v>0</v>
      </c>
      <c r="G377" s="14">
        <f t="shared" si="302"/>
        <v>0</v>
      </c>
      <c r="H377" s="14">
        <f t="shared" si="256"/>
        <v>0</v>
      </c>
      <c r="I377" s="185">
        <f t="shared" si="289"/>
        <v>0</v>
      </c>
      <c r="J377" s="185">
        <f t="shared" si="290"/>
        <v>0</v>
      </c>
      <c r="K377" s="185">
        <f t="shared" si="291"/>
        <v>0</v>
      </c>
      <c r="L377" s="317">
        <f t="shared" si="305"/>
        <v>30</v>
      </c>
      <c r="M377" s="317">
        <f t="shared" si="280"/>
        <v>361</v>
      </c>
      <c r="N377" s="185">
        <f t="shared" si="281"/>
        <v>0</v>
      </c>
      <c r="O377" s="185">
        <f t="shared" si="263"/>
        <v>0</v>
      </c>
      <c r="P377" s="185">
        <f t="shared" si="292"/>
        <v>0</v>
      </c>
      <c r="Q377" s="185">
        <f t="shared" si="264"/>
        <v>0</v>
      </c>
      <c r="R377" s="185">
        <f t="shared" si="306"/>
        <v>134.16999999999999</v>
      </c>
      <c r="S377" s="185">
        <f t="shared" si="306"/>
        <v>188.55</v>
      </c>
      <c r="T377" s="185">
        <f t="shared" si="257"/>
        <v>322.72000000000003</v>
      </c>
      <c r="U377" s="185">
        <f t="shared" si="293"/>
        <v>1005371.31</v>
      </c>
      <c r="V377" s="185">
        <f t="shared" si="294"/>
        <v>6046189.700000003</v>
      </c>
      <c r="W377" s="185">
        <f t="shared" si="295"/>
        <v>0</v>
      </c>
      <c r="X377" s="401" t="str">
        <f t="shared" si="282"/>
        <v xml:space="preserve"> </v>
      </c>
      <c r="Y377" s="185">
        <f t="shared" si="265"/>
        <v>0</v>
      </c>
      <c r="Z377" s="393">
        <f t="shared" si="273"/>
        <v>0.13125000000000001</v>
      </c>
      <c r="AA377" s="185">
        <f t="shared" si="274"/>
        <v>0</v>
      </c>
      <c r="AB377" s="185">
        <f t="shared" si="275"/>
        <v>0</v>
      </c>
      <c r="AC377" s="185">
        <f t="shared" si="276"/>
        <v>0</v>
      </c>
      <c r="AD377" s="185">
        <f t="shared" si="303"/>
        <v>134.16999999999999</v>
      </c>
      <c r="AE377" s="185">
        <f t="shared" si="303"/>
        <v>188.55</v>
      </c>
      <c r="AF377" s="185">
        <f t="shared" si="277"/>
        <v>322.72000000000003</v>
      </c>
      <c r="AG377" s="185">
        <f t="shared" si="296"/>
        <v>989037.5</v>
      </c>
      <c r="AH377" s="185">
        <f t="shared" si="297"/>
        <v>2810829.4999999991</v>
      </c>
      <c r="AI377" s="411">
        <f t="shared" si="259"/>
        <v>3221740.1900000102</v>
      </c>
      <c r="AJ377" s="411">
        <f t="shared" si="299"/>
        <v>0</v>
      </c>
      <c r="AK377" s="411">
        <f t="shared" si="260"/>
        <v>3221740.1900000102</v>
      </c>
      <c r="AL377" s="185">
        <f t="shared" si="266"/>
        <v>0</v>
      </c>
      <c r="AM377" s="317">
        <f t="shared" si="283"/>
        <v>30</v>
      </c>
      <c r="AN377" s="14">
        <f t="shared" si="261"/>
        <v>0</v>
      </c>
      <c r="AO377" s="14">
        <f t="shared" si="304"/>
        <v>0</v>
      </c>
      <c r="AP377" s="14">
        <f t="shared" si="262"/>
        <v>0</v>
      </c>
      <c r="AS377" s="14">
        <f t="shared" si="278"/>
        <v>0</v>
      </c>
      <c r="AT377" s="14">
        <f t="shared" si="284"/>
        <v>0</v>
      </c>
      <c r="AU377" s="185">
        <f t="shared" si="285"/>
        <v>0</v>
      </c>
      <c r="AV377" s="185">
        <f t="shared" si="286"/>
        <v>0</v>
      </c>
    </row>
    <row r="378" spans="1:48">
      <c r="A378" s="401" t="str">
        <f t="shared" si="287"/>
        <v xml:space="preserve"> </v>
      </c>
      <c r="B378" s="185">
        <f t="shared" si="307"/>
        <v>0</v>
      </c>
      <c r="C378" s="14">
        <f t="shared" si="270"/>
        <v>0</v>
      </c>
      <c r="D378" s="14">
        <f t="shared" si="288"/>
        <v>0</v>
      </c>
      <c r="E378" s="14">
        <f t="shared" si="271"/>
        <v>0</v>
      </c>
      <c r="F378" s="14">
        <f t="shared" si="302"/>
        <v>0</v>
      </c>
      <c r="G378" s="14">
        <f t="shared" si="302"/>
        <v>0</v>
      </c>
      <c r="H378" s="14">
        <f t="shared" si="256"/>
        <v>0</v>
      </c>
      <c r="I378" s="185">
        <f t="shared" si="289"/>
        <v>0</v>
      </c>
      <c r="J378" s="185">
        <f t="shared" si="290"/>
        <v>0</v>
      </c>
      <c r="K378" s="185">
        <f t="shared" si="291"/>
        <v>0</v>
      </c>
      <c r="L378" s="317">
        <f t="shared" si="305"/>
        <v>30</v>
      </c>
      <c r="M378" s="317">
        <f t="shared" si="280"/>
        <v>362</v>
      </c>
      <c r="N378" s="185">
        <f t="shared" si="281"/>
        <v>0</v>
      </c>
      <c r="O378" s="185">
        <f t="shared" si="263"/>
        <v>0</v>
      </c>
      <c r="P378" s="185">
        <f t="shared" si="292"/>
        <v>0</v>
      </c>
      <c r="Q378" s="185">
        <f t="shared" si="264"/>
        <v>0</v>
      </c>
      <c r="R378" s="185">
        <f t="shared" si="306"/>
        <v>134.16999999999999</v>
      </c>
      <c r="S378" s="185">
        <f t="shared" si="306"/>
        <v>188.55</v>
      </c>
      <c r="T378" s="185">
        <f t="shared" si="257"/>
        <v>322.72000000000003</v>
      </c>
      <c r="U378" s="185">
        <f t="shared" si="293"/>
        <v>1005371.31</v>
      </c>
      <c r="V378" s="185">
        <f t="shared" si="294"/>
        <v>6046189.700000003</v>
      </c>
      <c r="W378" s="185">
        <f t="shared" si="295"/>
        <v>0</v>
      </c>
      <c r="X378" s="401" t="str">
        <f t="shared" si="282"/>
        <v xml:space="preserve"> </v>
      </c>
      <c r="Y378" s="185">
        <f t="shared" si="265"/>
        <v>0</v>
      </c>
      <c r="Z378" s="393">
        <f t="shared" si="273"/>
        <v>0.13125000000000001</v>
      </c>
      <c r="AA378" s="185">
        <f t="shared" si="274"/>
        <v>0</v>
      </c>
      <c r="AB378" s="185">
        <f t="shared" si="275"/>
        <v>0</v>
      </c>
      <c r="AC378" s="185">
        <f t="shared" si="276"/>
        <v>0</v>
      </c>
      <c r="AD378" s="185">
        <f t="shared" si="303"/>
        <v>134.16999999999999</v>
      </c>
      <c r="AE378" s="185">
        <f t="shared" si="303"/>
        <v>188.55</v>
      </c>
      <c r="AF378" s="185">
        <f t="shared" si="277"/>
        <v>322.72000000000003</v>
      </c>
      <c r="AG378" s="185">
        <f t="shared" si="296"/>
        <v>989037.5</v>
      </c>
      <c r="AH378" s="185">
        <f t="shared" si="297"/>
        <v>2810829.4999999991</v>
      </c>
      <c r="AI378" s="411">
        <f t="shared" si="259"/>
        <v>3221740.1900000102</v>
      </c>
      <c r="AJ378" s="411">
        <f t="shared" si="299"/>
        <v>0</v>
      </c>
      <c r="AK378" s="411">
        <f t="shared" si="260"/>
        <v>3221740.1900000102</v>
      </c>
      <c r="AL378" s="185">
        <f t="shared" si="266"/>
        <v>0</v>
      </c>
      <c r="AM378" s="317">
        <f t="shared" si="283"/>
        <v>30</v>
      </c>
      <c r="AN378" s="14">
        <f t="shared" si="261"/>
        <v>0</v>
      </c>
      <c r="AO378" s="14">
        <f t="shared" si="304"/>
        <v>0</v>
      </c>
      <c r="AP378" s="14">
        <f t="shared" si="262"/>
        <v>0</v>
      </c>
      <c r="AS378" s="14">
        <f t="shared" si="278"/>
        <v>0</v>
      </c>
      <c r="AT378" s="14">
        <f t="shared" si="284"/>
        <v>0</v>
      </c>
      <c r="AU378" s="185">
        <f t="shared" si="285"/>
        <v>0</v>
      </c>
      <c r="AV378" s="185">
        <f t="shared" si="286"/>
        <v>0</v>
      </c>
    </row>
    <row r="379" spans="1:48">
      <c r="A379" s="401" t="str">
        <f t="shared" si="287"/>
        <v xml:space="preserve"> </v>
      </c>
      <c r="B379" s="185">
        <f t="shared" si="307"/>
        <v>0</v>
      </c>
      <c r="C379" s="14">
        <f t="shared" si="270"/>
        <v>0</v>
      </c>
      <c r="D379" s="14">
        <f t="shared" si="288"/>
        <v>0</v>
      </c>
      <c r="E379" s="14">
        <f t="shared" si="271"/>
        <v>0</v>
      </c>
      <c r="F379" s="14">
        <f t="shared" ref="F379:G394" si="308">+F378</f>
        <v>0</v>
      </c>
      <c r="G379" s="14">
        <f t="shared" si="308"/>
        <v>0</v>
      </c>
      <c r="H379" s="14">
        <f t="shared" si="256"/>
        <v>0</v>
      </c>
      <c r="I379" s="185">
        <f t="shared" si="289"/>
        <v>0</v>
      </c>
      <c r="J379" s="185">
        <f t="shared" si="290"/>
        <v>0</v>
      </c>
      <c r="K379" s="185">
        <f t="shared" si="291"/>
        <v>0</v>
      </c>
      <c r="L379" s="317">
        <f t="shared" si="305"/>
        <v>30</v>
      </c>
      <c r="M379" s="317">
        <f t="shared" si="280"/>
        <v>363</v>
      </c>
      <c r="N379" s="185">
        <f t="shared" si="281"/>
        <v>0</v>
      </c>
      <c r="O379" s="185">
        <f t="shared" si="263"/>
        <v>0</v>
      </c>
      <c r="P379" s="185">
        <f t="shared" si="292"/>
        <v>0</v>
      </c>
      <c r="Q379" s="185">
        <f t="shared" si="264"/>
        <v>0</v>
      </c>
      <c r="R379" s="185">
        <f t="shared" si="306"/>
        <v>134.16999999999999</v>
      </c>
      <c r="S379" s="185">
        <f t="shared" si="306"/>
        <v>188.55</v>
      </c>
      <c r="T379" s="185">
        <f t="shared" si="257"/>
        <v>322.72000000000003</v>
      </c>
      <c r="U379" s="185">
        <f t="shared" si="293"/>
        <v>1005371.31</v>
      </c>
      <c r="V379" s="185">
        <f t="shared" si="294"/>
        <v>6046189.700000003</v>
      </c>
      <c r="W379" s="185">
        <f t="shared" si="295"/>
        <v>0</v>
      </c>
      <c r="X379" s="401" t="str">
        <f t="shared" si="282"/>
        <v xml:space="preserve"> </v>
      </c>
      <c r="Y379" s="185">
        <f t="shared" si="265"/>
        <v>0</v>
      </c>
      <c r="Z379" s="393">
        <f t="shared" si="273"/>
        <v>0.13125000000000001</v>
      </c>
      <c r="AA379" s="185">
        <f t="shared" si="274"/>
        <v>0</v>
      </c>
      <c r="AB379" s="185">
        <f t="shared" si="275"/>
        <v>0</v>
      </c>
      <c r="AC379" s="185">
        <f t="shared" si="276"/>
        <v>0</v>
      </c>
      <c r="AD379" s="185">
        <f t="shared" si="303"/>
        <v>134.16999999999999</v>
      </c>
      <c r="AE379" s="185">
        <f t="shared" si="303"/>
        <v>188.55</v>
      </c>
      <c r="AF379" s="185">
        <f t="shared" si="277"/>
        <v>322.72000000000003</v>
      </c>
      <c r="AG379" s="185">
        <f t="shared" si="296"/>
        <v>989037.5</v>
      </c>
      <c r="AH379" s="185">
        <f t="shared" si="297"/>
        <v>2810829.4999999991</v>
      </c>
      <c r="AI379" s="411">
        <f t="shared" si="259"/>
        <v>3221740.1900000102</v>
      </c>
      <c r="AJ379" s="411">
        <f t="shared" si="299"/>
        <v>0</v>
      </c>
      <c r="AK379" s="411">
        <f t="shared" si="260"/>
        <v>3221740.1900000102</v>
      </c>
      <c r="AL379" s="185">
        <f t="shared" si="266"/>
        <v>0</v>
      </c>
      <c r="AM379" s="317">
        <f t="shared" si="283"/>
        <v>30</v>
      </c>
      <c r="AN379" s="14">
        <f t="shared" si="261"/>
        <v>0</v>
      </c>
      <c r="AO379" s="14">
        <f t="shared" si="304"/>
        <v>0</v>
      </c>
      <c r="AP379" s="14">
        <f t="shared" si="262"/>
        <v>0</v>
      </c>
      <c r="AS379" s="14">
        <f t="shared" si="278"/>
        <v>0</v>
      </c>
      <c r="AT379" s="14">
        <f t="shared" si="284"/>
        <v>0</v>
      </c>
      <c r="AU379" s="185">
        <f t="shared" si="285"/>
        <v>0</v>
      </c>
      <c r="AV379" s="185">
        <f t="shared" si="286"/>
        <v>0</v>
      </c>
    </row>
    <row r="380" spans="1:48">
      <c r="A380" s="401" t="str">
        <f t="shared" si="287"/>
        <v xml:space="preserve"> </v>
      </c>
      <c r="B380" s="185">
        <f t="shared" si="307"/>
        <v>0</v>
      </c>
      <c r="C380" s="14">
        <f t="shared" si="270"/>
        <v>0</v>
      </c>
      <c r="D380" s="14">
        <f t="shared" si="288"/>
        <v>0</v>
      </c>
      <c r="E380" s="14">
        <f t="shared" si="271"/>
        <v>0</v>
      </c>
      <c r="F380" s="14">
        <f t="shared" si="308"/>
        <v>0</v>
      </c>
      <c r="G380" s="14">
        <f t="shared" si="308"/>
        <v>0</v>
      </c>
      <c r="H380" s="14">
        <f t="shared" ref="H380:H443" si="309">SUM(D380:G380)</f>
        <v>0</v>
      </c>
      <c r="I380" s="185">
        <f t="shared" si="289"/>
        <v>0</v>
      </c>
      <c r="J380" s="185">
        <f t="shared" si="290"/>
        <v>0</v>
      </c>
      <c r="K380" s="185">
        <f t="shared" si="291"/>
        <v>0</v>
      </c>
      <c r="L380" s="317">
        <f t="shared" si="305"/>
        <v>30</v>
      </c>
      <c r="M380" s="317">
        <f t="shared" si="280"/>
        <v>364</v>
      </c>
      <c r="N380" s="185">
        <f t="shared" si="281"/>
        <v>0</v>
      </c>
      <c r="O380" s="185">
        <f t="shared" si="263"/>
        <v>0</v>
      </c>
      <c r="P380" s="185">
        <f t="shared" si="292"/>
        <v>0</v>
      </c>
      <c r="Q380" s="185">
        <f t="shared" si="264"/>
        <v>0</v>
      </c>
      <c r="R380" s="185">
        <f t="shared" si="306"/>
        <v>134.16999999999999</v>
      </c>
      <c r="S380" s="185">
        <f t="shared" si="306"/>
        <v>188.55</v>
      </c>
      <c r="T380" s="185">
        <f t="shared" ref="T380:T443" si="310">SUM(P380:S380)</f>
        <v>322.72000000000003</v>
      </c>
      <c r="U380" s="185">
        <f t="shared" si="293"/>
        <v>1005371.31</v>
      </c>
      <c r="V380" s="185">
        <f t="shared" si="294"/>
        <v>6046189.700000003</v>
      </c>
      <c r="W380" s="185">
        <f t="shared" si="295"/>
        <v>0</v>
      </c>
      <c r="X380" s="401" t="str">
        <f t="shared" si="282"/>
        <v xml:space="preserve"> </v>
      </c>
      <c r="Y380" s="185">
        <f t="shared" si="265"/>
        <v>0</v>
      </c>
      <c r="Z380" s="393">
        <f t="shared" si="273"/>
        <v>0.13125000000000001</v>
      </c>
      <c r="AA380" s="185">
        <f t="shared" si="274"/>
        <v>0</v>
      </c>
      <c r="AB380" s="185">
        <f t="shared" si="275"/>
        <v>0</v>
      </c>
      <c r="AC380" s="185">
        <f t="shared" si="276"/>
        <v>0</v>
      </c>
      <c r="AD380" s="185">
        <f t="shared" si="303"/>
        <v>134.16999999999999</v>
      </c>
      <c r="AE380" s="185">
        <f t="shared" si="303"/>
        <v>188.55</v>
      </c>
      <c r="AF380" s="185">
        <f t="shared" si="277"/>
        <v>322.72000000000003</v>
      </c>
      <c r="AG380" s="185">
        <f t="shared" si="296"/>
        <v>989037.5</v>
      </c>
      <c r="AH380" s="185">
        <f t="shared" si="297"/>
        <v>2810829.4999999991</v>
      </c>
      <c r="AI380" s="411">
        <f t="shared" si="259"/>
        <v>3221740.1900000102</v>
      </c>
      <c r="AJ380" s="411">
        <f t="shared" si="299"/>
        <v>0</v>
      </c>
      <c r="AK380" s="411">
        <f t="shared" si="260"/>
        <v>3221740.1900000102</v>
      </c>
      <c r="AL380" s="185">
        <f t="shared" si="266"/>
        <v>0</v>
      </c>
      <c r="AM380" s="317">
        <f t="shared" si="283"/>
        <v>30</v>
      </c>
      <c r="AN380" s="14">
        <f t="shared" si="261"/>
        <v>0</v>
      </c>
      <c r="AO380" s="14">
        <f t="shared" si="304"/>
        <v>0</v>
      </c>
      <c r="AP380" s="14">
        <f t="shared" si="262"/>
        <v>0</v>
      </c>
      <c r="AS380" s="14">
        <f t="shared" si="278"/>
        <v>0</v>
      </c>
      <c r="AT380" s="14">
        <f t="shared" si="284"/>
        <v>0</v>
      </c>
      <c r="AU380" s="185">
        <f t="shared" si="285"/>
        <v>0</v>
      </c>
      <c r="AV380" s="185">
        <f t="shared" si="286"/>
        <v>0</v>
      </c>
    </row>
    <row r="381" spans="1:48">
      <c r="A381" s="401" t="str">
        <f t="shared" si="287"/>
        <v xml:space="preserve"> </v>
      </c>
      <c r="B381" s="185">
        <f t="shared" si="307"/>
        <v>0</v>
      </c>
      <c r="C381" s="14">
        <f t="shared" si="270"/>
        <v>0</v>
      </c>
      <c r="D381" s="14">
        <f t="shared" si="288"/>
        <v>0</v>
      </c>
      <c r="E381" s="14">
        <f t="shared" si="271"/>
        <v>0</v>
      </c>
      <c r="F381" s="14">
        <f t="shared" si="308"/>
        <v>0</v>
      </c>
      <c r="G381" s="14">
        <f t="shared" si="308"/>
        <v>0</v>
      </c>
      <c r="H381" s="14">
        <f t="shared" si="309"/>
        <v>0</v>
      </c>
      <c r="I381" s="185">
        <f t="shared" si="289"/>
        <v>0</v>
      </c>
      <c r="J381" s="185">
        <f t="shared" si="290"/>
        <v>0</v>
      </c>
      <c r="K381" s="185">
        <f t="shared" si="291"/>
        <v>0</v>
      </c>
      <c r="L381" s="317">
        <f t="shared" si="305"/>
        <v>30</v>
      </c>
      <c r="M381" s="317">
        <f t="shared" si="280"/>
        <v>365</v>
      </c>
      <c r="N381" s="185">
        <f t="shared" si="281"/>
        <v>0</v>
      </c>
      <c r="O381" s="185">
        <f t="shared" si="263"/>
        <v>0</v>
      </c>
      <c r="P381" s="185">
        <f t="shared" si="292"/>
        <v>0</v>
      </c>
      <c r="Q381" s="185">
        <f t="shared" si="264"/>
        <v>0</v>
      </c>
      <c r="R381" s="185">
        <f t="shared" si="306"/>
        <v>134.16999999999999</v>
      </c>
      <c r="S381" s="185">
        <f t="shared" si="306"/>
        <v>188.55</v>
      </c>
      <c r="T381" s="185">
        <f t="shared" si="310"/>
        <v>322.72000000000003</v>
      </c>
      <c r="U381" s="185">
        <f t="shared" si="293"/>
        <v>1005371.31</v>
      </c>
      <c r="V381" s="185">
        <f t="shared" si="294"/>
        <v>6046189.700000003</v>
      </c>
      <c r="W381" s="185">
        <f t="shared" si="295"/>
        <v>0</v>
      </c>
      <c r="X381" s="401" t="str">
        <f t="shared" si="282"/>
        <v xml:space="preserve"> </v>
      </c>
      <c r="Y381" s="185">
        <f t="shared" si="265"/>
        <v>0</v>
      </c>
      <c r="Z381" s="393">
        <f t="shared" si="273"/>
        <v>0.13125000000000001</v>
      </c>
      <c r="AA381" s="185">
        <f t="shared" si="274"/>
        <v>0</v>
      </c>
      <c r="AB381" s="185">
        <f t="shared" si="275"/>
        <v>0</v>
      </c>
      <c r="AC381" s="185">
        <f t="shared" si="276"/>
        <v>0</v>
      </c>
      <c r="AD381" s="185">
        <f t="shared" ref="AD381:AE396" si="311">+AD380</f>
        <v>134.16999999999999</v>
      </c>
      <c r="AE381" s="185">
        <f t="shared" si="311"/>
        <v>188.55</v>
      </c>
      <c r="AF381" s="185">
        <f t="shared" si="277"/>
        <v>322.72000000000003</v>
      </c>
      <c r="AG381" s="185">
        <f t="shared" si="296"/>
        <v>989037.5</v>
      </c>
      <c r="AH381" s="185">
        <f t="shared" si="297"/>
        <v>2810829.4999999991</v>
      </c>
      <c r="AI381" s="411">
        <f t="shared" ref="AI381:AI444" si="312">O381-AA381+AI380</f>
        <v>3221740.1900000102</v>
      </c>
      <c r="AJ381" s="411">
        <f t="shared" si="299"/>
        <v>0</v>
      </c>
      <c r="AK381" s="411">
        <f t="shared" ref="AK381:AK444" si="313">SUM(AI381:AJ381)</f>
        <v>3221740.1900000102</v>
      </c>
      <c r="AL381" s="185">
        <f t="shared" si="266"/>
        <v>0</v>
      </c>
      <c r="AM381" s="317">
        <f t="shared" si="283"/>
        <v>30</v>
      </c>
      <c r="AN381" s="14">
        <f t="shared" ref="AN381:AN444" si="314">IF(O381=0,0,+O381-C381)</f>
        <v>0</v>
      </c>
      <c r="AO381" s="14">
        <f t="shared" si="304"/>
        <v>0</v>
      </c>
      <c r="AP381" s="14">
        <f t="shared" ref="AP381:AP444" si="315">IF($O381=0,0,+AA381-$C381)</f>
        <v>0</v>
      </c>
      <c r="AS381" s="14">
        <f t="shared" si="278"/>
        <v>0</v>
      </c>
      <c r="AT381" s="14">
        <f t="shared" si="284"/>
        <v>0</v>
      </c>
      <c r="AU381" s="185">
        <f t="shared" si="285"/>
        <v>0</v>
      </c>
      <c r="AV381" s="185">
        <f t="shared" si="286"/>
        <v>0</v>
      </c>
    </row>
    <row r="382" spans="1:48">
      <c r="A382" s="401" t="str">
        <f t="shared" si="287"/>
        <v xml:space="preserve"> </v>
      </c>
      <c r="B382" s="185">
        <f t="shared" si="307"/>
        <v>0</v>
      </c>
      <c r="C382" s="14">
        <f t="shared" si="270"/>
        <v>0</v>
      </c>
      <c r="D382" s="14">
        <f t="shared" si="288"/>
        <v>0</v>
      </c>
      <c r="E382" s="14">
        <f t="shared" si="271"/>
        <v>0</v>
      </c>
      <c r="F382" s="14">
        <f t="shared" si="308"/>
        <v>0</v>
      </c>
      <c r="G382" s="14">
        <f t="shared" si="308"/>
        <v>0</v>
      </c>
      <c r="H382" s="14">
        <f t="shared" si="309"/>
        <v>0</v>
      </c>
      <c r="I382" s="185">
        <f t="shared" si="289"/>
        <v>0</v>
      </c>
      <c r="J382" s="185">
        <f t="shared" si="290"/>
        <v>0</v>
      </c>
      <c r="K382" s="185">
        <f t="shared" si="291"/>
        <v>0</v>
      </c>
      <c r="L382" s="317">
        <f t="shared" si="305"/>
        <v>30</v>
      </c>
      <c r="M382" s="317">
        <f t="shared" si="280"/>
        <v>366</v>
      </c>
      <c r="N382" s="185">
        <f t="shared" si="281"/>
        <v>0</v>
      </c>
      <c r="O382" s="185">
        <f t="shared" si="263"/>
        <v>0</v>
      </c>
      <c r="P382" s="185">
        <f t="shared" si="292"/>
        <v>0</v>
      </c>
      <c r="Q382" s="185">
        <f t="shared" si="264"/>
        <v>0</v>
      </c>
      <c r="R382" s="185">
        <f t="shared" si="306"/>
        <v>134.16999999999999</v>
      </c>
      <c r="S382" s="185">
        <f t="shared" si="306"/>
        <v>188.55</v>
      </c>
      <c r="T382" s="185">
        <f t="shared" si="310"/>
        <v>322.72000000000003</v>
      </c>
      <c r="U382" s="185">
        <f t="shared" si="293"/>
        <v>1005371.31</v>
      </c>
      <c r="V382" s="185">
        <f t="shared" si="294"/>
        <v>6046189.700000003</v>
      </c>
      <c r="W382" s="185">
        <f t="shared" si="295"/>
        <v>0</v>
      </c>
      <c r="X382" s="401" t="str">
        <f t="shared" si="282"/>
        <v xml:space="preserve"> </v>
      </c>
      <c r="Y382" s="185">
        <f t="shared" si="265"/>
        <v>0</v>
      </c>
      <c r="Z382" s="393">
        <f t="shared" si="273"/>
        <v>0.13125000000000001</v>
      </c>
      <c r="AA382" s="185">
        <f t="shared" si="274"/>
        <v>0</v>
      </c>
      <c r="AB382" s="185">
        <f t="shared" si="275"/>
        <v>0</v>
      </c>
      <c r="AC382" s="185">
        <f t="shared" si="276"/>
        <v>0</v>
      </c>
      <c r="AD382" s="185">
        <f t="shared" si="311"/>
        <v>134.16999999999999</v>
      </c>
      <c r="AE382" s="185">
        <f t="shared" si="311"/>
        <v>188.55</v>
      </c>
      <c r="AF382" s="185">
        <f t="shared" si="277"/>
        <v>322.72000000000003</v>
      </c>
      <c r="AG382" s="185">
        <f t="shared" si="296"/>
        <v>989037.5</v>
      </c>
      <c r="AH382" s="185">
        <f t="shared" si="297"/>
        <v>2810829.4999999991</v>
      </c>
      <c r="AI382" s="411">
        <f t="shared" si="312"/>
        <v>3221740.1900000102</v>
      </c>
      <c r="AJ382" s="411">
        <f t="shared" si="299"/>
        <v>0</v>
      </c>
      <c r="AK382" s="411">
        <f t="shared" si="313"/>
        <v>3221740.1900000102</v>
      </c>
      <c r="AL382" s="185">
        <f t="shared" si="266"/>
        <v>0</v>
      </c>
      <c r="AM382" s="317">
        <f t="shared" si="283"/>
        <v>30</v>
      </c>
      <c r="AN382" s="14">
        <f t="shared" si="314"/>
        <v>0</v>
      </c>
      <c r="AO382" s="14">
        <f t="shared" si="304"/>
        <v>0</v>
      </c>
      <c r="AP382" s="14">
        <f t="shared" si="315"/>
        <v>0</v>
      </c>
      <c r="AS382" s="14">
        <f t="shared" si="278"/>
        <v>0</v>
      </c>
      <c r="AT382" s="14">
        <f t="shared" si="284"/>
        <v>0</v>
      </c>
      <c r="AU382" s="185">
        <f t="shared" si="285"/>
        <v>0</v>
      </c>
      <c r="AV382" s="185">
        <f t="shared" si="286"/>
        <v>0</v>
      </c>
    </row>
    <row r="383" spans="1:48">
      <c r="A383" s="401" t="str">
        <f t="shared" si="287"/>
        <v xml:space="preserve"> </v>
      </c>
      <c r="B383" s="185">
        <f t="shared" si="307"/>
        <v>0</v>
      </c>
      <c r="C383" s="14">
        <f t="shared" si="270"/>
        <v>0</v>
      </c>
      <c r="D383" s="14">
        <f t="shared" si="288"/>
        <v>0</v>
      </c>
      <c r="E383" s="14">
        <f t="shared" si="271"/>
        <v>0</v>
      </c>
      <c r="F383" s="14">
        <f t="shared" si="308"/>
        <v>0</v>
      </c>
      <c r="G383" s="14">
        <f t="shared" si="308"/>
        <v>0</v>
      </c>
      <c r="H383" s="14">
        <f t="shared" si="309"/>
        <v>0</v>
      </c>
      <c r="I383" s="185">
        <f t="shared" si="289"/>
        <v>0</v>
      </c>
      <c r="J383" s="185">
        <f t="shared" si="290"/>
        <v>0</v>
      </c>
      <c r="K383" s="185">
        <f t="shared" si="291"/>
        <v>0</v>
      </c>
      <c r="L383" s="317">
        <f t="shared" si="305"/>
        <v>30</v>
      </c>
      <c r="M383" s="317">
        <f t="shared" si="280"/>
        <v>367</v>
      </c>
      <c r="N383" s="185">
        <f t="shared" si="281"/>
        <v>0</v>
      </c>
      <c r="O383" s="185">
        <f t="shared" ref="O383:O446" si="316">IF($O$11&lt;=A383,IF(+$W382&lt;=0,0,$O$8),0)</f>
        <v>0</v>
      </c>
      <c r="P383" s="185">
        <f t="shared" si="292"/>
        <v>0</v>
      </c>
      <c r="Q383" s="185">
        <f t="shared" ref="Q383:Q446" si="317">IF($O$11&lt;=A383,ROUND(N383*($O$7/12),2),0)</f>
        <v>0</v>
      </c>
      <c r="R383" s="185">
        <f t="shared" si="306"/>
        <v>134.16999999999999</v>
      </c>
      <c r="S383" s="185">
        <f t="shared" si="306"/>
        <v>188.55</v>
      </c>
      <c r="T383" s="185">
        <f t="shared" si="310"/>
        <v>322.72000000000003</v>
      </c>
      <c r="U383" s="185">
        <f t="shared" si="293"/>
        <v>1005371.31</v>
      </c>
      <c r="V383" s="185">
        <f t="shared" si="294"/>
        <v>6046189.700000003</v>
      </c>
      <c r="W383" s="185">
        <f t="shared" si="295"/>
        <v>0</v>
      </c>
      <c r="X383" s="401" t="str">
        <f t="shared" si="282"/>
        <v xml:space="preserve"> </v>
      </c>
      <c r="Y383" s="185">
        <f t="shared" ref="Y383:Y446" si="318">IF(+AL382&lt;0,0,+AL382)</f>
        <v>0</v>
      </c>
      <c r="Z383" s="393">
        <f t="shared" si="273"/>
        <v>0.13125000000000001</v>
      </c>
      <c r="AA383" s="185">
        <f t="shared" si="274"/>
        <v>0</v>
      </c>
      <c r="AB383" s="185">
        <f t="shared" si="275"/>
        <v>0</v>
      </c>
      <c r="AC383" s="185">
        <f t="shared" si="276"/>
        <v>0</v>
      </c>
      <c r="AD383" s="185">
        <f t="shared" si="311"/>
        <v>134.16999999999999</v>
      </c>
      <c r="AE383" s="185">
        <f t="shared" si="311"/>
        <v>188.55</v>
      </c>
      <c r="AF383" s="185">
        <f t="shared" si="277"/>
        <v>322.72000000000003</v>
      </c>
      <c r="AG383" s="185">
        <f t="shared" si="296"/>
        <v>989037.5</v>
      </c>
      <c r="AH383" s="185">
        <f t="shared" si="297"/>
        <v>2810829.4999999991</v>
      </c>
      <c r="AI383" s="411">
        <f t="shared" si="312"/>
        <v>3221740.1900000102</v>
      </c>
      <c r="AJ383" s="411">
        <f t="shared" si="299"/>
        <v>0</v>
      </c>
      <c r="AK383" s="411">
        <f t="shared" si="313"/>
        <v>3221740.1900000102</v>
      </c>
      <c r="AL383" s="185">
        <f t="shared" ref="AL383:AL446" si="319">+Y383-AB383</f>
        <v>0</v>
      </c>
      <c r="AM383" s="317">
        <f t="shared" si="283"/>
        <v>30</v>
      </c>
      <c r="AN383" s="14">
        <f t="shared" si="314"/>
        <v>0</v>
      </c>
      <c r="AO383" s="14">
        <f t="shared" si="304"/>
        <v>0</v>
      </c>
      <c r="AP383" s="14">
        <f t="shared" si="315"/>
        <v>0</v>
      </c>
      <c r="AS383" s="14">
        <f t="shared" si="278"/>
        <v>0</v>
      </c>
      <c r="AT383" s="14">
        <f t="shared" si="284"/>
        <v>0</v>
      </c>
      <c r="AU383" s="185">
        <f t="shared" si="285"/>
        <v>0</v>
      </c>
      <c r="AV383" s="185">
        <f t="shared" si="286"/>
        <v>0</v>
      </c>
    </row>
    <row r="384" spans="1:48">
      <c r="A384" s="401" t="str">
        <f t="shared" si="287"/>
        <v xml:space="preserve"> </v>
      </c>
      <c r="B384" s="185">
        <f t="shared" si="307"/>
        <v>0</v>
      </c>
      <c r="C384" s="14">
        <f t="shared" si="270"/>
        <v>0</v>
      </c>
      <c r="D384" s="14">
        <f t="shared" si="288"/>
        <v>0</v>
      </c>
      <c r="E384" s="14">
        <f t="shared" si="271"/>
        <v>0</v>
      </c>
      <c r="F384" s="14">
        <f t="shared" si="308"/>
        <v>0</v>
      </c>
      <c r="G384" s="14">
        <f t="shared" si="308"/>
        <v>0</v>
      </c>
      <c r="H384" s="14">
        <f t="shared" si="309"/>
        <v>0</v>
      </c>
      <c r="I384" s="185">
        <f t="shared" si="289"/>
        <v>0</v>
      </c>
      <c r="J384" s="185">
        <f t="shared" si="290"/>
        <v>0</v>
      </c>
      <c r="K384" s="185">
        <f t="shared" si="291"/>
        <v>0</v>
      </c>
      <c r="L384" s="317">
        <f t="shared" si="305"/>
        <v>30</v>
      </c>
      <c r="M384" s="317">
        <f t="shared" si="280"/>
        <v>368</v>
      </c>
      <c r="N384" s="185">
        <f t="shared" si="281"/>
        <v>0</v>
      </c>
      <c r="O384" s="185">
        <f t="shared" si="316"/>
        <v>0</v>
      </c>
      <c r="P384" s="185">
        <f t="shared" si="292"/>
        <v>0</v>
      </c>
      <c r="Q384" s="185">
        <f t="shared" si="317"/>
        <v>0</v>
      </c>
      <c r="R384" s="185">
        <f t="shared" ref="R384:S399" si="320">+R383</f>
        <v>134.16999999999999</v>
      </c>
      <c r="S384" s="185">
        <f t="shared" si="320"/>
        <v>188.55</v>
      </c>
      <c r="T384" s="185">
        <f t="shared" si="310"/>
        <v>322.72000000000003</v>
      </c>
      <c r="U384" s="185">
        <f t="shared" si="293"/>
        <v>1005371.31</v>
      </c>
      <c r="V384" s="185">
        <f t="shared" si="294"/>
        <v>6046189.700000003</v>
      </c>
      <c r="W384" s="185">
        <f t="shared" si="295"/>
        <v>0</v>
      </c>
      <c r="X384" s="401" t="str">
        <f t="shared" si="282"/>
        <v xml:space="preserve"> </v>
      </c>
      <c r="Y384" s="185">
        <f t="shared" si="318"/>
        <v>0</v>
      </c>
      <c r="Z384" s="393">
        <f t="shared" si="273"/>
        <v>0.13125000000000001</v>
      </c>
      <c r="AA384" s="185">
        <f t="shared" si="274"/>
        <v>0</v>
      </c>
      <c r="AB384" s="185">
        <f t="shared" si="275"/>
        <v>0</v>
      </c>
      <c r="AC384" s="185">
        <f t="shared" si="276"/>
        <v>0</v>
      </c>
      <c r="AD384" s="185">
        <f t="shared" si="311"/>
        <v>134.16999999999999</v>
      </c>
      <c r="AE384" s="185">
        <f t="shared" si="311"/>
        <v>188.55</v>
      </c>
      <c r="AF384" s="185">
        <f t="shared" si="277"/>
        <v>322.72000000000003</v>
      </c>
      <c r="AG384" s="185">
        <f t="shared" si="296"/>
        <v>989037.5</v>
      </c>
      <c r="AH384" s="185">
        <f t="shared" si="297"/>
        <v>2810829.4999999991</v>
      </c>
      <c r="AI384" s="411">
        <f t="shared" si="312"/>
        <v>3221740.1900000102</v>
      </c>
      <c r="AJ384" s="411">
        <f t="shared" si="299"/>
        <v>0</v>
      </c>
      <c r="AK384" s="411">
        <f t="shared" si="313"/>
        <v>3221740.1900000102</v>
      </c>
      <c r="AL384" s="185">
        <f t="shared" si="319"/>
        <v>0</v>
      </c>
      <c r="AM384" s="317">
        <f t="shared" si="283"/>
        <v>30</v>
      </c>
      <c r="AN384" s="14">
        <f t="shared" si="314"/>
        <v>0</v>
      </c>
      <c r="AO384" s="14">
        <f t="shared" si="304"/>
        <v>0</v>
      </c>
      <c r="AP384" s="14">
        <f t="shared" si="315"/>
        <v>0</v>
      </c>
      <c r="AS384" s="14">
        <f t="shared" si="278"/>
        <v>0</v>
      </c>
      <c r="AT384" s="14">
        <f t="shared" si="284"/>
        <v>0</v>
      </c>
      <c r="AU384" s="185">
        <f t="shared" si="285"/>
        <v>0</v>
      </c>
      <c r="AV384" s="185">
        <f t="shared" si="286"/>
        <v>0</v>
      </c>
    </row>
    <row r="385" spans="1:48">
      <c r="A385" s="401" t="str">
        <f t="shared" si="287"/>
        <v xml:space="preserve"> </v>
      </c>
      <c r="B385" s="185">
        <f t="shared" si="307"/>
        <v>0</v>
      </c>
      <c r="C385" s="14">
        <f t="shared" si="270"/>
        <v>0</v>
      </c>
      <c r="D385" s="14">
        <f t="shared" si="288"/>
        <v>0</v>
      </c>
      <c r="E385" s="14">
        <f t="shared" si="271"/>
        <v>0</v>
      </c>
      <c r="F385" s="14">
        <f t="shared" si="308"/>
        <v>0</v>
      </c>
      <c r="G385" s="14">
        <f t="shared" si="308"/>
        <v>0</v>
      </c>
      <c r="H385" s="14">
        <f t="shared" si="309"/>
        <v>0</v>
      </c>
      <c r="I385" s="185">
        <f t="shared" si="289"/>
        <v>0</v>
      </c>
      <c r="J385" s="185">
        <f t="shared" si="290"/>
        <v>0</v>
      </c>
      <c r="K385" s="185">
        <f t="shared" si="291"/>
        <v>0</v>
      </c>
      <c r="L385" s="317">
        <f t="shared" si="305"/>
        <v>30</v>
      </c>
      <c r="M385" s="317">
        <f t="shared" si="280"/>
        <v>369</v>
      </c>
      <c r="N385" s="185">
        <f t="shared" si="281"/>
        <v>0</v>
      </c>
      <c r="O385" s="185">
        <f t="shared" si="316"/>
        <v>0</v>
      </c>
      <c r="P385" s="185">
        <f t="shared" si="292"/>
        <v>0</v>
      </c>
      <c r="Q385" s="185">
        <f t="shared" si="317"/>
        <v>0</v>
      </c>
      <c r="R385" s="185">
        <f t="shared" si="320"/>
        <v>134.16999999999999</v>
      </c>
      <c r="S385" s="185">
        <f t="shared" si="320"/>
        <v>188.55</v>
      </c>
      <c r="T385" s="185">
        <f t="shared" si="310"/>
        <v>322.72000000000003</v>
      </c>
      <c r="U385" s="185">
        <f t="shared" si="293"/>
        <v>1005371.31</v>
      </c>
      <c r="V385" s="185">
        <f t="shared" si="294"/>
        <v>6046189.700000003</v>
      </c>
      <c r="W385" s="185">
        <f t="shared" si="295"/>
        <v>0</v>
      </c>
      <c r="X385" s="401" t="str">
        <f t="shared" si="282"/>
        <v xml:space="preserve"> </v>
      </c>
      <c r="Y385" s="185">
        <f t="shared" si="318"/>
        <v>0</v>
      </c>
      <c r="Z385" s="393">
        <f t="shared" si="273"/>
        <v>0.13125000000000001</v>
      </c>
      <c r="AA385" s="185">
        <f t="shared" si="274"/>
        <v>0</v>
      </c>
      <c r="AB385" s="185">
        <f t="shared" si="275"/>
        <v>0</v>
      </c>
      <c r="AC385" s="185">
        <f t="shared" si="276"/>
        <v>0</v>
      </c>
      <c r="AD385" s="185">
        <f t="shared" si="311"/>
        <v>134.16999999999999</v>
      </c>
      <c r="AE385" s="185">
        <f t="shared" si="311"/>
        <v>188.55</v>
      </c>
      <c r="AF385" s="185">
        <f t="shared" si="277"/>
        <v>322.72000000000003</v>
      </c>
      <c r="AG385" s="185">
        <f t="shared" si="296"/>
        <v>989037.5</v>
      </c>
      <c r="AH385" s="185">
        <f t="shared" si="297"/>
        <v>2810829.4999999991</v>
      </c>
      <c r="AI385" s="411">
        <f t="shared" si="312"/>
        <v>3221740.1900000102</v>
      </c>
      <c r="AJ385" s="411">
        <f t="shared" si="299"/>
        <v>0</v>
      </c>
      <c r="AK385" s="411">
        <f t="shared" si="313"/>
        <v>3221740.1900000102</v>
      </c>
      <c r="AL385" s="185">
        <f t="shared" si="319"/>
        <v>0</v>
      </c>
      <c r="AM385" s="317">
        <f t="shared" si="283"/>
        <v>30</v>
      </c>
      <c r="AN385" s="14">
        <f t="shared" si="314"/>
        <v>0</v>
      </c>
      <c r="AO385" s="14">
        <f t="shared" si="304"/>
        <v>0</v>
      </c>
      <c r="AP385" s="14">
        <f t="shared" si="315"/>
        <v>0</v>
      </c>
      <c r="AS385" s="14">
        <f t="shared" si="278"/>
        <v>0</v>
      </c>
      <c r="AT385" s="14">
        <f t="shared" si="284"/>
        <v>0</v>
      </c>
      <c r="AU385" s="185">
        <f t="shared" si="285"/>
        <v>0</v>
      </c>
      <c r="AV385" s="185">
        <f t="shared" si="286"/>
        <v>0</v>
      </c>
    </row>
    <row r="386" spans="1:48">
      <c r="A386" s="401" t="str">
        <f t="shared" si="287"/>
        <v xml:space="preserve"> </v>
      </c>
      <c r="B386" s="185">
        <f t="shared" si="307"/>
        <v>0</v>
      </c>
      <c r="C386" s="14">
        <f t="shared" si="270"/>
        <v>0</v>
      </c>
      <c r="D386" s="14">
        <f t="shared" si="288"/>
        <v>0</v>
      </c>
      <c r="E386" s="14">
        <f t="shared" si="271"/>
        <v>0</v>
      </c>
      <c r="F386" s="14">
        <f t="shared" si="308"/>
        <v>0</v>
      </c>
      <c r="G386" s="14">
        <f t="shared" si="308"/>
        <v>0</v>
      </c>
      <c r="H386" s="14">
        <f t="shared" si="309"/>
        <v>0</v>
      </c>
      <c r="I386" s="185">
        <f t="shared" si="289"/>
        <v>0</v>
      </c>
      <c r="J386" s="185">
        <f t="shared" si="290"/>
        <v>0</v>
      </c>
      <c r="K386" s="185">
        <f t="shared" si="291"/>
        <v>0</v>
      </c>
      <c r="L386" s="317">
        <f t="shared" si="305"/>
        <v>30</v>
      </c>
      <c r="M386" s="317">
        <f t="shared" si="280"/>
        <v>370</v>
      </c>
      <c r="N386" s="185">
        <f t="shared" si="281"/>
        <v>0</v>
      </c>
      <c r="O386" s="185">
        <f t="shared" si="316"/>
        <v>0</v>
      </c>
      <c r="P386" s="185">
        <f t="shared" si="292"/>
        <v>0</v>
      </c>
      <c r="Q386" s="185">
        <f t="shared" si="317"/>
        <v>0</v>
      </c>
      <c r="R386" s="185">
        <f t="shared" si="320"/>
        <v>134.16999999999999</v>
      </c>
      <c r="S386" s="185">
        <f t="shared" si="320"/>
        <v>188.55</v>
      </c>
      <c r="T386" s="185">
        <f t="shared" si="310"/>
        <v>322.72000000000003</v>
      </c>
      <c r="U386" s="185">
        <f t="shared" si="293"/>
        <v>1005371.31</v>
      </c>
      <c r="V386" s="185">
        <f t="shared" si="294"/>
        <v>6046189.700000003</v>
      </c>
      <c r="W386" s="185">
        <f t="shared" si="295"/>
        <v>0</v>
      </c>
      <c r="X386" s="401" t="str">
        <f t="shared" si="282"/>
        <v xml:space="preserve"> </v>
      </c>
      <c r="Y386" s="185">
        <f t="shared" si="318"/>
        <v>0</v>
      </c>
      <c r="Z386" s="393">
        <f t="shared" si="273"/>
        <v>0.13125000000000001</v>
      </c>
      <c r="AA386" s="185">
        <f t="shared" si="274"/>
        <v>0</v>
      </c>
      <c r="AB386" s="185">
        <f t="shared" si="275"/>
        <v>0</v>
      </c>
      <c r="AC386" s="185">
        <f t="shared" si="276"/>
        <v>0</v>
      </c>
      <c r="AD386" s="185">
        <f t="shared" si="311"/>
        <v>134.16999999999999</v>
      </c>
      <c r="AE386" s="185">
        <f t="shared" si="311"/>
        <v>188.55</v>
      </c>
      <c r="AF386" s="185">
        <f t="shared" si="277"/>
        <v>322.72000000000003</v>
      </c>
      <c r="AG386" s="185">
        <f t="shared" si="296"/>
        <v>989037.5</v>
      </c>
      <c r="AH386" s="185">
        <f t="shared" si="297"/>
        <v>2810829.4999999991</v>
      </c>
      <c r="AI386" s="411">
        <f t="shared" si="312"/>
        <v>3221740.1900000102</v>
      </c>
      <c r="AJ386" s="411">
        <f t="shared" si="299"/>
        <v>0</v>
      </c>
      <c r="AK386" s="411">
        <f t="shared" si="313"/>
        <v>3221740.1900000102</v>
      </c>
      <c r="AL386" s="185">
        <f t="shared" si="319"/>
        <v>0</v>
      </c>
      <c r="AM386" s="317">
        <f t="shared" si="283"/>
        <v>30</v>
      </c>
      <c r="AN386" s="14">
        <f t="shared" si="314"/>
        <v>0</v>
      </c>
      <c r="AO386" s="14">
        <f t="shared" si="304"/>
        <v>0</v>
      </c>
      <c r="AP386" s="14">
        <f t="shared" si="315"/>
        <v>0</v>
      </c>
      <c r="AS386" s="14">
        <f t="shared" si="278"/>
        <v>0</v>
      </c>
      <c r="AT386" s="14">
        <f t="shared" si="284"/>
        <v>0</v>
      </c>
      <c r="AU386" s="185">
        <f t="shared" si="285"/>
        <v>0</v>
      </c>
      <c r="AV386" s="185">
        <f t="shared" si="286"/>
        <v>0</v>
      </c>
    </row>
    <row r="387" spans="1:48" ht="15.75" thickBot="1">
      <c r="A387" s="404" t="str">
        <f t="shared" si="287"/>
        <v xml:space="preserve"> </v>
      </c>
      <c r="B387" s="237">
        <f t="shared" si="307"/>
        <v>0</v>
      </c>
      <c r="C387" s="21">
        <f t="shared" si="270"/>
        <v>0</v>
      </c>
      <c r="D387" s="21">
        <f t="shared" si="288"/>
        <v>0</v>
      </c>
      <c r="E387" s="21">
        <f t="shared" si="271"/>
        <v>0</v>
      </c>
      <c r="F387" s="21">
        <f t="shared" si="308"/>
        <v>0</v>
      </c>
      <c r="G387" s="21">
        <f t="shared" si="308"/>
        <v>0</v>
      </c>
      <c r="H387" s="21">
        <f t="shared" si="309"/>
        <v>0</v>
      </c>
      <c r="I387" s="237">
        <f t="shared" si="289"/>
        <v>0</v>
      </c>
      <c r="J387" s="237">
        <f t="shared" si="290"/>
        <v>0</v>
      </c>
      <c r="K387" s="237">
        <f t="shared" si="291"/>
        <v>0</v>
      </c>
      <c r="L387" s="318">
        <f t="shared" si="305"/>
        <v>30</v>
      </c>
      <c r="M387" s="318">
        <f t="shared" si="280"/>
        <v>371</v>
      </c>
      <c r="N387" s="237">
        <f t="shared" si="281"/>
        <v>0</v>
      </c>
      <c r="O387" s="237">
        <f t="shared" si="316"/>
        <v>0</v>
      </c>
      <c r="P387" s="237">
        <f t="shared" si="292"/>
        <v>0</v>
      </c>
      <c r="Q387" s="237">
        <f t="shared" si="317"/>
        <v>0</v>
      </c>
      <c r="R387" s="237">
        <f t="shared" si="320"/>
        <v>134.16999999999999</v>
      </c>
      <c r="S387" s="237">
        <f t="shared" si="320"/>
        <v>188.55</v>
      </c>
      <c r="T387" s="237">
        <f t="shared" si="310"/>
        <v>322.72000000000003</v>
      </c>
      <c r="U387" s="237">
        <f t="shared" si="293"/>
        <v>1005371.31</v>
      </c>
      <c r="V387" s="237">
        <f t="shared" si="294"/>
        <v>6046189.700000003</v>
      </c>
      <c r="W387" s="237">
        <f t="shared" si="295"/>
        <v>0</v>
      </c>
      <c r="X387" s="404" t="str">
        <f t="shared" si="282"/>
        <v xml:space="preserve"> </v>
      </c>
      <c r="Y387" s="237">
        <f t="shared" si="318"/>
        <v>0</v>
      </c>
      <c r="Z387" s="394">
        <f t="shared" si="273"/>
        <v>0.13125000000000001</v>
      </c>
      <c r="AA387" s="237">
        <f t="shared" si="274"/>
        <v>0</v>
      </c>
      <c r="AB387" s="237">
        <f t="shared" si="275"/>
        <v>0</v>
      </c>
      <c r="AC387" s="237">
        <f t="shared" si="276"/>
        <v>0</v>
      </c>
      <c r="AD387" s="237">
        <f t="shared" si="311"/>
        <v>134.16999999999999</v>
      </c>
      <c r="AE387" s="237">
        <f t="shared" si="311"/>
        <v>188.55</v>
      </c>
      <c r="AF387" s="237">
        <f t="shared" si="277"/>
        <v>322.72000000000003</v>
      </c>
      <c r="AG387" s="237">
        <f t="shared" si="296"/>
        <v>989037.5</v>
      </c>
      <c r="AH387" s="237">
        <f t="shared" si="297"/>
        <v>2810829.4999999991</v>
      </c>
      <c r="AI387" s="412">
        <f t="shared" si="312"/>
        <v>3221740.1900000102</v>
      </c>
      <c r="AJ387" s="412">
        <f t="shared" si="299"/>
        <v>0</v>
      </c>
      <c r="AK387" s="411">
        <f t="shared" si="313"/>
        <v>3221740.1900000102</v>
      </c>
      <c r="AL387" s="237">
        <f t="shared" si="319"/>
        <v>0</v>
      </c>
      <c r="AM387" s="318">
        <f t="shared" si="283"/>
        <v>30</v>
      </c>
      <c r="AN387" s="21">
        <f t="shared" si="314"/>
        <v>0</v>
      </c>
      <c r="AO387" s="21">
        <f t="shared" si="304"/>
        <v>0</v>
      </c>
      <c r="AP387" s="21">
        <f t="shared" si="315"/>
        <v>0</v>
      </c>
      <c r="AQ387" s="21"/>
      <c r="AR387" s="23"/>
      <c r="AS387" s="21">
        <f t="shared" si="278"/>
        <v>0</v>
      </c>
      <c r="AT387" s="21">
        <f t="shared" si="284"/>
        <v>0</v>
      </c>
      <c r="AU387" s="237">
        <f t="shared" si="285"/>
        <v>0</v>
      </c>
      <c r="AV387" s="237">
        <f t="shared" si="286"/>
        <v>0</v>
      </c>
    </row>
    <row r="388" spans="1:48">
      <c r="A388" s="401" t="str">
        <f t="shared" si="287"/>
        <v xml:space="preserve"> </v>
      </c>
      <c r="B388" s="185">
        <f t="shared" si="307"/>
        <v>0</v>
      </c>
      <c r="C388" s="14">
        <f t="shared" si="270"/>
        <v>0</v>
      </c>
      <c r="D388" s="14">
        <f t="shared" si="288"/>
        <v>0</v>
      </c>
      <c r="E388" s="14">
        <f t="shared" si="271"/>
        <v>0</v>
      </c>
      <c r="F388" s="14">
        <f t="shared" si="308"/>
        <v>0</v>
      </c>
      <c r="G388" s="14">
        <f t="shared" si="308"/>
        <v>0</v>
      </c>
      <c r="H388" s="14">
        <f t="shared" si="309"/>
        <v>0</v>
      </c>
      <c r="I388" s="185">
        <f t="shared" si="289"/>
        <v>0</v>
      </c>
      <c r="J388" s="185">
        <f t="shared" si="290"/>
        <v>0</v>
      </c>
      <c r="K388" s="185">
        <f t="shared" si="291"/>
        <v>0</v>
      </c>
      <c r="L388" s="317">
        <f t="shared" si="305"/>
        <v>31</v>
      </c>
      <c r="M388" s="317">
        <f t="shared" si="280"/>
        <v>372</v>
      </c>
      <c r="N388" s="185">
        <f t="shared" si="281"/>
        <v>0</v>
      </c>
      <c r="O388" s="185">
        <f t="shared" si="316"/>
        <v>0</v>
      </c>
      <c r="P388" s="185">
        <f t="shared" si="292"/>
        <v>0</v>
      </c>
      <c r="Q388" s="185">
        <f t="shared" si="317"/>
        <v>0</v>
      </c>
      <c r="R388" s="185">
        <f t="shared" si="320"/>
        <v>134.16999999999999</v>
      </c>
      <c r="S388" s="185">
        <f t="shared" si="320"/>
        <v>188.55</v>
      </c>
      <c r="T388" s="185">
        <f t="shared" si="310"/>
        <v>322.72000000000003</v>
      </c>
      <c r="U388" s="185">
        <f t="shared" si="293"/>
        <v>1005371.31</v>
      </c>
      <c r="V388" s="185">
        <f t="shared" si="294"/>
        <v>6046189.700000003</v>
      </c>
      <c r="W388" s="185">
        <f t="shared" si="295"/>
        <v>0</v>
      </c>
      <c r="X388" s="401" t="str">
        <f t="shared" si="282"/>
        <v xml:space="preserve"> </v>
      </c>
      <c r="Y388" s="185">
        <f t="shared" si="318"/>
        <v>0</v>
      </c>
      <c r="Z388" s="393">
        <f t="shared" si="273"/>
        <v>0.13125000000000001</v>
      </c>
      <c r="AA388" s="185">
        <f t="shared" si="274"/>
        <v>0</v>
      </c>
      <c r="AB388" s="185">
        <f t="shared" si="275"/>
        <v>0</v>
      </c>
      <c r="AC388" s="185">
        <f t="shared" si="276"/>
        <v>0</v>
      </c>
      <c r="AD388" s="185">
        <f t="shared" si="311"/>
        <v>134.16999999999999</v>
      </c>
      <c r="AE388" s="185">
        <f t="shared" si="311"/>
        <v>188.55</v>
      </c>
      <c r="AF388" s="185">
        <f t="shared" si="277"/>
        <v>322.72000000000003</v>
      </c>
      <c r="AG388" s="185">
        <f t="shared" si="296"/>
        <v>989037.5</v>
      </c>
      <c r="AH388" s="185">
        <f t="shared" si="297"/>
        <v>2810829.4999999991</v>
      </c>
      <c r="AI388" s="411">
        <f t="shared" si="312"/>
        <v>3221740.1900000102</v>
      </c>
      <c r="AJ388" s="411">
        <f t="shared" si="299"/>
        <v>0</v>
      </c>
      <c r="AK388" s="411">
        <f t="shared" si="313"/>
        <v>3221740.1900000102</v>
      </c>
      <c r="AL388" s="185">
        <f t="shared" si="319"/>
        <v>0</v>
      </c>
      <c r="AM388" s="317">
        <f t="shared" si="283"/>
        <v>31</v>
      </c>
      <c r="AN388" s="14">
        <f t="shared" si="314"/>
        <v>0</v>
      </c>
      <c r="AO388" s="14">
        <f t="shared" si="304"/>
        <v>0</v>
      </c>
      <c r="AP388" s="14">
        <f t="shared" si="315"/>
        <v>0</v>
      </c>
      <c r="AS388" s="14">
        <f t="shared" si="278"/>
        <v>0</v>
      </c>
      <c r="AT388" s="14">
        <f t="shared" si="284"/>
        <v>0</v>
      </c>
      <c r="AU388" s="185">
        <f t="shared" si="285"/>
        <v>0</v>
      </c>
      <c r="AV388" s="185">
        <f t="shared" si="286"/>
        <v>0</v>
      </c>
    </row>
    <row r="389" spans="1:48">
      <c r="A389" s="401" t="str">
        <f t="shared" si="287"/>
        <v xml:space="preserve"> </v>
      </c>
      <c r="B389" s="185">
        <f t="shared" si="307"/>
        <v>0</v>
      </c>
      <c r="C389" s="14">
        <f t="shared" si="270"/>
        <v>0</v>
      </c>
      <c r="D389" s="14">
        <f t="shared" si="288"/>
        <v>0</v>
      </c>
      <c r="E389" s="14">
        <f t="shared" si="271"/>
        <v>0</v>
      </c>
      <c r="F389" s="14">
        <f t="shared" si="308"/>
        <v>0</v>
      </c>
      <c r="G389" s="14">
        <f t="shared" si="308"/>
        <v>0</v>
      </c>
      <c r="H389" s="14">
        <f t="shared" si="309"/>
        <v>0</v>
      </c>
      <c r="I389" s="185">
        <f t="shared" si="289"/>
        <v>0</v>
      </c>
      <c r="J389" s="185">
        <f t="shared" si="290"/>
        <v>0</v>
      </c>
      <c r="K389" s="185">
        <f t="shared" si="291"/>
        <v>0</v>
      </c>
      <c r="L389" s="317">
        <f t="shared" si="305"/>
        <v>31</v>
      </c>
      <c r="M389" s="317">
        <f t="shared" si="280"/>
        <v>373</v>
      </c>
      <c r="N389" s="185">
        <f t="shared" si="281"/>
        <v>0</v>
      </c>
      <c r="O389" s="185">
        <f t="shared" si="316"/>
        <v>0</v>
      </c>
      <c r="P389" s="185">
        <f t="shared" si="292"/>
        <v>0</v>
      </c>
      <c r="Q389" s="185">
        <f t="shared" si="317"/>
        <v>0</v>
      </c>
      <c r="R389" s="185">
        <f t="shared" si="320"/>
        <v>134.16999999999999</v>
      </c>
      <c r="S389" s="185">
        <f t="shared" si="320"/>
        <v>188.55</v>
      </c>
      <c r="T389" s="185">
        <f t="shared" si="310"/>
        <v>322.72000000000003</v>
      </c>
      <c r="U389" s="185">
        <f t="shared" si="293"/>
        <v>1005371.31</v>
      </c>
      <c r="V389" s="185">
        <f t="shared" si="294"/>
        <v>6046189.700000003</v>
      </c>
      <c r="W389" s="185">
        <f t="shared" si="295"/>
        <v>0</v>
      </c>
      <c r="X389" s="401" t="str">
        <f t="shared" si="282"/>
        <v xml:space="preserve"> </v>
      </c>
      <c r="Y389" s="185">
        <f t="shared" si="318"/>
        <v>0</v>
      </c>
      <c r="Z389" s="393">
        <f t="shared" si="273"/>
        <v>0.13125000000000001</v>
      </c>
      <c r="AA389" s="185">
        <f t="shared" si="274"/>
        <v>0</v>
      </c>
      <c r="AB389" s="185">
        <f t="shared" si="275"/>
        <v>0</v>
      </c>
      <c r="AC389" s="185">
        <f t="shared" si="276"/>
        <v>0</v>
      </c>
      <c r="AD389" s="185">
        <f t="shared" si="311"/>
        <v>134.16999999999999</v>
      </c>
      <c r="AE389" s="185">
        <f t="shared" si="311"/>
        <v>188.55</v>
      </c>
      <c r="AF389" s="185">
        <f t="shared" si="277"/>
        <v>322.72000000000003</v>
      </c>
      <c r="AG389" s="185">
        <f t="shared" si="296"/>
        <v>989037.5</v>
      </c>
      <c r="AH389" s="185">
        <f t="shared" si="297"/>
        <v>2810829.4999999991</v>
      </c>
      <c r="AI389" s="411">
        <f t="shared" si="312"/>
        <v>3221740.1900000102</v>
      </c>
      <c r="AJ389" s="411">
        <f t="shared" si="299"/>
        <v>0</v>
      </c>
      <c r="AK389" s="411">
        <f t="shared" si="313"/>
        <v>3221740.1900000102</v>
      </c>
      <c r="AL389" s="185">
        <f t="shared" si="319"/>
        <v>0</v>
      </c>
      <c r="AM389" s="317">
        <f t="shared" si="283"/>
        <v>31</v>
      </c>
      <c r="AN389" s="14">
        <f t="shared" si="314"/>
        <v>0</v>
      </c>
      <c r="AO389" s="14">
        <f t="shared" si="304"/>
        <v>0</v>
      </c>
      <c r="AP389" s="14">
        <f t="shared" si="315"/>
        <v>0</v>
      </c>
      <c r="AS389" s="14">
        <f t="shared" si="278"/>
        <v>0</v>
      </c>
      <c r="AT389" s="14">
        <f t="shared" si="284"/>
        <v>0</v>
      </c>
      <c r="AU389" s="185">
        <f t="shared" si="285"/>
        <v>0</v>
      </c>
      <c r="AV389" s="185">
        <f t="shared" si="286"/>
        <v>0</v>
      </c>
    </row>
    <row r="390" spans="1:48">
      <c r="A390" s="401" t="str">
        <f t="shared" si="287"/>
        <v xml:space="preserve"> </v>
      </c>
      <c r="B390" s="185">
        <f t="shared" si="307"/>
        <v>0</v>
      </c>
      <c r="C390" s="14">
        <f t="shared" si="270"/>
        <v>0</v>
      </c>
      <c r="D390" s="14">
        <f t="shared" si="288"/>
        <v>0</v>
      </c>
      <c r="E390" s="14">
        <f t="shared" si="271"/>
        <v>0</v>
      </c>
      <c r="F390" s="14">
        <f t="shared" si="308"/>
        <v>0</v>
      </c>
      <c r="G390" s="14">
        <f t="shared" si="308"/>
        <v>0</v>
      </c>
      <c r="H390" s="14">
        <f t="shared" si="309"/>
        <v>0</v>
      </c>
      <c r="I390" s="185">
        <f t="shared" si="289"/>
        <v>0</v>
      </c>
      <c r="J390" s="185">
        <f t="shared" si="290"/>
        <v>0</v>
      </c>
      <c r="K390" s="185">
        <f t="shared" si="291"/>
        <v>0</v>
      </c>
      <c r="L390" s="317">
        <f t="shared" si="305"/>
        <v>31</v>
      </c>
      <c r="M390" s="317">
        <f t="shared" si="280"/>
        <v>374</v>
      </c>
      <c r="N390" s="185">
        <f t="shared" si="281"/>
        <v>0</v>
      </c>
      <c r="O390" s="185">
        <f t="shared" si="316"/>
        <v>0</v>
      </c>
      <c r="P390" s="185">
        <f t="shared" si="292"/>
        <v>0</v>
      </c>
      <c r="Q390" s="185">
        <f t="shared" si="317"/>
        <v>0</v>
      </c>
      <c r="R390" s="185">
        <f t="shared" si="320"/>
        <v>134.16999999999999</v>
      </c>
      <c r="S390" s="185">
        <f t="shared" si="320"/>
        <v>188.55</v>
      </c>
      <c r="T390" s="185">
        <f t="shared" si="310"/>
        <v>322.72000000000003</v>
      </c>
      <c r="U390" s="185">
        <f t="shared" si="293"/>
        <v>1005371.31</v>
      </c>
      <c r="V390" s="185">
        <f t="shared" si="294"/>
        <v>6046189.700000003</v>
      </c>
      <c r="W390" s="185">
        <f t="shared" si="295"/>
        <v>0</v>
      </c>
      <c r="X390" s="401" t="str">
        <f t="shared" si="282"/>
        <v xml:space="preserve"> </v>
      </c>
      <c r="Y390" s="185">
        <f t="shared" si="318"/>
        <v>0</v>
      </c>
      <c r="Z390" s="393">
        <f t="shared" si="273"/>
        <v>0.13125000000000001</v>
      </c>
      <c r="AA390" s="185">
        <f t="shared" si="274"/>
        <v>0</v>
      </c>
      <c r="AB390" s="185">
        <f t="shared" si="275"/>
        <v>0</v>
      </c>
      <c r="AC390" s="185">
        <f t="shared" si="276"/>
        <v>0</v>
      </c>
      <c r="AD390" s="185">
        <f t="shared" si="311"/>
        <v>134.16999999999999</v>
      </c>
      <c r="AE390" s="185">
        <f t="shared" si="311"/>
        <v>188.55</v>
      </c>
      <c r="AF390" s="185">
        <f t="shared" si="277"/>
        <v>322.72000000000003</v>
      </c>
      <c r="AG390" s="185">
        <f t="shared" si="296"/>
        <v>989037.5</v>
      </c>
      <c r="AH390" s="185">
        <f t="shared" si="297"/>
        <v>2810829.4999999991</v>
      </c>
      <c r="AI390" s="411">
        <f t="shared" si="312"/>
        <v>3221740.1900000102</v>
      </c>
      <c r="AJ390" s="411">
        <f t="shared" si="299"/>
        <v>0</v>
      </c>
      <c r="AK390" s="411">
        <f t="shared" si="313"/>
        <v>3221740.1900000102</v>
      </c>
      <c r="AL390" s="185">
        <f t="shared" si="319"/>
        <v>0</v>
      </c>
      <c r="AM390" s="317">
        <f t="shared" si="283"/>
        <v>31</v>
      </c>
      <c r="AN390" s="14">
        <f t="shared" si="314"/>
        <v>0</v>
      </c>
      <c r="AO390" s="14">
        <f t="shared" si="304"/>
        <v>0</v>
      </c>
      <c r="AP390" s="14">
        <f t="shared" si="315"/>
        <v>0</v>
      </c>
      <c r="AS390" s="14">
        <f t="shared" si="278"/>
        <v>0</v>
      </c>
      <c r="AT390" s="14">
        <f t="shared" si="284"/>
        <v>0</v>
      </c>
      <c r="AU390" s="185">
        <f t="shared" si="285"/>
        <v>0</v>
      </c>
      <c r="AV390" s="185">
        <f t="shared" si="286"/>
        <v>0</v>
      </c>
    </row>
    <row r="391" spans="1:48">
      <c r="A391" s="401" t="str">
        <f t="shared" si="287"/>
        <v xml:space="preserve"> </v>
      </c>
      <c r="B391" s="185">
        <f t="shared" si="307"/>
        <v>0</v>
      </c>
      <c r="C391" s="14">
        <f t="shared" si="270"/>
        <v>0</v>
      </c>
      <c r="D391" s="14">
        <f t="shared" si="288"/>
        <v>0</v>
      </c>
      <c r="E391" s="14">
        <f t="shared" si="271"/>
        <v>0</v>
      </c>
      <c r="F391" s="14">
        <f t="shared" si="308"/>
        <v>0</v>
      </c>
      <c r="G391" s="14">
        <f t="shared" si="308"/>
        <v>0</v>
      </c>
      <c r="H391" s="14">
        <f t="shared" si="309"/>
        <v>0</v>
      </c>
      <c r="I391" s="185">
        <f t="shared" si="289"/>
        <v>0</v>
      </c>
      <c r="J391" s="185">
        <f t="shared" si="290"/>
        <v>0</v>
      </c>
      <c r="K391" s="185">
        <f t="shared" si="291"/>
        <v>0</v>
      </c>
      <c r="L391" s="317">
        <f t="shared" si="305"/>
        <v>31</v>
      </c>
      <c r="M391" s="317">
        <f t="shared" si="280"/>
        <v>375</v>
      </c>
      <c r="N391" s="185">
        <f t="shared" si="281"/>
        <v>0</v>
      </c>
      <c r="O391" s="185">
        <f t="shared" si="316"/>
        <v>0</v>
      </c>
      <c r="P391" s="185">
        <f t="shared" si="292"/>
        <v>0</v>
      </c>
      <c r="Q391" s="185">
        <f t="shared" si="317"/>
        <v>0</v>
      </c>
      <c r="R391" s="185">
        <f t="shared" si="320"/>
        <v>134.16999999999999</v>
      </c>
      <c r="S391" s="185">
        <f t="shared" si="320"/>
        <v>188.55</v>
      </c>
      <c r="T391" s="185">
        <f t="shared" si="310"/>
        <v>322.72000000000003</v>
      </c>
      <c r="U391" s="185">
        <f t="shared" si="293"/>
        <v>1005371.31</v>
      </c>
      <c r="V391" s="185">
        <f t="shared" si="294"/>
        <v>6046189.700000003</v>
      </c>
      <c r="W391" s="185">
        <f t="shared" si="295"/>
        <v>0</v>
      </c>
      <c r="X391" s="401" t="str">
        <f t="shared" si="282"/>
        <v xml:space="preserve"> </v>
      </c>
      <c r="Y391" s="185">
        <f t="shared" si="318"/>
        <v>0</v>
      </c>
      <c r="Z391" s="393">
        <f t="shared" si="273"/>
        <v>0.13125000000000001</v>
      </c>
      <c r="AA391" s="185">
        <f t="shared" si="274"/>
        <v>0</v>
      </c>
      <c r="AB391" s="185">
        <f t="shared" si="275"/>
        <v>0</v>
      </c>
      <c r="AC391" s="185">
        <f t="shared" si="276"/>
        <v>0</v>
      </c>
      <c r="AD391" s="185">
        <f t="shared" si="311"/>
        <v>134.16999999999999</v>
      </c>
      <c r="AE391" s="185">
        <f t="shared" si="311"/>
        <v>188.55</v>
      </c>
      <c r="AF391" s="185">
        <f t="shared" si="277"/>
        <v>322.72000000000003</v>
      </c>
      <c r="AG391" s="185">
        <f t="shared" si="296"/>
        <v>989037.5</v>
      </c>
      <c r="AH391" s="185">
        <f t="shared" si="297"/>
        <v>2810829.4999999991</v>
      </c>
      <c r="AI391" s="411">
        <f t="shared" si="312"/>
        <v>3221740.1900000102</v>
      </c>
      <c r="AJ391" s="411">
        <f t="shared" si="299"/>
        <v>0</v>
      </c>
      <c r="AK391" s="411">
        <f t="shared" si="313"/>
        <v>3221740.1900000102</v>
      </c>
      <c r="AL391" s="185">
        <f t="shared" si="319"/>
        <v>0</v>
      </c>
      <c r="AM391" s="317">
        <f t="shared" si="283"/>
        <v>31</v>
      </c>
      <c r="AN391" s="14">
        <f t="shared" si="314"/>
        <v>0</v>
      </c>
      <c r="AO391" s="14">
        <f t="shared" si="304"/>
        <v>0</v>
      </c>
      <c r="AP391" s="14">
        <f t="shared" si="315"/>
        <v>0</v>
      </c>
      <c r="AS391" s="14">
        <f t="shared" si="278"/>
        <v>0</v>
      </c>
      <c r="AT391" s="14">
        <f t="shared" si="284"/>
        <v>0</v>
      </c>
      <c r="AU391" s="185">
        <f t="shared" si="285"/>
        <v>0</v>
      </c>
      <c r="AV391" s="185">
        <f t="shared" si="286"/>
        <v>0</v>
      </c>
    </row>
    <row r="392" spans="1:48">
      <c r="A392" s="401" t="str">
        <f t="shared" si="287"/>
        <v xml:space="preserve"> </v>
      </c>
      <c r="B392" s="185">
        <f t="shared" si="307"/>
        <v>0</v>
      </c>
      <c r="C392" s="14">
        <f t="shared" si="270"/>
        <v>0</v>
      </c>
      <c r="D392" s="14">
        <f t="shared" si="288"/>
        <v>0</v>
      </c>
      <c r="E392" s="14">
        <f t="shared" si="271"/>
        <v>0</v>
      </c>
      <c r="F392" s="14">
        <f t="shared" si="308"/>
        <v>0</v>
      </c>
      <c r="G392" s="14">
        <f t="shared" si="308"/>
        <v>0</v>
      </c>
      <c r="H392" s="14">
        <f t="shared" si="309"/>
        <v>0</v>
      </c>
      <c r="I392" s="185">
        <f t="shared" si="289"/>
        <v>0</v>
      </c>
      <c r="J392" s="185">
        <f t="shared" si="290"/>
        <v>0</v>
      </c>
      <c r="K392" s="185">
        <f t="shared" si="291"/>
        <v>0</v>
      </c>
      <c r="L392" s="317">
        <f t="shared" si="305"/>
        <v>31</v>
      </c>
      <c r="M392" s="317">
        <f t="shared" si="280"/>
        <v>376</v>
      </c>
      <c r="N392" s="185">
        <f t="shared" si="281"/>
        <v>0</v>
      </c>
      <c r="O392" s="185">
        <f t="shared" si="316"/>
        <v>0</v>
      </c>
      <c r="P392" s="185">
        <f t="shared" si="292"/>
        <v>0</v>
      </c>
      <c r="Q392" s="185">
        <f t="shared" si="317"/>
        <v>0</v>
      </c>
      <c r="R392" s="185">
        <f t="shared" si="320"/>
        <v>134.16999999999999</v>
      </c>
      <c r="S392" s="185">
        <f t="shared" si="320"/>
        <v>188.55</v>
      </c>
      <c r="T392" s="185">
        <f t="shared" si="310"/>
        <v>322.72000000000003</v>
      </c>
      <c r="U392" s="185">
        <f t="shared" si="293"/>
        <v>1005371.31</v>
      </c>
      <c r="V392" s="185">
        <f t="shared" si="294"/>
        <v>6046189.700000003</v>
      </c>
      <c r="W392" s="185">
        <f t="shared" si="295"/>
        <v>0</v>
      </c>
      <c r="X392" s="401" t="str">
        <f t="shared" si="282"/>
        <v xml:space="preserve"> </v>
      </c>
      <c r="Y392" s="185">
        <f t="shared" si="318"/>
        <v>0</v>
      </c>
      <c r="Z392" s="393">
        <f t="shared" si="273"/>
        <v>0.13125000000000001</v>
      </c>
      <c r="AA392" s="185">
        <f t="shared" si="274"/>
        <v>0</v>
      </c>
      <c r="AB392" s="185">
        <f t="shared" si="275"/>
        <v>0</v>
      </c>
      <c r="AC392" s="185">
        <f t="shared" si="276"/>
        <v>0</v>
      </c>
      <c r="AD392" s="185">
        <f t="shared" si="311"/>
        <v>134.16999999999999</v>
      </c>
      <c r="AE392" s="185">
        <f t="shared" si="311"/>
        <v>188.55</v>
      </c>
      <c r="AF392" s="185">
        <f t="shared" si="277"/>
        <v>322.72000000000003</v>
      </c>
      <c r="AG392" s="185">
        <f t="shared" si="296"/>
        <v>989037.5</v>
      </c>
      <c r="AH392" s="185">
        <f t="shared" si="297"/>
        <v>2810829.4999999991</v>
      </c>
      <c r="AI392" s="411">
        <f t="shared" si="312"/>
        <v>3221740.1900000102</v>
      </c>
      <c r="AJ392" s="411">
        <f t="shared" si="299"/>
        <v>0</v>
      </c>
      <c r="AK392" s="411">
        <f t="shared" si="313"/>
        <v>3221740.1900000102</v>
      </c>
      <c r="AL392" s="185">
        <f t="shared" si="319"/>
        <v>0</v>
      </c>
      <c r="AM392" s="317">
        <f t="shared" si="283"/>
        <v>31</v>
      </c>
      <c r="AN392" s="14">
        <f t="shared" si="314"/>
        <v>0</v>
      </c>
      <c r="AO392" s="14">
        <f t="shared" si="304"/>
        <v>0</v>
      </c>
      <c r="AP392" s="14">
        <f t="shared" si="315"/>
        <v>0</v>
      </c>
      <c r="AS392" s="14">
        <f t="shared" si="278"/>
        <v>0</v>
      </c>
      <c r="AT392" s="14">
        <f t="shared" si="284"/>
        <v>0</v>
      </c>
      <c r="AU392" s="185">
        <f t="shared" si="285"/>
        <v>0</v>
      </c>
      <c r="AV392" s="185">
        <f t="shared" si="286"/>
        <v>0</v>
      </c>
    </row>
    <row r="393" spans="1:48">
      <c r="A393" s="401" t="str">
        <f t="shared" si="287"/>
        <v xml:space="preserve"> </v>
      </c>
      <c r="B393" s="185">
        <f t="shared" si="307"/>
        <v>0</v>
      </c>
      <c r="C393" s="14">
        <f t="shared" si="270"/>
        <v>0</v>
      </c>
      <c r="D393" s="14">
        <f t="shared" si="288"/>
        <v>0</v>
      </c>
      <c r="E393" s="14">
        <f t="shared" si="271"/>
        <v>0</v>
      </c>
      <c r="F393" s="14">
        <f t="shared" si="308"/>
        <v>0</v>
      </c>
      <c r="G393" s="14">
        <f t="shared" si="308"/>
        <v>0</v>
      </c>
      <c r="H393" s="14">
        <f t="shared" si="309"/>
        <v>0</v>
      </c>
      <c r="I393" s="185">
        <f t="shared" si="289"/>
        <v>0</v>
      </c>
      <c r="J393" s="185">
        <f t="shared" si="290"/>
        <v>0</v>
      </c>
      <c r="K393" s="185">
        <f t="shared" si="291"/>
        <v>0</v>
      </c>
      <c r="L393" s="317">
        <f t="shared" si="305"/>
        <v>31</v>
      </c>
      <c r="M393" s="317">
        <f t="shared" si="280"/>
        <v>377</v>
      </c>
      <c r="N393" s="185">
        <f t="shared" si="281"/>
        <v>0</v>
      </c>
      <c r="O393" s="185">
        <f t="shared" si="316"/>
        <v>0</v>
      </c>
      <c r="P393" s="185">
        <f t="shared" si="292"/>
        <v>0</v>
      </c>
      <c r="Q393" s="185">
        <f t="shared" si="317"/>
        <v>0</v>
      </c>
      <c r="R393" s="185">
        <f t="shared" si="320"/>
        <v>134.16999999999999</v>
      </c>
      <c r="S393" s="185">
        <f t="shared" si="320"/>
        <v>188.55</v>
      </c>
      <c r="T393" s="185">
        <f t="shared" si="310"/>
        <v>322.72000000000003</v>
      </c>
      <c r="U393" s="185">
        <f t="shared" si="293"/>
        <v>1005371.31</v>
      </c>
      <c r="V393" s="185">
        <f t="shared" si="294"/>
        <v>6046189.700000003</v>
      </c>
      <c r="W393" s="185">
        <f t="shared" si="295"/>
        <v>0</v>
      </c>
      <c r="X393" s="401" t="str">
        <f t="shared" si="282"/>
        <v xml:space="preserve"> </v>
      </c>
      <c r="Y393" s="185">
        <f t="shared" si="318"/>
        <v>0</v>
      </c>
      <c r="Z393" s="393">
        <f t="shared" si="273"/>
        <v>0.13125000000000001</v>
      </c>
      <c r="AA393" s="185">
        <f t="shared" si="274"/>
        <v>0</v>
      </c>
      <c r="AB393" s="185">
        <f t="shared" si="275"/>
        <v>0</v>
      </c>
      <c r="AC393" s="185">
        <f t="shared" si="276"/>
        <v>0</v>
      </c>
      <c r="AD393" s="185">
        <f t="shared" si="311"/>
        <v>134.16999999999999</v>
      </c>
      <c r="AE393" s="185">
        <f t="shared" si="311"/>
        <v>188.55</v>
      </c>
      <c r="AF393" s="185">
        <f t="shared" si="277"/>
        <v>322.72000000000003</v>
      </c>
      <c r="AG393" s="185">
        <f t="shared" si="296"/>
        <v>989037.5</v>
      </c>
      <c r="AH393" s="185">
        <f t="shared" si="297"/>
        <v>2810829.4999999991</v>
      </c>
      <c r="AI393" s="411">
        <f t="shared" si="312"/>
        <v>3221740.1900000102</v>
      </c>
      <c r="AJ393" s="411">
        <f t="shared" si="299"/>
        <v>0</v>
      </c>
      <c r="AK393" s="411">
        <f t="shared" si="313"/>
        <v>3221740.1900000102</v>
      </c>
      <c r="AL393" s="185">
        <f t="shared" si="319"/>
        <v>0</v>
      </c>
      <c r="AM393" s="317">
        <f t="shared" si="283"/>
        <v>31</v>
      </c>
      <c r="AN393" s="14">
        <f t="shared" si="314"/>
        <v>0</v>
      </c>
      <c r="AO393" s="14">
        <f t="shared" si="304"/>
        <v>0</v>
      </c>
      <c r="AP393" s="14">
        <f t="shared" si="315"/>
        <v>0</v>
      </c>
      <c r="AS393" s="14">
        <f t="shared" si="278"/>
        <v>0</v>
      </c>
      <c r="AT393" s="14">
        <f t="shared" si="284"/>
        <v>0</v>
      </c>
      <c r="AU393" s="185">
        <f t="shared" si="285"/>
        <v>0</v>
      </c>
      <c r="AV393" s="185">
        <f t="shared" si="286"/>
        <v>0</v>
      </c>
    </row>
    <row r="394" spans="1:48">
      <c r="A394" s="401" t="str">
        <f t="shared" si="287"/>
        <v xml:space="preserve"> </v>
      </c>
      <c r="B394" s="185">
        <f t="shared" si="307"/>
        <v>0</v>
      </c>
      <c r="C394" s="14">
        <f t="shared" si="270"/>
        <v>0</v>
      </c>
      <c r="D394" s="14">
        <f t="shared" si="288"/>
        <v>0</v>
      </c>
      <c r="E394" s="14">
        <f t="shared" si="271"/>
        <v>0</v>
      </c>
      <c r="F394" s="14">
        <f t="shared" si="308"/>
        <v>0</v>
      </c>
      <c r="G394" s="14">
        <f t="shared" si="308"/>
        <v>0</v>
      </c>
      <c r="H394" s="14">
        <f t="shared" si="309"/>
        <v>0</v>
      </c>
      <c r="I394" s="185">
        <f t="shared" si="289"/>
        <v>0</v>
      </c>
      <c r="J394" s="185">
        <f t="shared" si="290"/>
        <v>0</v>
      </c>
      <c r="K394" s="185">
        <f t="shared" si="291"/>
        <v>0</v>
      </c>
      <c r="L394" s="317">
        <f t="shared" si="305"/>
        <v>31</v>
      </c>
      <c r="M394" s="317">
        <f t="shared" si="280"/>
        <v>378</v>
      </c>
      <c r="N394" s="185">
        <f t="shared" si="281"/>
        <v>0</v>
      </c>
      <c r="O394" s="185">
        <f t="shared" si="316"/>
        <v>0</v>
      </c>
      <c r="P394" s="185">
        <f t="shared" si="292"/>
        <v>0</v>
      </c>
      <c r="Q394" s="185">
        <f t="shared" si="317"/>
        <v>0</v>
      </c>
      <c r="R394" s="185">
        <f t="shared" si="320"/>
        <v>134.16999999999999</v>
      </c>
      <c r="S394" s="185">
        <f t="shared" si="320"/>
        <v>188.55</v>
      </c>
      <c r="T394" s="185">
        <f t="shared" si="310"/>
        <v>322.72000000000003</v>
      </c>
      <c r="U394" s="185">
        <f t="shared" si="293"/>
        <v>1005371.31</v>
      </c>
      <c r="V394" s="185">
        <f t="shared" si="294"/>
        <v>6046189.700000003</v>
      </c>
      <c r="W394" s="185">
        <f t="shared" si="295"/>
        <v>0</v>
      </c>
      <c r="X394" s="401" t="str">
        <f t="shared" si="282"/>
        <v xml:space="preserve"> </v>
      </c>
      <c r="Y394" s="185">
        <f t="shared" si="318"/>
        <v>0</v>
      </c>
      <c r="Z394" s="393">
        <f t="shared" si="273"/>
        <v>0.13125000000000001</v>
      </c>
      <c r="AA394" s="185">
        <f t="shared" si="274"/>
        <v>0</v>
      </c>
      <c r="AB394" s="185">
        <f t="shared" si="275"/>
        <v>0</v>
      </c>
      <c r="AC394" s="185">
        <f t="shared" si="276"/>
        <v>0</v>
      </c>
      <c r="AD394" s="185">
        <f t="shared" si="311"/>
        <v>134.16999999999999</v>
      </c>
      <c r="AE394" s="185">
        <f t="shared" si="311"/>
        <v>188.55</v>
      </c>
      <c r="AF394" s="185">
        <f t="shared" si="277"/>
        <v>322.72000000000003</v>
      </c>
      <c r="AG394" s="185">
        <f t="shared" si="296"/>
        <v>989037.5</v>
      </c>
      <c r="AH394" s="185">
        <f t="shared" si="297"/>
        <v>2810829.4999999991</v>
      </c>
      <c r="AI394" s="411">
        <f t="shared" si="312"/>
        <v>3221740.1900000102</v>
      </c>
      <c r="AJ394" s="411">
        <f t="shared" si="299"/>
        <v>0</v>
      </c>
      <c r="AK394" s="411">
        <f t="shared" si="313"/>
        <v>3221740.1900000102</v>
      </c>
      <c r="AL394" s="185">
        <f t="shared" si="319"/>
        <v>0</v>
      </c>
      <c r="AM394" s="317">
        <f t="shared" si="283"/>
        <v>31</v>
      </c>
      <c r="AN394" s="14">
        <f t="shared" si="314"/>
        <v>0</v>
      </c>
      <c r="AO394" s="14">
        <f t="shared" si="304"/>
        <v>0</v>
      </c>
      <c r="AP394" s="14">
        <f t="shared" si="315"/>
        <v>0</v>
      </c>
      <c r="AS394" s="14">
        <f t="shared" si="278"/>
        <v>0</v>
      </c>
      <c r="AT394" s="14">
        <f t="shared" si="284"/>
        <v>0</v>
      </c>
      <c r="AU394" s="185">
        <f t="shared" si="285"/>
        <v>0</v>
      </c>
      <c r="AV394" s="185">
        <f t="shared" si="286"/>
        <v>0</v>
      </c>
    </row>
    <row r="395" spans="1:48">
      <c r="A395" s="401" t="str">
        <f t="shared" si="287"/>
        <v xml:space="preserve"> </v>
      </c>
      <c r="B395" s="185">
        <f t="shared" si="307"/>
        <v>0</v>
      </c>
      <c r="C395" s="14">
        <f t="shared" si="270"/>
        <v>0</v>
      </c>
      <c r="D395" s="14">
        <f t="shared" si="288"/>
        <v>0</v>
      </c>
      <c r="E395" s="14">
        <f t="shared" si="271"/>
        <v>0</v>
      </c>
      <c r="F395" s="14">
        <f t="shared" ref="F395:G410" si="321">+F394</f>
        <v>0</v>
      </c>
      <c r="G395" s="14">
        <f t="shared" si="321"/>
        <v>0</v>
      </c>
      <c r="H395" s="14">
        <f t="shared" si="309"/>
        <v>0</v>
      </c>
      <c r="I395" s="185">
        <f t="shared" si="289"/>
        <v>0</v>
      </c>
      <c r="J395" s="185">
        <f t="shared" si="290"/>
        <v>0</v>
      </c>
      <c r="K395" s="185">
        <f t="shared" si="291"/>
        <v>0</v>
      </c>
      <c r="L395" s="317">
        <f t="shared" si="305"/>
        <v>31</v>
      </c>
      <c r="M395" s="317">
        <f t="shared" si="280"/>
        <v>379</v>
      </c>
      <c r="N395" s="185">
        <f t="shared" si="281"/>
        <v>0</v>
      </c>
      <c r="O395" s="185">
        <f t="shared" si="316"/>
        <v>0</v>
      </c>
      <c r="P395" s="185">
        <f t="shared" si="292"/>
        <v>0</v>
      </c>
      <c r="Q395" s="185">
        <f t="shared" si="317"/>
        <v>0</v>
      </c>
      <c r="R395" s="185">
        <f t="shared" si="320"/>
        <v>134.16999999999999</v>
      </c>
      <c r="S395" s="185">
        <f t="shared" si="320"/>
        <v>188.55</v>
      </c>
      <c r="T395" s="185">
        <f t="shared" si="310"/>
        <v>322.72000000000003</v>
      </c>
      <c r="U395" s="185">
        <f t="shared" si="293"/>
        <v>1005371.31</v>
      </c>
      <c r="V395" s="185">
        <f t="shared" si="294"/>
        <v>6046189.700000003</v>
      </c>
      <c r="W395" s="185">
        <f t="shared" si="295"/>
        <v>0</v>
      </c>
      <c r="X395" s="401" t="str">
        <f t="shared" si="282"/>
        <v xml:space="preserve"> </v>
      </c>
      <c r="Y395" s="185">
        <f t="shared" si="318"/>
        <v>0</v>
      </c>
      <c r="Z395" s="393">
        <f t="shared" si="273"/>
        <v>0.13125000000000001</v>
      </c>
      <c r="AA395" s="185">
        <f t="shared" si="274"/>
        <v>0</v>
      </c>
      <c r="AB395" s="185">
        <f t="shared" si="275"/>
        <v>0</v>
      </c>
      <c r="AC395" s="185">
        <f t="shared" si="276"/>
        <v>0</v>
      </c>
      <c r="AD395" s="185">
        <f t="shared" si="311"/>
        <v>134.16999999999999</v>
      </c>
      <c r="AE395" s="185">
        <f t="shared" si="311"/>
        <v>188.55</v>
      </c>
      <c r="AF395" s="185">
        <f t="shared" si="277"/>
        <v>322.72000000000003</v>
      </c>
      <c r="AG395" s="185">
        <f t="shared" si="296"/>
        <v>989037.5</v>
      </c>
      <c r="AH395" s="185">
        <f t="shared" si="297"/>
        <v>2810829.4999999991</v>
      </c>
      <c r="AI395" s="411">
        <f t="shared" si="312"/>
        <v>3221740.1900000102</v>
      </c>
      <c r="AJ395" s="411">
        <f t="shared" si="299"/>
        <v>0</v>
      </c>
      <c r="AK395" s="411">
        <f t="shared" si="313"/>
        <v>3221740.1900000102</v>
      </c>
      <c r="AL395" s="185">
        <f t="shared" si="319"/>
        <v>0</v>
      </c>
      <c r="AM395" s="317">
        <f t="shared" si="283"/>
        <v>31</v>
      </c>
      <c r="AN395" s="14">
        <f t="shared" si="314"/>
        <v>0</v>
      </c>
      <c r="AO395" s="14">
        <f t="shared" si="304"/>
        <v>0</v>
      </c>
      <c r="AP395" s="14">
        <f t="shared" si="315"/>
        <v>0</v>
      </c>
      <c r="AS395" s="14">
        <f t="shared" si="278"/>
        <v>0</v>
      </c>
      <c r="AT395" s="14">
        <f t="shared" si="284"/>
        <v>0</v>
      </c>
      <c r="AU395" s="185">
        <f t="shared" si="285"/>
        <v>0</v>
      </c>
      <c r="AV395" s="185">
        <f t="shared" si="286"/>
        <v>0</v>
      </c>
    </row>
    <row r="396" spans="1:48">
      <c r="A396" s="401" t="str">
        <f t="shared" si="287"/>
        <v xml:space="preserve"> </v>
      </c>
      <c r="B396" s="185">
        <f t="shared" si="307"/>
        <v>0</v>
      </c>
      <c r="C396" s="14">
        <f t="shared" si="270"/>
        <v>0</v>
      </c>
      <c r="D396" s="14">
        <f t="shared" si="288"/>
        <v>0</v>
      </c>
      <c r="E396" s="14">
        <f t="shared" si="271"/>
        <v>0</v>
      </c>
      <c r="F396" s="14">
        <f t="shared" si="321"/>
        <v>0</v>
      </c>
      <c r="G396" s="14">
        <f t="shared" si="321"/>
        <v>0</v>
      </c>
      <c r="H396" s="14">
        <f t="shared" si="309"/>
        <v>0</v>
      </c>
      <c r="I396" s="185">
        <f t="shared" si="289"/>
        <v>0</v>
      </c>
      <c r="J396" s="185">
        <f t="shared" si="290"/>
        <v>0</v>
      </c>
      <c r="K396" s="185">
        <f t="shared" si="291"/>
        <v>0</v>
      </c>
      <c r="L396" s="317">
        <f t="shared" si="305"/>
        <v>31</v>
      </c>
      <c r="M396" s="317">
        <f t="shared" si="280"/>
        <v>380</v>
      </c>
      <c r="N396" s="185">
        <f t="shared" si="281"/>
        <v>0</v>
      </c>
      <c r="O396" s="185">
        <f t="shared" si="316"/>
        <v>0</v>
      </c>
      <c r="P396" s="185">
        <f t="shared" si="292"/>
        <v>0</v>
      </c>
      <c r="Q396" s="185">
        <f t="shared" si="317"/>
        <v>0</v>
      </c>
      <c r="R396" s="185">
        <f t="shared" si="320"/>
        <v>134.16999999999999</v>
      </c>
      <c r="S396" s="185">
        <f t="shared" si="320"/>
        <v>188.55</v>
      </c>
      <c r="T396" s="185">
        <f t="shared" si="310"/>
        <v>322.72000000000003</v>
      </c>
      <c r="U396" s="185">
        <f t="shared" si="293"/>
        <v>1005371.31</v>
      </c>
      <c r="V396" s="185">
        <f t="shared" si="294"/>
        <v>6046189.700000003</v>
      </c>
      <c r="W396" s="185">
        <f t="shared" si="295"/>
        <v>0</v>
      </c>
      <c r="X396" s="401" t="str">
        <f t="shared" si="282"/>
        <v xml:space="preserve"> </v>
      </c>
      <c r="Y396" s="185">
        <f t="shared" si="318"/>
        <v>0</v>
      </c>
      <c r="Z396" s="393">
        <f t="shared" si="273"/>
        <v>0.13125000000000001</v>
      </c>
      <c r="AA396" s="185">
        <f t="shared" si="274"/>
        <v>0</v>
      </c>
      <c r="AB396" s="185">
        <f t="shared" si="275"/>
        <v>0</v>
      </c>
      <c r="AC396" s="185">
        <f t="shared" si="276"/>
        <v>0</v>
      </c>
      <c r="AD396" s="185">
        <f t="shared" si="311"/>
        <v>134.16999999999999</v>
      </c>
      <c r="AE396" s="185">
        <f t="shared" si="311"/>
        <v>188.55</v>
      </c>
      <c r="AF396" s="185">
        <f t="shared" si="277"/>
        <v>322.72000000000003</v>
      </c>
      <c r="AG396" s="185">
        <f t="shared" si="296"/>
        <v>989037.5</v>
      </c>
      <c r="AH396" s="185">
        <f t="shared" si="297"/>
        <v>2810829.4999999991</v>
      </c>
      <c r="AI396" s="411">
        <f t="shared" si="312"/>
        <v>3221740.1900000102</v>
      </c>
      <c r="AJ396" s="411">
        <f t="shared" si="299"/>
        <v>0</v>
      </c>
      <c r="AK396" s="411">
        <f t="shared" si="313"/>
        <v>3221740.1900000102</v>
      </c>
      <c r="AL396" s="185">
        <f t="shared" si="319"/>
        <v>0</v>
      </c>
      <c r="AM396" s="317">
        <f t="shared" si="283"/>
        <v>31</v>
      </c>
      <c r="AN396" s="14">
        <f t="shared" si="314"/>
        <v>0</v>
      </c>
      <c r="AO396" s="14">
        <f t="shared" si="304"/>
        <v>0</v>
      </c>
      <c r="AP396" s="14">
        <f t="shared" si="315"/>
        <v>0</v>
      </c>
      <c r="AS396" s="14">
        <f t="shared" si="278"/>
        <v>0</v>
      </c>
      <c r="AT396" s="14">
        <f t="shared" si="284"/>
        <v>0</v>
      </c>
      <c r="AU396" s="185">
        <f t="shared" si="285"/>
        <v>0</v>
      </c>
      <c r="AV396" s="185">
        <f t="shared" si="286"/>
        <v>0</v>
      </c>
    </row>
    <row r="397" spans="1:48">
      <c r="A397" s="401" t="str">
        <f t="shared" si="287"/>
        <v xml:space="preserve"> </v>
      </c>
      <c r="B397" s="185">
        <f t="shared" si="307"/>
        <v>0</v>
      </c>
      <c r="C397" s="14">
        <f t="shared" si="270"/>
        <v>0</v>
      </c>
      <c r="D397" s="14">
        <f t="shared" si="288"/>
        <v>0</v>
      </c>
      <c r="E397" s="14">
        <f t="shared" si="271"/>
        <v>0</v>
      </c>
      <c r="F397" s="14">
        <f t="shared" si="321"/>
        <v>0</v>
      </c>
      <c r="G397" s="14">
        <f t="shared" si="321"/>
        <v>0</v>
      </c>
      <c r="H397" s="14">
        <f t="shared" si="309"/>
        <v>0</v>
      </c>
      <c r="I397" s="185">
        <f t="shared" si="289"/>
        <v>0</v>
      </c>
      <c r="J397" s="185">
        <f t="shared" si="290"/>
        <v>0</v>
      </c>
      <c r="K397" s="185">
        <f t="shared" si="291"/>
        <v>0</v>
      </c>
      <c r="L397" s="317">
        <f t="shared" si="305"/>
        <v>31</v>
      </c>
      <c r="M397" s="317">
        <f t="shared" si="280"/>
        <v>381</v>
      </c>
      <c r="N397" s="185">
        <f t="shared" si="281"/>
        <v>0</v>
      </c>
      <c r="O397" s="185">
        <f t="shared" si="316"/>
        <v>0</v>
      </c>
      <c r="P397" s="185">
        <f t="shared" si="292"/>
        <v>0</v>
      </c>
      <c r="Q397" s="185">
        <f t="shared" si="317"/>
        <v>0</v>
      </c>
      <c r="R397" s="185">
        <f t="shared" si="320"/>
        <v>134.16999999999999</v>
      </c>
      <c r="S397" s="185">
        <f t="shared" si="320"/>
        <v>188.55</v>
      </c>
      <c r="T397" s="185">
        <f t="shared" si="310"/>
        <v>322.72000000000003</v>
      </c>
      <c r="U397" s="185">
        <f t="shared" si="293"/>
        <v>1005371.31</v>
      </c>
      <c r="V397" s="185">
        <f t="shared" si="294"/>
        <v>6046189.700000003</v>
      </c>
      <c r="W397" s="185">
        <f t="shared" si="295"/>
        <v>0</v>
      </c>
      <c r="X397" s="401" t="str">
        <f t="shared" si="282"/>
        <v xml:space="preserve"> </v>
      </c>
      <c r="Y397" s="185">
        <f t="shared" si="318"/>
        <v>0</v>
      </c>
      <c r="Z397" s="393">
        <f t="shared" si="273"/>
        <v>0.13125000000000001</v>
      </c>
      <c r="AA397" s="185">
        <f t="shared" si="274"/>
        <v>0</v>
      </c>
      <c r="AB397" s="185">
        <f t="shared" si="275"/>
        <v>0</v>
      </c>
      <c r="AC397" s="185">
        <f t="shared" si="276"/>
        <v>0</v>
      </c>
      <c r="AD397" s="185">
        <f t="shared" ref="AD397:AE412" si="322">+AD396</f>
        <v>134.16999999999999</v>
      </c>
      <c r="AE397" s="185">
        <f t="shared" si="322"/>
        <v>188.55</v>
      </c>
      <c r="AF397" s="185">
        <f t="shared" si="277"/>
        <v>322.72000000000003</v>
      </c>
      <c r="AG397" s="185">
        <f t="shared" si="296"/>
        <v>989037.5</v>
      </c>
      <c r="AH397" s="185">
        <f t="shared" si="297"/>
        <v>2810829.4999999991</v>
      </c>
      <c r="AI397" s="411">
        <f t="shared" si="312"/>
        <v>3221740.1900000102</v>
      </c>
      <c r="AJ397" s="411">
        <f t="shared" si="299"/>
        <v>0</v>
      </c>
      <c r="AK397" s="411">
        <f t="shared" si="313"/>
        <v>3221740.1900000102</v>
      </c>
      <c r="AL397" s="185">
        <f t="shared" si="319"/>
        <v>0</v>
      </c>
      <c r="AM397" s="317">
        <f t="shared" si="283"/>
        <v>31</v>
      </c>
      <c r="AN397" s="14">
        <f t="shared" si="314"/>
        <v>0</v>
      </c>
      <c r="AO397" s="14">
        <f t="shared" si="304"/>
        <v>0</v>
      </c>
      <c r="AP397" s="14">
        <f t="shared" si="315"/>
        <v>0</v>
      </c>
      <c r="AS397" s="14">
        <f t="shared" si="278"/>
        <v>0</v>
      </c>
      <c r="AT397" s="14">
        <f t="shared" si="284"/>
        <v>0</v>
      </c>
      <c r="AU397" s="185">
        <f t="shared" si="285"/>
        <v>0</v>
      </c>
      <c r="AV397" s="185">
        <f t="shared" si="286"/>
        <v>0</v>
      </c>
    </row>
    <row r="398" spans="1:48">
      <c r="A398" s="401" t="str">
        <f t="shared" si="287"/>
        <v xml:space="preserve"> </v>
      </c>
      <c r="B398" s="185">
        <f t="shared" si="307"/>
        <v>0</v>
      </c>
      <c r="C398" s="14">
        <f t="shared" si="270"/>
        <v>0</v>
      </c>
      <c r="D398" s="14">
        <f t="shared" si="288"/>
        <v>0</v>
      </c>
      <c r="E398" s="14">
        <f t="shared" si="271"/>
        <v>0</v>
      </c>
      <c r="F398" s="14">
        <f t="shared" si="321"/>
        <v>0</v>
      </c>
      <c r="G398" s="14">
        <f t="shared" si="321"/>
        <v>0</v>
      </c>
      <c r="H398" s="14">
        <f t="shared" si="309"/>
        <v>0</v>
      </c>
      <c r="I398" s="185">
        <f t="shared" si="289"/>
        <v>0</v>
      </c>
      <c r="J398" s="185">
        <f t="shared" si="290"/>
        <v>0</v>
      </c>
      <c r="K398" s="185">
        <f t="shared" si="291"/>
        <v>0</v>
      </c>
      <c r="L398" s="317">
        <f t="shared" si="305"/>
        <v>31</v>
      </c>
      <c r="M398" s="317">
        <f t="shared" si="280"/>
        <v>382</v>
      </c>
      <c r="N398" s="185">
        <f t="shared" si="281"/>
        <v>0</v>
      </c>
      <c r="O398" s="185">
        <f t="shared" si="316"/>
        <v>0</v>
      </c>
      <c r="P398" s="185">
        <f t="shared" si="292"/>
        <v>0</v>
      </c>
      <c r="Q398" s="185">
        <f t="shared" si="317"/>
        <v>0</v>
      </c>
      <c r="R398" s="185">
        <f t="shared" si="320"/>
        <v>134.16999999999999</v>
      </c>
      <c r="S398" s="185">
        <f t="shared" si="320"/>
        <v>188.55</v>
      </c>
      <c r="T398" s="185">
        <f t="shared" si="310"/>
        <v>322.72000000000003</v>
      </c>
      <c r="U398" s="185">
        <f t="shared" si="293"/>
        <v>1005371.31</v>
      </c>
      <c r="V398" s="185">
        <f t="shared" si="294"/>
        <v>6046189.700000003</v>
      </c>
      <c r="W398" s="185">
        <f t="shared" si="295"/>
        <v>0</v>
      </c>
      <c r="X398" s="401" t="str">
        <f t="shared" si="282"/>
        <v xml:space="preserve"> </v>
      </c>
      <c r="Y398" s="185">
        <f t="shared" si="318"/>
        <v>0</v>
      </c>
      <c r="Z398" s="393">
        <f t="shared" si="273"/>
        <v>0.13125000000000001</v>
      </c>
      <c r="AA398" s="185">
        <f t="shared" si="274"/>
        <v>0</v>
      </c>
      <c r="AB398" s="185">
        <f t="shared" si="275"/>
        <v>0</v>
      </c>
      <c r="AC398" s="185">
        <f t="shared" si="276"/>
        <v>0</v>
      </c>
      <c r="AD398" s="185">
        <f t="shared" si="322"/>
        <v>134.16999999999999</v>
      </c>
      <c r="AE398" s="185">
        <f t="shared" si="322"/>
        <v>188.55</v>
      </c>
      <c r="AF398" s="185">
        <f t="shared" si="277"/>
        <v>322.72000000000003</v>
      </c>
      <c r="AG398" s="185">
        <f t="shared" si="296"/>
        <v>989037.5</v>
      </c>
      <c r="AH398" s="185">
        <f t="shared" si="297"/>
        <v>2810829.4999999991</v>
      </c>
      <c r="AI398" s="411">
        <f t="shared" si="312"/>
        <v>3221740.1900000102</v>
      </c>
      <c r="AJ398" s="411">
        <f t="shared" si="299"/>
        <v>0</v>
      </c>
      <c r="AK398" s="411">
        <f t="shared" si="313"/>
        <v>3221740.1900000102</v>
      </c>
      <c r="AL398" s="185">
        <f t="shared" si="319"/>
        <v>0</v>
      </c>
      <c r="AM398" s="317">
        <f t="shared" si="283"/>
        <v>31</v>
      </c>
      <c r="AN398" s="14">
        <f t="shared" si="314"/>
        <v>0</v>
      </c>
      <c r="AO398" s="14">
        <f t="shared" si="304"/>
        <v>0</v>
      </c>
      <c r="AP398" s="14">
        <f t="shared" si="315"/>
        <v>0</v>
      </c>
      <c r="AS398" s="14">
        <f t="shared" si="278"/>
        <v>0</v>
      </c>
      <c r="AT398" s="14">
        <f t="shared" si="284"/>
        <v>0</v>
      </c>
      <c r="AU398" s="185">
        <f t="shared" si="285"/>
        <v>0</v>
      </c>
      <c r="AV398" s="185">
        <f t="shared" si="286"/>
        <v>0</v>
      </c>
    </row>
    <row r="399" spans="1:48" ht="15.75" thickBot="1">
      <c r="A399" s="404" t="str">
        <f t="shared" si="287"/>
        <v xml:space="preserve"> </v>
      </c>
      <c r="B399" s="237">
        <f t="shared" si="307"/>
        <v>0</v>
      </c>
      <c r="C399" s="21">
        <f t="shared" si="270"/>
        <v>0</v>
      </c>
      <c r="D399" s="21">
        <f t="shared" si="288"/>
        <v>0</v>
      </c>
      <c r="E399" s="21">
        <f t="shared" si="271"/>
        <v>0</v>
      </c>
      <c r="F399" s="21">
        <f t="shared" si="321"/>
        <v>0</v>
      </c>
      <c r="G399" s="21">
        <f t="shared" si="321"/>
        <v>0</v>
      </c>
      <c r="H399" s="21">
        <f t="shared" si="309"/>
        <v>0</v>
      </c>
      <c r="I399" s="237">
        <f t="shared" si="289"/>
        <v>0</v>
      </c>
      <c r="J399" s="237">
        <f t="shared" si="290"/>
        <v>0</v>
      </c>
      <c r="K399" s="237">
        <f t="shared" si="291"/>
        <v>0</v>
      </c>
      <c r="L399" s="318">
        <f t="shared" si="305"/>
        <v>31</v>
      </c>
      <c r="M399" s="318">
        <f t="shared" si="280"/>
        <v>383</v>
      </c>
      <c r="N399" s="237">
        <f t="shared" si="281"/>
        <v>0</v>
      </c>
      <c r="O399" s="237">
        <f t="shared" si="316"/>
        <v>0</v>
      </c>
      <c r="P399" s="237">
        <f t="shared" si="292"/>
        <v>0</v>
      </c>
      <c r="Q399" s="237">
        <f t="shared" si="317"/>
        <v>0</v>
      </c>
      <c r="R399" s="237">
        <f t="shared" si="320"/>
        <v>134.16999999999999</v>
      </c>
      <c r="S399" s="237">
        <f t="shared" si="320"/>
        <v>188.55</v>
      </c>
      <c r="T399" s="237">
        <f t="shared" si="310"/>
        <v>322.72000000000003</v>
      </c>
      <c r="U399" s="237">
        <f t="shared" si="293"/>
        <v>1005371.31</v>
      </c>
      <c r="V399" s="237">
        <f t="shared" si="294"/>
        <v>6046189.700000003</v>
      </c>
      <c r="W399" s="237">
        <f t="shared" si="295"/>
        <v>0</v>
      </c>
      <c r="X399" s="404" t="str">
        <f t="shared" si="282"/>
        <v xml:space="preserve"> </v>
      </c>
      <c r="Y399" s="237">
        <f t="shared" si="318"/>
        <v>0</v>
      </c>
      <c r="Z399" s="394">
        <f t="shared" si="273"/>
        <v>0.13125000000000001</v>
      </c>
      <c r="AA399" s="237">
        <f t="shared" si="274"/>
        <v>0</v>
      </c>
      <c r="AB399" s="237">
        <f t="shared" si="275"/>
        <v>0</v>
      </c>
      <c r="AC399" s="237">
        <f t="shared" si="276"/>
        <v>0</v>
      </c>
      <c r="AD399" s="237">
        <f t="shared" si="322"/>
        <v>134.16999999999999</v>
      </c>
      <c r="AE399" s="237">
        <f t="shared" si="322"/>
        <v>188.55</v>
      </c>
      <c r="AF399" s="237">
        <f t="shared" si="277"/>
        <v>322.72000000000003</v>
      </c>
      <c r="AG399" s="237">
        <f t="shared" si="296"/>
        <v>989037.5</v>
      </c>
      <c r="AH399" s="237">
        <f t="shared" si="297"/>
        <v>2810829.4999999991</v>
      </c>
      <c r="AI399" s="412">
        <f t="shared" si="312"/>
        <v>3221740.1900000102</v>
      </c>
      <c r="AJ399" s="412">
        <f t="shared" si="299"/>
        <v>0</v>
      </c>
      <c r="AK399" s="411">
        <f t="shared" si="313"/>
        <v>3221740.1900000102</v>
      </c>
      <c r="AL399" s="237">
        <f t="shared" si="319"/>
        <v>0</v>
      </c>
      <c r="AM399" s="318">
        <f t="shared" si="283"/>
        <v>31</v>
      </c>
      <c r="AN399" s="21">
        <f t="shared" si="314"/>
        <v>0</v>
      </c>
      <c r="AO399" s="21">
        <f t="shared" si="304"/>
        <v>0</v>
      </c>
      <c r="AP399" s="21">
        <f t="shared" si="315"/>
        <v>0</v>
      </c>
      <c r="AQ399" s="21"/>
      <c r="AR399" s="23"/>
      <c r="AS399" s="21">
        <f t="shared" si="278"/>
        <v>0</v>
      </c>
      <c r="AT399" s="21">
        <f t="shared" si="284"/>
        <v>0</v>
      </c>
      <c r="AU399" s="237">
        <f t="shared" si="285"/>
        <v>0</v>
      </c>
      <c r="AV399" s="237">
        <f t="shared" si="286"/>
        <v>0</v>
      </c>
    </row>
    <row r="400" spans="1:48">
      <c r="A400" s="401" t="str">
        <f t="shared" si="287"/>
        <v xml:space="preserve"> </v>
      </c>
      <c r="B400" s="185">
        <f t="shared" si="307"/>
        <v>0</v>
      </c>
      <c r="C400" s="14">
        <f t="shared" ref="C400:C463" si="323">IF(+$K399&lt;=0,0,$C$6)</f>
        <v>0</v>
      </c>
      <c r="D400" s="14">
        <f t="shared" si="288"/>
        <v>0</v>
      </c>
      <c r="E400" s="14">
        <f t="shared" ref="E400:E463" si="324">ROUND($B400*($C$4/12), 2)</f>
        <v>0</v>
      </c>
      <c r="F400" s="14">
        <f t="shared" si="321"/>
        <v>0</v>
      </c>
      <c r="G400" s="14">
        <f t="shared" si="321"/>
        <v>0</v>
      </c>
      <c r="H400" s="14">
        <f t="shared" si="309"/>
        <v>0</v>
      </c>
      <c r="I400" s="185">
        <f t="shared" si="289"/>
        <v>0</v>
      </c>
      <c r="J400" s="185">
        <f t="shared" si="290"/>
        <v>0</v>
      </c>
      <c r="K400" s="185">
        <f t="shared" si="291"/>
        <v>0</v>
      </c>
      <c r="L400" s="317">
        <f t="shared" si="305"/>
        <v>32</v>
      </c>
      <c r="M400" s="317">
        <f t="shared" si="280"/>
        <v>384</v>
      </c>
      <c r="N400" s="185">
        <f t="shared" si="281"/>
        <v>0</v>
      </c>
      <c r="O400" s="185">
        <f t="shared" si="316"/>
        <v>0</v>
      </c>
      <c r="P400" s="185">
        <f t="shared" si="292"/>
        <v>0</v>
      </c>
      <c r="Q400" s="185">
        <f t="shared" si="317"/>
        <v>0</v>
      </c>
      <c r="R400" s="185">
        <f t="shared" ref="R400:S415" si="325">+R399</f>
        <v>134.16999999999999</v>
      </c>
      <c r="S400" s="185">
        <f t="shared" si="325"/>
        <v>188.55</v>
      </c>
      <c r="T400" s="185">
        <f t="shared" si="310"/>
        <v>322.72000000000003</v>
      </c>
      <c r="U400" s="185">
        <f t="shared" si="293"/>
        <v>1005371.31</v>
      </c>
      <c r="V400" s="185">
        <f t="shared" si="294"/>
        <v>6046189.700000003</v>
      </c>
      <c r="W400" s="185">
        <f t="shared" si="295"/>
        <v>0</v>
      </c>
      <c r="X400" s="401" t="str">
        <f t="shared" si="282"/>
        <v xml:space="preserve"> </v>
      </c>
      <c r="Y400" s="185">
        <f t="shared" si="318"/>
        <v>0</v>
      </c>
      <c r="Z400" s="393">
        <f t="shared" ref="Z400:Z463" si="326">IF(L400&gt;4,$AA$10,$AA$9)</f>
        <v>0.13125000000000001</v>
      </c>
      <c r="AA400" s="185">
        <f t="shared" ref="AA400:AA463" si="327">IF($O$11&lt;=$A400,IF(+AL399&lt;=0,0,IF(Z400=$AA$9,$Z$9,$Z$10)),0)</f>
        <v>0</v>
      </c>
      <c r="AB400" s="185">
        <f t="shared" ref="AB400:AB463" si="328">+AA400-AC400</f>
        <v>0</v>
      </c>
      <c r="AC400" s="185">
        <f t="shared" ref="AC400:AC463" si="329">IF($O$11&lt;=$A400,ROUND(Y400*(Z400/12),2),0)</f>
        <v>0</v>
      </c>
      <c r="AD400" s="185">
        <f t="shared" si="322"/>
        <v>134.16999999999999</v>
      </c>
      <c r="AE400" s="185">
        <f t="shared" si="322"/>
        <v>188.55</v>
      </c>
      <c r="AF400" s="185">
        <f t="shared" ref="AF400:AF463" si="330">SUM(AB400:AE400)</f>
        <v>322.72000000000003</v>
      </c>
      <c r="AG400" s="185">
        <f t="shared" si="296"/>
        <v>989037.5</v>
      </c>
      <c r="AH400" s="185">
        <f t="shared" si="297"/>
        <v>2810829.4999999991</v>
      </c>
      <c r="AI400" s="411">
        <f t="shared" si="312"/>
        <v>3221740.1900000102</v>
      </c>
      <c r="AJ400" s="411">
        <f t="shared" si="299"/>
        <v>0</v>
      </c>
      <c r="AK400" s="411">
        <f t="shared" si="313"/>
        <v>3221740.1900000102</v>
      </c>
      <c r="AL400" s="185">
        <f t="shared" si="319"/>
        <v>0</v>
      </c>
      <c r="AM400" s="317">
        <f t="shared" si="283"/>
        <v>32</v>
      </c>
      <c r="AN400" s="14">
        <f t="shared" si="314"/>
        <v>0</v>
      </c>
      <c r="AO400" s="14">
        <f t="shared" si="304"/>
        <v>0</v>
      </c>
      <c r="AP400" s="14">
        <f t="shared" si="315"/>
        <v>0</v>
      </c>
      <c r="AS400" s="14">
        <f t="shared" ref="AS400:AS463" si="331">+AN400-AR400</f>
        <v>0</v>
      </c>
      <c r="AT400" s="14">
        <f t="shared" si="284"/>
        <v>0</v>
      </c>
      <c r="AU400" s="185">
        <f t="shared" si="285"/>
        <v>0</v>
      </c>
      <c r="AV400" s="185">
        <f t="shared" si="286"/>
        <v>0</v>
      </c>
    </row>
    <row r="401" spans="1:48">
      <c r="A401" s="401" t="str">
        <f t="shared" si="287"/>
        <v xml:space="preserve"> </v>
      </c>
      <c r="B401" s="185">
        <f t="shared" si="307"/>
        <v>0</v>
      </c>
      <c r="C401" s="14">
        <f t="shared" si="323"/>
        <v>0</v>
      </c>
      <c r="D401" s="14">
        <f t="shared" si="288"/>
        <v>0</v>
      </c>
      <c r="E401" s="14">
        <f t="shared" si="324"/>
        <v>0</v>
      </c>
      <c r="F401" s="14">
        <f t="shared" si="321"/>
        <v>0</v>
      </c>
      <c r="G401" s="14">
        <f t="shared" si="321"/>
        <v>0</v>
      </c>
      <c r="H401" s="14">
        <f t="shared" si="309"/>
        <v>0</v>
      </c>
      <c r="I401" s="185">
        <f t="shared" si="289"/>
        <v>0</v>
      </c>
      <c r="J401" s="185">
        <f t="shared" si="290"/>
        <v>0</v>
      </c>
      <c r="K401" s="185">
        <f t="shared" si="291"/>
        <v>0</v>
      </c>
      <c r="L401" s="317">
        <f t="shared" si="305"/>
        <v>32</v>
      </c>
      <c r="M401" s="317">
        <f t="shared" ref="M401:M464" si="332">IF(N401&lt;&gt;"",IF(N401=$O$5,0,+M400+1),0)</f>
        <v>385</v>
      </c>
      <c r="N401" s="185">
        <f t="shared" ref="N401:N464" si="333">IF(+W400&lt;0,0,+W400)</f>
        <v>0</v>
      </c>
      <c r="O401" s="185">
        <f t="shared" si="316"/>
        <v>0</v>
      </c>
      <c r="P401" s="185">
        <f t="shared" si="292"/>
        <v>0</v>
      </c>
      <c r="Q401" s="185">
        <f t="shared" si="317"/>
        <v>0</v>
      </c>
      <c r="R401" s="185">
        <f t="shared" si="325"/>
        <v>134.16999999999999</v>
      </c>
      <c r="S401" s="185">
        <f t="shared" si="325"/>
        <v>188.55</v>
      </c>
      <c r="T401" s="185">
        <f t="shared" si="310"/>
        <v>322.72000000000003</v>
      </c>
      <c r="U401" s="185">
        <f t="shared" si="293"/>
        <v>1005371.31</v>
      </c>
      <c r="V401" s="185">
        <f t="shared" si="294"/>
        <v>6046189.700000003</v>
      </c>
      <c r="W401" s="185">
        <f t="shared" si="295"/>
        <v>0</v>
      </c>
      <c r="X401" s="401" t="str">
        <f t="shared" ref="X401:X464" si="334">+A401</f>
        <v xml:space="preserve"> </v>
      </c>
      <c r="Y401" s="185">
        <f t="shared" si="318"/>
        <v>0</v>
      </c>
      <c r="Z401" s="393">
        <f t="shared" si="326"/>
        <v>0.13125000000000001</v>
      </c>
      <c r="AA401" s="185">
        <f t="shared" si="327"/>
        <v>0</v>
      </c>
      <c r="AB401" s="185">
        <f t="shared" si="328"/>
        <v>0</v>
      </c>
      <c r="AC401" s="185">
        <f t="shared" si="329"/>
        <v>0</v>
      </c>
      <c r="AD401" s="185">
        <f t="shared" si="322"/>
        <v>134.16999999999999</v>
      </c>
      <c r="AE401" s="185">
        <f t="shared" si="322"/>
        <v>188.55</v>
      </c>
      <c r="AF401" s="185">
        <f t="shared" si="330"/>
        <v>322.72000000000003</v>
      </c>
      <c r="AG401" s="185">
        <f t="shared" si="296"/>
        <v>989037.5</v>
      </c>
      <c r="AH401" s="185">
        <f t="shared" si="297"/>
        <v>2810829.4999999991</v>
      </c>
      <c r="AI401" s="411">
        <f t="shared" si="312"/>
        <v>3221740.1900000102</v>
      </c>
      <c r="AJ401" s="411">
        <f t="shared" si="299"/>
        <v>0</v>
      </c>
      <c r="AK401" s="411">
        <f t="shared" si="313"/>
        <v>3221740.1900000102</v>
      </c>
      <c r="AL401" s="185">
        <f t="shared" si="319"/>
        <v>0</v>
      </c>
      <c r="AM401" s="317">
        <f t="shared" ref="AM401:AM464" si="335">+L401</f>
        <v>32</v>
      </c>
      <c r="AN401" s="14">
        <f t="shared" si="314"/>
        <v>0</v>
      </c>
      <c r="AO401" s="14">
        <f t="shared" si="304"/>
        <v>0</v>
      </c>
      <c r="AP401" s="14">
        <f t="shared" si="315"/>
        <v>0</v>
      </c>
      <c r="AS401" s="14">
        <f t="shared" si="331"/>
        <v>0</v>
      </c>
      <c r="AT401" s="14">
        <f t="shared" ref="AT401:AT464" si="336">IF(W401&lt;=0,0,+AS401+AT400)</f>
        <v>0</v>
      </c>
      <c r="AU401" s="185">
        <f t="shared" ref="AU401:AU464" si="337">IF(W401&lt;=0,0,+($O$5+AV400)*$AQ$2/12)</f>
        <v>0</v>
      </c>
      <c r="AV401" s="185">
        <f t="shared" ref="AV401:AV464" si="338">IF(W401&lt;=0,0,+AV400+AU401)</f>
        <v>0</v>
      </c>
    </row>
    <row r="402" spans="1:48">
      <c r="A402" s="401" t="str">
        <f t="shared" ref="A402:A465" si="339">IF(K402&lt;=0," ",+A401+30)</f>
        <v xml:space="preserve"> </v>
      </c>
      <c r="B402" s="185">
        <f t="shared" si="307"/>
        <v>0</v>
      </c>
      <c r="C402" s="14">
        <f t="shared" si="323"/>
        <v>0</v>
      </c>
      <c r="D402" s="14">
        <f t="shared" ref="D402:D465" si="340">+C402-E402</f>
        <v>0</v>
      </c>
      <c r="E402" s="14">
        <f t="shared" si="324"/>
        <v>0</v>
      </c>
      <c r="F402" s="14">
        <f t="shared" si="321"/>
        <v>0</v>
      </c>
      <c r="G402" s="14">
        <f t="shared" si="321"/>
        <v>0</v>
      </c>
      <c r="H402" s="14">
        <f t="shared" si="309"/>
        <v>0</v>
      </c>
      <c r="I402" s="185">
        <f t="shared" ref="I402:I465" si="341">$D402+$I401</f>
        <v>0</v>
      </c>
      <c r="J402" s="185">
        <f t="shared" ref="J402:J465" si="342">$E402+$J401</f>
        <v>0</v>
      </c>
      <c r="K402" s="185">
        <f t="shared" ref="K402:K465" si="343">+B402-D402</f>
        <v>0</v>
      </c>
      <c r="L402" s="317">
        <f t="shared" si="305"/>
        <v>32</v>
      </c>
      <c r="M402" s="317">
        <f t="shared" si="332"/>
        <v>386</v>
      </c>
      <c r="N402" s="185">
        <f t="shared" si="333"/>
        <v>0</v>
      </c>
      <c r="O402" s="185">
        <f t="shared" si="316"/>
        <v>0</v>
      </c>
      <c r="P402" s="185">
        <f t="shared" ref="P402:P465" si="344">+O402-Q402</f>
        <v>0</v>
      </c>
      <c r="Q402" s="185">
        <f t="shared" si="317"/>
        <v>0</v>
      </c>
      <c r="R402" s="185">
        <f t="shared" si="325"/>
        <v>134.16999999999999</v>
      </c>
      <c r="S402" s="185">
        <f t="shared" si="325"/>
        <v>188.55</v>
      </c>
      <c r="T402" s="185">
        <f t="shared" si="310"/>
        <v>322.72000000000003</v>
      </c>
      <c r="U402" s="185">
        <f t="shared" ref="U402:U465" si="345">+P402+U401</f>
        <v>1005371.31</v>
      </c>
      <c r="V402" s="185">
        <f t="shared" ref="V402:V465" si="346">+V401+Q402</f>
        <v>6046189.700000003</v>
      </c>
      <c r="W402" s="185">
        <f t="shared" ref="W402:W465" si="347">+N402-P402</f>
        <v>0</v>
      </c>
      <c r="X402" s="401" t="str">
        <f t="shared" si="334"/>
        <v xml:space="preserve"> </v>
      </c>
      <c r="Y402" s="185">
        <f t="shared" si="318"/>
        <v>0</v>
      </c>
      <c r="Z402" s="393">
        <f t="shared" si="326"/>
        <v>0.13125000000000001</v>
      </c>
      <c r="AA402" s="185">
        <f t="shared" si="327"/>
        <v>0</v>
      </c>
      <c r="AB402" s="185">
        <f t="shared" si="328"/>
        <v>0</v>
      </c>
      <c r="AC402" s="185">
        <f t="shared" si="329"/>
        <v>0</v>
      </c>
      <c r="AD402" s="185">
        <f t="shared" si="322"/>
        <v>134.16999999999999</v>
      </c>
      <c r="AE402" s="185">
        <f t="shared" si="322"/>
        <v>188.55</v>
      </c>
      <c r="AF402" s="185">
        <f t="shared" si="330"/>
        <v>322.72000000000003</v>
      </c>
      <c r="AG402" s="185">
        <f t="shared" ref="AG402:AG465" si="348">+AB402+AG401</f>
        <v>989037.5</v>
      </c>
      <c r="AH402" s="185">
        <f t="shared" ref="AH402:AH465" si="349">+AH401+AC402</f>
        <v>2810829.4999999991</v>
      </c>
      <c r="AI402" s="411">
        <f t="shared" si="312"/>
        <v>3221740.1900000102</v>
      </c>
      <c r="AJ402" s="411">
        <f t="shared" si="299"/>
        <v>0</v>
      </c>
      <c r="AK402" s="411">
        <f t="shared" si="313"/>
        <v>3221740.1900000102</v>
      </c>
      <c r="AL402" s="185">
        <f t="shared" si="319"/>
        <v>0</v>
      </c>
      <c r="AM402" s="317">
        <f t="shared" si="335"/>
        <v>32</v>
      </c>
      <c r="AN402" s="14">
        <f t="shared" si="314"/>
        <v>0</v>
      </c>
      <c r="AO402" s="14">
        <f t="shared" si="304"/>
        <v>0</v>
      </c>
      <c r="AP402" s="14">
        <f t="shared" si="315"/>
        <v>0</v>
      </c>
      <c r="AS402" s="14">
        <f t="shared" si="331"/>
        <v>0</v>
      </c>
      <c r="AT402" s="14">
        <f t="shared" si="336"/>
        <v>0</v>
      </c>
      <c r="AU402" s="185">
        <f t="shared" si="337"/>
        <v>0</v>
      </c>
      <c r="AV402" s="185">
        <f t="shared" si="338"/>
        <v>0</v>
      </c>
    </row>
    <row r="403" spans="1:48">
      <c r="A403" s="401" t="str">
        <f t="shared" si="339"/>
        <v xml:space="preserve"> </v>
      </c>
      <c r="B403" s="185">
        <f t="shared" si="307"/>
        <v>0</v>
      </c>
      <c r="C403" s="14">
        <f t="shared" si="323"/>
        <v>0</v>
      </c>
      <c r="D403" s="14">
        <f t="shared" si="340"/>
        <v>0</v>
      </c>
      <c r="E403" s="14">
        <f t="shared" si="324"/>
        <v>0</v>
      </c>
      <c r="F403" s="14">
        <f t="shared" si="321"/>
        <v>0</v>
      </c>
      <c r="G403" s="14">
        <f t="shared" si="321"/>
        <v>0</v>
      </c>
      <c r="H403" s="14">
        <f t="shared" si="309"/>
        <v>0</v>
      </c>
      <c r="I403" s="185">
        <f t="shared" si="341"/>
        <v>0</v>
      </c>
      <c r="J403" s="185">
        <f t="shared" si="342"/>
        <v>0</v>
      </c>
      <c r="K403" s="185">
        <f t="shared" si="343"/>
        <v>0</v>
      </c>
      <c r="L403" s="317">
        <f t="shared" si="305"/>
        <v>32</v>
      </c>
      <c r="M403" s="317">
        <f t="shared" si="332"/>
        <v>387</v>
      </c>
      <c r="N403" s="185">
        <f t="shared" si="333"/>
        <v>0</v>
      </c>
      <c r="O403" s="185">
        <f t="shared" si="316"/>
        <v>0</v>
      </c>
      <c r="P403" s="185">
        <f t="shared" si="344"/>
        <v>0</v>
      </c>
      <c r="Q403" s="185">
        <f t="shared" si="317"/>
        <v>0</v>
      </c>
      <c r="R403" s="185">
        <f t="shared" si="325"/>
        <v>134.16999999999999</v>
      </c>
      <c r="S403" s="185">
        <f t="shared" si="325"/>
        <v>188.55</v>
      </c>
      <c r="T403" s="185">
        <f t="shared" si="310"/>
        <v>322.72000000000003</v>
      </c>
      <c r="U403" s="185">
        <f t="shared" si="345"/>
        <v>1005371.31</v>
      </c>
      <c r="V403" s="185">
        <f t="shared" si="346"/>
        <v>6046189.700000003</v>
      </c>
      <c r="W403" s="185">
        <f t="shared" si="347"/>
        <v>0</v>
      </c>
      <c r="X403" s="401" t="str">
        <f t="shared" si="334"/>
        <v xml:space="preserve"> </v>
      </c>
      <c r="Y403" s="185">
        <f t="shared" si="318"/>
        <v>0</v>
      </c>
      <c r="Z403" s="393">
        <f t="shared" si="326"/>
        <v>0.13125000000000001</v>
      </c>
      <c r="AA403" s="185">
        <f t="shared" si="327"/>
        <v>0</v>
      </c>
      <c r="AB403" s="185">
        <f t="shared" si="328"/>
        <v>0</v>
      </c>
      <c r="AC403" s="185">
        <f t="shared" si="329"/>
        <v>0</v>
      </c>
      <c r="AD403" s="185">
        <f t="shared" si="322"/>
        <v>134.16999999999999</v>
      </c>
      <c r="AE403" s="185">
        <f t="shared" si="322"/>
        <v>188.55</v>
      </c>
      <c r="AF403" s="185">
        <f t="shared" si="330"/>
        <v>322.72000000000003</v>
      </c>
      <c r="AG403" s="185">
        <f t="shared" si="348"/>
        <v>989037.5</v>
      </c>
      <c r="AH403" s="185">
        <f t="shared" si="349"/>
        <v>2810829.4999999991</v>
      </c>
      <c r="AI403" s="411">
        <f t="shared" si="312"/>
        <v>3221740.1900000102</v>
      </c>
      <c r="AJ403" s="411">
        <f t="shared" si="299"/>
        <v>0</v>
      </c>
      <c r="AK403" s="411">
        <f t="shared" si="313"/>
        <v>3221740.1900000102</v>
      </c>
      <c r="AL403" s="185">
        <f t="shared" si="319"/>
        <v>0</v>
      </c>
      <c r="AM403" s="317">
        <f t="shared" si="335"/>
        <v>32</v>
      </c>
      <c r="AN403" s="14">
        <f t="shared" si="314"/>
        <v>0</v>
      </c>
      <c r="AO403" s="14">
        <f t="shared" si="304"/>
        <v>0</v>
      </c>
      <c r="AP403" s="14">
        <f t="shared" si="315"/>
        <v>0</v>
      </c>
      <c r="AS403" s="14">
        <f t="shared" si="331"/>
        <v>0</v>
      </c>
      <c r="AT403" s="14">
        <f t="shared" si="336"/>
        <v>0</v>
      </c>
      <c r="AU403" s="185">
        <f t="shared" si="337"/>
        <v>0</v>
      </c>
      <c r="AV403" s="185">
        <f t="shared" si="338"/>
        <v>0</v>
      </c>
    </row>
    <row r="404" spans="1:48">
      <c r="A404" s="401" t="str">
        <f t="shared" si="339"/>
        <v xml:space="preserve"> </v>
      </c>
      <c r="B404" s="185">
        <f t="shared" si="307"/>
        <v>0</v>
      </c>
      <c r="C404" s="14">
        <f t="shared" si="323"/>
        <v>0</v>
      </c>
      <c r="D404" s="14">
        <f t="shared" si="340"/>
        <v>0</v>
      </c>
      <c r="E404" s="14">
        <f t="shared" si="324"/>
        <v>0</v>
      </c>
      <c r="F404" s="14">
        <f t="shared" si="321"/>
        <v>0</v>
      </c>
      <c r="G404" s="14">
        <f t="shared" si="321"/>
        <v>0</v>
      </c>
      <c r="H404" s="14">
        <f t="shared" si="309"/>
        <v>0</v>
      </c>
      <c r="I404" s="185">
        <f t="shared" si="341"/>
        <v>0</v>
      </c>
      <c r="J404" s="185">
        <f t="shared" si="342"/>
        <v>0</v>
      </c>
      <c r="K404" s="185">
        <f t="shared" si="343"/>
        <v>0</v>
      </c>
      <c r="L404" s="317">
        <f t="shared" si="305"/>
        <v>32</v>
      </c>
      <c r="M404" s="317">
        <f t="shared" si="332"/>
        <v>388</v>
      </c>
      <c r="N404" s="185">
        <f t="shared" si="333"/>
        <v>0</v>
      </c>
      <c r="O404" s="185">
        <f t="shared" si="316"/>
        <v>0</v>
      </c>
      <c r="P404" s="185">
        <f t="shared" si="344"/>
        <v>0</v>
      </c>
      <c r="Q404" s="185">
        <f t="shared" si="317"/>
        <v>0</v>
      </c>
      <c r="R404" s="185">
        <f t="shared" si="325"/>
        <v>134.16999999999999</v>
      </c>
      <c r="S404" s="185">
        <f t="shared" si="325"/>
        <v>188.55</v>
      </c>
      <c r="T404" s="185">
        <f t="shared" si="310"/>
        <v>322.72000000000003</v>
      </c>
      <c r="U404" s="185">
        <f t="shared" si="345"/>
        <v>1005371.31</v>
      </c>
      <c r="V404" s="185">
        <f t="shared" si="346"/>
        <v>6046189.700000003</v>
      </c>
      <c r="W404" s="185">
        <f t="shared" si="347"/>
        <v>0</v>
      </c>
      <c r="X404" s="401" t="str">
        <f t="shared" si="334"/>
        <v xml:space="preserve"> </v>
      </c>
      <c r="Y404" s="185">
        <f t="shared" si="318"/>
        <v>0</v>
      </c>
      <c r="Z404" s="393">
        <f t="shared" si="326"/>
        <v>0.13125000000000001</v>
      </c>
      <c r="AA404" s="185">
        <f t="shared" si="327"/>
        <v>0</v>
      </c>
      <c r="AB404" s="185">
        <f t="shared" si="328"/>
        <v>0</v>
      </c>
      <c r="AC404" s="185">
        <f t="shared" si="329"/>
        <v>0</v>
      </c>
      <c r="AD404" s="185">
        <f t="shared" si="322"/>
        <v>134.16999999999999</v>
      </c>
      <c r="AE404" s="185">
        <f t="shared" si="322"/>
        <v>188.55</v>
      </c>
      <c r="AF404" s="185">
        <f t="shared" si="330"/>
        <v>322.72000000000003</v>
      </c>
      <c r="AG404" s="185">
        <f t="shared" si="348"/>
        <v>989037.5</v>
      </c>
      <c r="AH404" s="185">
        <f t="shared" si="349"/>
        <v>2810829.4999999991</v>
      </c>
      <c r="AI404" s="411">
        <f t="shared" si="312"/>
        <v>3221740.1900000102</v>
      </c>
      <c r="AJ404" s="411">
        <f t="shared" si="299"/>
        <v>0</v>
      </c>
      <c r="AK404" s="411">
        <f t="shared" si="313"/>
        <v>3221740.1900000102</v>
      </c>
      <c r="AL404" s="185">
        <f t="shared" si="319"/>
        <v>0</v>
      </c>
      <c r="AM404" s="317">
        <f t="shared" si="335"/>
        <v>32</v>
      </c>
      <c r="AN404" s="14">
        <f t="shared" si="314"/>
        <v>0</v>
      </c>
      <c r="AO404" s="14">
        <f t="shared" si="304"/>
        <v>0</v>
      </c>
      <c r="AP404" s="14">
        <f t="shared" si="315"/>
        <v>0</v>
      </c>
      <c r="AS404" s="14">
        <f t="shared" si="331"/>
        <v>0</v>
      </c>
      <c r="AT404" s="14">
        <f t="shared" si="336"/>
        <v>0</v>
      </c>
      <c r="AU404" s="185">
        <f t="shared" si="337"/>
        <v>0</v>
      </c>
      <c r="AV404" s="185">
        <f t="shared" si="338"/>
        <v>0</v>
      </c>
    </row>
    <row r="405" spans="1:48">
      <c r="A405" s="401" t="str">
        <f t="shared" si="339"/>
        <v xml:space="preserve"> </v>
      </c>
      <c r="B405" s="185">
        <f t="shared" si="307"/>
        <v>0</v>
      </c>
      <c r="C405" s="14">
        <f t="shared" si="323"/>
        <v>0</v>
      </c>
      <c r="D405" s="14">
        <f t="shared" si="340"/>
        <v>0</v>
      </c>
      <c r="E405" s="14">
        <f t="shared" si="324"/>
        <v>0</v>
      </c>
      <c r="F405" s="14">
        <f t="shared" si="321"/>
        <v>0</v>
      </c>
      <c r="G405" s="14">
        <f t="shared" si="321"/>
        <v>0</v>
      </c>
      <c r="H405" s="14">
        <f t="shared" si="309"/>
        <v>0</v>
      </c>
      <c r="I405" s="185">
        <f t="shared" si="341"/>
        <v>0</v>
      </c>
      <c r="J405" s="185">
        <f t="shared" si="342"/>
        <v>0</v>
      </c>
      <c r="K405" s="185">
        <f t="shared" si="343"/>
        <v>0</v>
      </c>
      <c r="L405" s="317">
        <f t="shared" si="305"/>
        <v>32</v>
      </c>
      <c r="M405" s="317">
        <f t="shared" si="332"/>
        <v>389</v>
      </c>
      <c r="N405" s="185">
        <f t="shared" si="333"/>
        <v>0</v>
      </c>
      <c r="O405" s="185">
        <f t="shared" si="316"/>
        <v>0</v>
      </c>
      <c r="P405" s="185">
        <f t="shared" si="344"/>
        <v>0</v>
      </c>
      <c r="Q405" s="185">
        <f t="shared" si="317"/>
        <v>0</v>
      </c>
      <c r="R405" s="185">
        <f t="shared" si="325"/>
        <v>134.16999999999999</v>
      </c>
      <c r="S405" s="185">
        <f t="shared" si="325"/>
        <v>188.55</v>
      </c>
      <c r="T405" s="185">
        <f t="shared" si="310"/>
        <v>322.72000000000003</v>
      </c>
      <c r="U405" s="185">
        <f t="shared" si="345"/>
        <v>1005371.31</v>
      </c>
      <c r="V405" s="185">
        <f t="shared" si="346"/>
        <v>6046189.700000003</v>
      </c>
      <c r="W405" s="185">
        <f t="shared" si="347"/>
        <v>0</v>
      </c>
      <c r="X405" s="401" t="str">
        <f t="shared" si="334"/>
        <v xml:space="preserve"> </v>
      </c>
      <c r="Y405" s="185">
        <f t="shared" si="318"/>
        <v>0</v>
      </c>
      <c r="Z405" s="393">
        <f t="shared" si="326"/>
        <v>0.13125000000000001</v>
      </c>
      <c r="AA405" s="185">
        <f t="shared" si="327"/>
        <v>0</v>
      </c>
      <c r="AB405" s="185">
        <f t="shared" si="328"/>
        <v>0</v>
      </c>
      <c r="AC405" s="185">
        <f t="shared" si="329"/>
        <v>0</v>
      </c>
      <c r="AD405" s="185">
        <f t="shared" si="322"/>
        <v>134.16999999999999</v>
      </c>
      <c r="AE405" s="185">
        <f t="shared" si="322"/>
        <v>188.55</v>
      </c>
      <c r="AF405" s="185">
        <f t="shared" si="330"/>
        <v>322.72000000000003</v>
      </c>
      <c r="AG405" s="185">
        <f t="shared" si="348"/>
        <v>989037.5</v>
      </c>
      <c r="AH405" s="185">
        <f t="shared" si="349"/>
        <v>2810829.4999999991</v>
      </c>
      <c r="AI405" s="411">
        <f t="shared" si="312"/>
        <v>3221740.1900000102</v>
      </c>
      <c r="AJ405" s="411">
        <f t="shared" si="299"/>
        <v>0</v>
      </c>
      <c r="AK405" s="411">
        <f t="shared" si="313"/>
        <v>3221740.1900000102</v>
      </c>
      <c r="AL405" s="185">
        <f t="shared" si="319"/>
        <v>0</v>
      </c>
      <c r="AM405" s="317">
        <f t="shared" si="335"/>
        <v>32</v>
      </c>
      <c r="AN405" s="14">
        <f t="shared" si="314"/>
        <v>0</v>
      </c>
      <c r="AO405" s="14">
        <f t="shared" si="304"/>
        <v>0</v>
      </c>
      <c r="AP405" s="14">
        <f t="shared" si="315"/>
        <v>0</v>
      </c>
      <c r="AS405" s="14">
        <f t="shared" si="331"/>
        <v>0</v>
      </c>
      <c r="AT405" s="14">
        <f t="shared" si="336"/>
        <v>0</v>
      </c>
      <c r="AU405" s="185">
        <f t="shared" si="337"/>
        <v>0</v>
      </c>
      <c r="AV405" s="185">
        <f t="shared" si="338"/>
        <v>0</v>
      </c>
    </row>
    <row r="406" spans="1:48">
      <c r="A406" s="401" t="str">
        <f t="shared" si="339"/>
        <v xml:space="preserve"> </v>
      </c>
      <c r="B406" s="185">
        <f t="shared" si="307"/>
        <v>0</v>
      </c>
      <c r="C406" s="14">
        <f t="shared" si="323"/>
        <v>0</v>
      </c>
      <c r="D406" s="14">
        <f t="shared" si="340"/>
        <v>0</v>
      </c>
      <c r="E406" s="14">
        <f t="shared" si="324"/>
        <v>0</v>
      </c>
      <c r="F406" s="14">
        <f t="shared" si="321"/>
        <v>0</v>
      </c>
      <c r="G406" s="14">
        <f t="shared" si="321"/>
        <v>0</v>
      </c>
      <c r="H406" s="14">
        <f t="shared" si="309"/>
        <v>0</v>
      </c>
      <c r="I406" s="185">
        <f t="shared" si="341"/>
        <v>0</v>
      </c>
      <c r="J406" s="185">
        <f t="shared" si="342"/>
        <v>0</v>
      </c>
      <c r="K406" s="185">
        <f t="shared" si="343"/>
        <v>0</v>
      </c>
      <c r="L406" s="317">
        <f t="shared" si="305"/>
        <v>32</v>
      </c>
      <c r="M406" s="317">
        <f t="shared" si="332"/>
        <v>390</v>
      </c>
      <c r="N406" s="185">
        <f t="shared" si="333"/>
        <v>0</v>
      </c>
      <c r="O406" s="185">
        <f t="shared" si="316"/>
        <v>0</v>
      </c>
      <c r="P406" s="185">
        <f t="shared" si="344"/>
        <v>0</v>
      </c>
      <c r="Q406" s="185">
        <f t="shared" si="317"/>
        <v>0</v>
      </c>
      <c r="R406" s="185">
        <f t="shared" si="325"/>
        <v>134.16999999999999</v>
      </c>
      <c r="S406" s="185">
        <f t="shared" si="325"/>
        <v>188.55</v>
      </c>
      <c r="T406" s="185">
        <f t="shared" si="310"/>
        <v>322.72000000000003</v>
      </c>
      <c r="U406" s="185">
        <f t="shared" si="345"/>
        <v>1005371.31</v>
      </c>
      <c r="V406" s="185">
        <f t="shared" si="346"/>
        <v>6046189.700000003</v>
      </c>
      <c r="W406" s="185">
        <f t="shared" si="347"/>
        <v>0</v>
      </c>
      <c r="X406" s="401" t="str">
        <f t="shared" si="334"/>
        <v xml:space="preserve"> </v>
      </c>
      <c r="Y406" s="185">
        <f t="shared" si="318"/>
        <v>0</v>
      </c>
      <c r="Z406" s="393">
        <f t="shared" si="326"/>
        <v>0.13125000000000001</v>
      </c>
      <c r="AA406" s="185">
        <f t="shared" si="327"/>
        <v>0</v>
      </c>
      <c r="AB406" s="185">
        <f t="shared" si="328"/>
        <v>0</v>
      </c>
      <c r="AC406" s="185">
        <f t="shared" si="329"/>
        <v>0</v>
      </c>
      <c r="AD406" s="185">
        <f t="shared" si="322"/>
        <v>134.16999999999999</v>
      </c>
      <c r="AE406" s="185">
        <f t="shared" si="322"/>
        <v>188.55</v>
      </c>
      <c r="AF406" s="185">
        <f t="shared" si="330"/>
        <v>322.72000000000003</v>
      </c>
      <c r="AG406" s="185">
        <f t="shared" si="348"/>
        <v>989037.5</v>
      </c>
      <c r="AH406" s="185">
        <f t="shared" si="349"/>
        <v>2810829.4999999991</v>
      </c>
      <c r="AI406" s="411">
        <f t="shared" si="312"/>
        <v>3221740.1900000102</v>
      </c>
      <c r="AJ406" s="411">
        <f t="shared" si="299"/>
        <v>0</v>
      </c>
      <c r="AK406" s="411">
        <f t="shared" si="313"/>
        <v>3221740.1900000102</v>
      </c>
      <c r="AL406" s="185">
        <f t="shared" si="319"/>
        <v>0</v>
      </c>
      <c r="AM406" s="317">
        <f t="shared" si="335"/>
        <v>32</v>
      </c>
      <c r="AN406" s="14">
        <f t="shared" si="314"/>
        <v>0</v>
      </c>
      <c r="AO406" s="14">
        <f t="shared" si="304"/>
        <v>0</v>
      </c>
      <c r="AP406" s="14">
        <f t="shared" si="315"/>
        <v>0</v>
      </c>
      <c r="AS406" s="14">
        <f t="shared" si="331"/>
        <v>0</v>
      </c>
      <c r="AT406" s="14">
        <f t="shared" si="336"/>
        <v>0</v>
      </c>
      <c r="AU406" s="185">
        <f t="shared" si="337"/>
        <v>0</v>
      </c>
      <c r="AV406" s="185">
        <f t="shared" si="338"/>
        <v>0</v>
      </c>
    </row>
    <row r="407" spans="1:48">
      <c r="A407" s="401" t="str">
        <f t="shared" si="339"/>
        <v xml:space="preserve"> </v>
      </c>
      <c r="B407" s="185">
        <f t="shared" si="307"/>
        <v>0</v>
      </c>
      <c r="C407" s="14">
        <f t="shared" si="323"/>
        <v>0</v>
      </c>
      <c r="D407" s="14">
        <f t="shared" si="340"/>
        <v>0</v>
      </c>
      <c r="E407" s="14">
        <f t="shared" si="324"/>
        <v>0</v>
      </c>
      <c r="F407" s="14">
        <f t="shared" si="321"/>
        <v>0</v>
      </c>
      <c r="G407" s="14">
        <f t="shared" si="321"/>
        <v>0</v>
      </c>
      <c r="H407" s="14">
        <f t="shared" si="309"/>
        <v>0</v>
      </c>
      <c r="I407" s="185">
        <f t="shared" si="341"/>
        <v>0</v>
      </c>
      <c r="J407" s="185">
        <f t="shared" si="342"/>
        <v>0</v>
      </c>
      <c r="K407" s="185">
        <f t="shared" si="343"/>
        <v>0</v>
      </c>
      <c r="L407" s="317">
        <f t="shared" si="305"/>
        <v>32</v>
      </c>
      <c r="M407" s="317">
        <f t="shared" si="332"/>
        <v>391</v>
      </c>
      <c r="N407" s="185">
        <f t="shared" si="333"/>
        <v>0</v>
      </c>
      <c r="O407" s="185">
        <f t="shared" si="316"/>
        <v>0</v>
      </c>
      <c r="P407" s="185">
        <f t="shared" si="344"/>
        <v>0</v>
      </c>
      <c r="Q407" s="185">
        <f t="shared" si="317"/>
        <v>0</v>
      </c>
      <c r="R407" s="185">
        <f t="shared" si="325"/>
        <v>134.16999999999999</v>
      </c>
      <c r="S407" s="185">
        <f t="shared" si="325"/>
        <v>188.55</v>
      </c>
      <c r="T407" s="185">
        <f t="shared" si="310"/>
        <v>322.72000000000003</v>
      </c>
      <c r="U407" s="185">
        <f t="shared" si="345"/>
        <v>1005371.31</v>
      </c>
      <c r="V407" s="185">
        <f t="shared" si="346"/>
        <v>6046189.700000003</v>
      </c>
      <c r="W407" s="185">
        <f t="shared" si="347"/>
        <v>0</v>
      </c>
      <c r="X407" s="401" t="str">
        <f t="shared" si="334"/>
        <v xml:space="preserve"> </v>
      </c>
      <c r="Y407" s="185">
        <f t="shared" si="318"/>
        <v>0</v>
      </c>
      <c r="Z407" s="393">
        <f t="shared" si="326"/>
        <v>0.13125000000000001</v>
      </c>
      <c r="AA407" s="185">
        <f t="shared" si="327"/>
        <v>0</v>
      </c>
      <c r="AB407" s="185">
        <f t="shared" si="328"/>
        <v>0</v>
      </c>
      <c r="AC407" s="185">
        <f t="shared" si="329"/>
        <v>0</v>
      </c>
      <c r="AD407" s="185">
        <f t="shared" si="322"/>
        <v>134.16999999999999</v>
      </c>
      <c r="AE407" s="185">
        <f t="shared" si="322"/>
        <v>188.55</v>
      </c>
      <c r="AF407" s="185">
        <f t="shared" si="330"/>
        <v>322.72000000000003</v>
      </c>
      <c r="AG407" s="185">
        <f t="shared" si="348"/>
        <v>989037.5</v>
      </c>
      <c r="AH407" s="185">
        <f t="shared" si="349"/>
        <v>2810829.4999999991</v>
      </c>
      <c r="AI407" s="411">
        <f t="shared" si="312"/>
        <v>3221740.1900000102</v>
      </c>
      <c r="AJ407" s="411">
        <f t="shared" si="299"/>
        <v>0</v>
      </c>
      <c r="AK407" s="411">
        <f t="shared" si="313"/>
        <v>3221740.1900000102</v>
      </c>
      <c r="AL407" s="185">
        <f t="shared" si="319"/>
        <v>0</v>
      </c>
      <c r="AM407" s="317">
        <f t="shared" si="335"/>
        <v>32</v>
      </c>
      <c r="AN407" s="14">
        <f t="shared" si="314"/>
        <v>0</v>
      </c>
      <c r="AO407" s="14">
        <f t="shared" si="304"/>
        <v>0</v>
      </c>
      <c r="AP407" s="14">
        <f t="shared" si="315"/>
        <v>0</v>
      </c>
      <c r="AS407" s="14">
        <f t="shared" si="331"/>
        <v>0</v>
      </c>
      <c r="AT407" s="14">
        <f t="shared" si="336"/>
        <v>0</v>
      </c>
      <c r="AU407" s="185">
        <f t="shared" si="337"/>
        <v>0</v>
      </c>
      <c r="AV407" s="185">
        <f t="shared" si="338"/>
        <v>0</v>
      </c>
    </row>
    <row r="408" spans="1:48">
      <c r="A408" s="401" t="str">
        <f t="shared" si="339"/>
        <v xml:space="preserve"> </v>
      </c>
      <c r="B408" s="185">
        <f t="shared" si="307"/>
        <v>0</v>
      </c>
      <c r="C408" s="14">
        <f t="shared" si="323"/>
        <v>0</v>
      </c>
      <c r="D408" s="14">
        <f t="shared" si="340"/>
        <v>0</v>
      </c>
      <c r="E408" s="14">
        <f t="shared" si="324"/>
        <v>0</v>
      </c>
      <c r="F408" s="14">
        <f t="shared" si="321"/>
        <v>0</v>
      </c>
      <c r="G408" s="14">
        <f t="shared" si="321"/>
        <v>0</v>
      </c>
      <c r="H408" s="14">
        <f t="shared" si="309"/>
        <v>0</v>
      </c>
      <c r="I408" s="185">
        <f t="shared" si="341"/>
        <v>0</v>
      </c>
      <c r="J408" s="185">
        <f t="shared" si="342"/>
        <v>0</v>
      </c>
      <c r="K408" s="185">
        <f t="shared" si="343"/>
        <v>0</v>
      </c>
      <c r="L408" s="317">
        <f t="shared" si="305"/>
        <v>32</v>
      </c>
      <c r="M408" s="317">
        <f t="shared" si="332"/>
        <v>392</v>
      </c>
      <c r="N408" s="185">
        <f t="shared" si="333"/>
        <v>0</v>
      </c>
      <c r="O408" s="185">
        <f t="shared" si="316"/>
        <v>0</v>
      </c>
      <c r="P408" s="185">
        <f t="shared" si="344"/>
        <v>0</v>
      </c>
      <c r="Q408" s="185">
        <f t="shared" si="317"/>
        <v>0</v>
      </c>
      <c r="R408" s="185">
        <f t="shared" si="325"/>
        <v>134.16999999999999</v>
      </c>
      <c r="S408" s="185">
        <f t="shared" si="325"/>
        <v>188.55</v>
      </c>
      <c r="T408" s="185">
        <f t="shared" si="310"/>
        <v>322.72000000000003</v>
      </c>
      <c r="U408" s="185">
        <f t="shared" si="345"/>
        <v>1005371.31</v>
      </c>
      <c r="V408" s="185">
        <f t="shared" si="346"/>
        <v>6046189.700000003</v>
      </c>
      <c r="W408" s="185">
        <f t="shared" si="347"/>
        <v>0</v>
      </c>
      <c r="X408" s="401" t="str">
        <f t="shared" si="334"/>
        <v xml:space="preserve"> </v>
      </c>
      <c r="Y408" s="185">
        <f t="shared" si="318"/>
        <v>0</v>
      </c>
      <c r="Z408" s="393">
        <f t="shared" si="326"/>
        <v>0.13125000000000001</v>
      </c>
      <c r="AA408" s="185">
        <f t="shared" si="327"/>
        <v>0</v>
      </c>
      <c r="AB408" s="185">
        <f t="shared" si="328"/>
        <v>0</v>
      </c>
      <c r="AC408" s="185">
        <f t="shared" si="329"/>
        <v>0</v>
      </c>
      <c r="AD408" s="185">
        <f t="shared" si="322"/>
        <v>134.16999999999999</v>
      </c>
      <c r="AE408" s="185">
        <f t="shared" si="322"/>
        <v>188.55</v>
      </c>
      <c r="AF408" s="185">
        <f t="shared" si="330"/>
        <v>322.72000000000003</v>
      </c>
      <c r="AG408" s="185">
        <f t="shared" si="348"/>
        <v>989037.5</v>
      </c>
      <c r="AH408" s="185">
        <f t="shared" si="349"/>
        <v>2810829.4999999991</v>
      </c>
      <c r="AI408" s="411">
        <f t="shared" si="312"/>
        <v>3221740.1900000102</v>
      </c>
      <c r="AJ408" s="411">
        <f t="shared" si="299"/>
        <v>0</v>
      </c>
      <c r="AK408" s="411">
        <f t="shared" si="313"/>
        <v>3221740.1900000102</v>
      </c>
      <c r="AL408" s="185">
        <f t="shared" si="319"/>
        <v>0</v>
      </c>
      <c r="AM408" s="317">
        <f t="shared" si="335"/>
        <v>32</v>
      </c>
      <c r="AN408" s="14">
        <f t="shared" si="314"/>
        <v>0</v>
      </c>
      <c r="AO408" s="14">
        <f t="shared" si="304"/>
        <v>0</v>
      </c>
      <c r="AP408" s="14">
        <f t="shared" si="315"/>
        <v>0</v>
      </c>
      <c r="AS408" s="14">
        <f t="shared" si="331"/>
        <v>0</v>
      </c>
      <c r="AT408" s="14">
        <f t="shared" si="336"/>
        <v>0</v>
      </c>
      <c r="AU408" s="185">
        <f t="shared" si="337"/>
        <v>0</v>
      </c>
      <c r="AV408" s="185">
        <f t="shared" si="338"/>
        <v>0</v>
      </c>
    </row>
    <row r="409" spans="1:48">
      <c r="A409" s="401" t="str">
        <f t="shared" si="339"/>
        <v xml:space="preserve"> </v>
      </c>
      <c r="B409" s="185">
        <f t="shared" si="307"/>
        <v>0</v>
      </c>
      <c r="C409" s="14">
        <f t="shared" si="323"/>
        <v>0</v>
      </c>
      <c r="D409" s="14">
        <f t="shared" si="340"/>
        <v>0</v>
      </c>
      <c r="E409" s="14">
        <f t="shared" si="324"/>
        <v>0</v>
      </c>
      <c r="F409" s="14">
        <f t="shared" si="321"/>
        <v>0</v>
      </c>
      <c r="G409" s="14">
        <f t="shared" si="321"/>
        <v>0</v>
      </c>
      <c r="H409" s="14">
        <f t="shared" si="309"/>
        <v>0</v>
      </c>
      <c r="I409" s="185">
        <f t="shared" si="341"/>
        <v>0</v>
      </c>
      <c r="J409" s="185">
        <f t="shared" si="342"/>
        <v>0</v>
      </c>
      <c r="K409" s="185">
        <f t="shared" si="343"/>
        <v>0</v>
      </c>
      <c r="L409" s="317">
        <f t="shared" si="305"/>
        <v>32</v>
      </c>
      <c r="M409" s="317">
        <f t="shared" si="332"/>
        <v>393</v>
      </c>
      <c r="N409" s="185">
        <f t="shared" si="333"/>
        <v>0</v>
      </c>
      <c r="O409" s="185">
        <f t="shared" si="316"/>
        <v>0</v>
      </c>
      <c r="P409" s="185">
        <f t="shared" si="344"/>
        <v>0</v>
      </c>
      <c r="Q409" s="185">
        <f t="shared" si="317"/>
        <v>0</v>
      </c>
      <c r="R409" s="185">
        <f t="shared" si="325"/>
        <v>134.16999999999999</v>
      </c>
      <c r="S409" s="185">
        <f t="shared" si="325"/>
        <v>188.55</v>
      </c>
      <c r="T409" s="185">
        <f t="shared" si="310"/>
        <v>322.72000000000003</v>
      </c>
      <c r="U409" s="185">
        <f t="shared" si="345"/>
        <v>1005371.31</v>
      </c>
      <c r="V409" s="185">
        <f t="shared" si="346"/>
        <v>6046189.700000003</v>
      </c>
      <c r="W409" s="185">
        <f t="shared" si="347"/>
        <v>0</v>
      </c>
      <c r="X409" s="401" t="str">
        <f t="shared" si="334"/>
        <v xml:space="preserve"> </v>
      </c>
      <c r="Y409" s="185">
        <f t="shared" si="318"/>
        <v>0</v>
      </c>
      <c r="Z409" s="393">
        <f t="shared" si="326"/>
        <v>0.13125000000000001</v>
      </c>
      <c r="AA409" s="185">
        <f t="shared" si="327"/>
        <v>0</v>
      </c>
      <c r="AB409" s="185">
        <f t="shared" si="328"/>
        <v>0</v>
      </c>
      <c r="AC409" s="185">
        <f t="shared" si="329"/>
        <v>0</v>
      </c>
      <c r="AD409" s="185">
        <f t="shared" si="322"/>
        <v>134.16999999999999</v>
      </c>
      <c r="AE409" s="185">
        <f t="shared" si="322"/>
        <v>188.55</v>
      </c>
      <c r="AF409" s="185">
        <f t="shared" si="330"/>
        <v>322.72000000000003</v>
      </c>
      <c r="AG409" s="185">
        <f t="shared" si="348"/>
        <v>989037.5</v>
      </c>
      <c r="AH409" s="185">
        <f t="shared" si="349"/>
        <v>2810829.4999999991</v>
      </c>
      <c r="AI409" s="411">
        <f t="shared" si="312"/>
        <v>3221740.1900000102</v>
      </c>
      <c r="AJ409" s="411">
        <f t="shared" si="299"/>
        <v>0</v>
      </c>
      <c r="AK409" s="411">
        <f t="shared" si="313"/>
        <v>3221740.1900000102</v>
      </c>
      <c r="AL409" s="185">
        <f t="shared" si="319"/>
        <v>0</v>
      </c>
      <c r="AM409" s="317">
        <f t="shared" si="335"/>
        <v>32</v>
      </c>
      <c r="AN409" s="14">
        <f t="shared" si="314"/>
        <v>0</v>
      </c>
      <c r="AO409" s="14">
        <f t="shared" si="304"/>
        <v>0</v>
      </c>
      <c r="AP409" s="14">
        <f t="shared" si="315"/>
        <v>0</v>
      </c>
      <c r="AS409" s="14">
        <f t="shared" si="331"/>
        <v>0</v>
      </c>
      <c r="AT409" s="14">
        <f t="shared" si="336"/>
        <v>0</v>
      </c>
      <c r="AU409" s="185">
        <f t="shared" si="337"/>
        <v>0</v>
      </c>
      <c r="AV409" s="185">
        <f t="shared" si="338"/>
        <v>0</v>
      </c>
    </row>
    <row r="410" spans="1:48">
      <c r="A410" s="401" t="str">
        <f t="shared" si="339"/>
        <v xml:space="preserve"> </v>
      </c>
      <c r="B410" s="185">
        <f t="shared" si="307"/>
        <v>0</v>
      </c>
      <c r="C410" s="14">
        <f t="shared" si="323"/>
        <v>0</v>
      </c>
      <c r="D410" s="14">
        <f t="shared" si="340"/>
        <v>0</v>
      </c>
      <c r="E410" s="14">
        <f t="shared" si="324"/>
        <v>0</v>
      </c>
      <c r="F410" s="14">
        <f t="shared" si="321"/>
        <v>0</v>
      </c>
      <c r="G410" s="14">
        <f t="shared" si="321"/>
        <v>0</v>
      </c>
      <c r="H410" s="14">
        <f t="shared" si="309"/>
        <v>0</v>
      </c>
      <c r="I410" s="185">
        <f t="shared" si="341"/>
        <v>0</v>
      </c>
      <c r="J410" s="185">
        <f t="shared" si="342"/>
        <v>0</v>
      </c>
      <c r="K410" s="185">
        <f t="shared" si="343"/>
        <v>0</v>
      </c>
      <c r="L410" s="317">
        <f t="shared" si="305"/>
        <v>32</v>
      </c>
      <c r="M410" s="317">
        <f t="shared" si="332"/>
        <v>394</v>
      </c>
      <c r="N410" s="185">
        <f t="shared" si="333"/>
        <v>0</v>
      </c>
      <c r="O410" s="185">
        <f t="shared" si="316"/>
        <v>0</v>
      </c>
      <c r="P410" s="185">
        <f t="shared" si="344"/>
        <v>0</v>
      </c>
      <c r="Q410" s="185">
        <f t="shared" si="317"/>
        <v>0</v>
      </c>
      <c r="R410" s="185">
        <f t="shared" si="325"/>
        <v>134.16999999999999</v>
      </c>
      <c r="S410" s="185">
        <f t="shared" si="325"/>
        <v>188.55</v>
      </c>
      <c r="T410" s="185">
        <f t="shared" si="310"/>
        <v>322.72000000000003</v>
      </c>
      <c r="U410" s="185">
        <f t="shared" si="345"/>
        <v>1005371.31</v>
      </c>
      <c r="V410" s="185">
        <f t="shared" si="346"/>
        <v>6046189.700000003</v>
      </c>
      <c r="W410" s="185">
        <f t="shared" si="347"/>
        <v>0</v>
      </c>
      <c r="X410" s="401" t="str">
        <f t="shared" si="334"/>
        <v xml:space="preserve"> </v>
      </c>
      <c r="Y410" s="185">
        <f t="shared" si="318"/>
        <v>0</v>
      </c>
      <c r="Z410" s="393">
        <f t="shared" si="326"/>
        <v>0.13125000000000001</v>
      </c>
      <c r="AA410" s="185">
        <f t="shared" si="327"/>
        <v>0</v>
      </c>
      <c r="AB410" s="185">
        <f t="shared" si="328"/>
        <v>0</v>
      </c>
      <c r="AC410" s="185">
        <f t="shared" si="329"/>
        <v>0</v>
      </c>
      <c r="AD410" s="185">
        <f t="shared" si="322"/>
        <v>134.16999999999999</v>
      </c>
      <c r="AE410" s="185">
        <f t="shared" si="322"/>
        <v>188.55</v>
      </c>
      <c r="AF410" s="185">
        <f t="shared" si="330"/>
        <v>322.72000000000003</v>
      </c>
      <c r="AG410" s="185">
        <f t="shared" si="348"/>
        <v>989037.5</v>
      </c>
      <c r="AH410" s="185">
        <f t="shared" si="349"/>
        <v>2810829.4999999991</v>
      </c>
      <c r="AI410" s="411">
        <f t="shared" si="312"/>
        <v>3221740.1900000102</v>
      </c>
      <c r="AJ410" s="411">
        <f t="shared" si="299"/>
        <v>0</v>
      </c>
      <c r="AK410" s="411">
        <f t="shared" si="313"/>
        <v>3221740.1900000102</v>
      </c>
      <c r="AL410" s="185">
        <f t="shared" si="319"/>
        <v>0</v>
      </c>
      <c r="AM410" s="317">
        <f t="shared" si="335"/>
        <v>32</v>
      </c>
      <c r="AN410" s="14">
        <f t="shared" si="314"/>
        <v>0</v>
      </c>
      <c r="AO410" s="14">
        <f t="shared" si="304"/>
        <v>0</v>
      </c>
      <c r="AP410" s="14">
        <f t="shared" si="315"/>
        <v>0</v>
      </c>
      <c r="AS410" s="14">
        <f t="shared" si="331"/>
        <v>0</v>
      </c>
      <c r="AT410" s="14">
        <f t="shared" si="336"/>
        <v>0</v>
      </c>
      <c r="AU410" s="185">
        <f t="shared" si="337"/>
        <v>0</v>
      </c>
      <c r="AV410" s="185">
        <f t="shared" si="338"/>
        <v>0</v>
      </c>
    </row>
    <row r="411" spans="1:48" ht="15.75" thickBot="1">
      <c r="A411" s="404" t="str">
        <f t="shared" si="339"/>
        <v xml:space="preserve"> </v>
      </c>
      <c r="B411" s="237">
        <f t="shared" si="307"/>
        <v>0</v>
      </c>
      <c r="C411" s="21">
        <f t="shared" si="323"/>
        <v>0</v>
      </c>
      <c r="D411" s="21">
        <f t="shared" si="340"/>
        <v>0</v>
      </c>
      <c r="E411" s="21">
        <f t="shared" si="324"/>
        <v>0</v>
      </c>
      <c r="F411" s="21">
        <f t="shared" ref="F411:G426" si="350">+F410</f>
        <v>0</v>
      </c>
      <c r="G411" s="21">
        <f t="shared" si="350"/>
        <v>0</v>
      </c>
      <c r="H411" s="21">
        <f t="shared" si="309"/>
        <v>0</v>
      </c>
      <c r="I411" s="237">
        <f t="shared" si="341"/>
        <v>0</v>
      </c>
      <c r="J411" s="237">
        <f t="shared" si="342"/>
        <v>0</v>
      </c>
      <c r="K411" s="237">
        <f t="shared" si="343"/>
        <v>0</v>
      </c>
      <c r="L411" s="318">
        <f t="shared" si="305"/>
        <v>32</v>
      </c>
      <c r="M411" s="318">
        <f t="shared" si="332"/>
        <v>395</v>
      </c>
      <c r="N411" s="237">
        <f t="shared" si="333"/>
        <v>0</v>
      </c>
      <c r="O411" s="237">
        <f t="shared" si="316"/>
        <v>0</v>
      </c>
      <c r="P411" s="237">
        <f t="shared" si="344"/>
        <v>0</v>
      </c>
      <c r="Q411" s="237">
        <f t="shared" si="317"/>
        <v>0</v>
      </c>
      <c r="R411" s="237">
        <f t="shared" si="325"/>
        <v>134.16999999999999</v>
      </c>
      <c r="S411" s="237">
        <f t="shared" si="325"/>
        <v>188.55</v>
      </c>
      <c r="T411" s="237">
        <f t="shared" si="310"/>
        <v>322.72000000000003</v>
      </c>
      <c r="U411" s="237">
        <f t="shared" si="345"/>
        <v>1005371.31</v>
      </c>
      <c r="V411" s="237">
        <f t="shared" si="346"/>
        <v>6046189.700000003</v>
      </c>
      <c r="W411" s="237">
        <f t="shared" si="347"/>
        <v>0</v>
      </c>
      <c r="X411" s="404" t="str">
        <f t="shared" si="334"/>
        <v xml:space="preserve"> </v>
      </c>
      <c r="Y411" s="237">
        <f t="shared" si="318"/>
        <v>0</v>
      </c>
      <c r="Z411" s="394">
        <f t="shared" si="326"/>
        <v>0.13125000000000001</v>
      </c>
      <c r="AA411" s="237">
        <f t="shared" si="327"/>
        <v>0</v>
      </c>
      <c r="AB411" s="237">
        <f t="shared" si="328"/>
        <v>0</v>
      </c>
      <c r="AC411" s="237">
        <f t="shared" si="329"/>
        <v>0</v>
      </c>
      <c r="AD411" s="237">
        <f t="shared" si="322"/>
        <v>134.16999999999999</v>
      </c>
      <c r="AE411" s="237">
        <f t="shared" si="322"/>
        <v>188.55</v>
      </c>
      <c r="AF411" s="237">
        <f t="shared" si="330"/>
        <v>322.72000000000003</v>
      </c>
      <c r="AG411" s="237">
        <f t="shared" si="348"/>
        <v>989037.5</v>
      </c>
      <c r="AH411" s="237">
        <f t="shared" si="349"/>
        <v>2810829.4999999991</v>
      </c>
      <c r="AI411" s="412">
        <f t="shared" si="312"/>
        <v>3221740.1900000102</v>
      </c>
      <c r="AJ411" s="412">
        <f t="shared" si="299"/>
        <v>0</v>
      </c>
      <c r="AK411" s="411">
        <f t="shared" si="313"/>
        <v>3221740.1900000102</v>
      </c>
      <c r="AL411" s="237">
        <f t="shared" si="319"/>
        <v>0</v>
      </c>
      <c r="AM411" s="318">
        <f t="shared" si="335"/>
        <v>32</v>
      </c>
      <c r="AN411" s="21">
        <f t="shared" si="314"/>
        <v>0</v>
      </c>
      <c r="AO411" s="21">
        <f t="shared" si="304"/>
        <v>0</v>
      </c>
      <c r="AP411" s="21">
        <f t="shared" si="315"/>
        <v>0</v>
      </c>
      <c r="AQ411" s="21"/>
      <c r="AR411" s="23"/>
      <c r="AS411" s="21">
        <f t="shared" si="331"/>
        <v>0</v>
      </c>
      <c r="AT411" s="21">
        <f t="shared" si="336"/>
        <v>0</v>
      </c>
      <c r="AU411" s="237">
        <f t="shared" si="337"/>
        <v>0</v>
      </c>
      <c r="AV411" s="237">
        <f t="shared" si="338"/>
        <v>0</v>
      </c>
    </row>
    <row r="412" spans="1:48">
      <c r="A412" s="401" t="str">
        <f t="shared" si="339"/>
        <v xml:space="preserve"> </v>
      </c>
      <c r="B412" s="185">
        <f t="shared" si="307"/>
        <v>0</v>
      </c>
      <c r="C412" s="14">
        <f t="shared" si="323"/>
        <v>0</v>
      </c>
      <c r="D412" s="14">
        <f t="shared" si="340"/>
        <v>0</v>
      </c>
      <c r="E412" s="14">
        <f t="shared" si="324"/>
        <v>0</v>
      </c>
      <c r="F412" s="14">
        <f t="shared" si="350"/>
        <v>0</v>
      </c>
      <c r="G412" s="14">
        <f t="shared" si="350"/>
        <v>0</v>
      </c>
      <c r="H412" s="14">
        <f t="shared" si="309"/>
        <v>0</v>
      </c>
      <c r="I412" s="185">
        <f t="shared" si="341"/>
        <v>0</v>
      </c>
      <c r="J412" s="185">
        <f t="shared" si="342"/>
        <v>0</v>
      </c>
      <c r="K412" s="185">
        <f t="shared" si="343"/>
        <v>0</v>
      </c>
      <c r="L412" s="317">
        <f t="shared" si="305"/>
        <v>33</v>
      </c>
      <c r="M412" s="317">
        <f t="shared" si="332"/>
        <v>396</v>
      </c>
      <c r="N412" s="185">
        <f t="shared" si="333"/>
        <v>0</v>
      </c>
      <c r="O412" s="185">
        <f t="shared" si="316"/>
        <v>0</v>
      </c>
      <c r="P412" s="185">
        <f t="shared" si="344"/>
        <v>0</v>
      </c>
      <c r="Q412" s="185">
        <f t="shared" si="317"/>
        <v>0</v>
      </c>
      <c r="R412" s="185">
        <f t="shared" si="325"/>
        <v>134.16999999999999</v>
      </c>
      <c r="S412" s="185">
        <f t="shared" si="325"/>
        <v>188.55</v>
      </c>
      <c r="T412" s="185">
        <f t="shared" si="310"/>
        <v>322.72000000000003</v>
      </c>
      <c r="U412" s="185">
        <f t="shared" si="345"/>
        <v>1005371.31</v>
      </c>
      <c r="V412" s="185">
        <f t="shared" si="346"/>
        <v>6046189.700000003</v>
      </c>
      <c r="W412" s="185">
        <f t="shared" si="347"/>
        <v>0</v>
      </c>
      <c r="X412" s="401" t="str">
        <f t="shared" si="334"/>
        <v xml:space="preserve"> </v>
      </c>
      <c r="Y412" s="185">
        <f t="shared" si="318"/>
        <v>0</v>
      </c>
      <c r="Z412" s="393">
        <f t="shared" si="326"/>
        <v>0.13125000000000001</v>
      </c>
      <c r="AA412" s="185">
        <f t="shared" si="327"/>
        <v>0</v>
      </c>
      <c r="AB412" s="185">
        <f t="shared" si="328"/>
        <v>0</v>
      </c>
      <c r="AC412" s="185">
        <f t="shared" si="329"/>
        <v>0</v>
      </c>
      <c r="AD412" s="185">
        <f t="shared" si="322"/>
        <v>134.16999999999999</v>
      </c>
      <c r="AE412" s="185">
        <f t="shared" si="322"/>
        <v>188.55</v>
      </c>
      <c r="AF412" s="185">
        <f t="shared" si="330"/>
        <v>322.72000000000003</v>
      </c>
      <c r="AG412" s="185">
        <f t="shared" si="348"/>
        <v>989037.5</v>
      </c>
      <c r="AH412" s="185">
        <f t="shared" si="349"/>
        <v>2810829.4999999991</v>
      </c>
      <c r="AI412" s="411">
        <f t="shared" si="312"/>
        <v>3221740.1900000102</v>
      </c>
      <c r="AJ412" s="411">
        <f t="shared" ref="AJ412:AJ475" si="351">+W412-AL412</f>
        <v>0</v>
      </c>
      <c r="AK412" s="411">
        <f t="shared" si="313"/>
        <v>3221740.1900000102</v>
      </c>
      <c r="AL412" s="185">
        <f t="shared" si="319"/>
        <v>0</v>
      </c>
      <c r="AM412" s="317">
        <f t="shared" si="335"/>
        <v>33</v>
      </c>
      <c r="AN412" s="14">
        <f t="shared" si="314"/>
        <v>0</v>
      </c>
      <c r="AO412" s="14">
        <f t="shared" si="304"/>
        <v>0</v>
      </c>
      <c r="AP412" s="14">
        <f t="shared" si="315"/>
        <v>0</v>
      </c>
      <c r="AS412" s="14">
        <f t="shared" si="331"/>
        <v>0</v>
      </c>
      <c r="AT412" s="14">
        <f t="shared" si="336"/>
        <v>0</v>
      </c>
      <c r="AU412" s="185">
        <f t="shared" si="337"/>
        <v>0</v>
      </c>
      <c r="AV412" s="185">
        <f t="shared" si="338"/>
        <v>0</v>
      </c>
    </row>
    <row r="413" spans="1:48">
      <c r="A413" s="401" t="str">
        <f t="shared" si="339"/>
        <v xml:space="preserve"> </v>
      </c>
      <c r="B413" s="185">
        <f t="shared" si="307"/>
        <v>0</v>
      </c>
      <c r="C413" s="14">
        <f t="shared" si="323"/>
        <v>0</v>
      </c>
      <c r="D413" s="14">
        <f t="shared" si="340"/>
        <v>0</v>
      </c>
      <c r="E413" s="14">
        <f t="shared" si="324"/>
        <v>0</v>
      </c>
      <c r="F413" s="14">
        <f t="shared" si="350"/>
        <v>0</v>
      </c>
      <c r="G413" s="14">
        <f t="shared" si="350"/>
        <v>0</v>
      </c>
      <c r="H413" s="14">
        <f t="shared" si="309"/>
        <v>0</v>
      </c>
      <c r="I413" s="185">
        <f t="shared" si="341"/>
        <v>0</v>
      </c>
      <c r="J413" s="185">
        <f t="shared" si="342"/>
        <v>0</v>
      </c>
      <c r="K413" s="185">
        <f t="shared" si="343"/>
        <v>0</v>
      </c>
      <c r="L413" s="317">
        <f t="shared" si="305"/>
        <v>33</v>
      </c>
      <c r="M413" s="317">
        <f t="shared" si="332"/>
        <v>397</v>
      </c>
      <c r="N413" s="185">
        <f t="shared" si="333"/>
        <v>0</v>
      </c>
      <c r="O413" s="185">
        <f t="shared" si="316"/>
        <v>0</v>
      </c>
      <c r="P413" s="185">
        <f t="shared" si="344"/>
        <v>0</v>
      </c>
      <c r="Q413" s="185">
        <f t="shared" si="317"/>
        <v>0</v>
      </c>
      <c r="R413" s="185">
        <f t="shared" si="325"/>
        <v>134.16999999999999</v>
      </c>
      <c r="S413" s="185">
        <f t="shared" si="325"/>
        <v>188.55</v>
      </c>
      <c r="T413" s="185">
        <f t="shared" si="310"/>
        <v>322.72000000000003</v>
      </c>
      <c r="U413" s="185">
        <f t="shared" si="345"/>
        <v>1005371.31</v>
      </c>
      <c r="V413" s="185">
        <f t="shared" si="346"/>
        <v>6046189.700000003</v>
      </c>
      <c r="W413" s="185">
        <f t="shared" si="347"/>
        <v>0</v>
      </c>
      <c r="X413" s="401" t="str">
        <f t="shared" si="334"/>
        <v xml:space="preserve"> </v>
      </c>
      <c r="Y413" s="185">
        <f t="shared" si="318"/>
        <v>0</v>
      </c>
      <c r="Z413" s="393">
        <f t="shared" si="326"/>
        <v>0.13125000000000001</v>
      </c>
      <c r="AA413" s="185">
        <f t="shared" si="327"/>
        <v>0</v>
      </c>
      <c r="AB413" s="185">
        <f t="shared" si="328"/>
        <v>0</v>
      </c>
      <c r="AC413" s="185">
        <f t="shared" si="329"/>
        <v>0</v>
      </c>
      <c r="AD413" s="185">
        <f t="shared" ref="AD413:AE428" si="352">+AD412</f>
        <v>134.16999999999999</v>
      </c>
      <c r="AE413" s="185">
        <f t="shared" si="352"/>
        <v>188.55</v>
      </c>
      <c r="AF413" s="185">
        <f t="shared" si="330"/>
        <v>322.72000000000003</v>
      </c>
      <c r="AG413" s="185">
        <f t="shared" si="348"/>
        <v>989037.5</v>
      </c>
      <c r="AH413" s="185">
        <f t="shared" si="349"/>
        <v>2810829.4999999991</v>
      </c>
      <c r="AI413" s="411">
        <f t="shared" si="312"/>
        <v>3221740.1900000102</v>
      </c>
      <c r="AJ413" s="411">
        <f t="shared" si="351"/>
        <v>0</v>
      </c>
      <c r="AK413" s="411">
        <f t="shared" si="313"/>
        <v>3221740.1900000102</v>
      </c>
      <c r="AL413" s="185">
        <f t="shared" si="319"/>
        <v>0</v>
      </c>
      <c r="AM413" s="317">
        <f t="shared" si="335"/>
        <v>33</v>
      </c>
      <c r="AN413" s="14">
        <f t="shared" si="314"/>
        <v>0</v>
      </c>
      <c r="AO413" s="14">
        <f t="shared" si="304"/>
        <v>0</v>
      </c>
      <c r="AP413" s="14">
        <f t="shared" si="315"/>
        <v>0</v>
      </c>
      <c r="AS413" s="14">
        <f t="shared" si="331"/>
        <v>0</v>
      </c>
      <c r="AT413" s="14">
        <f t="shared" si="336"/>
        <v>0</v>
      </c>
      <c r="AU413" s="185">
        <f t="shared" si="337"/>
        <v>0</v>
      </c>
      <c r="AV413" s="185">
        <f t="shared" si="338"/>
        <v>0</v>
      </c>
    </row>
    <row r="414" spans="1:48">
      <c r="A414" s="401" t="str">
        <f t="shared" si="339"/>
        <v xml:space="preserve"> </v>
      </c>
      <c r="B414" s="185">
        <f t="shared" si="307"/>
        <v>0</v>
      </c>
      <c r="C414" s="14">
        <f t="shared" si="323"/>
        <v>0</v>
      </c>
      <c r="D414" s="14">
        <f t="shared" si="340"/>
        <v>0</v>
      </c>
      <c r="E414" s="14">
        <f t="shared" si="324"/>
        <v>0</v>
      </c>
      <c r="F414" s="14">
        <f t="shared" si="350"/>
        <v>0</v>
      </c>
      <c r="G414" s="14">
        <f t="shared" si="350"/>
        <v>0</v>
      </c>
      <c r="H414" s="14">
        <f t="shared" si="309"/>
        <v>0</v>
      </c>
      <c r="I414" s="185">
        <f t="shared" si="341"/>
        <v>0</v>
      </c>
      <c r="J414" s="185">
        <f t="shared" si="342"/>
        <v>0</v>
      </c>
      <c r="K414" s="185">
        <f t="shared" si="343"/>
        <v>0</v>
      </c>
      <c r="L414" s="317">
        <f t="shared" si="305"/>
        <v>33</v>
      </c>
      <c r="M414" s="317">
        <f t="shared" si="332"/>
        <v>398</v>
      </c>
      <c r="N414" s="185">
        <f t="shared" si="333"/>
        <v>0</v>
      </c>
      <c r="O414" s="185">
        <f t="shared" si="316"/>
        <v>0</v>
      </c>
      <c r="P414" s="185">
        <f t="shared" si="344"/>
        <v>0</v>
      </c>
      <c r="Q414" s="185">
        <f t="shared" si="317"/>
        <v>0</v>
      </c>
      <c r="R414" s="185">
        <f t="shared" si="325"/>
        <v>134.16999999999999</v>
      </c>
      <c r="S414" s="185">
        <f t="shared" si="325"/>
        <v>188.55</v>
      </c>
      <c r="T414" s="185">
        <f t="shared" si="310"/>
        <v>322.72000000000003</v>
      </c>
      <c r="U414" s="185">
        <f t="shared" si="345"/>
        <v>1005371.31</v>
      </c>
      <c r="V414" s="185">
        <f t="shared" si="346"/>
        <v>6046189.700000003</v>
      </c>
      <c r="W414" s="185">
        <f t="shared" si="347"/>
        <v>0</v>
      </c>
      <c r="X414" s="401" t="str">
        <f t="shared" si="334"/>
        <v xml:space="preserve"> </v>
      </c>
      <c r="Y414" s="185">
        <f t="shared" si="318"/>
        <v>0</v>
      </c>
      <c r="Z414" s="393">
        <f t="shared" si="326"/>
        <v>0.13125000000000001</v>
      </c>
      <c r="AA414" s="185">
        <f t="shared" si="327"/>
        <v>0</v>
      </c>
      <c r="AB414" s="185">
        <f t="shared" si="328"/>
        <v>0</v>
      </c>
      <c r="AC414" s="185">
        <f t="shared" si="329"/>
        <v>0</v>
      </c>
      <c r="AD414" s="185">
        <f t="shared" si="352"/>
        <v>134.16999999999999</v>
      </c>
      <c r="AE414" s="185">
        <f t="shared" si="352"/>
        <v>188.55</v>
      </c>
      <c r="AF414" s="185">
        <f t="shared" si="330"/>
        <v>322.72000000000003</v>
      </c>
      <c r="AG414" s="185">
        <f t="shared" si="348"/>
        <v>989037.5</v>
      </c>
      <c r="AH414" s="185">
        <f t="shared" si="349"/>
        <v>2810829.4999999991</v>
      </c>
      <c r="AI414" s="411">
        <f t="shared" si="312"/>
        <v>3221740.1900000102</v>
      </c>
      <c r="AJ414" s="411">
        <f t="shared" si="351"/>
        <v>0</v>
      </c>
      <c r="AK414" s="411">
        <f t="shared" si="313"/>
        <v>3221740.1900000102</v>
      </c>
      <c r="AL414" s="185">
        <f t="shared" si="319"/>
        <v>0</v>
      </c>
      <c r="AM414" s="317">
        <f t="shared" si="335"/>
        <v>33</v>
      </c>
      <c r="AN414" s="14">
        <f t="shared" si="314"/>
        <v>0</v>
      </c>
      <c r="AO414" s="14">
        <f t="shared" si="304"/>
        <v>0</v>
      </c>
      <c r="AP414" s="14">
        <f t="shared" si="315"/>
        <v>0</v>
      </c>
      <c r="AS414" s="14">
        <f t="shared" si="331"/>
        <v>0</v>
      </c>
      <c r="AT414" s="14">
        <f t="shared" si="336"/>
        <v>0</v>
      </c>
      <c r="AU414" s="185">
        <f t="shared" si="337"/>
        <v>0</v>
      </c>
      <c r="AV414" s="185">
        <f t="shared" si="338"/>
        <v>0</v>
      </c>
    </row>
    <row r="415" spans="1:48">
      <c r="A415" s="401" t="str">
        <f t="shared" si="339"/>
        <v xml:space="preserve"> </v>
      </c>
      <c r="B415" s="185">
        <f t="shared" si="307"/>
        <v>0</v>
      </c>
      <c r="C415" s="14">
        <f t="shared" si="323"/>
        <v>0</v>
      </c>
      <c r="D415" s="14">
        <f t="shared" si="340"/>
        <v>0</v>
      </c>
      <c r="E415" s="14">
        <f t="shared" si="324"/>
        <v>0</v>
      </c>
      <c r="F415" s="14">
        <f t="shared" si="350"/>
        <v>0</v>
      </c>
      <c r="G415" s="14">
        <f t="shared" si="350"/>
        <v>0</v>
      </c>
      <c r="H415" s="14">
        <f t="shared" si="309"/>
        <v>0</v>
      </c>
      <c r="I415" s="185">
        <f t="shared" si="341"/>
        <v>0</v>
      </c>
      <c r="J415" s="185">
        <f t="shared" si="342"/>
        <v>0</v>
      </c>
      <c r="K415" s="185">
        <f t="shared" si="343"/>
        <v>0</v>
      </c>
      <c r="L415" s="317">
        <f t="shared" si="305"/>
        <v>33</v>
      </c>
      <c r="M415" s="317">
        <f t="shared" si="332"/>
        <v>399</v>
      </c>
      <c r="N415" s="185">
        <f t="shared" si="333"/>
        <v>0</v>
      </c>
      <c r="O415" s="185">
        <f t="shared" si="316"/>
        <v>0</v>
      </c>
      <c r="P415" s="185">
        <f t="shared" si="344"/>
        <v>0</v>
      </c>
      <c r="Q415" s="185">
        <f t="shared" si="317"/>
        <v>0</v>
      </c>
      <c r="R415" s="185">
        <f t="shared" si="325"/>
        <v>134.16999999999999</v>
      </c>
      <c r="S415" s="185">
        <f t="shared" si="325"/>
        <v>188.55</v>
      </c>
      <c r="T415" s="185">
        <f t="shared" si="310"/>
        <v>322.72000000000003</v>
      </c>
      <c r="U415" s="185">
        <f t="shared" si="345"/>
        <v>1005371.31</v>
      </c>
      <c r="V415" s="185">
        <f t="shared" si="346"/>
        <v>6046189.700000003</v>
      </c>
      <c r="W415" s="185">
        <f t="shared" si="347"/>
        <v>0</v>
      </c>
      <c r="X415" s="401" t="str">
        <f t="shared" si="334"/>
        <v xml:space="preserve"> </v>
      </c>
      <c r="Y415" s="185">
        <f t="shared" si="318"/>
        <v>0</v>
      </c>
      <c r="Z415" s="393">
        <f t="shared" si="326"/>
        <v>0.13125000000000001</v>
      </c>
      <c r="AA415" s="185">
        <f t="shared" si="327"/>
        <v>0</v>
      </c>
      <c r="AB415" s="185">
        <f t="shared" si="328"/>
        <v>0</v>
      </c>
      <c r="AC415" s="185">
        <f t="shared" si="329"/>
        <v>0</v>
      </c>
      <c r="AD415" s="185">
        <f t="shared" si="352"/>
        <v>134.16999999999999</v>
      </c>
      <c r="AE415" s="185">
        <f t="shared" si="352"/>
        <v>188.55</v>
      </c>
      <c r="AF415" s="185">
        <f t="shared" si="330"/>
        <v>322.72000000000003</v>
      </c>
      <c r="AG415" s="185">
        <f t="shared" si="348"/>
        <v>989037.5</v>
      </c>
      <c r="AH415" s="185">
        <f t="shared" si="349"/>
        <v>2810829.4999999991</v>
      </c>
      <c r="AI415" s="411">
        <f t="shared" si="312"/>
        <v>3221740.1900000102</v>
      </c>
      <c r="AJ415" s="411">
        <f t="shared" si="351"/>
        <v>0</v>
      </c>
      <c r="AK415" s="411">
        <f t="shared" si="313"/>
        <v>3221740.1900000102</v>
      </c>
      <c r="AL415" s="185">
        <f t="shared" si="319"/>
        <v>0</v>
      </c>
      <c r="AM415" s="317">
        <f t="shared" si="335"/>
        <v>33</v>
      </c>
      <c r="AN415" s="14">
        <f t="shared" si="314"/>
        <v>0</v>
      </c>
      <c r="AO415" s="14">
        <f t="shared" si="304"/>
        <v>0</v>
      </c>
      <c r="AP415" s="14">
        <f t="shared" si="315"/>
        <v>0</v>
      </c>
      <c r="AS415" s="14">
        <f t="shared" si="331"/>
        <v>0</v>
      </c>
      <c r="AT415" s="14">
        <f t="shared" si="336"/>
        <v>0</v>
      </c>
      <c r="AU415" s="185">
        <f t="shared" si="337"/>
        <v>0</v>
      </c>
      <c r="AV415" s="185">
        <f t="shared" si="338"/>
        <v>0</v>
      </c>
    </row>
    <row r="416" spans="1:48">
      <c r="A416" s="401" t="str">
        <f t="shared" si="339"/>
        <v xml:space="preserve"> </v>
      </c>
      <c r="B416" s="185">
        <f t="shared" si="307"/>
        <v>0</v>
      </c>
      <c r="C416" s="14">
        <f t="shared" si="323"/>
        <v>0</v>
      </c>
      <c r="D416" s="14">
        <f t="shared" si="340"/>
        <v>0</v>
      </c>
      <c r="E416" s="14">
        <f t="shared" si="324"/>
        <v>0</v>
      </c>
      <c r="F416" s="14">
        <f t="shared" si="350"/>
        <v>0</v>
      </c>
      <c r="G416" s="14">
        <f t="shared" si="350"/>
        <v>0</v>
      </c>
      <c r="H416" s="14">
        <f t="shared" si="309"/>
        <v>0</v>
      </c>
      <c r="I416" s="185">
        <f t="shared" si="341"/>
        <v>0</v>
      </c>
      <c r="J416" s="185">
        <f t="shared" si="342"/>
        <v>0</v>
      </c>
      <c r="K416" s="185">
        <f t="shared" si="343"/>
        <v>0</v>
      </c>
      <c r="L416" s="317">
        <f t="shared" si="305"/>
        <v>33</v>
      </c>
      <c r="M416" s="317">
        <f t="shared" si="332"/>
        <v>400</v>
      </c>
      <c r="N416" s="185">
        <f t="shared" si="333"/>
        <v>0</v>
      </c>
      <c r="O416" s="185">
        <f t="shared" si="316"/>
        <v>0</v>
      </c>
      <c r="P416" s="185">
        <f t="shared" si="344"/>
        <v>0</v>
      </c>
      <c r="Q416" s="185">
        <f t="shared" si="317"/>
        <v>0</v>
      </c>
      <c r="R416" s="185">
        <f t="shared" ref="R416:S431" si="353">+R415</f>
        <v>134.16999999999999</v>
      </c>
      <c r="S416" s="185">
        <f t="shared" si="353"/>
        <v>188.55</v>
      </c>
      <c r="T416" s="185">
        <f t="shared" si="310"/>
        <v>322.72000000000003</v>
      </c>
      <c r="U416" s="185">
        <f t="shared" si="345"/>
        <v>1005371.31</v>
      </c>
      <c r="V416" s="185">
        <f t="shared" si="346"/>
        <v>6046189.700000003</v>
      </c>
      <c r="W416" s="185">
        <f t="shared" si="347"/>
        <v>0</v>
      </c>
      <c r="X416" s="401" t="str">
        <f t="shared" si="334"/>
        <v xml:space="preserve"> </v>
      </c>
      <c r="Y416" s="185">
        <f t="shared" si="318"/>
        <v>0</v>
      </c>
      <c r="Z416" s="393">
        <f t="shared" si="326"/>
        <v>0.13125000000000001</v>
      </c>
      <c r="AA416" s="185">
        <f t="shared" si="327"/>
        <v>0</v>
      </c>
      <c r="AB416" s="185">
        <f t="shared" si="328"/>
        <v>0</v>
      </c>
      <c r="AC416" s="185">
        <f t="shared" si="329"/>
        <v>0</v>
      </c>
      <c r="AD416" s="185">
        <f t="shared" si="352"/>
        <v>134.16999999999999</v>
      </c>
      <c r="AE416" s="185">
        <f t="shared" si="352"/>
        <v>188.55</v>
      </c>
      <c r="AF416" s="185">
        <f t="shared" si="330"/>
        <v>322.72000000000003</v>
      </c>
      <c r="AG416" s="185">
        <f t="shared" si="348"/>
        <v>989037.5</v>
      </c>
      <c r="AH416" s="185">
        <f t="shared" si="349"/>
        <v>2810829.4999999991</v>
      </c>
      <c r="AI416" s="411">
        <f t="shared" si="312"/>
        <v>3221740.1900000102</v>
      </c>
      <c r="AJ416" s="411">
        <f t="shared" si="351"/>
        <v>0</v>
      </c>
      <c r="AK416" s="411">
        <f t="shared" si="313"/>
        <v>3221740.1900000102</v>
      </c>
      <c r="AL416" s="185">
        <f t="shared" si="319"/>
        <v>0</v>
      </c>
      <c r="AM416" s="317">
        <f t="shared" si="335"/>
        <v>33</v>
      </c>
      <c r="AN416" s="14">
        <f t="shared" si="314"/>
        <v>0</v>
      </c>
      <c r="AO416" s="14">
        <f t="shared" si="304"/>
        <v>0</v>
      </c>
      <c r="AP416" s="14">
        <f t="shared" si="315"/>
        <v>0</v>
      </c>
      <c r="AS416" s="14">
        <f t="shared" si="331"/>
        <v>0</v>
      </c>
      <c r="AT416" s="14">
        <f t="shared" si="336"/>
        <v>0</v>
      </c>
      <c r="AU416" s="185">
        <f t="shared" si="337"/>
        <v>0</v>
      </c>
      <c r="AV416" s="185">
        <f t="shared" si="338"/>
        <v>0</v>
      </c>
    </row>
    <row r="417" spans="1:48">
      <c r="A417" s="401" t="str">
        <f t="shared" si="339"/>
        <v xml:space="preserve"> </v>
      </c>
      <c r="B417" s="185">
        <f t="shared" si="307"/>
        <v>0</v>
      </c>
      <c r="C417" s="14">
        <f t="shared" si="323"/>
        <v>0</v>
      </c>
      <c r="D417" s="14">
        <f t="shared" si="340"/>
        <v>0</v>
      </c>
      <c r="E417" s="14">
        <f t="shared" si="324"/>
        <v>0</v>
      </c>
      <c r="F417" s="14">
        <f t="shared" si="350"/>
        <v>0</v>
      </c>
      <c r="G417" s="14">
        <f t="shared" si="350"/>
        <v>0</v>
      </c>
      <c r="H417" s="14">
        <f t="shared" si="309"/>
        <v>0</v>
      </c>
      <c r="I417" s="185">
        <f t="shared" si="341"/>
        <v>0</v>
      </c>
      <c r="J417" s="185">
        <f t="shared" si="342"/>
        <v>0</v>
      </c>
      <c r="K417" s="185">
        <f t="shared" si="343"/>
        <v>0</v>
      </c>
      <c r="L417" s="317">
        <f t="shared" si="305"/>
        <v>33</v>
      </c>
      <c r="M417" s="317">
        <f t="shared" si="332"/>
        <v>401</v>
      </c>
      <c r="N417" s="185">
        <f t="shared" si="333"/>
        <v>0</v>
      </c>
      <c r="O417" s="185">
        <f t="shared" si="316"/>
        <v>0</v>
      </c>
      <c r="P417" s="185">
        <f t="shared" si="344"/>
        <v>0</v>
      </c>
      <c r="Q417" s="185">
        <f t="shared" si="317"/>
        <v>0</v>
      </c>
      <c r="R417" s="185">
        <f t="shared" si="353"/>
        <v>134.16999999999999</v>
      </c>
      <c r="S417" s="185">
        <f t="shared" si="353"/>
        <v>188.55</v>
      </c>
      <c r="T417" s="185">
        <f t="shared" si="310"/>
        <v>322.72000000000003</v>
      </c>
      <c r="U417" s="185">
        <f t="shared" si="345"/>
        <v>1005371.31</v>
      </c>
      <c r="V417" s="185">
        <f t="shared" si="346"/>
        <v>6046189.700000003</v>
      </c>
      <c r="W417" s="185">
        <f t="shared" si="347"/>
        <v>0</v>
      </c>
      <c r="X417" s="401" t="str">
        <f t="shared" si="334"/>
        <v xml:space="preserve"> </v>
      </c>
      <c r="Y417" s="185">
        <f t="shared" si="318"/>
        <v>0</v>
      </c>
      <c r="Z417" s="393">
        <f t="shared" si="326"/>
        <v>0.13125000000000001</v>
      </c>
      <c r="AA417" s="185">
        <f t="shared" si="327"/>
        <v>0</v>
      </c>
      <c r="AB417" s="185">
        <f t="shared" si="328"/>
        <v>0</v>
      </c>
      <c r="AC417" s="185">
        <f t="shared" si="329"/>
        <v>0</v>
      </c>
      <c r="AD417" s="185">
        <f t="shared" si="352"/>
        <v>134.16999999999999</v>
      </c>
      <c r="AE417" s="185">
        <f t="shared" si="352"/>
        <v>188.55</v>
      </c>
      <c r="AF417" s="185">
        <f t="shared" si="330"/>
        <v>322.72000000000003</v>
      </c>
      <c r="AG417" s="185">
        <f t="shared" si="348"/>
        <v>989037.5</v>
      </c>
      <c r="AH417" s="185">
        <f t="shared" si="349"/>
        <v>2810829.4999999991</v>
      </c>
      <c r="AI417" s="411">
        <f t="shared" si="312"/>
        <v>3221740.1900000102</v>
      </c>
      <c r="AJ417" s="411">
        <f t="shared" si="351"/>
        <v>0</v>
      </c>
      <c r="AK417" s="411">
        <f t="shared" si="313"/>
        <v>3221740.1900000102</v>
      </c>
      <c r="AL417" s="185">
        <f t="shared" si="319"/>
        <v>0</v>
      </c>
      <c r="AM417" s="317">
        <f t="shared" si="335"/>
        <v>33</v>
      </c>
      <c r="AN417" s="14">
        <f t="shared" si="314"/>
        <v>0</v>
      </c>
      <c r="AO417" s="14">
        <f t="shared" si="304"/>
        <v>0</v>
      </c>
      <c r="AP417" s="14">
        <f t="shared" si="315"/>
        <v>0</v>
      </c>
      <c r="AS417" s="14">
        <f t="shared" si="331"/>
        <v>0</v>
      </c>
      <c r="AT417" s="14">
        <f t="shared" si="336"/>
        <v>0</v>
      </c>
      <c r="AU417" s="185">
        <f t="shared" si="337"/>
        <v>0</v>
      </c>
      <c r="AV417" s="185">
        <f t="shared" si="338"/>
        <v>0</v>
      </c>
    </row>
    <row r="418" spans="1:48">
      <c r="A418" s="401" t="str">
        <f t="shared" si="339"/>
        <v xml:space="preserve"> </v>
      </c>
      <c r="B418" s="185">
        <f t="shared" si="307"/>
        <v>0</v>
      </c>
      <c r="C418" s="14">
        <f t="shared" si="323"/>
        <v>0</v>
      </c>
      <c r="D418" s="14">
        <f t="shared" si="340"/>
        <v>0</v>
      </c>
      <c r="E418" s="14">
        <f t="shared" si="324"/>
        <v>0</v>
      </c>
      <c r="F418" s="14">
        <f t="shared" si="350"/>
        <v>0</v>
      </c>
      <c r="G418" s="14">
        <f t="shared" si="350"/>
        <v>0</v>
      </c>
      <c r="H418" s="14">
        <f t="shared" si="309"/>
        <v>0</v>
      </c>
      <c r="I418" s="185">
        <f t="shared" si="341"/>
        <v>0</v>
      </c>
      <c r="J418" s="185">
        <f t="shared" si="342"/>
        <v>0</v>
      </c>
      <c r="K418" s="185">
        <f t="shared" si="343"/>
        <v>0</v>
      </c>
      <c r="L418" s="317">
        <f t="shared" si="305"/>
        <v>33</v>
      </c>
      <c r="M418" s="317">
        <f t="shared" si="332"/>
        <v>402</v>
      </c>
      <c r="N418" s="185">
        <f t="shared" si="333"/>
        <v>0</v>
      </c>
      <c r="O418" s="185">
        <f t="shared" si="316"/>
        <v>0</v>
      </c>
      <c r="P418" s="185">
        <f t="shared" si="344"/>
        <v>0</v>
      </c>
      <c r="Q418" s="185">
        <f t="shared" si="317"/>
        <v>0</v>
      </c>
      <c r="R418" s="185">
        <f t="shared" si="353"/>
        <v>134.16999999999999</v>
      </c>
      <c r="S418" s="185">
        <f t="shared" si="353"/>
        <v>188.55</v>
      </c>
      <c r="T418" s="185">
        <f t="shared" si="310"/>
        <v>322.72000000000003</v>
      </c>
      <c r="U418" s="185">
        <f t="shared" si="345"/>
        <v>1005371.31</v>
      </c>
      <c r="V418" s="185">
        <f t="shared" si="346"/>
        <v>6046189.700000003</v>
      </c>
      <c r="W418" s="185">
        <f t="shared" si="347"/>
        <v>0</v>
      </c>
      <c r="X418" s="401" t="str">
        <f t="shared" si="334"/>
        <v xml:space="preserve"> </v>
      </c>
      <c r="Y418" s="185">
        <f t="shared" si="318"/>
        <v>0</v>
      </c>
      <c r="Z418" s="393">
        <f t="shared" si="326"/>
        <v>0.13125000000000001</v>
      </c>
      <c r="AA418" s="185">
        <f t="shared" si="327"/>
        <v>0</v>
      </c>
      <c r="AB418" s="185">
        <f t="shared" si="328"/>
        <v>0</v>
      </c>
      <c r="AC418" s="185">
        <f t="shared" si="329"/>
        <v>0</v>
      </c>
      <c r="AD418" s="185">
        <f t="shared" si="352"/>
        <v>134.16999999999999</v>
      </c>
      <c r="AE418" s="185">
        <f t="shared" si="352"/>
        <v>188.55</v>
      </c>
      <c r="AF418" s="185">
        <f t="shared" si="330"/>
        <v>322.72000000000003</v>
      </c>
      <c r="AG418" s="185">
        <f t="shared" si="348"/>
        <v>989037.5</v>
      </c>
      <c r="AH418" s="185">
        <f t="shared" si="349"/>
        <v>2810829.4999999991</v>
      </c>
      <c r="AI418" s="411">
        <f t="shared" si="312"/>
        <v>3221740.1900000102</v>
      </c>
      <c r="AJ418" s="411">
        <f t="shared" si="351"/>
        <v>0</v>
      </c>
      <c r="AK418" s="411">
        <f t="shared" si="313"/>
        <v>3221740.1900000102</v>
      </c>
      <c r="AL418" s="185">
        <f t="shared" si="319"/>
        <v>0</v>
      </c>
      <c r="AM418" s="317">
        <f t="shared" si="335"/>
        <v>33</v>
      </c>
      <c r="AN418" s="14">
        <f t="shared" si="314"/>
        <v>0</v>
      </c>
      <c r="AO418" s="14">
        <f t="shared" si="304"/>
        <v>0</v>
      </c>
      <c r="AP418" s="14">
        <f t="shared" si="315"/>
        <v>0</v>
      </c>
      <c r="AS418" s="14">
        <f t="shared" si="331"/>
        <v>0</v>
      </c>
      <c r="AT418" s="14">
        <f t="shared" si="336"/>
        <v>0</v>
      </c>
      <c r="AU418" s="185">
        <f t="shared" si="337"/>
        <v>0</v>
      </c>
      <c r="AV418" s="185">
        <f t="shared" si="338"/>
        <v>0</v>
      </c>
    </row>
    <row r="419" spans="1:48">
      <c r="A419" s="401" t="str">
        <f t="shared" si="339"/>
        <v xml:space="preserve"> </v>
      </c>
      <c r="B419" s="185">
        <f t="shared" si="307"/>
        <v>0</v>
      </c>
      <c r="C419" s="14">
        <f t="shared" si="323"/>
        <v>0</v>
      </c>
      <c r="D419" s="14">
        <f t="shared" si="340"/>
        <v>0</v>
      </c>
      <c r="E419" s="14">
        <f t="shared" si="324"/>
        <v>0</v>
      </c>
      <c r="F419" s="14">
        <f t="shared" si="350"/>
        <v>0</v>
      </c>
      <c r="G419" s="14">
        <f t="shared" si="350"/>
        <v>0</v>
      </c>
      <c r="H419" s="14">
        <f t="shared" si="309"/>
        <v>0</v>
      </c>
      <c r="I419" s="185">
        <f t="shared" si="341"/>
        <v>0</v>
      </c>
      <c r="J419" s="185">
        <f t="shared" si="342"/>
        <v>0</v>
      </c>
      <c r="K419" s="185">
        <f t="shared" si="343"/>
        <v>0</v>
      </c>
      <c r="L419" s="317">
        <f t="shared" si="305"/>
        <v>33</v>
      </c>
      <c r="M419" s="317">
        <f t="shared" si="332"/>
        <v>403</v>
      </c>
      <c r="N419" s="185">
        <f t="shared" si="333"/>
        <v>0</v>
      </c>
      <c r="O419" s="185">
        <f t="shared" si="316"/>
        <v>0</v>
      </c>
      <c r="P419" s="185">
        <f t="shared" si="344"/>
        <v>0</v>
      </c>
      <c r="Q419" s="185">
        <f t="shared" si="317"/>
        <v>0</v>
      </c>
      <c r="R419" s="185">
        <f t="shared" si="353"/>
        <v>134.16999999999999</v>
      </c>
      <c r="S419" s="185">
        <f t="shared" si="353"/>
        <v>188.55</v>
      </c>
      <c r="T419" s="185">
        <f t="shared" si="310"/>
        <v>322.72000000000003</v>
      </c>
      <c r="U419" s="185">
        <f t="shared" si="345"/>
        <v>1005371.31</v>
      </c>
      <c r="V419" s="185">
        <f t="shared" si="346"/>
        <v>6046189.700000003</v>
      </c>
      <c r="W419" s="185">
        <f t="shared" si="347"/>
        <v>0</v>
      </c>
      <c r="X419" s="401" t="str">
        <f t="shared" si="334"/>
        <v xml:space="preserve"> </v>
      </c>
      <c r="Y419" s="185">
        <f t="shared" si="318"/>
        <v>0</v>
      </c>
      <c r="Z419" s="393">
        <f t="shared" si="326"/>
        <v>0.13125000000000001</v>
      </c>
      <c r="AA419" s="185">
        <f t="shared" si="327"/>
        <v>0</v>
      </c>
      <c r="AB419" s="185">
        <f t="shared" si="328"/>
        <v>0</v>
      </c>
      <c r="AC419" s="185">
        <f t="shared" si="329"/>
        <v>0</v>
      </c>
      <c r="AD419" s="185">
        <f t="shared" si="352"/>
        <v>134.16999999999999</v>
      </c>
      <c r="AE419" s="185">
        <f t="shared" si="352"/>
        <v>188.55</v>
      </c>
      <c r="AF419" s="185">
        <f t="shared" si="330"/>
        <v>322.72000000000003</v>
      </c>
      <c r="AG419" s="185">
        <f t="shared" si="348"/>
        <v>989037.5</v>
      </c>
      <c r="AH419" s="185">
        <f t="shared" si="349"/>
        <v>2810829.4999999991</v>
      </c>
      <c r="AI419" s="411">
        <f t="shared" si="312"/>
        <v>3221740.1900000102</v>
      </c>
      <c r="AJ419" s="411">
        <f t="shared" si="351"/>
        <v>0</v>
      </c>
      <c r="AK419" s="411">
        <f t="shared" si="313"/>
        <v>3221740.1900000102</v>
      </c>
      <c r="AL419" s="185">
        <f t="shared" si="319"/>
        <v>0</v>
      </c>
      <c r="AM419" s="317">
        <f t="shared" si="335"/>
        <v>33</v>
      </c>
      <c r="AN419" s="14">
        <f t="shared" si="314"/>
        <v>0</v>
      </c>
      <c r="AO419" s="14">
        <f t="shared" si="304"/>
        <v>0</v>
      </c>
      <c r="AP419" s="14">
        <f t="shared" si="315"/>
        <v>0</v>
      </c>
      <c r="AS419" s="14">
        <f t="shared" si="331"/>
        <v>0</v>
      </c>
      <c r="AT419" s="14">
        <f t="shared" si="336"/>
        <v>0</v>
      </c>
      <c r="AU419" s="185">
        <f t="shared" si="337"/>
        <v>0</v>
      </c>
      <c r="AV419" s="185">
        <f t="shared" si="338"/>
        <v>0</v>
      </c>
    </row>
    <row r="420" spans="1:48">
      <c r="A420" s="401" t="str">
        <f t="shared" si="339"/>
        <v xml:space="preserve"> </v>
      </c>
      <c r="B420" s="185">
        <f t="shared" si="307"/>
        <v>0</v>
      </c>
      <c r="C420" s="14">
        <f t="shared" si="323"/>
        <v>0</v>
      </c>
      <c r="D420" s="14">
        <f t="shared" si="340"/>
        <v>0</v>
      </c>
      <c r="E420" s="14">
        <f t="shared" si="324"/>
        <v>0</v>
      </c>
      <c r="F420" s="14">
        <f t="shared" si="350"/>
        <v>0</v>
      </c>
      <c r="G420" s="14">
        <f t="shared" si="350"/>
        <v>0</v>
      </c>
      <c r="H420" s="14">
        <f t="shared" si="309"/>
        <v>0</v>
      </c>
      <c r="I420" s="185">
        <f t="shared" si="341"/>
        <v>0</v>
      </c>
      <c r="J420" s="185">
        <f t="shared" si="342"/>
        <v>0</v>
      </c>
      <c r="K420" s="185">
        <f t="shared" si="343"/>
        <v>0</v>
      </c>
      <c r="L420" s="317">
        <f t="shared" si="305"/>
        <v>33</v>
      </c>
      <c r="M420" s="317">
        <f t="shared" si="332"/>
        <v>404</v>
      </c>
      <c r="N420" s="185">
        <f t="shared" si="333"/>
        <v>0</v>
      </c>
      <c r="O420" s="185">
        <f t="shared" si="316"/>
        <v>0</v>
      </c>
      <c r="P420" s="185">
        <f t="shared" si="344"/>
        <v>0</v>
      </c>
      <c r="Q420" s="185">
        <f t="shared" si="317"/>
        <v>0</v>
      </c>
      <c r="R420" s="185">
        <f t="shared" si="353"/>
        <v>134.16999999999999</v>
      </c>
      <c r="S420" s="185">
        <f t="shared" si="353"/>
        <v>188.55</v>
      </c>
      <c r="T420" s="185">
        <f t="shared" si="310"/>
        <v>322.72000000000003</v>
      </c>
      <c r="U420" s="185">
        <f t="shared" si="345"/>
        <v>1005371.31</v>
      </c>
      <c r="V420" s="185">
        <f t="shared" si="346"/>
        <v>6046189.700000003</v>
      </c>
      <c r="W420" s="185">
        <f t="shared" si="347"/>
        <v>0</v>
      </c>
      <c r="X420" s="401" t="str">
        <f t="shared" si="334"/>
        <v xml:space="preserve"> </v>
      </c>
      <c r="Y420" s="185">
        <f t="shared" si="318"/>
        <v>0</v>
      </c>
      <c r="Z420" s="393">
        <f t="shared" si="326"/>
        <v>0.13125000000000001</v>
      </c>
      <c r="AA420" s="185">
        <f t="shared" si="327"/>
        <v>0</v>
      </c>
      <c r="AB420" s="185">
        <f t="shared" si="328"/>
        <v>0</v>
      </c>
      <c r="AC420" s="185">
        <f t="shared" si="329"/>
        <v>0</v>
      </c>
      <c r="AD420" s="185">
        <f t="shared" si="352"/>
        <v>134.16999999999999</v>
      </c>
      <c r="AE420" s="185">
        <f t="shared" si="352"/>
        <v>188.55</v>
      </c>
      <c r="AF420" s="185">
        <f t="shared" si="330"/>
        <v>322.72000000000003</v>
      </c>
      <c r="AG420" s="185">
        <f t="shared" si="348"/>
        <v>989037.5</v>
      </c>
      <c r="AH420" s="185">
        <f t="shared" si="349"/>
        <v>2810829.4999999991</v>
      </c>
      <c r="AI420" s="411">
        <f t="shared" si="312"/>
        <v>3221740.1900000102</v>
      </c>
      <c r="AJ420" s="411">
        <f t="shared" si="351"/>
        <v>0</v>
      </c>
      <c r="AK420" s="411">
        <f t="shared" si="313"/>
        <v>3221740.1900000102</v>
      </c>
      <c r="AL420" s="185">
        <f t="shared" si="319"/>
        <v>0</v>
      </c>
      <c r="AM420" s="317">
        <f t="shared" si="335"/>
        <v>33</v>
      </c>
      <c r="AN420" s="14">
        <f t="shared" si="314"/>
        <v>0</v>
      </c>
      <c r="AO420" s="14">
        <f t="shared" si="304"/>
        <v>0</v>
      </c>
      <c r="AP420" s="14">
        <f t="shared" si="315"/>
        <v>0</v>
      </c>
      <c r="AS420" s="14">
        <f t="shared" si="331"/>
        <v>0</v>
      </c>
      <c r="AT420" s="14">
        <f t="shared" si="336"/>
        <v>0</v>
      </c>
      <c r="AU420" s="185">
        <f t="shared" si="337"/>
        <v>0</v>
      </c>
      <c r="AV420" s="185">
        <f t="shared" si="338"/>
        <v>0</v>
      </c>
    </row>
    <row r="421" spans="1:48">
      <c r="A421" s="401" t="str">
        <f t="shared" si="339"/>
        <v xml:space="preserve"> </v>
      </c>
      <c r="B421" s="185">
        <f t="shared" si="307"/>
        <v>0</v>
      </c>
      <c r="C421" s="14">
        <f t="shared" si="323"/>
        <v>0</v>
      </c>
      <c r="D421" s="14">
        <f t="shared" si="340"/>
        <v>0</v>
      </c>
      <c r="E421" s="14">
        <f t="shared" si="324"/>
        <v>0</v>
      </c>
      <c r="F421" s="14">
        <f t="shared" si="350"/>
        <v>0</v>
      </c>
      <c r="G421" s="14">
        <f t="shared" si="350"/>
        <v>0</v>
      </c>
      <c r="H421" s="14">
        <f t="shared" si="309"/>
        <v>0</v>
      </c>
      <c r="I421" s="185">
        <f t="shared" si="341"/>
        <v>0</v>
      </c>
      <c r="J421" s="185">
        <f t="shared" si="342"/>
        <v>0</v>
      </c>
      <c r="K421" s="185">
        <f t="shared" si="343"/>
        <v>0</v>
      </c>
      <c r="L421" s="317">
        <f t="shared" si="305"/>
        <v>33</v>
      </c>
      <c r="M421" s="317">
        <f t="shared" si="332"/>
        <v>405</v>
      </c>
      <c r="N421" s="185">
        <f t="shared" si="333"/>
        <v>0</v>
      </c>
      <c r="O421" s="185">
        <f t="shared" si="316"/>
        <v>0</v>
      </c>
      <c r="P421" s="185">
        <f t="shared" si="344"/>
        <v>0</v>
      </c>
      <c r="Q421" s="185">
        <f t="shared" si="317"/>
        <v>0</v>
      </c>
      <c r="R421" s="185">
        <f t="shared" si="353"/>
        <v>134.16999999999999</v>
      </c>
      <c r="S421" s="185">
        <f t="shared" si="353"/>
        <v>188.55</v>
      </c>
      <c r="T421" s="185">
        <f t="shared" si="310"/>
        <v>322.72000000000003</v>
      </c>
      <c r="U421" s="185">
        <f t="shared" si="345"/>
        <v>1005371.31</v>
      </c>
      <c r="V421" s="185">
        <f t="shared" si="346"/>
        <v>6046189.700000003</v>
      </c>
      <c r="W421" s="185">
        <f t="shared" si="347"/>
        <v>0</v>
      </c>
      <c r="X421" s="401" t="str">
        <f t="shared" si="334"/>
        <v xml:space="preserve"> </v>
      </c>
      <c r="Y421" s="185">
        <f t="shared" si="318"/>
        <v>0</v>
      </c>
      <c r="Z421" s="393">
        <f t="shared" si="326"/>
        <v>0.13125000000000001</v>
      </c>
      <c r="AA421" s="185">
        <f t="shared" si="327"/>
        <v>0</v>
      </c>
      <c r="AB421" s="185">
        <f t="shared" si="328"/>
        <v>0</v>
      </c>
      <c r="AC421" s="185">
        <f t="shared" si="329"/>
        <v>0</v>
      </c>
      <c r="AD421" s="185">
        <f t="shared" si="352"/>
        <v>134.16999999999999</v>
      </c>
      <c r="AE421" s="185">
        <f t="shared" si="352"/>
        <v>188.55</v>
      </c>
      <c r="AF421" s="185">
        <f t="shared" si="330"/>
        <v>322.72000000000003</v>
      </c>
      <c r="AG421" s="185">
        <f t="shared" si="348"/>
        <v>989037.5</v>
      </c>
      <c r="AH421" s="185">
        <f t="shared" si="349"/>
        <v>2810829.4999999991</v>
      </c>
      <c r="AI421" s="411">
        <f t="shared" si="312"/>
        <v>3221740.1900000102</v>
      </c>
      <c r="AJ421" s="411">
        <f t="shared" si="351"/>
        <v>0</v>
      </c>
      <c r="AK421" s="411">
        <f t="shared" si="313"/>
        <v>3221740.1900000102</v>
      </c>
      <c r="AL421" s="185">
        <f>+Y421-AB421</f>
        <v>0</v>
      </c>
      <c r="AM421" s="317">
        <f t="shared" si="335"/>
        <v>33</v>
      </c>
      <c r="AN421" s="14">
        <f t="shared" si="314"/>
        <v>0</v>
      </c>
      <c r="AO421" s="14">
        <f t="shared" si="304"/>
        <v>0</v>
      </c>
      <c r="AP421" s="14">
        <f t="shared" si="315"/>
        <v>0</v>
      </c>
      <c r="AS421" s="14">
        <f t="shared" si="331"/>
        <v>0</v>
      </c>
      <c r="AT421" s="14">
        <f t="shared" si="336"/>
        <v>0</v>
      </c>
      <c r="AU421" s="185">
        <f t="shared" si="337"/>
        <v>0</v>
      </c>
      <c r="AV421" s="185">
        <f t="shared" si="338"/>
        <v>0</v>
      </c>
    </row>
    <row r="422" spans="1:48">
      <c r="A422" s="401" t="str">
        <f t="shared" si="339"/>
        <v xml:space="preserve"> </v>
      </c>
      <c r="B422" s="185">
        <f t="shared" si="307"/>
        <v>0</v>
      </c>
      <c r="C422" s="14">
        <f t="shared" si="323"/>
        <v>0</v>
      </c>
      <c r="D422" s="14">
        <f t="shared" si="340"/>
        <v>0</v>
      </c>
      <c r="E422" s="14">
        <f t="shared" si="324"/>
        <v>0</v>
      </c>
      <c r="F422" s="14">
        <f t="shared" si="350"/>
        <v>0</v>
      </c>
      <c r="G422" s="14">
        <f t="shared" si="350"/>
        <v>0</v>
      </c>
      <c r="H422" s="14">
        <f t="shared" si="309"/>
        <v>0</v>
      </c>
      <c r="I422" s="185">
        <f t="shared" si="341"/>
        <v>0</v>
      </c>
      <c r="J422" s="185">
        <f t="shared" si="342"/>
        <v>0</v>
      </c>
      <c r="K422" s="185">
        <f t="shared" si="343"/>
        <v>0</v>
      </c>
      <c r="L422" s="317">
        <f t="shared" si="305"/>
        <v>33</v>
      </c>
      <c r="M422" s="317">
        <f t="shared" si="332"/>
        <v>406</v>
      </c>
      <c r="N422" s="185">
        <f t="shared" si="333"/>
        <v>0</v>
      </c>
      <c r="O422" s="185">
        <f t="shared" si="316"/>
        <v>0</v>
      </c>
      <c r="P422" s="185">
        <f t="shared" si="344"/>
        <v>0</v>
      </c>
      <c r="Q422" s="185">
        <f t="shared" si="317"/>
        <v>0</v>
      </c>
      <c r="R422" s="185">
        <f t="shared" si="353"/>
        <v>134.16999999999999</v>
      </c>
      <c r="S422" s="185">
        <f t="shared" si="353"/>
        <v>188.55</v>
      </c>
      <c r="T422" s="185">
        <f t="shared" si="310"/>
        <v>322.72000000000003</v>
      </c>
      <c r="U422" s="185">
        <f t="shared" si="345"/>
        <v>1005371.31</v>
      </c>
      <c r="V422" s="185">
        <f t="shared" si="346"/>
        <v>6046189.700000003</v>
      </c>
      <c r="W422" s="185">
        <f t="shared" si="347"/>
        <v>0</v>
      </c>
      <c r="X422" s="401" t="str">
        <f t="shared" si="334"/>
        <v xml:space="preserve"> </v>
      </c>
      <c r="Y422" s="185">
        <f t="shared" si="318"/>
        <v>0</v>
      </c>
      <c r="Z422" s="393">
        <f t="shared" si="326"/>
        <v>0.13125000000000001</v>
      </c>
      <c r="AA422" s="185">
        <f t="shared" si="327"/>
        <v>0</v>
      </c>
      <c r="AB422" s="185">
        <f t="shared" si="328"/>
        <v>0</v>
      </c>
      <c r="AC422" s="185">
        <f t="shared" si="329"/>
        <v>0</v>
      </c>
      <c r="AD422" s="185">
        <f t="shared" si="352"/>
        <v>134.16999999999999</v>
      </c>
      <c r="AE422" s="185">
        <f t="shared" si="352"/>
        <v>188.55</v>
      </c>
      <c r="AF422" s="185">
        <f t="shared" si="330"/>
        <v>322.72000000000003</v>
      </c>
      <c r="AG422" s="185">
        <f t="shared" si="348"/>
        <v>989037.5</v>
      </c>
      <c r="AH422" s="185">
        <f t="shared" si="349"/>
        <v>2810829.4999999991</v>
      </c>
      <c r="AI422" s="411">
        <f t="shared" si="312"/>
        <v>3221740.1900000102</v>
      </c>
      <c r="AJ422" s="411">
        <f t="shared" si="351"/>
        <v>0</v>
      </c>
      <c r="AK422" s="411">
        <f t="shared" si="313"/>
        <v>3221740.1900000102</v>
      </c>
      <c r="AL422" s="185">
        <f t="shared" si="319"/>
        <v>0</v>
      </c>
      <c r="AM422" s="317">
        <f t="shared" si="335"/>
        <v>33</v>
      </c>
      <c r="AN422" s="14">
        <f t="shared" si="314"/>
        <v>0</v>
      </c>
      <c r="AO422" s="14">
        <f t="shared" si="304"/>
        <v>0</v>
      </c>
      <c r="AP422" s="14">
        <f t="shared" si="315"/>
        <v>0</v>
      </c>
      <c r="AS422" s="14">
        <f t="shared" si="331"/>
        <v>0</v>
      </c>
      <c r="AT422" s="14">
        <f t="shared" si="336"/>
        <v>0</v>
      </c>
      <c r="AU422" s="185">
        <f t="shared" si="337"/>
        <v>0</v>
      </c>
      <c r="AV422" s="185">
        <f t="shared" si="338"/>
        <v>0</v>
      </c>
    </row>
    <row r="423" spans="1:48" ht="15.75" thickBot="1">
      <c r="A423" s="404" t="str">
        <f t="shared" si="339"/>
        <v xml:space="preserve"> </v>
      </c>
      <c r="B423" s="237">
        <f t="shared" si="307"/>
        <v>0</v>
      </c>
      <c r="C423" s="21">
        <f t="shared" si="323"/>
        <v>0</v>
      </c>
      <c r="D423" s="21">
        <f t="shared" si="340"/>
        <v>0</v>
      </c>
      <c r="E423" s="21">
        <f t="shared" si="324"/>
        <v>0</v>
      </c>
      <c r="F423" s="21">
        <f t="shared" si="350"/>
        <v>0</v>
      </c>
      <c r="G423" s="21">
        <f t="shared" si="350"/>
        <v>0</v>
      </c>
      <c r="H423" s="21">
        <f t="shared" si="309"/>
        <v>0</v>
      </c>
      <c r="I423" s="237">
        <f t="shared" si="341"/>
        <v>0</v>
      </c>
      <c r="J423" s="237">
        <f t="shared" si="342"/>
        <v>0</v>
      </c>
      <c r="K423" s="237">
        <f t="shared" si="343"/>
        <v>0</v>
      </c>
      <c r="L423" s="318">
        <f t="shared" si="305"/>
        <v>33</v>
      </c>
      <c r="M423" s="318">
        <f t="shared" si="332"/>
        <v>407</v>
      </c>
      <c r="N423" s="237">
        <f t="shared" si="333"/>
        <v>0</v>
      </c>
      <c r="O423" s="237">
        <f t="shared" si="316"/>
        <v>0</v>
      </c>
      <c r="P423" s="237">
        <f t="shared" si="344"/>
        <v>0</v>
      </c>
      <c r="Q423" s="237">
        <f t="shared" si="317"/>
        <v>0</v>
      </c>
      <c r="R423" s="237">
        <f t="shared" si="353"/>
        <v>134.16999999999999</v>
      </c>
      <c r="S423" s="237">
        <f t="shared" si="353"/>
        <v>188.55</v>
      </c>
      <c r="T423" s="237">
        <f t="shared" si="310"/>
        <v>322.72000000000003</v>
      </c>
      <c r="U423" s="237">
        <f t="shared" si="345"/>
        <v>1005371.31</v>
      </c>
      <c r="V423" s="237">
        <f t="shared" si="346"/>
        <v>6046189.700000003</v>
      </c>
      <c r="W423" s="237">
        <f t="shared" si="347"/>
        <v>0</v>
      </c>
      <c r="X423" s="404" t="str">
        <f t="shared" si="334"/>
        <v xml:space="preserve"> </v>
      </c>
      <c r="Y423" s="237">
        <f t="shared" si="318"/>
        <v>0</v>
      </c>
      <c r="Z423" s="394">
        <f t="shared" si="326"/>
        <v>0.13125000000000001</v>
      </c>
      <c r="AA423" s="237">
        <f t="shared" si="327"/>
        <v>0</v>
      </c>
      <c r="AB423" s="237">
        <f t="shared" si="328"/>
        <v>0</v>
      </c>
      <c r="AC423" s="237">
        <f t="shared" si="329"/>
        <v>0</v>
      </c>
      <c r="AD423" s="237">
        <f t="shared" si="352"/>
        <v>134.16999999999999</v>
      </c>
      <c r="AE423" s="237">
        <f t="shared" si="352"/>
        <v>188.55</v>
      </c>
      <c r="AF423" s="237">
        <f t="shared" si="330"/>
        <v>322.72000000000003</v>
      </c>
      <c r="AG423" s="237">
        <f t="shared" si="348"/>
        <v>989037.5</v>
      </c>
      <c r="AH423" s="237">
        <f t="shared" si="349"/>
        <v>2810829.4999999991</v>
      </c>
      <c r="AI423" s="412">
        <f t="shared" si="312"/>
        <v>3221740.1900000102</v>
      </c>
      <c r="AJ423" s="412">
        <f t="shared" si="351"/>
        <v>0</v>
      </c>
      <c r="AK423" s="411">
        <f t="shared" si="313"/>
        <v>3221740.1900000102</v>
      </c>
      <c r="AL423" s="237">
        <f t="shared" si="319"/>
        <v>0</v>
      </c>
      <c r="AM423" s="318">
        <f t="shared" si="335"/>
        <v>33</v>
      </c>
      <c r="AN423" s="21">
        <f t="shared" si="314"/>
        <v>0</v>
      </c>
      <c r="AO423" s="21">
        <f t="shared" si="304"/>
        <v>0</v>
      </c>
      <c r="AP423" s="21">
        <f t="shared" si="315"/>
        <v>0</v>
      </c>
      <c r="AQ423" s="21"/>
      <c r="AR423" s="23"/>
      <c r="AS423" s="21">
        <f t="shared" si="331"/>
        <v>0</v>
      </c>
      <c r="AT423" s="21">
        <f t="shared" si="336"/>
        <v>0</v>
      </c>
      <c r="AU423" s="237">
        <f t="shared" si="337"/>
        <v>0</v>
      </c>
      <c r="AV423" s="237">
        <f t="shared" si="338"/>
        <v>0</v>
      </c>
    </row>
    <row r="424" spans="1:48">
      <c r="A424" s="401" t="str">
        <f t="shared" si="339"/>
        <v xml:space="preserve"> </v>
      </c>
      <c r="B424" s="185">
        <f t="shared" si="307"/>
        <v>0</v>
      </c>
      <c r="C424" s="14">
        <f t="shared" si="323"/>
        <v>0</v>
      </c>
      <c r="D424" s="14">
        <f t="shared" si="340"/>
        <v>0</v>
      </c>
      <c r="E424" s="14">
        <f t="shared" si="324"/>
        <v>0</v>
      </c>
      <c r="F424" s="14">
        <f t="shared" si="350"/>
        <v>0</v>
      </c>
      <c r="G424" s="14">
        <f t="shared" si="350"/>
        <v>0</v>
      </c>
      <c r="H424" s="14">
        <f t="shared" si="309"/>
        <v>0</v>
      </c>
      <c r="I424" s="185">
        <f t="shared" si="341"/>
        <v>0</v>
      </c>
      <c r="J424" s="185">
        <f t="shared" si="342"/>
        <v>0</v>
      </c>
      <c r="K424" s="185">
        <f t="shared" si="343"/>
        <v>0</v>
      </c>
      <c r="L424" s="317">
        <f t="shared" si="305"/>
        <v>34</v>
      </c>
      <c r="M424" s="317">
        <f t="shared" si="332"/>
        <v>408</v>
      </c>
      <c r="N424" s="185">
        <f t="shared" si="333"/>
        <v>0</v>
      </c>
      <c r="O424" s="185">
        <f t="shared" si="316"/>
        <v>0</v>
      </c>
      <c r="P424" s="185">
        <f t="shared" si="344"/>
        <v>0</v>
      </c>
      <c r="Q424" s="185">
        <f t="shared" si="317"/>
        <v>0</v>
      </c>
      <c r="R424" s="185">
        <f t="shared" si="353"/>
        <v>134.16999999999999</v>
      </c>
      <c r="S424" s="185">
        <f t="shared" si="353"/>
        <v>188.55</v>
      </c>
      <c r="T424" s="185">
        <f t="shared" si="310"/>
        <v>322.72000000000003</v>
      </c>
      <c r="U424" s="185">
        <f t="shared" si="345"/>
        <v>1005371.31</v>
      </c>
      <c r="V424" s="185">
        <f t="shared" si="346"/>
        <v>6046189.700000003</v>
      </c>
      <c r="W424" s="185">
        <f t="shared" si="347"/>
        <v>0</v>
      </c>
      <c r="X424" s="401" t="str">
        <f t="shared" si="334"/>
        <v xml:space="preserve"> </v>
      </c>
      <c r="Y424" s="185">
        <f t="shared" si="318"/>
        <v>0</v>
      </c>
      <c r="Z424" s="393">
        <f t="shared" si="326"/>
        <v>0.13125000000000001</v>
      </c>
      <c r="AA424" s="185">
        <f t="shared" si="327"/>
        <v>0</v>
      </c>
      <c r="AB424" s="185">
        <f t="shared" si="328"/>
        <v>0</v>
      </c>
      <c r="AC424" s="185">
        <f t="shared" si="329"/>
        <v>0</v>
      </c>
      <c r="AD424" s="185">
        <f t="shared" si="352"/>
        <v>134.16999999999999</v>
      </c>
      <c r="AE424" s="185">
        <f t="shared" si="352"/>
        <v>188.55</v>
      </c>
      <c r="AF424" s="185">
        <f t="shared" si="330"/>
        <v>322.72000000000003</v>
      </c>
      <c r="AG424" s="185">
        <f t="shared" si="348"/>
        <v>989037.5</v>
      </c>
      <c r="AH424" s="185">
        <f t="shared" si="349"/>
        <v>2810829.4999999991</v>
      </c>
      <c r="AI424" s="411">
        <f t="shared" si="312"/>
        <v>3221740.1900000102</v>
      </c>
      <c r="AJ424" s="411">
        <f t="shared" si="351"/>
        <v>0</v>
      </c>
      <c r="AK424" s="411">
        <f t="shared" si="313"/>
        <v>3221740.1900000102</v>
      </c>
      <c r="AL424" s="185">
        <f t="shared" si="319"/>
        <v>0</v>
      </c>
      <c r="AM424" s="317">
        <f t="shared" si="335"/>
        <v>34</v>
      </c>
      <c r="AN424" s="14">
        <f t="shared" si="314"/>
        <v>0</v>
      </c>
      <c r="AO424" s="14">
        <f t="shared" si="304"/>
        <v>0</v>
      </c>
      <c r="AP424" s="14">
        <f t="shared" si="315"/>
        <v>0</v>
      </c>
      <c r="AS424" s="14">
        <f t="shared" si="331"/>
        <v>0</v>
      </c>
      <c r="AT424" s="14">
        <f t="shared" si="336"/>
        <v>0</v>
      </c>
      <c r="AU424" s="185">
        <f t="shared" si="337"/>
        <v>0</v>
      </c>
      <c r="AV424" s="185">
        <f t="shared" si="338"/>
        <v>0</v>
      </c>
    </row>
    <row r="425" spans="1:48">
      <c r="A425" s="401" t="str">
        <f t="shared" si="339"/>
        <v xml:space="preserve"> </v>
      </c>
      <c r="B425" s="185">
        <f t="shared" si="307"/>
        <v>0</v>
      </c>
      <c r="C425" s="14">
        <f t="shared" si="323"/>
        <v>0</v>
      </c>
      <c r="D425" s="14">
        <f t="shared" si="340"/>
        <v>0</v>
      </c>
      <c r="E425" s="14">
        <f t="shared" si="324"/>
        <v>0</v>
      </c>
      <c r="F425" s="14">
        <f t="shared" si="350"/>
        <v>0</v>
      </c>
      <c r="G425" s="14">
        <f t="shared" si="350"/>
        <v>0</v>
      </c>
      <c r="H425" s="14">
        <f t="shared" si="309"/>
        <v>0</v>
      </c>
      <c r="I425" s="185">
        <f t="shared" si="341"/>
        <v>0</v>
      </c>
      <c r="J425" s="185">
        <f t="shared" si="342"/>
        <v>0</v>
      </c>
      <c r="K425" s="185">
        <f t="shared" si="343"/>
        <v>0</v>
      </c>
      <c r="L425" s="317">
        <f t="shared" si="305"/>
        <v>34</v>
      </c>
      <c r="M425" s="317">
        <f t="shared" si="332"/>
        <v>409</v>
      </c>
      <c r="N425" s="185">
        <f t="shared" si="333"/>
        <v>0</v>
      </c>
      <c r="O425" s="185">
        <f t="shared" si="316"/>
        <v>0</v>
      </c>
      <c r="P425" s="185">
        <f t="shared" si="344"/>
        <v>0</v>
      </c>
      <c r="Q425" s="185">
        <f t="shared" si="317"/>
        <v>0</v>
      </c>
      <c r="R425" s="185">
        <f t="shared" si="353"/>
        <v>134.16999999999999</v>
      </c>
      <c r="S425" s="185">
        <f t="shared" si="353"/>
        <v>188.55</v>
      </c>
      <c r="T425" s="185">
        <f t="shared" si="310"/>
        <v>322.72000000000003</v>
      </c>
      <c r="U425" s="185">
        <f t="shared" si="345"/>
        <v>1005371.31</v>
      </c>
      <c r="V425" s="185">
        <f t="shared" si="346"/>
        <v>6046189.700000003</v>
      </c>
      <c r="W425" s="185">
        <f t="shared" si="347"/>
        <v>0</v>
      </c>
      <c r="X425" s="401" t="str">
        <f t="shared" si="334"/>
        <v xml:space="preserve"> </v>
      </c>
      <c r="Y425" s="185">
        <f t="shared" si="318"/>
        <v>0</v>
      </c>
      <c r="Z425" s="393">
        <f t="shared" si="326"/>
        <v>0.13125000000000001</v>
      </c>
      <c r="AA425" s="185">
        <f t="shared" si="327"/>
        <v>0</v>
      </c>
      <c r="AB425" s="185">
        <f t="shared" si="328"/>
        <v>0</v>
      </c>
      <c r="AC425" s="185">
        <f t="shared" si="329"/>
        <v>0</v>
      </c>
      <c r="AD425" s="185">
        <f t="shared" si="352"/>
        <v>134.16999999999999</v>
      </c>
      <c r="AE425" s="185">
        <f t="shared" si="352"/>
        <v>188.55</v>
      </c>
      <c r="AF425" s="185">
        <f t="shared" si="330"/>
        <v>322.72000000000003</v>
      </c>
      <c r="AG425" s="185">
        <f t="shared" si="348"/>
        <v>989037.5</v>
      </c>
      <c r="AH425" s="185">
        <f t="shared" si="349"/>
        <v>2810829.4999999991</v>
      </c>
      <c r="AI425" s="411">
        <f t="shared" si="312"/>
        <v>3221740.1900000102</v>
      </c>
      <c r="AJ425" s="411">
        <f t="shared" si="351"/>
        <v>0</v>
      </c>
      <c r="AK425" s="411">
        <f t="shared" si="313"/>
        <v>3221740.1900000102</v>
      </c>
      <c r="AL425" s="185">
        <f t="shared" si="319"/>
        <v>0</v>
      </c>
      <c r="AM425" s="317">
        <f t="shared" si="335"/>
        <v>34</v>
      </c>
      <c r="AN425" s="14">
        <f t="shared" si="314"/>
        <v>0</v>
      </c>
      <c r="AO425" s="14">
        <f t="shared" si="304"/>
        <v>0</v>
      </c>
      <c r="AP425" s="14">
        <f t="shared" si="315"/>
        <v>0</v>
      </c>
      <c r="AS425" s="14">
        <f t="shared" si="331"/>
        <v>0</v>
      </c>
      <c r="AT425" s="14">
        <f t="shared" si="336"/>
        <v>0</v>
      </c>
      <c r="AU425" s="185">
        <f t="shared" si="337"/>
        <v>0</v>
      </c>
      <c r="AV425" s="185">
        <f t="shared" si="338"/>
        <v>0</v>
      </c>
    </row>
    <row r="426" spans="1:48">
      <c r="A426" s="401" t="str">
        <f t="shared" si="339"/>
        <v xml:space="preserve"> </v>
      </c>
      <c r="B426" s="185">
        <f t="shared" si="307"/>
        <v>0</v>
      </c>
      <c r="C426" s="14">
        <f t="shared" si="323"/>
        <v>0</v>
      </c>
      <c r="D426" s="14">
        <f t="shared" si="340"/>
        <v>0</v>
      </c>
      <c r="E426" s="14">
        <f t="shared" si="324"/>
        <v>0</v>
      </c>
      <c r="F426" s="14">
        <f t="shared" si="350"/>
        <v>0</v>
      </c>
      <c r="G426" s="14">
        <f t="shared" si="350"/>
        <v>0</v>
      </c>
      <c r="H426" s="14">
        <f t="shared" si="309"/>
        <v>0</v>
      </c>
      <c r="I426" s="185">
        <f t="shared" si="341"/>
        <v>0</v>
      </c>
      <c r="J426" s="185">
        <f t="shared" si="342"/>
        <v>0</v>
      </c>
      <c r="K426" s="185">
        <f t="shared" si="343"/>
        <v>0</v>
      </c>
      <c r="L426" s="317">
        <f t="shared" si="305"/>
        <v>34</v>
      </c>
      <c r="M426" s="317">
        <f t="shared" si="332"/>
        <v>410</v>
      </c>
      <c r="N426" s="185">
        <f t="shared" si="333"/>
        <v>0</v>
      </c>
      <c r="O426" s="185">
        <f t="shared" si="316"/>
        <v>0</v>
      </c>
      <c r="P426" s="185">
        <f t="shared" si="344"/>
        <v>0</v>
      </c>
      <c r="Q426" s="185">
        <f t="shared" si="317"/>
        <v>0</v>
      </c>
      <c r="R426" s="185">
        <f t="shared" si="353"/>
        <v>134.16999999999999</v>
      </c>
      <c r="S426" s="185">
        <f t="shared" si="353"/>
        <v>188.55</v>
      </c>
      <c r="T426" s="185">
        <f t="shared" si="310"/>
        <v>322.72000000000003</v>
      </c>
      <c r="U426" s="185">
        <f t="shared" si="345"/>
        <v>1005371.31</v>
      </c>
      <c r="V426" s="185">
        <f t="shared" si="346"/>
        <v>6046189.700000003</v>
      </c>
      <c r="W426" s="185">
        <f t="shared" si="347"/>
        <v>0</v>
      </c>
      <c r="X426" s="401" t="str">
        <f t="shared" si="334"/>
        <v xml:space="preserve"> </v>
      </c>
      <c r="Y426" s="185">
        <f t="shared" si="318"/>
        <v>0</v>
      </c>
      <c r="Z426" s="393">
        <f t="shared" si="326"/>
        <v>0.13125000000000001</v>
      </c>
      <c r="AA426" s="185">
        <f t="shared" si="327"/>
        <v>0</v>
      </c>
      <c r="AB426" s="185">
        <f t="shared" si="328"/>
        <v>0</v>
      </c>
      <c r="AC426" s="185">
        <f t="shared" si="329"/>
        <v>0</v>
      </c>
      <c r="AD426" s="185">
        <f t="shared" si="352"/>
        <v>134.16999999999999</v>
      </c>
      <c r="AE426" s="185">
        <f t="shared" si="352"/>
        <v>188.55</v>
      </c>
      <c r="AF426" s="185">
        <f t="shared" si="330"/>
        <v>322.72000000000003</v>
      </c>
      <c r="AG426" s="185">
        <f t="shared" si="348"/>
        <v>989037.5</v>
      </c>
      <c r="AH426" s="185">
        <f t="shared" si="349"/>
        <v>2810829.4999999991</v>
      </c>
      <c r="AI426" s="411">
        <f t="shared" si="312"/>
        <v>3221740.1900000102</v>
      </c>
      <c r="AJ426" s="411">
        <f t="shared" si="351"/>
        <v>0</v>
      </c>
      <c r="AK426" s="411">
        <f t="shared" si="313"/>
        <v>3221740.1900000102</v>
      </c>
      <c r="AL426" s="185">
        <f t="shared" si="319"/>
        <v>0</v>
      </c>
      <c r="AM426" s="317">
        <f t="shared" si="335"/>
        <v>34</v>
      </c>
      <c r="AN426" s="14">
        <f t="shared" si="314"/>
        <v>0</v>
      </c>
      <c r="AO426" s="14">
        <f t="shared" si="304"/>
        <v>0</v>
      </c>
      <c r="AP426" s="14">
        <f t="shared" si="315"/>
        <v>0</v>
      </c>
      <c r="AS426" s="14">
        <f t="shared" si="331"/>
        <v>0</v>
      </c>
      <c r="AT426" s="14">
        <f t="shared" si="336"/>
        <v>0</v>
      </c>
      <c r="AU426" s="185">
        <f t="shared" si="337"/>
        <v>0</v>
      </c>
      <c r="AV426" s="185">
        <f t="shared" si="338"/>
        <v>0</v>
      </c>
    </row>
    <row r="427" spans="1:48">
      <c r="A427" s="401" t="str">
        <f t="shared" si="339"/>
        <v xml:space="preserve"> </v>
      </c>
      <c r="B427" s="185">
        <f t="shared" si="307"/>
        <v>0</v>
      </c>
      <c r="C427" s="14">
        <f t="shared" si="323"/>
        <v>0</v>
      </c>
      <c r="D427" s="14">
        <f t="shared" si="340"/>
        <v>0</v>
      </c>
      <c r="E427" s="14">
        <f t="shared" si="324"/>
        <v>0</v>
      </c>
      <c r="F427" s="14">
        <f t="shared" ref="F427:G442" si="354">+F426</f>
        <v>0</v>
      </c>
      <c r="G427" s="14">
        <f t="shared" si="354"/>
        <v>0</v>
      </c>
      <c r="H427" s="14">
        <f t="shared" si="309"/>
        <v>0</v>
      </c>
      <c r="I427" s="185">
        <f t="shared" si="341"/>
        <v>0</v>
      </c>
      <c r="J427" s="185">
        <f t="shared" si="342"/>
        <v>0</v>
      </c>
      <c r="K427" s="185">
        <f t="shared" si="343"/>
        <v>0</v>
      </c>
      <c r="L427" s="317">
        <f t="shared" si="305"/>
        <v>34</v>
      </c>
      <c r="M427" s="317">
        <f t="shared" si="332"/>
        <v>411</v>
      </c>
      <c r="N427" s="185">
        <f t="shared" si="333"/>
        <v>0</v>
      </c>
      <c r="O427" s="185">
        <f t="shared" si="316"/>
        <v>0</v>
      </c>
      <c r="P427" s="185">
        <f t="shared" si="344"/>
        <v>0</v>
      </c>
      <c r="Q427" s="185">
        <f t="shared" si="317"/>
        <v>0</v>
      </c>
      <c r="R427" s="185">
        <f t="shared" si="353"/>
        <v>134.16999999999999</v>
      </c>
      <c r="S427" s="185">
        <f t="shared" si="353"/>
        <v>188.55</v>
      </c>
      <c r="T427" s="185">
        <f t="shared" si="310"/>
        <v>322.72000000000003</v>
      </c>
      <c r="U427" s="185">
        <f t="shared" si="345"/>
        <v>1005371.31</v>
      </c>
      <c r="V427" s="185">
        <f t="shared" si="346"/>
        <v>6046189.700000003</v>
      </c>
      <c r="W427" s="185">
        <f t="shared" si="347"/>
        <v>0</v>
      </c>
      <c r="X427" s="401" t="str">
        <f t="shared" si="334"/>
        <v xml:space="preserve"> </v>
      </c>
      <c r="Y427" s="185">
        <f t="shared" si="318"/>
        <v>0</v>
      </c>
      <c r="Z427" s="393">
        <f t="shared" si="326"/>
        <v>0.13125000000000001</v>
      </c>
      <c r="AA427" s="185">
        <f t="shared" si="327"/>
        <v>0</v>
      </c>
      <c r="AB427" s="185">
        <f t="shared" si="328"/>
        <v>0</v>
      </c>
      <c r="AC427" s="185">
        <f t="shared" si="329"/>
        <v>0</v>
      </c>
      <c r="AD427" s="185">
        <f t="shared" si="352"/>
        <v>134.16999999999999</v>
      </c>
      <c r="AE427" s="185">
        <f t="shared" si="352"/>
        <v>188.55</v>
      </c>
      <c r="AF427" s="185">
        <f t="shared" si="330"/>
        <v>322.72000000000003</v>
      </c>
      <c r="AG427" s="185">
        <f t="shared" si="348"/>
        <v>989037.5</v>
      </c>
      <c r="AH427" s="185">
        <f t="shared" si="349"/>
        <v>2810829.4999999991</v>
      </c>
      <c r="AI427" s="411">
        <f t="shared" si="312"/>
        <v>3221740.1900000102</v>
      </c>
      <c r="AJ427" s="411">
        <f t="shared" si="351"/>
        <v>0</v>
      </c>
      <c r="AK427" s="411">
        <f t="shared" si="313"/>
        <v>3221740.1900000102</v>
      </c>
      <c r="AL427" s="185">
        <f t="shared" si="319"/>
        <v>0</v>
      </c>
      <c r="AM427" s="317">
        <f t="shared" si="335"/>
        <v>34</v>
      </c>
      <c r="AN427" s="14">
        <f t="shared" si="314"/>
        <v>0</v>
      </c>
      <c r="AO427" s="14">
        <f t="shared" si="304"/>
        <v>0</v>
      </c>
      <c r="AP427" s="14">
        <f t="shared" si="315"/>
        <v>0</v>
      </c>
      <c r="AS427" s="14">
        <f t="shared" si="331"/>
        <v>0</v>
      </c>
      <c r="AT427" s="14">
        <f t="shared" si="336"/>
        <v>0</v>
      </c>
      <c r="AU427" s="185">
        <f t="shared" si="337"/>
        <v>0</v>
      </c>
      <c r="AV427" s="185">
        <f t="shared" si="338"/>
        <v>0</v>
      </c>
    </row>
    <row r="428" spans="1:48">
      <c r="A428" s="401" t="str">
        <f t="shared" si="339"/>
        <v xml:space="preserve"> </v>
      </c>
      <c r="B428" s="185">
        <f t="shared" si="307"/>
        <v>0</v>
      </c>
      <c r="C428" s="14">
        <f t="shared" si="323"/>
        <v>0</v>
      </c>
      <c r="D428" s="14">
        <f t="shared" si="340"/>
        <v>0</v>
      </c>
      <c r="E428" s="14">
        <f t="shared" si="324"/>
        <v>0</v>
      </c>
      <c r="F428" s="14">
        <f t="shared" si="354"/>
        <v>0</v>
      </c>
      <c r="G428" s="14">
        <f t="shared" si="354"/>
        <v>0</v>
      </c>
      <c r="H428" s="14">
        <f t="shared" si="309"/>
        <v>0</v>
      </c>
      <c r="I428" s="185">
        <f t="shared" si="341"/>
        <v>0</v>
      </c>
      <c r="J428" s="185">
        <f t="shared" si="342"/>
        <v>0</v>
      </c>
      <c r="K428" s="185">
        <f t="shared" si="343"/>
        <v>0</v>
      </c>
      <c r="L428" s="317">
        <f t="shared" si="305"/>
        <v>34</v>
      </c>
      <c r="M428" s="317">
        <f t="shared" si="332"/>
        <v>412</v>
      </c>
      <c r="N428" s="185">
        <f t="shared" si="333"/>
        <v>0</v>
      </c>
      <c r="O428" s="185">
        <f t="shared" si="316"/>
        <v>0</v>
      </c>
      <c r="P428" s="185">
        <f t="shared" si="344"/>
        <v>0</v>
      </c>
      <c r="Q428" s="185">
        <f t="shared" si="317"/>
        <v>0</v>
      </c>
      <c r="R428" s="185">
        <f t="shared" si="353"/>
        <v>134.16999999999999</v>
      </c>
      <c r="S428" s="185">
        <f t="shared" si="353"/>
        <v>188.55</v>
      </c>
      <c r="T428" s="185">
        <f t="shared" si="310"/>
        <v>322.72000000000003</v>
      </c>
      <c r="U428" s="185">
        <f t="shared" si="345"/>
        <v>1005371.31</v>
      </c>
      <c r="V428" s="185">
        <f t="shared" si="346"/>
        <v>6046189.700000003</v>
      </c>
      <c r="W428" s="185">
        <f t="shared" si="347"/>
        <v>0</v>
      </c>
      <c r="X428" s="401" t="str">
        <f t="shared" si="334"/>
        <v xml:space="preserve"> </v>
      </c>
      <c r="Y428" s="185">
        <f t="shared" si="318"/>
        <v>0</v>
      </c>
      <c r="Z428" s="393">
        <f t="shared" si="326"/>
        <v>0.13125000000000001</v>
      </c>
      <c r="AA428" s="185">
        <f t="shared" si="327"/>
        <v>0</v>
      </c>
      <c r="AB428" s="185">
        <f t="shared" si="328"/>
        <v>0</v>
      </c>
      <c r="AC428" s="185">
        <f t="shared" si="329"/>
        <v>0</v>
      </c>
      <c r="AD428" s="185">
        <f t="shared" si="352"/>
        <v>134.16999999999999</v>
      </c>
      <c r="AE428" s="185">
        <f t="shared" si="352"/>
        <v>188.55</v>
      </c>
      <c r="AF428" s="185">
        <f t="shared" si="330"/>
        <v>322.72000000000003</v>
      </c>
      <c r="AG428" s="185">
        <f t="shared" si="348"/>
        <v>989037.5</v>
      </c>
      <c r="AH428" s="185">
        <f t="shared" si="349"/>
        <v>2810829.4999999991</v>
      </c>
      <c r="AI428" s="411">
        <f t="shared" si="312"/>
        <v>3221740.1900000102</v>
      </c>
      <c r="AJ428" s="411">
        <f t="shared" si="351"/>
        <v>0</v>
      </c>
      <c r="AK428" s="411">
        <f t="shared" si="313"/>
        <v>3221740.1900000102</v>
      </c>
      <c r="AL428" s="185">
        <f t="shared" si="319"/>
        <v>0</v>
      </c>
      <c r="AM428" s="317">
        <f t="shared" si="335"/>
        <v>34</v>
      </c>
      <c r="AN428" s="14">
        <f t="shared" si="314"/>
        <v>0</v>
      </c>
      <c r="AO428" s="14">
        <f t="shared" si="304"/>
        <v>0</v>
      </c>
      <c r="AP428" s="14">
        <f t="shared" si="315"/>
        <v>0</v>
      </c>
      <c r="AS428" s="14">
        <f t="shared" si="331"/>
        <v>0</v>
      </c>
      <c r="AT428" s="14">
        <f t="shared" si="336"/>
        <v>0</v>
      </c>
      <c r="AU428" s="185">
        <f t="shared" si="337"/>
        <v>0</v>
      </c>
      <c r="AV428" s="185">
        <f t="shared" si="338"/>
        <v>0</v>
      </c>
    </row>
    <row r="429" spans="1:48">
      <c r="A429" s="401" t="str">
        <f t="shared" si="339"/>
        <v xml:space="preserve"> </v>
      </c>
      <c r="B429" s="185">
        <f t="shared" si="307"/>
        <v>0</v>
      </c>
      <c r="C429" s="14">
        <f t="shared" si="323"/>
        <v>0</v>
      </c>
      <c r="D429" s="14">
        <f t="shared" si="340"/>
        <v>0</v>
      </c>
      <c r="E429" s="14">
        <f t="shared" si="324"/>
        <v>0</v>
      </c>
      <c r="F429" s="14">
        <f t="shared" si="354"/>
        <v>0</v>
      </c>
      <c r="G429" s="14">
        <f t="shared" si="354"/>
        <v>0</v>
      </c>
      <c r="H429" s="14">
        <f t="shared" si="309"/>
        <v>0</v>
      </c>
      <c r="I429" s="185">
        <f t="shared" si="341"/>
        <v>0</v>
      </c>
      <c r="J429" s="185">
        <f t="shared" si="342"/>
        <v>0</v>
      </c>
      <c r="K429" s="185">
        <f t="shared" si="343"/>
        <v>0</v>
      </c>
      <c r="L429" s="317">
        <f t="shared" si="305"/>
        <v>34</v>
      </c>
      <c r="M429" s="317">
        <f t="shared" si="332"/>
        <v>413</v>
      </c>
      <c r="N429" s="185">
        <f t="shared" si="333"/>
        <v>0</v>
      </c>
      <c r="O429" s="185">
        <f t="shared" si="316"/>
        <v>0</v>
      </c>
      <c r="P429" s="185">
        <f t="shared" si="344"/>
        <v>0</v>
      </c>
      <c r="Q429" s="185">
        <f t="shared" si="317"/>
        <v>0</v>
      </c>
      <c r="R429" s="185">
        <f t="shared" si="353"/>
        <v>134.16999999999999</v>
      </c>
      <c r="S429" s="185">
        <f t="shared" si="353"/>
        <v>188.55</v>
      </c>
      <c r="T429" s="185">
        <f t="shared" si="310"/>
        <v>322.72000000000003</v>
      </c>
      <c r="U429" s="185">
        <f t="shared" si="345"/>
        <v>1005371.31</v>
      </c>
      <c r="V429" s="185">
        <f t="shared" si="346"/>
        <v>6046189.700000003</v>
      </c>
      <c r="W429" s="185">
        <f t="shared" si="347"/>
        <v>0</v>
      </c>
      <c r="X429" s="401" t="str">
        <f t="shared" si="334"/>
        <v xml:space="preserve"> </v>
      </c>
      <c r="Y429" s="185">
        <f t="shared" si="318"/>
        <v>0</v>
      </c>
      <c r="Z429" s="393">
        <f t="shared" si="326"/>
        <v>0.13125000000000001</v>
      </c>
      <c r="AA429" s="185">
        <f t="shared" si="327"/>
        <v>0</v>
      </c>
      <c r="AB429" s="185">
        <f t="shared" si="328"/>
        <v>0</v>
      </c>
      <c r="AC429" s="185">
        <f t="shared" si="329"/>
        <v>0</v>
      </c>
      <c r="AD429" s="185">
        <f t="shared" ref="AD429:AE444" si="355">+AD428</f>
        <v>134.16999999999999</v>
      </c>
      <c r="AE429" s="185">
        <f t="shared" si="355"/>
        <v>188.55</v>
      </c>
      <c r="AF429" s="185">
        <f t="shared" si="330"/>
        <v>322.72000000000003</v>
      </c>
      <c r="AG429" s="185">
        <f t="shared" si="348"/>
        <v>989037.5</v>
      </c>
      <c r="AH429" s="185">
        <f t="shared" si="349"/>
        <v>2810829.4999999991</v>
      </c>
      <c r="AI429" s="411">
        <f t="shared" si="312"/>
        <v>3221740.1900000102</v>
      </c>
      <c r="AJ429" s="411">
        <f t="shared" si="351"/>
        <v>0</v>
      </c>
      <c r="AK429" s="411">
        <f t="shared" si="313"/>
        <v>3221740.1900000102</v>
      </c>
      <c r="AL429" s="185">
        <f t="shared" si="319"/>
        <v>0</v>
      </c>
      <c r="AM429" s="317">
        <f t="shared" si="335"/>
        <v>34</v>
      </c>
      <c r="AN429" s="14">
        <f t="shared" si="314"/>
        <v>0</v>
      </c>
      <c r="AO429" s="14">
        <f t="shared" si="304"/>
        <v>0</v>
      </c>
      <c r="AP429" s="14">
        <f t="shared" si="315"/>
        <v>0</v>
      </c>
      <c r="AS429" s="14">
        <f t="shared" si="331"/>
        <v>0</v>
      </c>
      <c r="AT429" s="14">
        <f t="shared" si="336"/>
        <v>0</v>
      </c>
      <c r="AU429" s="185">
        <f t="shared" si="337"/>
        <v>0</v>
      </c>
      <c r="AV429" s="185">
        <f t="shared" si="338"/>
        <v>0</v>
      </c>
    </row>
    <row r="430" spans="1:48">
      <c r="A430" s="401" t="str">
        <f t="shared" si="339"/>
        <v xml:space="preserve"> </v>
      </c>
      <c r="B430" s="185">
        <f t="shared" si="307"/>
        <v>0</v>
      </c>
      <c r="C430" s="14">
        <f t="shared" si="323"/>
        <v>0</v>
      </c>
      <c r="D430" s="14">
        <f t="shared" si="340"/>
        <v>0</v>
      </c>
      <c r="E430" s="14">
        <f t="shared" si="324"/>
        <v>0</v>
      </c>
      <c r="F430" s="14">
        <f t="shared" si="354"/>
        <v>0</v>
      </c>
      <c r="G430" s="14">
        <f t="shared" si="354"/>
        <v>0</v>
      </c>
      <c r="H430" s="14">
        <f t="shared" si="309"/>
        <v>0</v>
      </c>
      <c r="I430" s="185">
        <f t="shared" si="341"/>
        <v>0</v>
      </c>
      <c r="J430" s="185">
        <f t="shared" si="342"/>
        <v>0</v>
      </c>
      <c r="K430" s="185">
        <f t="shared" si="343"/>
        <v>0</v>
      </c>
      <c r="L430" s="317">
        <f t="shared" si="305"/>
        <v>34</v>
      </c>
      <c r="M430" s="317">
        <f t="shared" si="332"/>
        <v>414</v>
      </c>
      <c r="N430" s="185">
        <f t="shared" si="333"/>
        <v>0</v>
      </c>
      <c r="O430" s="185">
        <f t="shared" si="316"/>
        <v>0</v>
      </c>
      <c r="P430" s="185">
        <f t="shared" si="344"/>
        <v>0</v>
      </c>
      <c r="Q430" s="185">
        <f t="shared" si="317"/>
        <v>0</v>
      </c>
      <c r="R430" s="185">
        <f t="shared" si="353"/>
        <v>134.16999999999999</v>
      </c>
      <c r="S430" s="185">
        <f t="shared" si="353"/>
        <v>188.55</v>
      </c>
      <c r="T430" s="185">
        <f t="shared" si="310"/>
        <v>322.72000000000003</v>
      </c>
      <c r="U430" s="185">
        <f t="shared" si="345"/>
        <v>1005371.31</v>
      </c>
      <c r="V430" s="185">
        <f t="shared" si="346"/>
        <v>6046189.700000003</v>
      </c>
      <c r="W430" s="185">
        <f t="shared" si="347"/>
        <v>0</v>
      </c>
      <c r="X430" s="401" t="str">
        <f t="shared" si="334"/>
        <v xml:space="preserve"> </v>
      </c>
      <c r="Y430" s="185">
        <f t="shared" si="318"/>
        <v>0</v>
      </c>
      <c r="Z430" s="393">
        <f t="shared" si="326"/>
        <v>0.13125000000000001</v>
      </c>
      <c r="AA430" s="185">
        <f t="shared" si="327"/>
        <v>0</v>
      </c>
      <c r="AB430" s="185">
        <f t="shared" si="328"/>
        <v>0</v>
      </c>
      <c r="AC430" s="185">
        <f t="shared" si="329"/>
        <v>0</v>
      </c>
      <c r="AD430" s="185">
        <f t="shared" si="355"/>
        <v>134.16999999999999</v>
      </c>
      <c r="AE430" s="185">
        <f t="shared" si="355"/>
        <v>188.55</v>
      </c>
      <c r="AF430" s="185">
        <f t="shared" si="330"/>
        <v>322.72000000000003</v>
      </c>
      <c r="AG430" s="185">
        <f t="shared" si="348"/>
        <v>989037.5</v>
      </c>
      <c r="AH430" s="185">
        <f t="shared" si="349"/>
        <v>2810829.4999999991</v>
      </c>
      <c r="AI430" s="411">
        <f t="shared" si="312"/>
        <v>3221740.1900000102</v>
      </c>
      <c r="AJ430" s="411">
        <f t="shared" si="351"/>
        <v>0</v>
      </c>
      <c r="AK430" s="411">
        <f t="shared" si="313"/>
        <v>3221740.1900000102</v>
      </c>
      <c r="AL430" s="185">
        <f t="shared" si="319"/>
        <v>0</v>
      </c>
      <c r="AM430" s="317">
        <f t="shared" si="335"/>
        <v>34</v>
      </c>
      <c r="AN430" s="14">
        <f t="shared" si="314"/>
        <v>0</v>
      </c>
      <c r="AO430" s="14">
        <f t="shared" ref="AO430:AO491" si="356">IF(W430&lt;=0,0,+$AA$6-$C$2+I430-U430)</f>
        <v>0</v>
      </c>
      <c r="AP430" s="14">
        <f t="shared" si="315"/>
        <v>0</v>
      </c>
      <c r="AS430" s="14">
        <f t="shared" si="331"/>
        <v>0</v>
      </c>
      <c r="AT430" s="14">
        <f t="shared" si="336"/>
        <v>0</v>
      </c>
      <c r="AU430" s="185">
        <f t="shared" si="337"/>
        <v>0</v>
      </c>
      <c r="AV430" s="185">
        <f t="shared" si="338"/>
        <v>0</v>
      </c>
    </row>
    <row r="431" spans="1:48">
      <c r="A431" s="401" t="str">
        <f t="shared" si="339"/>
        <v xml:space="preserve"> </v>
      </c>
      <c r="B431" s="185">
        <f t="shared" si="307"/>
        <v>0</v>
      </c>
      <c r="C431" s="14">
        <f t="shared" si="323"/>
        <v>0</v>
      </c>
      <c r="D431" s="14">
        <f t="shared" si="340"/>
        <v>0</v>
      </c>
      <c r="E431" s="14">
        <f t="shared" si="324"/>
        <v>0</v>
      </c>
      <c r="F431" s="14">
        <f t="shared" si="354"/>
        <v>0</v>
      </c>
      <c r="G431" s="14">
        <f t="shared" si="354"/>
        <v>0</v>
      </c>
      <c r="H431" s="14">
        <f t="shared" si="309"/>
        <v>0</v>
      </c>
      <c r="I431" s="185">
        <f t="shared" si="341"/>
        <v>0</v>
      </c>
      <c r="J431" s="185">
        <f t="shared" si="342"/>
        <v>0</v>
      </c>
      <c r="K431" s="185">
        <f t="shared" si="343"/>
        <v>0</v>
      </c>
      <c r="L431" s="317">
        <f t="shared" si="305"/>
        <v>34</v>
      </c>
      <c r="M431" s="317">
        <f t="shared" si="332"/>
        <v>415</v>
      </c>
      <c r="N431" s="185">
        <f t="shared" si="333"/>
        <v>0</v>
      </c>
      <c r="O431" s="185">
        <f t="shared" si="316"/>
        <v>0</v>
      </c>
      <c r="P431" s="185">
        <f t="shared" si="344"/>
        <v>0</v>
      </c>
      <c r="Q431" s="185">
        <f t="shared" si="317"/>
        <v>0</v>
      </c>
      <c r="R431" s="185">
        <f t="shared" si="353"/>
        <v>134.16999999999999</v>
      </c>
      <c r="S431" s="185">
        <f t="shared" si="353"/>
        <v>188.55</v>
      </c>
      <c r="T431" s="185">
        <f t="shared" si="310"/>
        <v>322.72000000000003</v>
      </c>
      <c r="U431" s="185">
        <f t="shared" si="345"/>
        <v>1005371.31</v>
      </c>
      <c r="V431" s="185">
        <f t="shared" si="346"/>
        <v>6046189.700000003</v>
      </c>
      <c r="W431" s="185">
        <f t="shared" si="347"/>
        <v>0</v>
      </c>
      <c r="X431" s="401" t="str">
        <f t="shared" si="334"/>
        <v xml:space="preserve"> </v>
      </c>
      <c r="Y431" s="185">
        <f t="shared" si="318"/>
        <v>0</v>
      </c>
      <c r="Z431" s="393">
        <f t="shared" si="326"/>
        <v>0.13125000000000001</v>
      </c>
      <c r="AA431" s="185">
        <f t="shared" si="327"/>
        <v>0</v>
      </c>
      <c r="AB431" s="185">
        <f t="shared" si="328"/>
        <v>0</v>
      </c>
      <c r="AC431" s="185">
        <f t="shared" si="329"/>
        <v>0</v>
      </c>
      <c r="AD431" s="185">
        <f t="shared" si="355"/>
        <v>134.16999999999999</v>
      </c>
      <c r="AE431" s="185">
        <f t="shared" si="355"/>
        <v>188.55</v>
      </c>
      <c r="AF431" s="185">
        <f t="shared" si="330"/>
        <v>322.72000000000003</v>
      </c>
      <c r="AG431" s="185">
        <f t="shared" si="348"/>
        <v>989037.5</v>
      </c>
      <c r="AH431" s="185">
        <f t="shared" si="349"/>
        <v>2810829.4999999991</v>
      </c>
      <c r="AI431" s="411">
        <f t="shared" si="312"/>
        <v>3221740.1900000102</v>
      </c>
      <c r="AJ431" s="411">
        <f t="shared" si="351"/>
        <v>0</v>
      </c>
      <c r="AK431" s="411">
        <f t="shared" si="313"/>
        <v>3221740.1900000102</v>
      </c>
      <c r="AL431" s="185">
        <f t="shared" si="319"/>
        <v>0</v>
      </c>
      <c r="AM431" s="317">
        <f t="shared" si="335"/>
        <v>34</v>
      </c>
      <c r="AN431" s="14">
        <f t="shared" si="314"/>
        <v>0</v>
      </c>
      <c r="AO431" s="14">
        <f t="shared" si="356"/>
        <v>0</v>
      </c>
      <c r="AP431" s="14">
        <f t="shared" si="315"/>
        <v>0</v>
      </c>
      <c r="AS431" s="14">
        <f t="shared" si="331"/>
        <v>0</v>
      </c>
      <c r="AT431" s="14">
        <f t="shared" si="336"/>
        <v>0</v>
      </c>
      <c r="AU431" s="185">
        <f t="shared" si="337"/>
        <v>0</v>
      </c>
      <c r="AV431" s="185">
        <f t="shared" si="338"/>
        <v>0</v>
      </c>
    </row>
    <row r="432" spans="1:48">
      <c r="A432" s="401" t="str">
        <f t="shared" si="339"/>
        <v xml:space="preserve"> </v>
      </c>
      <c r="B432" s="185">
        <f t="shared" si="307"/>
        <v>0</v>
      </c>
      <c r="C432" s="14">
        <f t="shared" si="323"/>
        <v>0</v>
      </c>
      <c r="D432" s="14">
        <f t="shared" si="340"/>
        <v>0</v>
      </c>
      <c r="E432" s="14">
        <f t="shared" si="324"/>
        <v>0</v>
      </c>
      <c r="F432" s="14">
        <f t="shared" si="354"/>
        <v>0</v>
      </c>
      <c r="G432" s="14">
        <f t="shared" si="354"/>
        <v>0</v>
      </c>
      <c r="H432" s="14">
        <f t="shared" si="309"/>
        <v>0</v>
      </c>
      <c r="I432" s="185">
        <f t="shared" si="341"/>
        <v>0</v>
      </c>
      <c r="J432" s="185">
        <f t="shared" si="342"/>
        <v>0</v>
      </c>
      <c r="K432" s="185">
        <f t="shared" si="343"/>
        <v>0</v>
      </c>
      <c r="L432" s="317">
        <f t="shared" ref="L432:L495" si="357">IF(MOD(M432,12)=0,M432/12,L431)</f>
        <v>34</v>
      </c>
      <c r="M432" s="317">
        <f t="shared" si="332"/>
        <v>416</v>
      </c>
      <c r="N432" s="185">
        <f t="shared" si="333"/>
        <v>0</v>
      </c>
      <c r="O432" s="185">
        <f t="shared" si="316"/>
        <v>0</v>
      </c>
      <c r="P432" s="185">
        <f t="shared" si="344"/>
        <v>0</v>
      </c>
      <c r="Q432" s="185">
        <f t="shared" si="317"/>
        <v>0</v>
      </c>
      <c r="R432" s="185">
        <f t="shared" ref="R432:S447" si="358">+R431</f>
        <v>134.16999999999999</v>
      </c>
      <c r="S432" s="185">
        <f t="shared" si="358"/>
        <v>188.55</v>
      </c>
      <c r="T432" s="185">
        <f t="shared" si="310"/>
        <v>322.72000000000003</v>
      </c>
      <c r="U432" s="185">
        <f t="shared" si="345"/>
        <v>1005371.31</v>
      </c>
      <c r="V432" s="185">
        <f t="shared" si="346"/>
        <v>6046189.700000003</v>
      </c>
      <c r="W432" s="185">
        <f t="shared" si="347"/>
        <v>0</v>
      </c>
      <c r="X432" s="401" t="str">
        <f t="shared" si="334"/>
        <v xml:space="preserve"> </v>
      </c>
      <c r="Y432" s="185">
        <f t="shared" si="318"/>
        <v>0</v>
      </c>
      <c r="Z432" s="393">
        <f t="shared" si="326"/>
        <v>0.13125000000000001</v>
      </c>
      <c r="AA432" s="185">
        <f t="shared" si="327"/>
        <v>0</v>
      </c>
      <c r="AB432" s="185">
        <f t="shared" si="328"/>
        <v>0</v>
      </c>
      <c r="AC432" s="185">
        <f t="shared" si="329"/>
        <v>0</v>
      </c>
      <c r="AD432" s="185">
        <f t="shared" si="355"/>
        <v>134.16999999999999</v>
      </c>
      <c r="AE432" s="185">
        <f t="shared" si="355"/>
        <v>188.55</v>
      </c>
      <c r="AF432" s="185">
        <f t="shared" si="330"/>
        <v>322.72000000000003</v>
      </c>
      <c r="AG432" s="185">
        <f t="shared" si="348"/>
        <v>989037.5</v>
      </c>
      <c r="AH432" s="185">
        <f t="shared" si="349"/>
        <v>2810829.4999999991</v>
      </c>
      <c r="AI432" s="411">
        <f t="shared" si="312"/>
        <v>3221740.1900000102</v>
      </c>
      <c r="AJ432" s="411">
        <f t="shared" si="351"/>
        <v>0</v>
      </c>
      <c r="AK432" s="411">
        <f t="shared" si="313"/>
        <v>3221740.1900000102</v>
      </c>
      <c r="AL432" s="185">
        <f t="shared" si="319"/>
        <v>0</v>
      </c>
      <c r="AM432" s="317">
        <f t="shared" si="335"/>
        <v>34</v>
      </c>
      <c r="AN432" s="14">
        <f t="shared" si="314"/>
        <v>0</v>
      </c>
      <c r="AO432" s="14">
        <f t="shared" si="356"/>
        <v>0</v>
      </c>
      <c r="AP432" s="14">
        <f t="shared" si="315"/>
        <v>0</v>
      </c>
      <c r="AS432" s="14">
        <f t="shared" si="331"/>
        <v>0</v>
      </c>
      <c r="AT432" s="14">
        <f t="shared" si="336"/>
        <v>0</v>
      </c>
      <c r="AU432" s="185">
        <f t="shared" si="337"/>
        <v>0</v>
      </c>
      <c r="AV432" s="185">
        <f t="shared" si="338"/>
        <v>0</v>
      </c>
    </row>
    <row r="433" spans="1:48">
      <c r="A433" s="401" t="str">
        <f t="shared" si="339"/>
        <v xml:space="preserve"> </v>
      </c>
      <c r="B433" s="185">
        <f t="shared" si="307"/>
        <v>0</v>
      </c>
      <c r="C433" s="14">
        <f t="shared" si="323"/>
        <v>0</v>
      </c>
      <c r="D433" s="14">
        <f t="shared" si="340"/>
        <v>0</v>
      </c>
      <c r="E433" s="14">
        <f t="shared" si="324"/>
        <v>0</v>
      </c>
      <c r="F433" s="14">
        <f t="shared" si="354"/>
        <v>0</v>
      </c>
      <c r="G433" s="14">
        <f t="shared" si="354"/>
        <v>0</v>
      </c>
      <c r="H433" s="14">
        <f t="shared" si="309"/>
        <v>0</v>
      </c>
      <c r="I433" s="185">
        <f t="shared" si="341"/>
        <v>0</v>
      </c>
      <c r="J433" s="185">
        <f t="shared" si="342"/>
        <v>0</v>
      </c>
      <c r="K433" s="185">
        <f t="shared" si="343"/>
        <v>0</v>
      </c>
      <c r="L433" s="317">
        <f t="shared" si="357"/>
        <v>34</v>
      </c>
      <c r="M433" s="317">
        <f t="shared" si="332"/>
        <v>417</v>
      </c>
      <c r="N433" s="185">
        <f t="shared" si="333"/>
        <v>0</v>
      </c>
      <c r="O433" s="185">
        <f t="shared" si="316"/>
        <v>0</v>
      </c>
      <c r="P433" s="185">
        <f t="shared" si="344"/>
        <v>0</v>
      </c>
      <c r="Q433" s="185">
        <f t="shared" si="317"/>
        <v>0</v>
      </c>
      <c r="R433" s="185">
        <f t="shared" si="358"/>
        <v>134.16999999999999</v>
      </c>
      <c r="S433" s="185">
        <f t="shared" si="358"/>
        <v>188.55</v>
      </c>
      <c r="T433" s="185">
        <f t="shared" si="310"/>
        <v>322.72000000000003</v>
      </c>
      <c r="U433" s="185">
        <f t="shared" si="345"/>
        <v>1005371.31</v>
      </c>
      <c r="V433" s="185">
        <f t="shared" si="346"/>
        <v>6046189.700000003</v>
      </c>
      <c r="W433" s="185">
        <f t="shared" si="347"/>
        <v>0</v>
      </c>
      <c r="X433" s="401" t="str">
        <f t="shared" si="334"/>
        <v xml:space="preserve"> </v>
      </c>
      <c r="Y433" s="185">
        <f t="shared" si="318"/>
        <v>0</v>
      </c>
      <c r="Z433" s="393">
        <f t="shared" si="326"/>
        <v>0.13125000000000001</v>
      </c>
      <c r="AA433" s="185">
        <f t="shared" si="327"/>
        <v>0</v>
      </c>
      <c r="AB433" s="185">
        <f t="shared" si="328"/>
        <v>0</v>
      </c>
      <c r="AC433" s="185">
        <f t="shared" si="329"/>
        <v>0</v>
      </c>
      <c r="AD433" s="185">
        <f t="shared" si="355"/>
        <v>134.16999999999999</v>
      </c>
      <c r="AE433" s="185">
        <f t="shared" si="355"/>
        <v>188.55</v>
      </c>
      <c r="AF433" s="185">
        <f t="shared" si="330"/>
        <v>322.72000000000003</v>
      </c>
      <c r="AG433" s="185">
        <f t="shared" si="348"/>
        <v>989037.5</v>
      </c>
      <c r="AH433" s="185">
        <f t="shared" si="349"/>
        <v>2810829.4999999991</v>
      </c>
      <c r="AI433" s="411">
        <f t="shared" si="312"/>
        <v>3221740.1900000102</v>
      </c>
      <c r="AJ433" s="411">
        <f t="shared" si="351"/>
        <v>0</v>
      </c>
      <c r="AK433" s="411">
        <f t="shared" si="313"/>
        <v>3221740.1900000102</v>
      </c>
      <c r="AL433" s="185">
        <f t="shared" si="319"/>
        <v>0</v>
      </c>
      <c r="AM433" s="317">
        <f t="shared" si="335"/>
        <v>34</v>
      </c>
      <c r="AN433" s="14">
        <f t="shared" si="314"/>
        <v>0</v>
      </c>
      <c r="AO433" s="14">
        <f t="shared" si="356"/>
        <v>0</v>
      </c>
      <c r="AP433" s="14">
        <f t="shared" si="315"/>
        <v>0</v>
      </c>
      <c r="AS433" s="14">
        <f t="shared" si="331"/>
        <v>0</v>
      </c>
      <c r="AT433" s="14">
        <f t="shared" si="336"/>
        <v>0</v>
      </c>
      <c r="AU433" s="185">
        <f t="shared" si="337"/>
        <v>0</v>
      </c>
      <c r="AV433" s="185">
        <f t="shared" si="338"/>
        <v>0</v>
      </c>
    </row>
    <row r="434" spans="1:48">
      <c r="A434" s="401" t="str">
        <f t="shared" si="339"/>
        <v xml:space="preserve"> </v>
      </c>
      <c r="B434" s="185">
        <f t="shared" si="307"/>
        <v>0</v>
      </c>
      <c r="C434" s="14">
        <f t="shared" si="323"/>
        <v>0</v>
      </c>
      <c r="D434" s="14">
        <f t="shared" si="340"/>
        <v>0</v>
      </c>
      <c r="E434" s="14">
        <f t="shared" si="324"/>
        <v>0</v>
      </c>
      <c r="F434" s="14">
        <f t="shared" si="354"/>
        <v>0</v>
      </c>
      <c r="G434" s="14">
        <f t="shared" si="354"/>
        <v>0</v>
      </c>
      <c r="H434" s="14">
        <f t="shared" si="309"/>
        <v>0</v>
      </c>
      <c r="I434" s="185">
        <f t="shared" si="341"/>
        <v>0</v>
      </c>
      <c r="J434" s="185">
        <f t="shared" si="342"/>
        <v>0</v>
      </c>
      <c r="K434" s="185">
        <f t="shared" si="343"/>
        <v>0</v>
      </c>
      <c r="L434" s="317">
        <f t="shared" si="357"/>
        <v>34</v>
      </c>
      <c r="M434" s="317">
        <f t="shared" si="332"/>
        <v>418</v>
      </c>
      <c r="N434" s="185">
        <f t="shared" si="333"/>
        <v>0</v>
      </c>
      <c r="O434" s="185">
        <f t="shared" si="316"/>
        <v>0</v>
      </c>
      <c r="P434" s="185">
        <f t="shared" si="344"/>
        <v>0</v>
      </c>
      <c r="Q434" s="185">
        <f t="shared" si="317"/>
        <v>0</v>
      </c>
      <c r="R434" s="185">
        <f t="shared" si="358"/>
        <v>134.16999999999999</v>
      </c>
      <c r="S434" s="185">
        <f t="shared" si="358"/>
        <v>188.55</v>
      </c>
      <c r="T434" s="185">
        <f t="shared" si="310"/>
        <v>322.72000000000003</v>
      </c>
      <c r="U434" s="185">
        <f t="shared" si="345"/>
        <v>1005371.31</v>
      </c>
      <c r="V434" s="185">
        <f t="shared" si="346"/>
        <v>6046189.700000003</v>
      </c>
      <c r="W434" s="185">
        <f t="shared" si="347"/>
        <v>0</v>
      </c>
      <c r="X434" s="401" t="str">
        <f t="shared" si="334"/>
        <v xml:space="preserve"> </v>
      </c>
      <c r="Y434" s="185">
        <f t="shared" si="318"/>
        <v>0</v>
      </c>
      <c r="Z434" s="393">
        <f t="shared" si="326"/>
        <v>0.13125000000000001</v>
      </c>
      <c r="AA434" s="185">
        <f t="shared" si="327"/>
        <v>0</v>
      </c>
      <c r="AB434" s="185">
        <f t="shared" si="328"/>
        <v>0</v>
      </c>
      <c r="AC434" s="185">
        <f t="shared" si="329"/>
        <v>0</v>
      </c>
      <c r="AD434" s="185">
        <f t="shared" si="355"/>
        <v>134.16999999999999</v>
      </c>
      <c r="AE434" s="185">
        <f t="shared" si="355"/>
        <v>188.55</v>
      </c>
      <c r="AF434" s="185">
        <f t="shared" si="330"/>
        <v>322.72000000000003</v>
      </c>
      <c r="AG434" s="185">
        <f t="shared" si="348"/>
        <v>989037.5</v>
      </c>
      <c r="AH434" s="185">
        <f t="shared" si="349"/>
        <v>2810829.4999999991</v>
      </c>
      <c r="AI434" s="411">
        <f t="shared" si="312"/>
        <v>3221740.1900000102</v>
      </c>
      <c r="AJ434" s="411">
        <f t="shared" si="351"/>
        <v>0</v>
      </c>
      <c r="AK434" s="411">
        <f t="shared" si="313"/>
        <v>3221740.1900000102</v>
      </c>
      <c r="AL434" s="185">
        <f t="shared" si="319"/>
        <v>0</v>
      </c>
      <c r="AM434" s="317">
        <f t="shared" si="335"/>
        <v>34</v>
      </c>
      <c r="AN434" s="14">
        <f t="shared" si="314"/>
        <v>0</v>
      </c>
      <c r="AO434" s="14">
        <f t="shared" si="356"/>
        <v>0</v>
      </c>
      <c r="AP434" s="14">
        <f t="shared" si="315"/>
        <v>0</v>
      </c>
      <c r="AS434" s="14">
        <f t="shared" si="331"/>
        <v>0</v>
      </c>
      <c r="AT434" s="14">
        <f t="shared" si="336"/>
        <v>0</v>
      </c>
      <c r="AU434" s="185">
        <f t="shared" si="337"/>
        <v>0</v>
      </c>
      <c r="AV434" s="185">
        <f t="shared" si="338"/>
        <v>0</v>
      </c>
    </row>
    <row r="435" spans="1:48" ht="15.75" thickBot="1">
      <c r="A435" s="404" t="str">
        <f t="shared" si="339"/>
        <v xml:space="preserve"> </v>
      </c>
      <c r="B435" s="237">
        <f t="shared" si="307"/>
        <v>0</v>
      </c>
      <c r="C435" s="21">
        <f t="shared" si="323"/>
        <v>0</v>
      </c>
      <c r="D435" s="21">
        <f t="shared" si="340"/>
        <v>0</v>
      </c>
      <c r="E435" s="21">
        <f t="shared" si="324"/>
        <v>0</v>
      </c>
      <c r="F435" s="21">
        <f t="shared" si="354"/>
        <v>0</v>
      </c>
      <c r="G435" s="21">
        <f t="shared" si="354"/>
        <v>0</v>
      </c>
      <c r="H435" s="21">
        <f t="shared" si="309"/>
        <v>0</v>
      </c>
      <c r="I435" s="237">
        <f t="shared" si="341"/>
        <v>0</v>
      </c>
      <c r="J435" s="237">
        <f t="shared" si="342"/>
        <v>0</v>
      </c>
      <c r="K435" s="237">
        <f t="shared" si="343"/>
        <v>0</v>
      </c>
      <c r="L435" s="318">
        <f t="shared" si="357"/>
        <v>34</v>
      </c>
      <c r="M435" s="318">
        <f t="shared" si="332"/>
        <v>419</v>
      </c>
      <c r="N435" s="237">
        <f t="shared" si="333"/>
        <v>0</v>
      </c>
      <c r="O435" s="237">
        <f t="shared" si="316"/>
        <v>0</v>
      </c>
      <c r="P435" s="237">
        <f t="shared" si="344"/>
        <v>0</v>
      </c>
      <c r="Q435" s="237">
        <f t="shared" si="317"/>
        <v>0</v>
      </c>
      <c r="R435" s="237">
        <f t="shared" si="358"/>
        <v>134.16999999999999</v>
      </c>
      <c r="S435" s="237">
        <f t="shared" si="358"/>
        <v>188.55</v>
      </c>
      <c r="T435" s="237">
        <f t="shared" si="310"/>
        <v>322.72000000000003</v>
      </c>
      <c r="U435" s="237">
        <f t="shared" si="345"/>
        <v>1005371.31</v>
      </c>
      <c r="V435" s="237">
        <f t="shared" si="346"/>
        <v>6046189.700000003</v>
      </c>
      <c r="W435" s="237">
        <f t="shared" si="347"/>
        <v>0</v>
      </c>
      <c r="X435" s="404" t="str">
        <f t="shared" si="334"/>
        <v xml:space="preserve"> </v>
      </c>
      <c r="Y435" s="237">
        <f t="shared" si="318"/>
        <v>0</v>
      </c>
      <c r="Z435" s="394">
        <f t="shared" si="326"/>
        <v>0.13125000000000001</v>
      </c>
      <c r="AA435" s="237">
        <f t="shared" si="327"/>
        <v>0</v>
      </c>
      <c r="AB435" s="237">
        <f t="shared" si="328"/>
        <v>0</v>
      </c>
      <c r="AC435" s="237">
        <f t="shared" si="329"/>
        <v>0</v>
      </c>
      <c r="AD435" s="237">
        <f t="shared" si="355"/>
        <v>134.16999999999999</v>
      </c>
      <c r="AE435" s="237">
        <f t="shared" si="355"/>
        <v>188.55</v>
      </c>
      <c r="AF435" s="237">
        <f t="shared" si="330"/>
        <v>322.72000000000003</v>
      </c>
      <c r="AG435" s="237">
        <f t="shared" si="348"/>
        <v>989037.5</v>
      </c>
      <c r="AH435" s="237">
        <f t="shared" si="349"/>
        <v>2810829.4999999991</v>
      </c>
      <c r="AI435" s="412">
        <f t="shared" si="312"/>
        <v>3221740.1900000102</v>
      </c>
      <c r="AJ435" s="412">
        <f t="shared" si="351"/>
        <v>0</v>
      </c>
      <c r="AK435" s="411">
        <f t="shared" si="313"/>
        <v>3221740.1900000102</v>
      </c>
      <c r="AL435" s="237">
        <f t="shared" si="319"/>
        <v>0</v>
      </c>
      <c r="AM435" s="318">
        <f t="shared" si="335"/>
        <v>34</v>
      </c>
      <c r="AN435" s="21">
        <f t="shared" si="314"/>
        <v>0</v>
      </c>
      <c r="AO435" s="21">
        <f t="shared" si="356"/>
        <v>0</v>
      </c>
      <c r="AP435" s="21">
        <f t="shared" si="315"/>
        <v>0</v>
      </c>
      <c r="AQ435" s="21"/>
      <c r="AR435" s="23"/>
      <c r="AS435" s="21">
        <f t="shared" si="331"/>
        <v>0</v>
      </c>
      <c r="AT435" s="21">
        <f t="shared" si="336"/>
        <v>0</v>
      </c>
      <c r="AU435" s="237">
        <f t="shared" si="337"/>
        <v>0</v>
      </c>
      <c r="AV435" s="237">
        <f t="shared" si="338"/>
        <v>0</v>
      </c>
    </row>
    <row r="436" spans="1:48">
      <c r="A436" s="401" t="str">
        <f t="shared" si="339"/>
        <v xml:space="preserve"> </v>
      </c>
      <c r="B436" s="185">
        <f t="shared" si="307"/>
        <v>0</v>
      </c>
      <c r="C436" s="14">
        <f t="shared" si="323"/>
        <v>0</v>
      </c>
      <c r="D436" s="14">
        <f t="shared" si="340"/>
        <v>0</v>
      </c>
      <c r="E436" s="14">
        <f t="shared" si="324"/>
        <v>0</v>
      </c>
      <c r="F436" s="14">
        <f t="shared" si="354"/>
        <v>0</v>
      </c>
      <c r="G436" s="14">
        <f t="shared" si="354"/>
        <v>0</v>
      </c>
      <c r="H436" s="14">
        <f t="shared" si="309"/>
        <v>0</v>
      </c>
      <c r="I436" s="185">
        <f t="shared" si="341"/>
        <v>0</v>
      </c>
      <c r="J436" s="185">
        <f t="shared" si="342"/>
        <v>0</v>
      </c>
      <c r="K436" s="185">
        <f t="shared" si="343"/>
        <v>0</v>
      </c>
      <c r="L436" s="317">
        <f t="shared" si="357"/>
        <v>35</v>
      </c>
      <c r="M436" s="317">
        <f t="shared" si="332"/>
        <v>420</v>
      </c>
      <c r="N436" s="185">
        <f t="shared" si="333"/>
        <v>0</v>
      </c>
      <c r="O436" s="185">
        <f t="shared" si="316"/>
        <v>0</v>
      </c>
      <c r="P436" s="185">
        <f t="shared" si="344"/>
        <v>0</v>
      </c>
      <c r="Q436" s="185">
        <f t="shared" si="317"/>
        <v>0</v>
      </c>
      <c r="R436" s="185">
        <f t="shared" si="358"/>
        <v>134.16999999999999</v>
      </c>
      <c r="S436" s="185">
        <f t="shared" si="358"/>
        <v>188.55</v>
      </c>
      <c r="T436" s="185">
        <f t="shared" si="310"/>
        <v>322.72000000000003</v>
      </c>
      <c r="U436" s="185">
        <f t="shared" si="345"/>
        <v>1005371.31</v>
      </c>
      <c r="V436" s="185">
        <f t="shared" si="346"/>
        <v>6046189.700000003</v>
      </c>
      <c r="W436" s="185">
        <f t="shared" si="347"/>
        <v>0</v>
      </c>
      <c r="X436" s="401" t="str">
        <f t="shared" si="334"/>
        <v xml:space="preserve"> </v>
      </c>
      <c r="Y436" s="185">
        <f t="shared" si="318"/>
        <v>0</v>
      </c>
      <c r="Z436" s="393">
        <f t="shared" si="326"/>
        <v>0.13125000000000001</v>
      </c>
      <c r="AA436" s="185">
        <f t="shared" si="327"/>
        <v>0</v>
      </c>
      <c r="AB436" s="185">
        <f t="shared" si="328"/>
        <v>0</v>
      </c>
      <c r="AC436" s="185">
        <f t="shared" si="329"/>
        <v>0</v>
      </c>
      <c r="AD436" s="185">
        <f t="shared" si="355"/>
        <v>134.16999999999999</v>
      </c>
      <c r="AE436" s="185">
        <f t="shared" si="355"/>
        <v>188.55</v>
      </c>
      <c r="AF436" s="185">
        <f t="shared" si="330"/>
        <v>322.72000000000003</v>
      </c>
      <c r="AG436" s="185">
        <f t="shared" si="348"/>
        <v>989037.5</v>
      </c>
      <c r="AH436" s="185">
        <f t="shared" si="349"/>
        <v>2810829.4999999991</v>
      </c>
      <c r="AI436" s="411">
        <f t="shared" si="312"/>
        <v>3221740.1900000102</v>
      </c>
      <c r="AJ436" s="411">
        <f t="shared" si="351"/>
        <v>0</v>
      </c>
      <c r="AK436" s="411">
        <f t="shared" si="313"/>
        <v>3221740.1900000102</v>
      </c>
      <c r="AL436" s="185">
        <f t="shared" si="319"/>
        <v>0</v>
      </c>
      <c r="AM436" s="317">
        <f t="shared" si="335"/>
        <v>35</v>
      </c>
      <c r="AN436" s="14">
        <f t="shared" si="314"/>
        <v>0</v>
      </c>
      <c r="AO436" s="14">
        <f t="shared" si="356"/>
        <v>0</v>
      </c>
      <c r="AP436" s="14">
        <f t="shared" si="315"/>
        <v>0</v>
      </c>
      <c r="AS436" s="14">
        <f t="shared" si="331"/>
        <v>0</v>
      </c>
      <c r="AT436" s="14">
        <f t="shared" si="336"/>
        <v>0</v>
      </c>
      <c r="AU436" s="185">
        <f t="shared" si="337"/>
        <v>0</v>
      </c>
      <c r="AV436" s="185">
        <f t="shared" si="338"/>
        <v>0</v>
      </c>
    </row>
    <row r="437" spans="1:48">
      <c r="A437" s="401" t="str">
        <f t="shared" si="339"/>
        <v xml:space="preserve"> </v>
      </c>
      <c r="B437" s="185">
        <f t="shared" si="307"/>
        <v>0</v>
      </c>
      <c r="C437" s="14">
        <f t="shared" si="323"/>
        <v>0</v>
      </c>
      <c r="D437" s="14">
        <f t="shared" si="340"/>
        <v>0</v>
      </c>
      <c r="E437" s="14">
        <f t="shared" si="324"/>
        <v>0</v>
      </c>
      <c r="F437" s="14">
        <f t="shared" si="354"/>
        <v>0</v>
      </c>
      <c r="G437" s="14">
        <f t="shared" si="354"/>
        <v>0</v>
      </c>
      <c r="H437" s="14">
        <f t="shared" si="309"/>
        <v>0</v>
      </c>
      <c r="I437" s="185">
        <f t="shared" si="341"/>
        <v>0</v>
      </c>
      <c r="J437" s="185">
        <f t="shared" si="342"/>
        <v>0</v>
      </c>
      <c r="K437" s="185">
        <f t="shared" si="343"/>
        <v>0</v>
      </c>
      <c r="L437" s="317">
        <f t="shared" si="357"/>
        <v>35</v>
      </c>
      <c r="M437" s="317">
        <f t="shared" si="332"/>
        <v>421</v>
      </c>
      <c r="N437" s="185">
        <f t="shared" si="333"/>
        <v>0</v>
      </c>
      <c r="O437" s="185">
        <f t="shared" si="316"/>
        <v>0</v>
      </c>
      <c r="P437" s="185">
        <f t="shared" si="344"/>
        <v>0</v>
      </c>
      <c r="Q437" s="185">
        <f t="shared" si="317"/>
        <v>0</v>
      </c>
      <c r="R437" s="185">
        <f t="shared" si="358"/>
        <v>134.16999999999999</v>
      </c>
      <c r="S437" s="185">
        <f t="shared" si="358"/>
        <v>188.55</v>
      </c>
      <c r="T437" s="185">
        <f t="shared" si="310"/>
        <v>322.72000000000003</v>
      </c>
      <c r="U437" s="185">
        <f t="shared" si="345"/>
        <v>1005371.31</v>
      </c>
      <c r="V437" s="185">
        <f t="shared" si="346"/>
        <v>6046189.700000003</v>
      </c>
      <c r="W437" s="185">
        <f t="shared" si="347"/>
        <v>0</v>
      </c>
      <c r="X437" s="401" t="str">
        <f t="shared" si="334"/>
        <v xml:space="preserve"> </v>
      </c>
      <c r="Y437" s="185">
        <f t="shared" si="318"/>
        <v>0</v>
      </c>
      <c r="Z437" s="393">
        <f t="shared" si="326"/>
        <v>0.13125000000000001</v>
      </c>
      <c r="AA437" s="185">
        <f t="shared" si="327"/>
        <v>0</v>
      </c>
      <c r="AB437" s="185">
        <f t="shared" si="328"/>
        <v>0</v>
      </c>
      <c r="AC437" s="185">
        <f t="shared" si="329"/>
        <v>0</v>
      </c>
      <c r="AD437" s="185">
        <f t="shared" si="355"/>
        <v>134.16999999999999</v>
      </c>
      <c r="AE437" s="185">
        <f t="shared" si="355"/>
        <v>188.55</v>
      </c>
      <c r="AF437" s="185">
        <f t="shared" si="330"/>
        <v>322.72000000000003</v>
      </c>
      <c r="AG437" s="185">
        <f t="shared" si="348"/>
        <v>989037.5</v>
      </c>
      <c r="AH437" s="185">
        <f t="shared" si="349"/>
        <v>2810829.4999999991</v>
      </c>
      <c r="AI437" s="411">
        <f t="shared" si="312"/>
        <v>3221740.1900000102</v>
      </c>
      <c r="AJ437" s="411">
        <f t="shared" si="351"/>
        <v>0</v>
      </c>
      <c r="AK437" s="411">
        <f t="shared" si="313"/>
        <v>3221740.1900000102</v>
      </c>
      <c r="AL437" s="185">
        <f t="shared" si="319"/>
        <v>0</v>
      </c>
      <c r="AM437" s="317">
        <f t="shared" si="335"/>
        <v>35</v>
      </c>
      <c r="AN437" s="14">
        <f t="shared" si="314"/>
        <v>0</v>
      </c>
      <c r="AO437" s="14">
        <f t="shared" si="356"/>
        <v>0</v>
      </c>
      <c r="AP437" s="14">
        <f t="shared" si="315"/>
        <v>0</v>
      </c>
      <c r="AS437" s="14">
        <f t="shared" si="331"/>
        <v>0</v>
      </c>
      <c r="AT437" s="14">
        <f t="shared" si="336"/>
        <v>0</v>
      </c>
      <c r="AU437" s="185">
        <f t="shared" si="337"/>
        <v>0</v>
      </c>
      <c r="AV437" s="185">
        <f t="shared" si="338"/>
        <v>0</v>
      </c>
    </row>
    <row r="438" spans="1:48">
      <c r="A438" s="401" t="str">
        <f t="shared" si="339"/>
        <v xml:space="preserve"> </v>
      </c>
      <c r="B438" s="185">
        <f t="shared" si="307"/>
        <v>0</v>
      </c>
      <c r="C438" s="14">
        <f t="shared" si="323"/>
        <v>0</v>
      </c>
      <c r="D438" s="14">
        <f t="shared" si="340"/>
        <v>0</v>
      </c>
      <c r="E438" s="14">
        <f t="shared" si="324"/>
        <v>0</v>
      </c>
      <c r="F438" s="14">
        <f t="shared" si="354"/>
        <v>0</v>
      </c>
      <c r="G438" s="14">
        <f t="shared" si="354"/>
        <v>0</v>
      </c>
      <c r="H438" s="14">
        <f t="shared" si="309"/>
        <v>0</v>
      </c>
      <c r="I438" s="185">
        <f t="shared" si="341"/>
        <v>0</v>
      </c>
      <c r="J438" s="185">
        <f t="shared" si="342"/>
        <v>0</v>
      </c>
      <c r="K438" s="185">
        <f t="shared" si="343"/>
        <v>0</v>
      </c>
      <c r="L438" s="317">
        <f t="shared" si="357"/>
        <v>35</v>
      </c>
      <c r="M438" s="317">
        <f t="shared" si="332"/>
        <v>422</v>
      </c>
      <c r="N438" s="185">
        <f t="shared" si="333"/>
        <v>0</v>
      </c>
      <c r="O438" s="185">
        <f t="shared" si="316"/>
        <v>0</v>
      </c>
      <c r="P438" s="185">
        <f t="shared" si="344"/>
        <v>0</v>
      </c>
      <c r="Q438" s="185">
        <f t="shared" si="317"/>
        <v>0</v>
      </c>
      <c r="R438" s="185">
        <f t="shared" si="358"/>
        <v>134.16999999999999</v>
      </c>
      <c r="S438" s="185">
        <f t="shared" si="358"/>
        <v>188.55</v>
      </c>
      <c r="T438" s="185">
        <f t="shared" si="310"/>
        <v>322.72000000000003</v>
      </c>
      <c r="U438" s="185">
        <f t="shared" si="345"/>
        <v>1005371.31</v>
      </c>
      <c r="V438" s="185">
        <f t="shared" si="346"/>
        <v>6046189.700000003</v>
      </c>
      <c r="W438" s="185">
        <f t="shared" si="347"/>
        <v>0</v>
      </c>
      <c r="X438" s="401" t="str">
        <f t="shared" si="334"/>
        <v xml:space="preserve"> </v>
      </c>
      <c r="Y438" s="185">
        <f t="shared" si="318"/>
        <v>0</v>
      </c>
      <c r="Z438" s="393">
        <f t="shared" si="326"/>
        <v>0.13125000000000001</v>
      </c>
      <c r="AA438" s="185">
        <f t="shared" si="327"/>
        <v>0</v>
      </c>
      <c r="AB438" s="185">
        <f t="shared" si="328"/>
        <v>0</v>
      </c>
      <c r="AC438" s="185">
        <f t="shared" si="329"/>
        <v>0</v>
      </c>
      <c r="AD438" s="185">
        <f t="shared" si="355"/>
        <v>134.16999999999999</v>
      </c>
      <c r="AE438" s="185">
        <f t="shared" si="355"/>
        <v>188.55</v>
      </c>
      <c r="AF438" s="185">
        <f t="shared" si="330"/>
        <v>322.72000000000003</v>
      </c>
      <c r="AG438" s="185">
        <f t="shared" si="348"/>
        <v>989037.5</v>
      </c>
      <c r="AH438" s="185">
        <f t="shared" si="349"/>
        <v>2810829.4999999991</v>
      </c>
      <c r="AI438" s="411">
        <f t="shared" si="312"/>
        <v>3221740.1900000102</v>
      </c>
      <c r="AJ438" s="411">
        <f t="shared" si="351"/>
        <v>0</v>
      </c>
      <c r="AK438" s="411">
        <f t="shared" si="313"/>
        <v>3221740.1900000102</v>
      </c>
      <c r="AL438" s="185">
        <f t="shared" si="319"/>
        <v>0</v>
      </c>
      <c r="AM438" s="317">
        <f t="shared" si="335"/>
        <v>35</v>
      </c>
      <c r="AN438" s="14">
        <f t="shared" si="314"/>
        <v>0</v>
      </c>
      <c r="AO438" s="14">
        <f t="shared" si="356"/>
        <v>0</v>
      </c>
      <c r="AP438" s="14">
        <f t="shared" si="315"/>
        <v>0</v>
      </c>
      <c r="AS438" s="14">
        <f t="shared" si="331"/>
        <v>0</v>
      </c>
      <c r="AT438" s="14">
        <f t="shared" si="336"/>
        <v>0</v>
      </c>
      <c r="AU438" s="185">
        <f t="shared" si="337"/>
        <v>0</v>
      </c>
      <c r="AV438" s="185">
        <f t="shared" si="338"/>
        <v>0</v>
      </c>
    </row>
    <row r="439" spans="1:48">
      <c r="A439" s="401" t="str">
        <f t="shared" si="339"/>
        <v xml:space="preserve"> </v>
      </c>
      <c r="B439" s="185">
        <f t="shared" si="307"/>
        <v>0</v>
      </c>
      <c r="C439" s="14">
        <f t="shared" si="323"/>
        <v>0</v>
      </c>
      <c r="D439" s="14">
        <f t="shared" si="340"/>
        <v>0</v>
      </c>
      <c r="E439" s="14">
        <f t="shared" si="324"/>
        <v>0</v>
      </c>
      <c r="F439" s="14">
        <f t="shared" si="354"/>
        <v>0</v>
      </c>
      <c r="G439" s="14">
        <f t="shared" si="354"/>
        <v>0</v>
      </c>
      <c r="H439" s="14">
        <f t="shared" si="309"/>
        <v>0</v>
      </c>
      <c r="I439" s="185">
        <f t="shared" si="341"/>
        <v>0</v>
      </c>
      <c r="J439" s="185">
        <f t="shared" si="342"/>
        <v>0</v>
      </c>
      <c r="K439" s="185">
        <f t="shared" si="343"/>
        <v>0</v>
      </c>
      <c r="L439" s="317">
        <f t="shared" si="357"/>
        <v>35</v>
      </c>
      <c r="M439" s="317">
        <f t="shared" si="332"/>
        <v>423</v>
      </c>
      <c r="N439" s="185">
        <f t="shared" si="333"/>
        <v>0</v>
      </c>
      <c r="O439" s="185">
        <f t="shared" si="316"/>
        <v>0</v>
      </c>
      <c r="P439" s="185">
        <f t="shared" si="344"/>
        <v>0</v>
      </c>
      <c r="Q439" s="185">
        <f t="shared" si="317"/>
        <v>0</v>
      </c>
      <c r="R439" s="185">
        <f t="shared" si="358"/>
        <v>134.16999999999999</v>
      </c>
      <c r="S439" s="185">
        <f t="shared" si="358"/>
        <v>188.55</v>
      </c>
      <c r="T439" s="185">
        <f t="shared" si="310"/>
        <v>322.72000000000003</v>
      </c>
      <c r="U439" s="185">
        <f t="shared" si="345"/>
        <v>1005371.31</v>
      </c>
      <c r="V439" s="185">
        <f t="shared" si="346"/>
        <v>6046189.700000003</v>
      </c>
      <c r="W439" s="185">
        <f t="shared" si="347"/>
        <v>0</v>
      </c>
      <c r="X439" s="401" t="str">
        <f t="shared" si="334"/>
        <v xml:space="preserve"> </v>
      </c>
      <c r="Y439" s="185">
        <f t="shared" si="318"/>
        <v>0</v>
      </c>
      <c r="Z439" s="393">
        <f t="shared" si="326"/>
        <v>0.13125000000000001</v>
      </c>
      <c r="AA439" s="185">
        <f t="shared" si="327"/>
        <v>0</v>
      </c>
      <c r="AB439" s="185">
        <f t="shared" si="328"/>
        <v>0</v>
      </c>
      <c r="AC439" s="185">
        <f t="shared" si="329"/>
        <v>0</v>
      </c>
      <c r="AD439" s="185">
        <f t="shared" si="355"/>
        <v>134.16999999999999</v>
      </c>
      <c r="AE439" s="185">
        <f t="shared" si="355"/>
        <v>188.55</v>
      </c>
      <c r="AF439" s="185">
        <f t="shared" si="330"/>
        <v>322.72000000000003</v>
      </c>
      <c r="AG439" s="185">
        <f t="shared" si="348"/>
        <v>989037.5</v>
      </c>
      <c r="AH439" s="185">
        <f t="shared" si="349"/>
        <v>2810829.4999999991</v>
      </c>
      <c r="AI439" s="411">
        <f t="shared" si="312"/>
        <v>3221740.1900000102</v>
      </c>
      <c r="AJ439" s="411">
        <f t="shared" si="351"/>
        <v>0</v>
      </c>
      <c r="AK439" s="411">
        <f t="shared" si="313"/>
        <v>3221740.1900000102</v>
      </c>
      <c r="AL439" s="185">
        <f t="shared" si="319"/>
        <v>0</v>
      </c>
      <c r="AM439" s="317">
        <f t="shared" si="335"/>
        <v>35</v>
      </c>
      <c r="AN439" s="14">
        <f t="shared" si="314"/>
        <v>0</v>
      </c>
      <c r="AO439" s="14">
        <f t="shared" si="356"/>
        <v>0</v>
      </c>
      <c r="AP439" s="14">
        <f t="shared" si="315"/>
        <v>0</v>
      </c>
      <c r="AS439" s="14">
        <f t="shared" si="331"/>
        <v>0</v>
      </c>
      <c r="AT439" s="14">
        <f t="shared" si="336"/>
        <v>0</v>
      </c>
      <c r="AU439" s="185">
        <f t="shared" si="337"/>
        <v>0</v>
      </c>
      <c r="AV439" s="185">
        <f t="shared" si="338"/>
        <v>0</v>
      </c>
    </row>
    <row r="440" spans="1:48">
      <c r="A440" s="401" t="str">
        <f t="shared" si="339"/>
        <v xml:space="preserve"> </v>
      </c>
      <c r="B440" s="185">
        <f t="shared" si="307"/>
        <v>0</v>
      </c>
      <c r="C440" s="14">
        <f t="shared" si="323"/>
        <v>0</v>
      </c>
      <c r="D440" s="14">
        <f t="shared" si="340"/>
        <v>0</v>
      </c>
      <c r="E440" s="14">
        <f t="shared" si="324"/>
        <v>0</v>
      </c>
      <c r="F440" s="14">
        <f t="shared" si="354"/>
        <v>0</v>
      </c>
      <c r="G440" s="14">
        <f t="shared" si="354"/>
        <v>0</v>
      </c>
      <c r="H440" s="14">
        <f t="shared" si="309"/>
        <v>0</v>
      </c>
      <c r="I440" s="185">
        <f t="shared" si="341"/>
        <v>0</v>
      </c>
      <c r="J440" s="185">
        <f t="shared" si="342"/>
        <v>0</v>
      </c>
      <c r="K440" s="185">
        <f t="shared" si="343"/>
        <v>0</v>
      </c>
      <c r="L440" s="317">
        <f t="shared" si="357"/>
        <v>35</v>
      </c>
      <c r="M440" s="317">
        <f t="shared" si="332"/>
        <v>424</v>
      </c>
      <c r="N440" s="185">
        <f t="shared" si="333"/>
        <v>0</v>
      </c>
      <c r="O440" s="185">
        <f t="shared" si="316"/>
        <v>0</v>
      </c>
      <c r="P440" s="185">
        <f t="shared" si="344"/>
        <v>0</v>
      </c>
      <c r="Q440" s="185">
        <f t="shared" si="317"/>
        <v>0</v>
      </c>
      <c r="R440" s="185">
        <f t="shared" si="358"/>
        <v>134.16999999999999</v>
      </c>
      <c r="S440" s="185">
        <f t="shared" si="358"/>
        <v>188.55</v>
      </c>
      <c r="T440" s="185">
        <f t="shared" si="310"/>
        <v>322.72000000000003</v>
      </c>
      <c r="U440" s="185">
        <f t="shared" si="345"/>
        <v>1005371.31</v>
      </c>
      <c r="V440" s="185">
        <f t="shared" si="346"/>
        <v>6046189.700000003</v>
      </c>
      <c r="W440" s="185">
        <f t="shared" si="347"/>
        <v>0</v>
      </c>
      <c r="X440" s="401" t="str">
        <f t="shared" si="334"/>
        <v xml:space="preserve"> </v>
      </c>
      <c r="Y440" s="185">
        <f t="shared" si="318"/>
        <v>0</v>
      </c>
      <c r="Z440" s="393">
        <f t="shared" si="326"/>
        <v>0.13125000000000001</v>
      </c>
      <c r="AA440" s="185">
        <f t="shared" si="327"/>
        <v>0</v>
      </c>
      <c r="AB440" s="185">
        <f t="shared" si="328"/>
        <v>0</v>
      </c>
      <c r="AC440" s="185">
        <f t="shared" si="329"/>
        <v>0</v>
      </c>
      <c r="AD440" s="185">
        <f t="shared" si="355"/>
        <v>134.16999999999999</v>
      </c>
      <c r="AE440" s="185">
        <f t="shared" si="355"/>
        <v>188.55</v>
      </c>
      <c r="AF440" s="185">
        <f t="shared" si="330"/>
        <v>322.72000000000003</v>
      </c>
      <c r="AG440" s="185">
        <f t="shared" si="348"/>
        <v>989037.5</v>
      </c>
      <c r="AH440" s="185">
        <f t="shared" si="349"/>
        <v>2810829.4999999991</v>
      </c>
      <c r="AI440" s="411">
        <f t="shared" si="312"/>
        <v>3221740.1900000102</v>
      </c>
      <c r="AJ440" s="411">
        <f t="shared" si="351"/>
        <v>0</v>
      </c>
      <c r="AK440" s="411">
        <f t="shared" si="313"/>
        <v>3221740.1900000102</v>
      </c>
      <c r="AL440" s="185">
        <f t="shared" si="319"/>
        <v>0</v>
      </c>
      <c r="AM440" s="317">
        <f t="shared" si="335"/>
        <v>35</v>
      </c>
      <c r="AN440" s="14">
        <f t="shared" si="314"/>
        <v>0</v>
      </c>
      <c r="AO440" s="14">
        <f t="shared" si="356"/>
        <v>0</v>
      </c>
      <c r="AP440" s="14">
        <f t="shared" si="315"/>
        <v>0</v>
      </c>
      <c r="AS440" s="14">
        <f t="shared" si="331"/>
        <v>0</v>
      </c>
      <c r="AT440" s="14">
        <f t="shared" si="336"/>
        <v>0</v>
      </c>
      <c r="AU440" s="185">
        <f t="shared" si="337"/>
        <v>0</v>
      </c>
      <c r="AV440" s="185">
        <f t="shared" si="338"/>
        <v>0</v>
      </c>
    </row>
    <row r="441" spans="1:48">
      <c r="A441" s="401" t="str">
        <f t="shared" si="339"/>
        <v xml:space="preserve"> </v>
      </c>
      <c r="B441" s="185">
        <f t="shared" ref="B441:B491" si="359">IF(+K440&lt;0,0,+K440)</f>
        <v>0</v>
      </c>
      <c r="C441" s="14">
        <f t="shared" si="323"/>
        <v>0</v>
      </c>
      <c r="D441" s="14">
        <f t="shared" si="340"/>
        <v>0</v>
      </c>
      <c r="E441" s="14">
        <f t="shared" si="324"/>
        <v>0</v>
      </c>
      <c r="F441" s="14">
        <f t="shared" si="354"/>
        <v>0</v>
      </c>
      <c r="G441" s="14">
        <f t="shared" si="354"/>
        <v>0</v>
      </c>
      <c r="H441" s="14">
        <f t="shared" si="309"/>
        <v>0</v>
      </c>
      <c r="I441" s="185">
        <f t="shared" si="341"/>
        <v>0</v>
      </c>
      <c r="J441" s="185">
        <f t="shared" si="342"/>
        <v>0</v>
      </c>
      <c r="K441" s="185">
        <f t="shared" si="343"/>
        <v>0</v>
      </c>
      <c r="L441" s="317">
        <f t="shared" si="357"/>
        <v>35</v>
      </c>
      <c r="M441" s="317">
        <f t="shared" si="332"/>
        <v>425</v>
      </c>
      <c r="N441" s="185">
        <f t="shared" si="333"/>
        <v>0</v>
      </c>
      <c r="O441" s="185">
        <f t="shared" si="316"/>
        <v>0</v>
      </c>
      <c r="P441" s="185">
        <f t="shared" si="344"/>
        <v>0</v>
      </c>
      <c r="Q441" s="185">
        <f t="shared" si="317"/>
        <v>0</v>
      </c>
      <c r="R441" s="185">
        <f t="shared" si="358"/>
        <v>134.16999999999999</v>
      </c>
      <c r="S441" s="185">
        <f t="shared" si="358"/>
        <v>188.55</v>
      </c>
      <c r="T441" s="185">
        <f t="shared" si="310"/>
        <v>322.72000000000003</v>
      </c>
      <c r="U441" s="185">
        <f t="shared" si="345"/>
        <v>1005371.31</v>
      </c>
      <c r="V441" s="185">
        <f t="shared" si="346"/>
        <v>6046189.700000003</v>
      </c>
      <c r="W441" s="185">
        <f t="shared" si="347"/>
        <v>0</v>
      </c>
      <c r="X441" s="401" t="str">
        <f t="shared" si="334"/>
        <v xml:space="preserve"> </v>
      </c>
      <c r="Y441" s="185">
        <f t="shared" si="318"/>
        <v>0</v>
      </c>
      <c r="Z441" s="393">
        <f t="shared" si="326"/>
        <v>0.13125000000000001</v>
      </c>
      <c r="AA441" s="185">
        <f t="shared" si="327"/>
        <v>0</v>
      </c>
      <c r="AB441" s="185">
        <f t="shared" si="328"/>
        <v>0</v>
      </c>
      <c r="AC441" s="185">
        <f t="shared" si="329"/>
        <v>0</v>
      </c>
      <c r="AD441" s="185">
        <f t="shared" si="355"/>
        <v>134.16999999999999</v>
      </c>
      <c r="AE441" s="185">
        <f t="shared" si="355"/>
        <v>188.55</v>
      </c>
      <c r="AF441" s="185">
        <f t="shared" si="330"/>
        <v>322.72000000000003</v>
      </c>
      <c r="AG441" s="185">
        <f t="shared" si="348"/>
        <v>989037.5</v>
      </c>
      <c r="AH441" s="185">
        <f t="shared" si="349"/>
        <v>2810829.4999999991</v>
      </c>
      <c r="AI441" s="411">
        <f t="shared" si="312"/>
        <v>3221740.1900000102</v>
      </c>
      <c r="AJ441" s="411">
        <f t="shared" si="351"/>
        <v>0</v>
      </c>
      <c r="AK441" s="411">
        <f t="shared" si="313"/>
        <v>3221740.1900000102</v>
      </c>
      <c r="AL441" s="185">
        <f t="shared" si="319"/>
        <v>0</v>
      </c>
      <c r="AM441" s="317">
        <f t="shared" si="335"/>
        <v>35</v>
      </c>
      <c r="AN441" s="14">
        <f t="shared" si="314"/>
        <v>0</v>
      </c>
      <c r="AO441" s="14">
        <f t="shared" si="356"/>
        <v>0</v>
      </c>
      <c r="AP441" s="14">
        <f t="shared" si="315"/>
        <v>0</v>
      </c>
      <c r="AS441" s="14">
        <f t="shared" si="331"/>
        <v>0</v>
      </c>
      <c r="AT441" s="14">
        <f t="shared" si="336"/>
        <v>0</v>
      </c>
      <c r="AU441" s="185">
        <f t="shared" si="337"/>
        <v>0</v>
      </c>
      <c r="AV441" s="185">
        <f t="shared" si="338"/>
        <v>0</v>
      </c>
    </row>
    <row r="442" spans="1:48">
      <c r="A442" s="401" t="str">
        <f t="shared" si="339"/>
        <v xml:space="preserve"> </v>
      </c>
      <c r="B442" s="185">
        <f t="shared" si="359"/>
        <v>0</v>
      </c>
      <c r="C442" s="14">
        <f t="shared" si="323"/>
        <v>0</v>
      </c>
      <c r="D442" s="14">
        <f t="shared" si="340"/>
        <v>0</v>
      </c>
      <c r="E442" s="14">
        <f t="shared" si="324"/>
        <v>0</v>
      </c>
      <c r="F442" s="14">
        <f t="shared" si="354"/>
        <v>0</v>
      </c>
      <c r="G442" s="14">
        <f t="shared" si="354"/>
        <v>0</v>
      </c>
      <c r="H442" s="14">
        <f t="shared" si="309"/>
        <v>0</v>
      </c>
      <c r="I442" s="185">
        <f t="shared" si="341"/>
        <v>0</v>
      </c>
      <c r="J442" s="185">
        <f t="shared" si="342"/>
        <v>0</v>
      </c>
      <c r="K442" s="185">
        <f t="shared" si="343"/>
        <v>0</v>
      </c>
      <c r="L442" s="317">
        <f t="shared" si="357"/>
        <v>35</v>
      </c>
      <c r="M442" s="317">
        <f t="shared" si="332"/>
        <v>426</v>
      </c>
      <c r="N442" s="185">
        <f t="shared" si="333"/>
        <v>0</v>
      </c>
      <c r="O442" s="185">
        <f t="shared" si="316"/>
        <v>0</v>
      </c>
      <c r="P442" s="185">
        <f t="shared" si="344"/>
        <v>0</v>
      </c>
      <c r="Q442" s="185">
        <f t="shared" si="317"/>
        <v>0</v>
      </c>
      <c r="R442" s="185">
        <f t="shared" si="358"/>
        <v>134.16999999999999</v>
      </c>
      <c r="S442" s="185">
        <f t="shared" si="358"/>
        <v>188.55</v>
      </c>
      <c r="T442" s="185">
        <f t="shared" si="310"/>
        <v>322.72000000000003</v>
      </c>
      <c r="U442" s="185">
        <f t="shared" si="345"/>
        <v>1005371.31</v>
      </c>
      <c r="V442" s="185">
        <f t="shared" si="346"/>
        <v>6046189.700000003</v>
      </c>
      <c r="W442" s="185">
        <f t="shared" si="347"/>
        <v>0</v>
      </c>
      <c r="X442" s="401" t="str">
        <f t="shared" si="334"/>
        <v xml:space="preserve"> </v>
      </c>
      <c r="Y442" s="185">
        <f t="shared" si="318"/>
        <v>0</v>
      </c>
      <c r="Z442" s="393">
        <f t="shared" si="326"/>
        <v>0.13125000000000001</v>
      </c>
      <c r="AA442" s="185">
        <f t="shared" si="327"/>
        <v>0</v>
      </c>
      <c r="AB442" s="185">
        <f t="shared" si="328"/>
        <v>0</v>
      </c>
      <c r="AC442" s="185">
        <f t="shared" si="329"/>
        <v>0</v>
      </c>
      <c r="AD442" s="185">
        <f t="shared" si="355"/>
        <v>134.16999999999999</v>
      </c>
      <c r="AE442" s="185">
        <f t="shared" si="355"/>
        <v>188.55</v>
      </c>
      <c r="AF442" s="185">
        <f t="shared" si="330"/>
        <v>322.72000000000003</v>
      </c>
      <c r="AG442" s="185">
        <f t="shared" si="348"/>
        <v>989037.5</v>
      </c>
      <c r="AH442" s="185">
        <f t="shared" si="349"/>
        <v>2810829.4999999991</v>
      </c>
      <c r="AI442" s="411">
        <f t="shared" si="312"/>
        <v>3221740.1900000102</v>
      </c>
      <c r="AJ442" s="411">
        <f t="shared" si="351"/>
        <v>0</v>
      </c>
      <c r="AK442" s="411">
        <f t="shared" si="313"/>
        <v>3221740.1900000102</v>
      </c>
      <c r="AL442" s="185">
        <f t="shared" si="319"/>
        <v>0</v>
      </c>
      <c r="AM442" s="317">
        <f t="shared" si="335"/>
        <v>35</v>
      </c>
      <c r="AN442" s="14">
        <f t="shared" si="314"/>
        <v>0</v>
      </c>
      <c r="AO442" s="14">
        <f t="shared" si="356"/>
        <v>0</v>
      </c>
      <c r="AP442" s="14">
        <f t="shared" si="315"/>
        <v>0</v>
      </c>
      <c r="AS442" s="14">
        <f t="shared" si="331"/>
        <v>0</v>
      </c>
      <c r="AT442" s="14">
        <f t="shared" si="336"/>
        <v>0</v>
      </c>
      <c r="AU442" s="185">
        <f t="shared" si="337"/>
        <v>0</v>
      </c>
      <c r="AV442" s="185">
        <f t="shared" si="338"/>
        <v>0</v>
      </c>
    </row>
    <row r="443" spans="1:48">
      <c r="A443" s="401" t="str">
        <f t="shared" si="339"/>
        <v xml:space="preserve"> </v>
      </c>
      <c r="B443" s="185">
        <f t="shared" si="359"/>
        <v>0</v>
      </c>
      <c r="C443" s="14">
        <f t="shared" si="323"/>
        <v>0</v>
      </c>
      <c r="D443" s="14">
        <f t="shared" si="340"/>
        <v>0</v>
      </c>
      <c r="E443" s="14">
        <f t="shared" si="324"/>
        <v>0</v>
      </c>
      <c r="F443" s="14">
        <f t="shared" ref="F443:G458" si="360">+F442</f>
        <v>0</v>
      </c>
      <c r="G443" s="14">
        <f t="shared" si="360"/>
        <v>0</v>
      </c>
      <c r="H443" s="14">
        <f t="shared" si="309"/>
        <v>0</v>
      </c>
      <c r="I443" s="185">
        <f t="shared" si="341"/>
        <v>0</v>
      </c>
      <c r="J443" s="185">
        <f t="shared" si="342"/>
        <v>0</v>
      </c>
      <c r="K443" s="185">
        <f t="shared" si="343"/>
        <v>0</v>
      </c>
      <c r="L443" s="317">
        <f t="shared" si="357"/>
        <v>35</v>
      </c>
      <c r="M443" s="317">
        <f t="shared" si="332"/>
        <v>427</v>
      </c>
      <c r="N443" s="185">
        <f t="shared" si="333"/>
        <v>0</v>
      </c>
      <c r="O443" s="185">
        <f t="shared" si="316"/>
        <v>0</v>
      </c>
      <c r="P443" s="185">
        <f t="shared" si="344"/>
        <v>0</v>
      </c>
      <c r="Q443" s="185">
        <f t="shared" si="317"/>
        <v>0</v>
      </c>
      <c r="R443" s="185">
        <f t="shared" si="358"/>
        <v>134.16999999999999</v>
      </c>
      <c r="S443" s="185">
        <f t="shared" si="358"/>
        <v>188.55</v>
      </c>
      <c r="T443" s="185">
        <f t="shared" si="310"/>
        <v>322.72000000000003</v>
      </c>
      <c r="U443" s="185">
        <f t="shared" si="345"/>
        <v>1005371.31</v>
      </c>
      <c r="V443" s="185">
        <f t="shared" si="346"/>
        <v>6046189.700000003</v>
      </c>
      <c r="W443" s="185">
        <f t="shared" si="347"/>
        <v>0</v>
      </c>
      <c r="X443" s="401" t="str">
        <f t="shared" si="334"/>
        <v xml:space="preserve"> </v>
      </c>
      <c r="Y443" s="185">
        <f t="shared" si="318"/>
        <v>0</v>
      </c>
      <c r="Z443" s="393">
        <f t="shared" si="326"/>
        <v>0.13125000000000001</v>
      </c>
      <c r="AA443" s="185">
        <f t="shared" si="327"/>
        <v>0</v>
      </c>
      <c r="AB443" s="185">
        <f t="shared" si="328"/>
        <v>0</v>
      </c>
      <c r="AC443" s="185">
        <f t="shared" si="329"/>
        <v>0</v>
      </c>
      <c r="AD443" s="185">
        <f t="shared" si="355"/>
        <v>134.16999999999999</v>
      </c>
      <c r="AE443" s="185">
        <f t="shared" si="355"/>
        <v>188.55</v>
      </c>
      <c r="AF443" s="185">
        <f t="shared" si="330"/>
        <v>322.72000000000003</v>
      </c>
      <c r="AG443" s="185">
        <f t="shared" si="348"/>
        <v>989037.5</v>
      </c>
      <c r="AH443" s="185">
        <f t="shared" si="349"/>
        <v>2810829.4999999991</v>
      </c>
      <c r="AI443" s="411">
        <f t="shared" si="312"/>
        <v>3221740.1900000102</v>
      </c>
      <c r="AJ443" s="411">
        <f t="shared" si="351"/>
        <v>0</v>
      </c>
      <c r="AK443" s="411">
        <f t="shared" si="313"/>
        <v>3221740.1900000102</v>
      </c>
      <c r="AL443" s="185">
        <f t="shared" si="319"/>
        <v>0</v>
      </c>
      <c r="AM443" s="317">
        <f t="shared" si="335"/>
        <v>35</v>
      </c>
      <c r="AN443" s="14">
        <f t="shared" si="314"/>
        <v>0</v>
      </c>
      <c r="AO443" s="14">
        <f t="shared" si="356"/>
        <v>0</v>
      </c>
      <c r="AP443" s="14">
        <f t="shared" si="315"/>
        <v>0</v>
      </c>
      <c r="AS443" s="14">
        <f t="shared" si="331"/>
        <v>0</v>
      </c>
      <c r="AT443" s="14">
        <f t="shared" si="336"/>
        <v>0</v>
      </c>
      <c r="AU443" s="185">
        <f t="shared" si="337"/>
        <v>0</v>
      </c>
      <c r="AV443" s="185">
        <f t="shared" si="338"/>
        <v>0</v>
      </c>
    </row>
    <row r="444" spans="1:48">
      <c r="A444" s="401" t="str">
        <f t="shared" si="339"/>
        <v xml:space="preserve"> </v>
      </c>
      <c r="B444" s="185">
        <f t="shared" si="359"/>
        <v>0</v>
      </c>
      <c r="C444" s="14">
        <f t="shared" si="323"/>
        <v>0</v>
      </c>
      <c r="D444" s="14">
        <f t="shared" si="340"/>
        <v>0</v>
      </c>
      <c r="E444" s="14">
        <f t="shared" si="324"/>
        <v>0</v>
      </c>
      <c r="F444" s="14">
        <f t="shared" si="360"/>
        <v>0</v>
      </c>
      <c r="G444" s="14">
        <f t="shared" si="360"/>
        <v>0</v>
      </c>
      <c r="H444" s="14">
        <f t="shared" ref="H444:H491" si="361">SUM(D444:G444)</f>
        <v>0</v>
      </c>
      <c r="I444" s="185">
        <f t="shared" si="341"/>
        <v>0</v>
      </c>
      <c r="J444" s="185">
        <f t="shared" si="342"/>
        <v>0</v>
      </c>
      <c r="K444" s="185">
        <f t="shared" si="343"/>
        <v>0</v>
      </c>
      <c r="L444" s="317">
        <f t="shared" si="357"/>
        <v>35</v>
      </c>
      <c r="M444" s="317">
        <f t="shared" si="332"/>
        <v>428</v>
      </c>
      <c r="N444" s="185">
        <f t="shared" si="333"/>
        <v>0</v>
      </c>
      <c r="O444" s="185">
        <f t="shared" si="316"/>
        <v>0</v>
      </c>
      <c r="P444" s="185">
        <f t="shared" si="344"/>
        <v>0</v>
      </c>
      <c r="Q444" s="185">
        <f t="shared" si="317"/>
        <v>0</v>
      </c>
      <c r="R444" s="185">
        <f t="shared" si="358"/>
        <v>134.16999999999999</v>
      </c>
      <c r="S444" s="185">
        <f t="shared" si="358"/>
        <v>188.55</v>
      </c>
      <c r="T444" s="185">
        <f t="shared" ref="T444:T491" si="362">SUM(P444:S444)</f>
        <v>322.72000000000003</v>
      </c>
      <c r="U444" s="185">
        <f t="shared" si="345"/>
        <v>1005371.31</v>
      </c>
      <c r="V444" s="185">
        <f t="shared" si="346"/>
        <v>6046189.700000003</v>
      </c>
      <c r="W444" s="185">
        <f t="shared" si="347"/>
        <v>0</v>
      </c>
      <c r="X444" s="401" t="str">
        <f t="shared" si="334"/>
        <v xml:space="preserve"> </v>
      </c>
      <c r="Y444" s="185">
        <f t="shared" si="318"/>
        <v>0</v>
      </c>
      <c r="Z444" s="393">
        <f t="shared" si="326"/>
        <v>0.13125000000000001</v>
      </c>
      <c r="AA444" s="185">
        <f t="shared" si="327"/>
        <v>0</v>
      </c>
      <c r="AB444" s="185">
        <f t="shared" si="328"/>
        <v>0</v>
      </c>
      <c r="AC444" s="185">
        <f t="shared" si="329"/>
        <v>0</v>
      </c>
      <c r="AD444" s="185">
        <f t="shared" si="355"/>
        <v>134.16999999999999</v>
      </c>
      <c r="AE444" s="185">
        <f t="shared" si="355"/>
        <v>188.55</v>
      </c>
      <c r="AF444" s="185">
        <f t="shared" si="330"/>
        <v>322.72000000000003</v>
      </c>
      <c r="AG444" s="185">
        <f t="shared" si="348"/>
        <v>989037.5</v>
      </c>
      <c r="AH444" s="185">
        <f t="shared" si="349"/>
        <v>2810829.4999999991</v>
      </c>
      <c r="AI444" s="411">
        <f t="shared" si="312"/>
        <v>3221740.1900000102</v>
      </c>
      <c r="AJ444" s="411">
        <f t="shared" si="351"/>
        <v>0</v>
      </c>
      <c r="AK444" s="411">
        <f t="shared" si="313"/>
        <v>3221740.1900000102</v>
      </c>
      <c r="AL444" s="185">
        <f t="shared" si="319"/>
        <v>0</v>
      </c>
      <c r="AM444" s="317">
        <f t="shared" si="335"/>
        <v>35</v>
      </c>
      <c r="AN444" s="14">
        <f t="shared" si="314"/>
        <v>0</v>
      </c>
      <c r="AO444" s="14">
        <f t="shared" si="356"/>
        <v>0</v>
      </c>
      <c r="AP444" s="14">
        <f t="shared" si="315"/>
        <v>0</v>
      </c>
      <c r="AS444" s="14">
        <f t="shared" si="331"/>
        <v>0</v>
      </c>
      <c r="AT444" s="14">
        <f t="shared" si="336"/>
        <v>0</v>
      </c>
      <c r="AU444" s="185">
        <f t="shared" si="337"/>
        <v>0</v>
      </c>
      <c r="AV444" s="185">
        <f t="shared" si="338"/>
        <v>0</v>
      </c>
    </row>
    <row r="445" spans="1:48">
      <c r="A445" s="401" t="str">
        <f t="shared" si="339"/>
        <v xml:space="preserve"> </v>
      </c>
      <c r="B445" s="185">
        <f t="shared" si="359"/>
        <v>0</v>
      </c>
      <c r="C445" s="14">
        <f t="shared" si="323"/>
        <v>0</v>
      </c>
      <c r="D445" s="14">
        <f t="shared" si="340"/>
        <v>0</v>
      </c>
      <c r="E445" s="14">
        <f t="shared" si="324"/>
        <v>0</v>
      </c>
      <c r="F445" s="14">
        <f t="shared" si="360"/>
        <v>0</v>
      </c>
      <c r="G445" s="14">
        <f t="shared" si="360"/>
        <v>0</v>
      </c>
      <c r="H445" s="14">
        <f t="shared" si="361"/>
        <v>0</v>
      </c>
      <c r="I445" s="185">
        <f t="shared" si="341"/>
        <v>0</v>
      </c>
      <c r="J445" s="185">
        <f t="shared" si="342"/>
        <v>0</v>
      </c>
      <c r="K445" s="185">
        <f t="shared" si="343"/>
        <v>0</v>
      </c>
      <c r="L445" s="317">
        <f t="shared" si="357"/>
        <v>35</v>
      </c>
      <c r="M445" s="317">
        <f t="shared" si="332"/>
        <v>429</v>
      </c>
      <c r="N445" s="185">
        <f t="shared" si="333"/>
        <v>0</v>
      </c>
      <c r="O445" s="185">
        <f t="shared" si="316"/>
        <v>0</v>
      </c>
      <c r="P445" s="185">
        <f t="shared" si="344"/>
        <v>0</v>
      </c>
      <c r="Q445" s="185">
        <f t="shared" si="317"/>
        <v>0</v>
      </c>
      <c r="R445" s="185">
        <f t="shared" si="358"/>
        <v>134.16999999999999</v>
      </c>
      <c r="S445" s="185">
        <f t="shared" si="358"/>
        <v>188.55</v>
      </c>
      <c r="T445" s="185">
        <f t="shared" si="362"/>
        <v>322.72000000000003</v>
      </c>
      <c r="U445" s="185">
        <f t="shared" si="345"/>
        <v>1005371.31</v>
      </c>
      <c r="V445" s="185">
        <f t="shared" si="346"/>
        <v>6046189.700000003</v>
      </c>
      <c r="W445" s="185">
        <f t="shared" si="347"/>
        <v>0</v>
      </c>
      <c r="X445" s="401" t="str">
        <f t="shared" si="334"/>
        <v xml:space="preserve"> </v>
      </c>
      <c r="Y445" s="185">
        <f t="shared" si="318"/>
        <v>0</v>
      </c>
      <c r="Z445" s="393">
        <f t="shared" si="326"/>
        <v>0.13125000000000001</v>
      </c>
      <c r="AA445" s="185">
        <f t="shared" si="327"/>
        <v>0</v>
      </c>
      <c r="AB445" s="185">
        <f t="shared" si="328"/>
        <v>0</v>
      </c>
      <c r="AC445" s="185">
        <f t="shared" si="329"/>
        <v>0</v>
      </c>
      <c r="AD445" s="185">
        <f t="shared" ref="AD445:AE460" si="363">+AD444</f>
        <v>134.16999999999999</v>
      </c>
      <c r="AE445" s="185">
        <f t="shared" si="363"/>
        <v>188.55</v>
      </c>
      <c r="AF445" s="185">
        <f t="shared" si="330"/>
        <v>322.72000000000003</v>
      </c>
      <c r="AG445" s="185">
        <f t="shared" si="348"/>
        <v>989037.5</v>
      </c>
      <c r="AH445" s="185">
        <f t="shared" si="349"/>
        <v>2810829.4999999991</v>
      </c>
      <c r="AI445" s="411">
        <f t="shared" ref="AI445:AI508" si="364">O445-AA445+AI444</f>
        <v>3221740.1900000102</v>
      </c>
      <c r="AJ445" s="411">
        <f t="shared" si="351"/>
        <v>0</v>
      </c>
      <c r="AK445" s="411">
        <f t="shared" ref="AK445:AK508" si="365">SUM(AI445:AJ445)</f>
        <v>3221740.1900000102</v>
      </c>
      <c r="AL445" s="185">
        <f t="shared" si="319"/>
        <v>0</v>
      </c>
      <c r="AM445" s="317">
        <f t="shared" si="335"/>
        <v>35</v>
      </c>
      <c r="AN445" s="14">
        <f t="shared" ref="AN445:AN491" si="366">IF(O445=0,0,+O445-C445)</f>
        <v>0</v>
      </c>
      <c r="AO445" s="14">
        <f t="shared" si="356"/>
        <v>0</v>
      </c>
      <c r="AP445" s="14">
        <f t="shared" ref="AP445:AP491" si="367">IF($O445=0,0,+AA445-$C445)</f>
        <v>0</v>
      </c>
      <c r="AS445" s="14">
        <f t="shared" si="331"/>
        <v>0</v>
      </c>
      <c r="AT445" s="14">
        <f t="shared" si="336"/>
        <v>0</v>
      </c>
      <c r="AU445" s="185">
        <f t="shared" si="337"/>
        <v>0</v>
      </c>
      <c r="AV445" s="185">
        <f t="shared" si="338"/>
        <v>0</v>
      </c>
    </row>
    <row r="446" spans="1:48">
      <c r="A446" s="401" t="str">
        <f t="shared" si="339"/>
        <v xml:space="preserve"> </v>
      </c>
      <c r="B446" s="185">
        <f t="shared" si="359"/>
        <v>0</v>
      </c>
      <c r="C446" s="14">
        <f t="shared" si="323"/>
        <v>0</v>
      </c>
      <c r="D446" s="14">
        <f t="shared" si="340"/>
        <v>0</v>
      </c>
      <c r="E446" s="14">
        <f t="shared" si="324"/>
        <v>0</v>
      </c>
      <c r="F446" s="14">
        <f t="shared" si="360"/>
        <v>0</v>
      </c>
      <c r="G446" s="14">
        <f t="shared" si="360"/>
        <v>0</v>
      </c>
      <c r="H446" s="14">
        <f t="shared" si="361"/>
        <v>0</v>
      </c>
      <c r="I446" s="185">
        <f t="shared" si="341"/>
        <v>0</v>
      </c>
      <c r="J446" s="185">
        <f t="shared" si="342"/>
        <v>0</v>
      </c>
      <c r="K446" s="185">
        <f t="shared" si="343"/>
        <v>0</v>
      </c>
      <c r="L446" s="317">
        <f t="shared" si="357"/>
        <v>35</v>
      </c>
      <c r="M446" s="317">
        <f t="shared" si="332"/>
        <v>430</v>
      </c>
      <c r="N446" s="185">
        <f t="shared" si="333"/>
        <v>0</v>
      </c>
      <c r="O446" s="185">
        <f t="shared" si="316"/>
        <v>0</v>
      </c>
      <c r="P446" s="185">
        <f t="shared" si="344"/>
        <v>0</v>
      </c>
      <c r="Q446" s="185">
        <f t="shared" si="317"/>
        <v>0</v>
      </c>
      <c r="R446" s="185">
        <f t="shared" si="358"/>
        <v>134.16999999999999</v>
      </c>
      <c r="S446" s="185">
        <f t="shared" si="358"/>
        <v>188.55</v>
      </c>
      <c r="T446" s="185">
        <f t="shared" si="362"/>
        <v>322.72000000000003</v>
      </c>
      <c r="U446" s="185">
        <f t="shared" si="345"/>
        <v>1005371.31</v>
      </c>
      <c r="V446" s="185">
        <f t="shared" si="346"/>
        <v>6046189.700000003</v>
      </c>
      <c r="W446" s="185">
        <f t="shared" si="347"/>
        <v>0</v>
      </c>
      <c r="X446" s="401" t="str">
        <f t="shared" si="334"/>
        <v xml:space="preserve"> </v>
      </c>
      <c r="Y446" s="185">
        <f t="shared" si="318"/>
        <v>0</v>
      </c>
      <c r="Z446" s="393">
        <f t="shared" si="326"/>
        <v>0.13125000000000001</v>
      </c>
      <c r="AA446" s="185">
        <f t="shared" si="327"/>
        <v>0</v>
      </c>
      <c r="AB446" s="185">
        <f t="shared" si="328"/>
        <v>0</v>
      </c>
      <c r="AC446" s="185">
        <f t="shared" si="329"/>
        <v>0</v>
      </c>
      <c r="AD446" s="185">
        <f t="shared" si="363"/>
        <v>134.16999999999999</v>
      </c>
      <c r="AE446" s="185">
        <f t="shared" si="363"/>
        <v>188.55</v>
      </c>
      <c r="AF446" s="185">
        <f t="shared" si="330"/>
        <v>322.72000000000003</v>
      </c>
      <c r="AG446" s="185">
        <f t="shared" si="348"/>
        <v>989037.5</v>
      </c>
      <c r="AH446" s="185">
        <f t="shared" si="349"/>
        <v>2810829.4999999991</v>
      </c>
      <c r="AI446" s="411">
        <f t="shared" si="364"/>
        <v>3221740.1900000102</v>
      </c>
      <c r="AJ446" s="411">
        <f t="shared" si="351"/>
        <v>0</v>
      </c>
      <c r="AK446" s="411">
        <f t="shared" si="365"/>
        <v>3221740.1900000102</v>
      </c>
      <c r="AL446" s="185">
        <f t="shared" si="319"/>
        <v>0</v>
      </c>
      <c r="AM446" s="317">
        <f t="shared" si="335"/>
        <v>35</v>
      </c>
      <c r="AN446" s="14">
        <f t="shared" si="366"/>
        <v>0</v>
      </c>
      <c r="AO446" s="14">
        <f t="shared" si="356"/>
        <v>0</v>
      </c>
      <c r="AP446" s="14">
        <f t="shared" si="367"/>
        <v>0</v>
      </c>
      <c r="AS446" s="14">
        <f t="shared" si="331"/>
        <v>0</v>
      </c>
      <c r="AT446" s="14">
        <f t="shared" si="336"/>
        <v>0</v>
      </c>
      <c r="AU446" s="185">
        <f t="shared" si="337"/>
        <v>0</v>
      </c>
      <c r="AV446" s="185">
        <f t="shared" si="338"/>
        <v>0</v>
      </c>
    </row>
    <row r="447" spans="1:48" ht="15.75" thickBot="1">
      <c r="A447" s="404" t="str">
        <f t="shared" si="339"/>
        <v xml:space="preserve"> </v>
      </c>
      <c r="B447" s="237">
        <f t="shared" si="359"/>
        <v>0</v>
      </c>
      <c r="C447" s="21">
        <f t="shared" si="323"/>
        <v>0</v>
      </c>
      <c r="D447" s="21">
        <f t="shared" si="340"/>
        <v>0</v>
      </c>
      <c r="E447" s="21">
        <f t="shared" si="324"/>
        <v>0</v>
      </c>
      <c r="F447" s="21">
        <f t="shared" si="360"/>
        <v>0</v>
      </c>
      <c r="G447" s="21">
        <f t="shared" si="360"/>
        <v>0</v>
      </c>
      <c r="H447" s="21">
        <f t="shared" si="361"/>
        <v>0</v>
      </c>
      <c r="I447" s="237">
        <f t="shared" si="341"/>
        <v>0</v>
      </c>
      <c r="J447" s="237">
        <f t="shared" si="342"/>
        <v>0</v>
      </c>
      <c r="K447" s="237">
        <f t="shared" si="343"/>
        <v>0</v>
      </c>
      <c r="L447" s="318">
        <f t="shared" si="357"/>
        <v>35</v>
      </c>
      <c r="M447" s="318">
        <f t="shared" si="332"/>
        <v>431</v>
      </c>
      <c r="N447" s="237">
        <f t="shared" si="333"/>
        <v>0</v>
      </c>
      <c r="O447" s="237">
        <f t="shared" ref="O447:O491" si="368">IF($O$11&lt;=A447,IF(+$W446&lt;=0,0,$O$8),0)</f>
        <v>0</v>
      </c>
      <c r="P447" s="237">
        <f t="shared" si="344"/>
        <v>0</v>
      </c>
      <c r="Q447" s="237">
        <f t="shared" ref="Q447:Q491" si="369">IF($O$11&lt;=A447,ROUND(N447*($O$7/12),2),0)</f>
        <v>0</v>
      </c>
      <c r="R447" s="237">
        <f t="shared" si="358"/>
        <v>134.16999999999999</v>
      </c>
      <c r="S447" s="237">
        <f t="shared" si="358"/>
        <v>188.55</v>
      </c>
      <c r="T447" s="237">
        <f t="shared" si="362"/>
        <v>322.72000000000003</v>
      </c>
      <c r="U447" s="237">
        <f t="shared" si="345"/>
        <v>1005371.31</v>
      </c>
      <c r="V447" s="237">
        <f t="shared" si="346"/>
        <v>6046189.700000003</v>
      </c>
      <c r="W447" s="237">
        <f t="shared" si="347"/>
        <v>0</v>
      </c>
      <c r="X447" s="404" t="str">
        <f t="shared" si="334"/>
        <v xml:space="preserve"> </v>
      </c>
      <c r="Y447" s="237">
        <f t="shared" ref="Y447:Y510" si="370">IF(+AL446&lt;0,0,+AL446)</f>
        <v>0</v>
      </c>
      <c r="Z447" s="394">
        <f t="shared" si="326"/>
        <v>0.13125000000000001</v>
      </c>
      <c r="AA447" s="237">
        <f t="shared" si="327"/>
        <v>0</v>
      </c>
      <c r="AB447" s="237">
        <f t="shared" si="328"/>
        <v>0</v>
      </c>
      <c r="AC447" s="237">
        <f t="shared" si="329"/>
        <v>0</v>
      </c>
      <c r="AD447" s="237">
        <f t="shared" si="363"/>
        <v>134.16999999999999</v>
      </c>
      <c r="AE447" s="237">
        <f t="shared" si="363"/>
        <v>188.55</v>
      </c>
      <c r="AF447" s="237">
        <f t="shared" si="330"/>
        <v>322.72000000000003</v>
      </c>
      <c r="AG447" s="237">
        <f t="shared" si="348"/>
        <v>989037.5</v>
      </c>
      <c r="AH447" s="237">
        <f t="shared" si="349"/>
        <v>2810829.4999999991</v>
      </c>
      <c r="AI447" s="412">
        <f t="shared" si="364"/>
        <v>3221740.1900000102</v>
      </c>
      <c r="AJ447" s="412">
        <f t="shared" si="351"/>
        <v>0</v>
      </c>
      <c r="AK447" s="411">
        <f t="shared" si="365"/>
        <v>3221740.1900000102</v>
      </c>
      <c r="AL447" s="237">
        <f t="shared" ref="AL447:AL510" si="371">+Y447-AB447</f>
        <v>0</v>
      </c>
      <c r="AM447" s="318">
        <f t="shared" si="335"/>
        <v>35</v>
      </c>
      <c r="AN447" s="21">
        <f t="shared" si="366"/>
        <v>0</v>
      </c>
      <c r="AO447" s="21">
        <f t="shared" si="356"/>
        <v>0</v>
      </c>
      <c r="AP447" s="21">
        <f t="shared" si="367"/>
        <v>0</v>
      </c>
      <c r="AQ447" s="21"/>
      <c r="AR447" s="23"/>
      <c r="AS447" s="21">
        <f t="shared" si="331"/>
        <v>0</v>
      </c>
      <c r="AT447" s="21">
        <f t="shared" si="336"/>
        <v>0</v>
      </c>
      <c r="AU447" s="237">
        <f t="shared" si="337"/>
        <v>0</v>
      </c>
      <c r="AV447" s="237">
        <f t="shared" si="338"/>
        <v>0</v>
      </c>
    </row>
    <row r="448" spans="1:48">
      <c r="A448" s="401" t="str">
        <f t="shared" si="339"/>
        <v xml:space="preserve"> </v>
      </c>
      <c r="B448" s="185">
        <f t="shared" si="359"/>
        <v>0</v>
      </c>
      <c r="C448" s="14">
        <f t="shared" si="323"/>
        <v>0</v>
      </c>
      <c r="D448" s="14">
        <f t="shared" si="340"/>
        <v>0</v>
      </c>
      <c r="E448" s="14">
        <f t="shared" si="324"/>
        <v>0</v>
      </c>
      <c r="F448" s="14">
        <f t="shared" si="360"/>
        <v>0</v>
      </c>
      <c r="G448" s="14">
        <f t="shared" si="360"/>
        <v>0</v>
      </c>
      <c r="H448" s="14">
        <f t="shared" si="361"/>
        <v>0</v>
      </c>
      <c r="I448" s="185">
        <f t="shared" si="341"/>
        <v>0</v>
      </c>
      <c r="J448" s="185">
        <f t="shared" si="342"/>
        <v>0</v>
      </c>
      <c r="K448" s="185">
        <f t="shared" si="343"/>
        <v>0</v>
      </c>
      <c r="L448" s="317">
        <f t="shared" si="357"/>
        <v>36</v>
      </c>
      <c r="M448" s="317">
        <f t="shared" si="332"/>
        <v>432</v>
      </c>
      <c r="N448" s="185">
        <f t="shared" si="333"/>
        <v>0</v>
      </c>
      <c r="O448" s="185">
        <f t="shared" si="368"/>
        <v>0</v>
      </c>
      <c r="P448" s="185">
        <f t="shared" si="344"/>
        <v>0</v>
      </c>
      <c r="Q448" s="185">
        <f t="shared" si="369"/>
        <v>0</v>
      </c>
      <c r="R448" s="185">
        <f t="shared" ref="R448:S463" si="372">+R447</f>
        <v>134.16999999999999</v>
      </c>
      <c r="S448" s="185">
        <f t="shared" si="372"/>
        <v>188.55</v>
      </c>
      <c r="T448" s="185">
        <f t="shared" si="362"/>
        <v>322.72000000000003</v>
      </c>
      <c r="U448" s="185">
        <f t="shared" si="345"/>
        <v>1005371.31</v>
      </c>
      <c r="V448" s="185">
        <f t="shared" si="346"/>
        <v>6046189.700000003</v>
      </c>
      <c r="W448" s="185">
        <f t="shared" si="347"/>
        <v>0</v>
      </c>
      <c r="X448" s="401" t="str">
        <f t="shared" si="334"/>
        <v xml:space="preserve"> </v>
      </c>
      <c r="Y448" s="185">
        <f t="shared" si="370"/>
        <v>0</v>
      </c>
      <c r="Z448" s="393">
        <f t="shared" si="326"/>
        <v>0.13125000000000001</v>
      </c>
      <c r="AA448" s="185">
        <f t="shared" si="327"/>
        <v>0</v>
      </c>
      <c r="AB448" s="185">
        <f t="shared" si="328"/>
        <v>0</v>
      </c>
      <c r="AC448" s="185">
        <f t="shared" si="329"/>
        <v>0</v>
      </c>
      <c r="AD448" s="185">
        <f t="shared" si="363"/>
        <v>134.16999999999999</v>
      </c>
      <c r="AE448" s="185">
        <f t="shared" si="363"/>
        <v>188.55</v>
      </c>
      <c r="AF448" s="185">
        <f t="shared" si="330"/>
        <v>322.72000000000003</v>
      </c>
      <c r="AG448" s="185">
        <f t="shared" si="348"/>
        <v>989037.5</v>
      </c>
      <c r="AH448" s="185">
        <f t="shared" si="349"/>
        <v>2810829.4999999991</v>
      </c>
      <c r="AI448" s="411">
        <f t="shared" si="364"/>
        <v>3221740.1900000102</v>
      </c>
      <c r="AJ448" s="411">
        <f t="shared" si="351"/>
        <v>0</v>
      </c>
      <c r="AK448" s="411">
        <f t="shared" si="365"/>
        <v>3221740.1900000102</v>
      </c>
      <c r="AL448" s="185">
        <f t="shared" si="371"/>
        <v>0</v>
      </c>
      <c r="AM448" s="317">
        <f t="shared" si="335"/>
        <v>36</v>
      </c>
      <c r="AN448" s="14">
        <f t="shared" si="366"/>
        <v>0</v>
      </c>
      <c r="AO448" s="14">
        <f t="shared" si="356"/>
        <v>0</v>
      </c>
      <c r="AP448" s="14">
        <f t="shared" si="367"/>
        <v>0</v>
      </c>
      <c r="AS448" s="14">
        <f t="shared" si="331"/>
        <v>0</v>
      </c>
      <c r="AT448" s="14">
        <f t="shared" si="336"/>
        <v>0</v>
      </c>
      <c r="AU448" s="185">
        <f t="shared" si="337"/>
        <v>0</v>
      </c>
      <c r="AV448" s="185">
        <f t="shared" si="338"/>
        <v>0</v>
      </c>
    </row>
    <row r="449" spans="1:48">
      <c r="A449" s="401" t="str">
        <f t="shared" si="339"/>
        <v xml:space="preserve"> </v>
      </c>
      <c r="B449" s="185">
        <f t="shared" si="359"/>
        <v>0</v>
      </c>
      <c r="C449" s="14">
        <f t="shared" si="323"/>
        <v>0</v>
      </c>
      <c r="D449" s="14">
        <f t="shared" si="340"/>
        <v>0</v>
      </c>
      <c r="E449" s="14">
        <f t="shared" si="324"/>
        <v>0</v>
      </c>
      <c r="F449" s="14">
        <f t="shared" si="360"/>
        <v>0</v>
      </c>
      <c r="G449" s="14">
        <f t="shared" si="360"/>
        <v>0</v>
      </c>
      <c r="H449" s="14">
        <f t="shared" si="361"/>
        <v>0</v>
      </c>
      <c r="I449" s="185">
        <f t="shared" si="341"/>
        <v>0</v>
      </c>
      <c r="J449" s="185">
        <f t="shared" si="342"/>
        <v>0</v>
      </c>
      <c r="K449" s="185">
        <f t="shared" si="343"/>
        <v>0</v>
      </c>
      <c r="L449" s="317">
        <f t="shared" si="357"/>
        <v>36</v>
      </c>
      <c r="M449" s="317">
        <f t="shared" si="332"/>
        <v>433</v>
      </c>
      <c r="N449" s="185">
        <f t="shared" si="333"/>
        <v>0</v>
      </c>
      <c r="O449" s="185">
        <f t="shared" si="368"/>
        <v>0</v>
      </c>
      <c r="P449" s="185">
        <f t="shared" si="344"/>
        <v>0</v>
      </c>
      <c r="Q449" s="185">
        <f t="shared" si="369"/>
        <v>0</v>
      </c>
      <c r="R449" s="185">
        <f t="shared" si="372"/>
        <v>134.16999999999999</v>
      </c>
      <c r="S449" s="185">
        <f t="shared" si="372"/>
        <v>188.55</v>
      </c>
      <c r="T449" s="185">
        <f t="shared" si="362"/>
        <v>322.72000000000003</v>
      </c>
      <c r="U449" s="185">
        <f t="shared" si="345"/>
        <v>1005371.31</v>
      </c>
      <c r="V449" s="185">
        <f t="shared" si="346"/>
        <v>6046189.700000003</v>
      </c>
      <c r="W449" s="185">
        <f t="shared" si="347"/>
        <v>0</v>
      </c>
      <c r="X449" s="401" t="str">
        <f t="shared" si="334"/>
        <v xml:space="preserve"> </v>
      </c>
      <c r="Y449" s="185">
        <f t="shared" si="370"/>
        <v>0</v>
      </c>
      <c r="Z449" s="393">
        <f t="shared" si="326"/>
        <v>0.13125000000000001</v>
      </c>
      <c r="AA449" s="185">
        <f t="shared" si="327"/>
        <v>0</v>
      </c>
      <c r="AB449" s="185">
        <f t="shared" si="328"/>
        <v>0</v>
      </c>
      <c r="AC449" s="185">
        <f t="shared" si="329"/>
        <v>0</v>
      </c>
      <c r="AD449" s="185">
        <f t="shared" si="363"/>
        <v>134.16999999999999</v>
      </c>
      <c r="AE449" s="185">
        <f t="shared" si="363"/>
        <v>188.55</v>
      </c>
      <c r="AF449" s="185">
        <f t="shared" si="330"/>
        <v>322.72000000000003</v>
      </c>
      <c r="AG449" s="185">
        <f t="shared" si="348"/>
        <v>989037.5</v>
      </c>
      <c r="AH449" s="185">
        <f t="shared" si="349"/>
        <v>2810829.4999999991</v>
      </c>
      <c r="AI449" s="411">
        <f t="shared" si="364"/>
        <v>3221740.1900000102</v>
      </c>
      <c r="AJ449" s="411">
        <f t="shared" si="351"/>
        <v>0</v>
      </c>
      <c r="AK449" s="411">
        <f t="shared" si="365"/>
        <v>3221740.1900000102</v>
      </c>
      <c r="AL449" s="185">
        <f t="shared" si="371"/>
        <v>0</v>
      </c>
      <c r="AM449" s="317">
        <f t="shared" si="335"/>
        <v>36</v>
      </c>
      <c r="AN449" s="14">
        <f t="shared" si="366"/>
        <v>0</v>
      </c>
      <c r="AO449" s="14">
        <f t="shared" si="356"/>
        <v>0</v>
      </c>
      <c r="AP449" s="14">
        <f t="shared" si="367"/>
        <v>0</v>
      </c>
      <c r="AS449" s="14">
        <f t="shared" si="331"/>
        <v>0</v>
      </c>
      <c r="AT449" s="14">
        <f t="shared" si="336"/>
        <v>0</v>
      </c>
      <c r="AU449" s="185">
        <f t="shared" si="337"/>
        <v>0</v>
      </c>
      <c r="AV449" s="185">
        <f t="shared" si="338"/>
        <v>0</v>
      </c>
    </row>
    <row r="450" spans="1:48">
      <c r="A450" s="401" t="str">
        <f t="shared" si="339"/>
        <v xml:space="preserve"> </v>
      </c>
      <c r="B450" s="185">
        <f t="shared" si="359"/>
        <v>0</v>
      </c>
      <c r="C450" s="14">
        <f t="shared" si="323"/>
        <v>0</v>
      </c>
      <c r="D450" s="14">
        <f t="shared" si="340"/>
        <v>0</v>
      </c>
      <c r="E450" s="14">
        <f t="shared" si="324"/>
        <v>0</v>
      </c>
      <c r="F450" s="14">
        <f t="shared" si="360"/>
        <v>0</v>
      </c>
      <c r="G450" s="14">
        <f t="shared" si="360"/>
        <v>0</v>
      </c>
      <c r="H450" s="14">
        <f t="shared" si="361"/>
        <v>0</v>
      </c>
      <c r="I450" s="185">
        <f t="shared" si="341"/>
        <v>0</v>
      </c>
      <c r="J450" s="185">
        <f t="shared" si="342"/>
        <v>0</v>
      </c>
      <c r="K450" s="185">
        <f t="shared" si="343"/>
        <v>0</v>
      </c>
      <c r="L450" s="317">
        <f t="shared" si="357"/>
        <v>36</v>
      </c>
      <c r="M450" s="317">
        <f t="shared" si="332"/>
        <v>434</v>
      </c>
      <c r="N450" s="185">
        <f t="shared" si="333"/>
        <v>0</v>
      </c>
      <c r="O450" s="185">
        <f t="shared" si="368"/>
        <v>0</v>
      </c>
      <c r="P450" s="185">
        <f t="shared" si="344"/>
        <v>0</v>
      </c>
      <c r="Q450" s="185">
        <f t="shared" si="369"/>
        <v>0</v>
      </c>
      <c r="R450" s="185">
        <f t="shared" si="372"/>
        <v>134.16999999999999</v>
      </c>
      <c r="S450" s="185">
        <f t="shared" si="372"/>
        <v>188.55</v>
      </c>
      <c r="T450" s="185">
        <f t="shared" si="362"/>
        <v>322.72000000000003</v>
      </c>
      <c r="U450" s="185">
        <f t="shared" si="345"/>
        <v>1005371.31</v>
      </c>
      <c r="V450" s="185">
        <f t="shared" si="346"/>
        <v>6046189.700000003</v>
      </c>
      <c r="W450" s="185">
        <f t="shared" si="347"/>
        <v>0</v>
      </c>
      <c r="X450" s="401" t="str">
        <f t="shared" si="334"/>
        <v xml:space="preserve"> </v>
      </c>
      <c r="Y450" s="185">
        <f t="shared" si="370"/>
        <v>0</v>
      </c>
      <c r="Z450" s="393">
        <f t="shared" si="326"/>
        <v>0.13125000000000001</v>
      </c>
      <c r="AA450" s="185">
        <f t="shared" si="327"/>
        <v>0</v>
      </c>
      <c r="AB450" s="185">
        <f t="shared" si="328"/>
        <v>0</v>
      </c>
      <c r="AC450" s="185">
        <f t="shared" si="329"/>
        <v>0</v>
      </c>
      <c r="AD450" s="185">
        <f t="shared" si="363"/>
        <v>134.16999999999999</v>
      </c>
      <c r="AE450" s="185">
        <f t="shared" si="363"/>
        <v>188.55</v>
      </c>
      <c r="AF450" s="185">
        <f t="shared" si="330"/>
        <v>322.72000000000003</v>
      </c>
      <c r="AG450" s="185">
        <f t="shared" si="348"/>
        <v>989037.5</v>
      </c>
      <c r="AH450" s="185">
        <f t="shared" si="349"/>
        <v>2810829.4999999991</v>
      </c>
      <c r="AI450" s="411">
        <f t="shared" si="364"/>
        <v>3221740.1900000102</v>
      </c>
      <c r="AJ450" s="411">
        <f t="shared" si="351"/>
        <v>0</v>
      </c>
      <c r="AK450" s="411">
        <f t="shared" si="365"/>
        <v>3221740.1900000102</v>
      </c>
      <c r="AL450" s="185">
        <f t="shared" si="371"/>
        <v>0</v>
      </c>
      <c r="AM450" s="317">
        <f t="shared" si="335"/>
        <v>36</v>
      </c>
      <c r="AN450" s="14">
        <f t="shared" si="366"/>
        <v>0</v>
      </c>
      <c r="AO450" s="14">
        <f t="shared" si="356"/>
        <v>0</v>
      </c>
      <c r="AP450" s="14">
        <f t="shared" si="367"/>
        <v>0</v>
      </c>
      <c r="AS450" s="14">
        <f t="shared" si="331"/>
        <v>0</v>
      </c>
      <c r="AT450" s="14">
        <f t="shared" si="336"/>
        <v>0</v>
      </c>
      <c r="AU450" s="185">
        <f t="shared" si="337"/>
        <v>0</v>
      </c>
      <c r="AV450" s="185">
        <f t="shared" si="338"/>
        <v>0</v>
      </c>
    </row>
    <row r="451" spans="1:48">
      <c r="A451" s="401" t="str">
        <f t="shared" si="339"/>
        <v xml:space="preserve"> </v>
      </c>
      <c r="B451" s="185">
        <f t="shared" si="359"/>
        <v>0</v>
      </c>
      <c r="C451" s="14">
        <f t="shared" si="323"/>
        <v>0</v>
      </c>
      <c r="D451" s="14">
        <f t="shared" si="340"/>
        <v>0</v>
      </c>
      <c r="E451" s="14">
        <f t="shared" si="324"/>
        <v>0</v>
      </c>
      <c r="F451" s="14">
        <f t="shared" si="360"/>
        <v>0</v>
      </c>
      <c r="G451" s="14">
        <f t="shared" si="360"/>
        <v>0</v>
      </c>
      <c r="H451" s="14">
        <f t="shared" si="361"/>
        <v>0</v>
      </c>
      <c r="I451" s="185">
        <f t="shared" si="341"/>
        <v>0</v>
      </c>
      <c r="J451" s="185">
        <f t="shared" si="342"/>
        <v>0</v>
      </c>
      <c r="K451" s="185">
        <f t="shared" si="343"/>
        <v>0</v>
      </c>
      <c r="L451" s="317">
        <f t="shared" si="357"/>
        <v>36</v>
      </c>
      <c r="M451" s="317">
        <f t="shared" si="332"/>
        <v>435</v>
      </c>
      <c r="N451" s="185">
        <f t="shared" si="333"/>
        <v>0</v>
      </c>
      <c r="O451" s="185">
        <f t="shared" si="368"/>
        <v>0</v>
      </c>
      <c r="P451" s="185">
        <f t="shared" si="344"/>
        <v>0</v>
      </c>
      <c r="Q451" s="185">
        <f t="shared" si="369"/>
        <v>0</v>
      </c>
      <c r="R451" s="185">
        <f t="shared" si="372"/>
        <v>134.16999999999999</v>
      </c>
      <c r="S451" s="185">
        <f t="shared" si="372"/>
        <v>188.55</v>
      </c>
      <c r="T451" s="185">
        <f t="shared" si="362"/>
        <v>322.72000000000003</v>
      </c>
      <c r="U451" s="185">
        <f t="shared" si="345"/>
        <v>1005371.31</v>
      </c>
      <c r="V451" s="185">
        <f t="shared" si="346"/>
        <v>6046189.700000003</v>
      </c>
      <c r="W451" s="185">
        <f t="shared" si="347"/>
        <v>0</v>
      </c>
      <c r="X451" s="401" t="str">
        <f t="shared" si="334"/>
        <v xml:space="preserve"> </v>
      </c>
      <c r="Y451" s="185">
        <f t="shared" si="370"/>
        <v>0</v>
      </c>
      <c r="Z451" s="393">
        <f t="shared" si="326"/>
        <v>0.13125000000000001</v>
      </c>
      <c r="AA451" s="185">
        <f t="shared" si="327"/>
        <v>0</v>
      </c>
      <c r="AB451" s="185">
        <f t="shared" si="328"/>
        <v>0</v>
      </c>
      <c r="AC451" s="185">
        <f t="shared" si="329"/>
        <v>0</v>
      </c>
      <c r="AD451" s="185">
        <f t="shared" si="363"/>
        <v>134.16999999999999</v>
      </c>
      <c r="AE451" s="185">
        <f t="shared" si="363"/>
        <v>188.55</v>
      </c>
      <c r="AF451" s="185">
        <f t="shared" si="330"/>
        <v>322.72000000000003</v>
      </c>
      <c r="AG451" s="185">
        <f t="shared" si="348"/>
        <v>989037.5</v>
      </c>
      <c r="AH451" s="185">
        <f t="shared" si="349"/>
        <v>2810829.4999999991</v>
      </c>
      <c r="AI451" s="411">
        <f t="shared" si="364"/>
        <v>3221740.1900000102</v>
      </c>
      <c r="AJ451" s="411">
        <f t="shared" si="351"/>
        <v>0</v>
      </c>
      <c r="AK451" s="411">
        <f t="shared" si="365"/>
        <v>3221740.1900000102</v>
      </c>
      <c r="AL451" s="185">
        <f t="shared" si="371"/>
        <v>0</v>
      </c>
      <c r="AM451" s="317">
        <f t="shared" si="335"/>
        <v>36</v>
      </c>
      <c r="AN451" s="14">
        <f t="shared" si="366"/>
        <v>0</v>
      </c>
      <c r="AO451" s="14">
        <f t="shared" si="356"/>
        <v>0</v>
      </c>
      <c r="AP451" s="14">
        <f t="shared" si="367"/>
        <v>0</v>
      </c>
      <c r="AS451" s="14">
        <f t="shared" si="331"/>
        <v>0</v>
      </c>
      <c r="AT451" s="14">
        <f t="shared" si="336"/>
        <v>0</v>
      </c>
      <c r="AU451" s="185">
        <f t="shared" si="337"/>
        <v>0</v>
      </c>
      <c r="AV451" s="185">
        <f t="shared" si="338"/>
        <v>0</v>
      </c>
    </row>
    <row r="452" spans="1:48">
      <c r="A452" s="401" t="str">
        <f t="shared" si="339"/>
        <v xml:space="preserve"> </v>
      </c>
      <c r="B452" s="185">
        <f t="shared" si="359"/>
        <v>0</v>
      </c>
      <c r="C452" s="14">
        <f t="shared" si="323"/>
        <v>0</v>
      </c>
      <c r="D452" s="14">
        <f t="shared" si="340"/>
        <v>0</v>
      </c>
      <c r="E452" s="14">
        <f t="shared" si="324"/>
        <v>0</v>
      </c>
      <c r="F452" s="14">
        <f t="shared" si="360"/>
        <v>0</v>
      </c>
      <c r="G452" s="14">
        <f t="shared" si="360"/>
        <v>0</v>
      </c>
      <c r="H452" s="14">
        <f t="shared" si="361"/>
        <v>0</v>
      </c>
      <c r="I452" s="185">
        <f t="shared" si="341"/>
        <v>0</v>
      </c>
      <c r="J452" s="185">
        <f t="shared" si="342"/>
        <v>0</v>
      </c>
      <c r="K452" s="185">
        <f t="shared" si="343"/>
        <v>0</v>
      </c>
      <c r="L452" s="317">
        <f t="shared" si="357"/>
        <v>36</v>
      </c>
      <c r="M452" s="317">
        <f t="shared" si="332"/>
        <v>436</v>
      </c>
      <c r="N452" s="185">
        <f t="shared" si="333"/>
        <v>0</v>
      </c>
      <c r="O452" s="185">
        <f t="shared" si="368"/>
        <v>0</v>
      </c>
      <c r="P452" s="185">
        <f t="shared" si="344"/>
        <v>0</v>
      </c>
      <c r="Q452" s="185">
        <f t="shared" si="369"/>
        <v>0</v>
      </c>
      <c r="R452" s="185">
        <f t="shared" si="372"/>
        <v>134.16999999999999</v>
      </c>
      <c r="S452" s="185">
        <f t="shared" si="372"/>
        <v>188.55</v>
      </c>
      <c r="T452" s="185">
        <f t="shared" si="362"/>
        <v>322.72000000000003</v>
      </c>
      <c r="U452" s="185">
        <f t="shared" si="345"/>
        <v>1005371.31</v>
      </c>
      <c r="V452" s="185">
        <f t="shared" si="346"/>
        <v>6046189.700000003</v>
      </c>
      <c r="W452" s="185">
        <f t="shared" si="347"/>
        <v>0</v>
      </c>
      <c r="X452" s="401" t="str">
        <f t="shared" si="334"/>
        <v xml:space="preserve"> </v>
      </c>
      <c r="Y452" s="185">
        <f t="shared" si="370"/>
        <v>0</v>
      </c>
      <c r="Z452" s="393">
        <f t="shared" si="326"/>
        <v>0.13125000000000001</v>
      </c>
      <c r="AA452" s="185">
        <f t="shared" si="327"/>
        <v>0</v>
      </c>
      <c r="AB452" s="185">
        <f t="shared" si="328"/>
        <v>0</v>
      </c>
      <c r="AC452" s="185">
        <f t="shared" si="329"/>
        <v>0</v>
      </c>
      <c r="AD452" s="185">
        <f t="shared" si="363"/>
        <v>134.16999999999999</v>
      </c>
      <c r="AE452" s="185">
        <f t="shared" si="363"/>
        <v>188.55</v>
      </c>
      <c r="AF452" s="185">
        <f t="shared" si="330"/>
        <v>322.72000000000003</v>
      </c>
      <c r="AG452" s="185">
        <f t="shared" si="348"/>
        <v>989037.5</v>
      </c>
      <c r="AH452" s="185">
        <f t="shared" si="349"/>
        <v>2810829.4999999991</v>
      </c>
      <c r="AI452" s="411">
        <f t="shared" si="364"/>
        <v>3221740.1900000102</v>
      </c>
      <c r="AJ452" s="411">
        <f t="shared" si="351"/>
        <v>0</v>
      </c>
      <c r="AK452" s="411">
        <f t="shared" si="365"/>
        <v>3221740.1900000102</v>
      </c>
      <c r="AL452" s="185">
        <f t="shared" si="371"/>
        <v>0</v>
      </c>
      <c r="AM452" s="317">
        <f t="shared" si="335"/>
        <v>36</v>
      </c>
      <c r="AN452" s="14">
        <f t="shared" si="366"/>
        <v>0</v>
      </c>
      <c r="AO452" s="14">
        <f t="shared" si="356"/>
        <v>0</v>
      </c>
      <c r="AP452" s="14">
        <f t="shared" si="367"/>
        <v>0</v>
      </c>
      <c r="AS452" s="14">
        <f t="shared" si="331"/>
        <v>0</v>
      </c>
      <c r="AT452" s="14">
        <f t="shared" si="336"/>
        <v>0</v>
      </c>
      <c r="AU452" s="185">
        <f t="shared" si="337"/>
        <v>0</v>
      </c>
      <c r="AV452" s="185">
        <f t="shared" si="338"/>
        <v>0</v>
      </c>
    </row>
    <row r="453" spans="1:48">
      <c r="A453" s="401" t="str">
        <f t="shared" si="339"/>
        <v xml:space="preserve"> </v>
      </c>
      <c r="B453" s="185">
        <f t="shared" si="359"/>
        <v>0</v>
      </c>
      <c r="C453" s="14">
        <f t="shared" si="323"/>
        <v>0</v>
      </c>
      <c r="D453" s="14">
        <f t="shared" si="340"/>
        <v>0</v>
      </c>
      <c r="E453" s="14">
        <f t="shared" si="324"/>
        <v>0</v>
      </c>
      <c r="F453" s="14">
        <f t="shared" si="360"/>
        <v>0</v>
      </c>
      <c r="G453" s="14">
        <f t="shared" si="360"/>
        <v>0</v>
      </c>
      <c r="H453" s="14">
        <f t="shared" si="361"/>
        <v>0</v>
      </c>
      <c r="I453" s="185">
        <f t="shared" si="341"/>
        <v>0</v>
      </c>
      <c r="J453" s="185">
        <f t="shared" si="342"/>
        <v>0</v>
      </c>
      <c r="K453" s="185">
        <f t="shared" si="343"/>
        <v>0</v>
      </c>
      <c r="L453" s="317">
        <f t="shared" si="357"/>
        <v>36</v>
      </c>
      <c r="M453" s="317">
        <f t="shared" si="332"/>
        <v>437</v>
      </c>
      <c r="N453" s="185">
        <f t="shared" si="333"/>
        <v>0</v>
      </c>
      <c r="O453" s="185">
        <f t="shared" si="368"/>
        <v>0</v>
      </c>
      <c r="P453" s="185">
        <f t="shared" si="344"/>
        <v>0</v>
      </c>
      <c r="Q453" s="185">
        <f t="shared" si="369"/>
        <v>0</v>
      </c>
      <c r="R453" s="185">
        <f t="shared" si="372"/>
        <v>134.16999999999999</v>
      </c>
      <c r="S453" s="185">
        <f t="shared" si="372"/>
        <v>188.55</v>
      </c>
      <c r="T453" s="185">
        <f t="shared" si="362"/>
        <v>322.72000000000003</v>
      </c>
      <c r="U453" s="185">
        <f t="shared" si="345"/>
        <v>1005371.31</v>
      </c>
      <c r="V453" s="185">
        <f t="shared" si="346"/>
        <v>6046189.700000003</v>
      </c>
      <c r="W453" s="185">
        <f t="shared" si="347"/>
        <v>0</v>
      </c>
      <c r="X453" s="401" t="str">
        <f t="shared" si="334"/>
        <v xml:space="preserve"> </v>
      </c>
      <c r="Y453" s="185">
        <f t="shared" si="370"/>
        <v>0</v>
      </c>
      <c r="Z453" s="393">
        <f t="shared" si="326"/>
        <v>0.13125000000000001</v>
      </c>
      <c r="AA453" s="185">
        <f t="shared" si="327"/>
        <v>0</v>
      </c>
      <c r="AB453" s="185">
        <f t="shared" si="328"/>
        <v>0</v>
      </c>
      <c r="AC453" s="185">
        <f t="shared" si="329"/>
        <v>0</v>
      </c>
      <c r="AD453" s="185">
        <f t="shared" si="363"/>
        <v>134.16999999999999</v>
      </c>
      <c r="AE453" s="185">
        <f t="shared" si="363"/>
        <v>188.55</v>
      </c>
      <c r="AF453" s="185">
        <f t="shared" si="330"/>
        <v>322.72000000000003</v>
      </c>
      <c r="AG453" s="185">
        <f t="shared" si="348"/>
        <v>989037.5</v>
      </c>
      <c r="AH453" s="185">
        <f t="shared" si="349"/>
        <v>2810829.4999999991</v>
      </c>
      <c r="AI453" s="411">
        <f t="shared" si="364"/>
        <v>3221740.1900000102</v>
      </c>
      <c r="AJ453" s="411">
        <f t="shared" si="351"/>
        <v>0</v>
      </c>
      <c r="AK453" s="411">
        <f t="shared" si="365"/>
        <v>3221740.1900000102</v>
      </c>
      <c r="AL453" s="185">
        <f t="shared" si="371"/>
        <v>0</v>
      </c>
      <c r="AM453" s="317">
        <f t="shared" si="335"/>
        <v>36</v>
      </c>
      <c r="AN453" s="14">
        <f t="shared" si="366"/>
        <v>0</v>
      </c>
      <c r="AO453" s="14">
        <f t="shared" si="356"/>
        <v>0</v>
      </c>
      <c r="AP453" s="14">
        <f t="shared" si="367"/>
        <v>0</v>
      </c>
      <c r="AS453" s="14">
        <f t="shared" si="331"/>
        <v>0</v>
      </c>
      <c r="AT453" s="14">
        <f t="shared" si="336"/>
        <v>0</v>
      </c>
      <c r="AU453" s="185">
        <f t="shared" si="337"/>
        <v>0</v>
      </c>
      <c r="AV453" s="185">
        <f t="shared" si="338"/>
        <v>0</v>
      </c>
    </row>
    <row r="454" spans="1:48">
      <c r="A454" s="401" t="str">
        <f t="shared" si="339"/>
        <v xml:space="preserve"> </v>
      </c>
      <c r="B454" s="185">
        <f t="shared" si="359"/>
        <v>0</v>
      </c>
      <c r="C454" s="14">
        <f t="shared" si="323"/>
        <v>0</v>
      </c>
      <c r="D454" s="14">
        <f t="shared" si="340"/>
        <v>0</v>
      </c>
      <c r="E454" s="14">
        <f t="shared" si="324"/>
        <v>0</v>
      </c>
      <c r="F454" s="14">
        <f t="shared" si="360"/>
        <v>0</v>
      </c>
      <c r="G454" s="14">
        <f t="shared" si="360"/>
        <v>0</v>
      </c>
      <c r="H454" s="14">
        <f t="shared" si="361"/>
        <v>0</v>
      </c>
      <c r="I454" s="185">
        <f t="shared" si="341"/>
        <v>0</v>
      </c>
      <c r="J454" s="185">
        <f t="shared" si="342"/>
        <v>0</v>
      </c>
      <c r="K454" s="185">
        <f t="shared" si="343"/>
        <v>0</v>
      </c>
      <c r="L454" s="317">
        <f t="shared" si="357"/>
        <v>36</v>
      </c>
      <c r="M454" s="317">
        <f t="shared" si="332"/>
        <v>438</v>
      </c>
      <c r="N454" s="185">
        <f t="shared" si="333"/>
        <v>0</v>
      </c>
      <c r="O454" s="185">
        <f t="shared" si="368"/>
        <v>0</v>
      </c>
      <c r="P454" s="185">
        <f t="shared" si="344"/>
        <v>0</v>
      </c>
      <c r="Q454" s="185">
        <f t="shared" si="369"/>
        <v>0</v>
      </c>
      <c r="R454" s="185">
        <f t="shared" si="372"/>
        <v>134.16999999999999</v>
      </c>
      <c r="S454" s="185">
        <f t="shared" si="372"/>
        <v>188.55</v>
      </c>
      <c r="T454" s="185">
        <f t="shared" si="362"/>
        <v>322.72000000000003</v>
      </c>
      <c r="U454" s="185">
        <f t="shared" si="345"/>
        <v>1005371.31</v>
      </c>
      <c r="V454" s="185">
        <f t="shared" si="346"/>
        <v>6046189.700000003</v>
      </c>
      <c r="W454" s="185">
        <f t="shared" si="347"/>
        <v>0</v>
      </c>
      <c r="X454" s="401" t="str">
        <f t="shared" si="334"/>
        <v xml:space="preserve"> </v>
      </c>
      <c r="Y454" s="185">
        <f t="shared" si="370"/>
        <v>0</v>
      </c>
      <c r="Z454" s="393">
        <f t="shared" si="326"/>
        <v>0.13125000000000001</v>
      </c>
      <c r="AA454" s="185">
        <f t="shared" si="327"/>
        <v>0</v>
      </c>
      <c r="AB454" s="185">
        <f t="shared" si="328"/>
        <v>0</v>
      </c>
      <c r="AC454" s="185">
        <f t="shared" si="329"/>
        <v>0</v>
      </c>
      <c r="AD454" s="185">
        <f t="shared" si="363"/>
        <v>134.16999999999999</v>
      </c>
      <c r="AE454" s="185">
        <f t="shared" si="363"/>
        <v>188.55</v>
      </c>
      <c r="AF454" s="185">
        <f t="shared" si="330"/>
        <v>322.72000000000003</v>
      </c>
      <c r="AG454" s="185">
        <f t="shared" si="348"/>
        <v>989037.5</v>
      </c>
      <c r="AH454" s="185">
        <f t="shared" si="349"/>
        <v>2810829.4999999991</v>
      </c>
      <c r="AI454" s="411">
        <f t="shared" si="364"/>
        <v>3221740.1900000102</v>
      </c>
      <c r="AJ454" s="411">
        <f t="shared" si="351"/>
        <v>0</v>
      </c>
      <c r="AK454" s="411">
        <f t="shared" si="365"/>
        <v>3221740.1900000102</v>
      </c>
      <c r="AL454" s="185">
        <f t="shared" si="371"/>
        <v>0</v>
      </c>
      <c r="AM454" s="317">
        <f t="shared" si="335"/>
        <v>36</v>
      </c>
      <c r="AN454" s="14">
        <f t="shared" si="366"/>
        <v>0</v>
      </c>
      <c r="AO454" s="14">
        <f t="shared" si="356"/>
        <v>0</v>
      </c>
      <c r="AP454" s="14">
        <f t="shared" si="367"/>
        <v>0</v>
      </c>
      <c r="AS454" s="14">
        <f t="shared" si="331"/>
        <v>0</v>
      </c>
      <c r="AT454" s="14">
        <f t="shared" si="336"/>
        <v>0</v>
      </c>
      <c r="AU454" s="185">
        <f t="shared" si="337"/>
        <v>0</v>
      </c>
      <c r="AV454" s="185">
        <f t="shared" si="338"/>
        <v>0</v>
      </c>
    </row>
    <row r="455" spans="1:48">
      <c r="A455" s="401" t="str">
        <f t="shared" si="339"/>
        <v xml:space="preserve"> </v>
      </c>
      <c r="B455" s="185">
        <f t="shared" si="359"/>
        <v>0</v>
      </c>
      <c r="C455" s="14">
        <f t="shared" si="323"/>
        <v>0</v>
      </c>
      <c r="D455" s="14">
        <f t="shared" si="340"/>
        <v>0</v>
      </c>
      <c r="E455" s="14">
        <f t="shared" si="324"/>
        <v>0</v>
      </c>
      <c r="F455" s="14">
        <f t="shared" si="360"/>
        <v>0</v>
      </c>
      <c r="G455" s="14">
        <f t="shared" si="360"/>
        <v>0</v>
      </c>
      <c r="H455" s="14">
        <f t="shared" si="361"/>
        <v>0</v>
      </c>
      <c r="I455" s="185">
        <f t="shared" si="341"/>
        <v>0</v>
      </c>
      <c r="J455" s="185">
        <f t="shared" si="342"/>
        <v>0</v>
      </c>
      <c r="K455" s="185">
        <f t="shared" si="343"/>
        <v>0</v>
      </c>
      <c r="L455" s="317">
        <f t="shared" si="357"/>
        <v>36</v>
      </c>
      <c r="M455" s="317">
        <f t="shared" si="332"/>
        <v>439</v>
      </c>
      <c r="N455" s="185">
        <f t="shared" si="333"/>
        <v>0</v>
      </c>
      <c r="O455" s="185">
        <f t="shared" si="368"/>
        <v>0</v>
      </c>
      <c r="P455" s="185">
        <f t="shared" si="344"/>
        <v>0</v>
      </c>
      <c r="Q455" s="185">
        <f t="shared" si="369"/>
        <v>0</v>
      </c>
      <c r="R455" s="185">
        <f t="shared" si="372"/>
        <v>134.16999999999999</v>
      </c>
      <c r="S455" s="185">
        <f t="shared" si="372"/>
        <v>188.55</v>
      </c>
      <c r="T455" s="185">
        <f t="shared" si="362"/>
        <v>322.72000000000003</v>
      </c>
      <c r="U455" s="185">
        <f t="shared" si="345"/>
        <v>1005371.31</v>
      </c>
      <c r="V455" s="185">
        <f t="shared" si="346"/>
        <v>6046189.700000003</v>
      </c>
      <c r="W455" s="185">
        <f t="shared" si="347"/>
        <v>0</v>
      </c>
      <c r="X455" s="401" t="str">
        <f t="shared" si="334"/>
        <v xml:space="preserve"> </v>
      </c>
      <c r="Y455" s="185">
        <f t="shared" si="370"/>
        <v>0</v>
      </c>
      <c r="Z455" s="393">
        <f t="shared" si="326"/>
        <v>0.13125000000000001</v>
      </c>
      <c r="AA455" s="185">
        <f t="shared" si="327"/>
        <v>0</v>
      </c>
      <c r="AB455" s="185">
        <f t="shared" si="328"/>
        <v>0</v>
      </c>
      <c r="AC455" s="185">
        <f t="shared" si="329"/>
        <v>0</v>
      </c>
      <c r="AD455" s="185">
        <f t="shared" si="363"/>
        <v>134.16999999999999</v>
      </c>
      <c r="AE455" s="185">
        <f t="shared" si="363"/>
        <v>188.55</v>
      </c>
      <c r="AF455" s="185">
        <f t="shared" si="330"/>
        <v>322.72000000000003</v>
      </c>
      <c r="AG455" s="185">
        <f t="shared" si="348"/>
        <v>989037.5</v>
      </c>
      <c r="AH455" s="185">
        <f t="shared" si="349"/>
        <v>2810829.4999999991</v>
      </c>
      <c r="AI455" s="411">
        <f t="shared" si="364"/>
        <v>3221740.1900000102</v>
      </c>
      <c r="AJ455" s="411">
        <f t="shared" si="351"/>
        <v>0</v>
      </c>
      <c r="AK455" s="411">
        <f t="shared" si="365"/>
        <v>3221740.1900000102</v>
      </c>
      <c r="AL455" s="185">
        <f t="shared" si="371"/>
        <v>0</v>
      </c>
      <c r="AM455" s="317">
        <f t="shared" si="335"/>
        <v>36</v>
      </c>
      <c r="AN455" s="14">
        <f t="shared" si="366"/>
        <v>0</v>
      </c>
      <c r="AO455" s="14">
        <f t="shared" si="356"/>
        <v>0</v>
      </c>
      <c r="AP455" s="14">
        <f t="shared" si="367"/>
        <v>0</v>
      </c>
      <c r="AS455" s="14">
        <f t="shared" si="331"/>
        <v>0</v>
      </c>
      <c r="AT455" s="14">
        <f t="shared" si="336"/>
        <v>0</v>
      </c>
      <c r="AU455" s="185">
        <f t="shared" si="337"/>
        <v>0</v>
      </c>
      <c r="AV455" s="185">
        <f t="shared" si="338"/>
        <v>0</v>
      </c>
    </row>
    <row r="456" spans="1:48">
      <c r="A456" s="401" t="str">
        <f t="shared" si="339"/>
        <v xml:space="preserve"> </v>
      </c>
      <c r="B456" s="185">
        <f t="shared" si="359"/>
        <v>0</v>
      </c>
      <c r="C456" s="14">
        <f t="shared" si="323"/>
        <v>0</v>
      </c>
      <c r="D456" s="14">
        <f t="shared" si="340"/>
        <v>0</v>
      </c>
      <c r="E456" s="14">
        <f t="shared" si="324"/>
        <v>0</v>
      </c>
      <c r="F456" s="14">
        <f t="shared" si="360"/>
        <v>0</v>
      </c>
      <c r="G456" s="14">
        <f t="shared" si="360"/>
        <v>0</v>
      </c>
      <c r="H456" s="14">
        <f t="shared" si="361"/>
        <v>0</v>
      </c>
      <c r="I456" s="185">
        <f t="shared" si="341"/>
        <v>0</v>
      </c>
      <c r="J456" s="185">
        <f t="shared" si="342"/>
        <v>0</v>
      </c>
      <c r="K456" s="185">
        <f t="shared" si="343"/>
        <v>0</v>
      </c>
      <c r="L456" s="317">
        <f t="shared" si="357"/>
        <v>36</v>
      </c>
      <c r="M456" s="317">
        <f t="shared" si="332"/>
        <v>440</v>
      </c>
      <c r="N456" s="185">
        <f t="shared" si="333"/>
        <v>0</v>
      </c>
      <c r="O456" s="185">
        <f t="shared" si="368"/>
        <v>0</v>
      </c>
      <c r="P456" s="185">
        <f t="shared" si="344"/>
        <v>0</v>
      </c>
      <c r="Q456" s="185">
        <f t="shared" si="369"/>
        <v>0</v>
      </c>
      <c r="R456" s="185">
        <f t="shared" si="372"/>
        <v>134.16999999999999</v>
      </c>
      <c r="S456" s="185">
        <f t="shared" si="372"/>
        <v>188.55</v>
      </c>
      <c r="T456" s="185">
        <f t="shared" si="362"/>
        <v>322.72000000000003</v>
      </c>
      <c r="U456" s="185">
        <f t="shared" si="345"/>
        <v>1005371.31</v>
      </c>
      <c r="V456" s="185">
        <f t="shared" si="346"/>
        <v>6046189.700000003</v>
      </c>
      <c r="W456" s="185">
        <f t="shared" si="347"/>
        <v>0</v>
      </c>
      <c r="X456" s="401" t="str">
        <f t="shared" si="334"/>
        <v xml:space="preserve"> </v>
      </c>
      <c r="Y456" s="185">
        <f t="shared" si="370"/>
        <v>0</v>
      </c>
      <c r="Z456" s="393">
        <f t="shared" si="326"/>
        <v>0.13125000000000001</v>
      </c>
      <c r="AA456" s="185">
        <f t="shared" si="327"/>
        <v>0</v>
      </c>
      <c r="AB456" s="185">
        <f t="shared" si="328"/>
        <v>0</v>
      </c>
      <c r="AC456" s="185">
        <f t="shared" si="329"/>
        <v>0</v>
      </c>
      <c r="AD456" s="185">
        <f t="shared" si="363"/>
        <v>134.16999999999999</v>
      </c>
      <c r="AE456" s="185">
        <f t="shared" si="363"/>
        <v>188.55</v>
      </c>
      <c r="AF456" s="185">
        <f t="shared" si="330"/>
        <v>322.72000000000003</v>
      </c>
      <c r="AG456" s="185">
        <f t="shared" si="348"/>
        <v>989037.5</v>
      </c>
      <c r="AH456" s="185">
        <f t="shared" si="349"/>
        <v>2810829.4999999991</v>
      </c>
      <c r="AI456" s="411">
        <f t="shared" si="364"/>
        <v>3221740.1900000102</v>
      </c>
      <c r="AJ456" s="411">
        <f t="shared" si="351"/>
        <v>0</v>
      </c>
      <c r="AK456" s="411">
        <f t="shared" si="365"/>
        <v>3221740.1900000102</v>
      </c>
      <c r="AL456" s="185">
        <f t="shared" si="371"/>
        <v>0</v>
      </c>
      <c r="AM456" s="317">
        <f t="shared" si="335"/>
        <v>36</v>
      </c>
      <c r="AN456" s="14">
        <f t="shared" si="366"/>
        <v>0</v>
      </c>
      <c r="AO456" s="14">
        <f t="shared" si="356"/>
        <v>0</v>
      </c>
      <c r="AP456" s="14">
        <f t="shared" si="367"/>
        <v>0</v>
      </c>
      <c r="AS456" s="14">
        <f t="shared" si="331"/>
        <v>0</v>
      </c>
      <c r="AT456" s="14">
        <f t="shared" si="336"/>
        <v>0</v>
      </c>
      <c r="AU456" s="185">
        <f t="shared" si="337"/>
        <v>0</v>
      </c>
      <c r="AV456" s="185">
        <f t="shared" si="338"/>
        <v>0</v>
      </c>
    </row>
    <row r="457" spans="1:48">
      <c r="A457" s="401" t="str">
        <f t="shared" si="339"/>
        <v xml:space="preserve"> </v>
      </c>
      <c r="B457" s="185">
        <f t="shared" si="359"/>
        <v>0</v>
      </c>
      <c r="C457" s="14">
        <f t="shared" si="323"/>
        <v>0</v>
      </c>
      <c r="D457" s="14">
        <f t="shared" si="340"/>
        <v>0</v>
      </c>
      <c r="E457" s="14">
        <f t="shared" si="324"/>
        <v>0</v>
      </c>
      <c r="F457" s="14">
        <f t="shared" si="360"/>
        <v>0</v>
      </c>
      <c r="G457" s="14">
        <f t="shared" si="360"/>
        <v>0</v>
      </c>
      <c r="H457" s="14">
        <f t="shared" si="361"/>
        <v>0</v>
      </c>
      <c r="I457" s="185">
        <f t="shared" si="341"/>
        <v>0</v>
      </c>
      <c r="J457" s="185">
        <f t="shared" si="342"/>
        <v>0</v>
      </c>
      <c r="K457" s="185">
        <f t="shared" si="343"/>
        <v>0</v>
      </c>
      <c r="L457" s="317">
        <f t="shared" si="357"/>
        <v>36</v>
      </c>
      <c r="M457" s="317">
        <f t="shared" si="332"/>
        <v>441</v>
      </c>
      <c r="N457" s="185">
        <f t="shared" si="333"/>
        <v>0</v>
      </c>
      <c r="O457" s="185">
        <f t="shared" si="368"/>
        <v>0</v>
      </c>
      <c r="P457" s="185">
        <f t="shared" si="344"/>
        <v>0</v>
      </c>
      <c r="Q457" s="185">
        <f t="shared" si="369"/>
        <v>0</v>
      </c>
      <c r="R457" s="185">
        <f t="shared" si="372"/>
        <v>134.16999999999999</v>
      </c>
      <c r="S457" s="185">
        <f t="shared" si="372"/>
        <v>188.55</v>
      </c>
      <c r="T457" s="185">
        <f t="shared" si="362"/>
        <v>322.72000000000003</v>
      </c>
      <c r="U457" s="185">
        <f t="shared" si="345"/>
        <v>1005371.31</v>
      </c>
      <c r="V457" s="185">
        <f t="shared" si="346"/>
        <v>6046189.700000003</v>
      </c>
      <c r="W457" s="185">
        <f t="shared" si="347"/>
        <v>0</v>
      </c>
      <c r="X457" s="401" t="str">
        <f t="shared" si="334"/>
        <v xml:space="preserve"> </v>
      </c>
      <c r="Y457" s="185">
        <f t="shared" si="370"/>
        <v>0</v>
      </c>
      <c r="Z457" s="393">
        <f t="shared" si="326"/>
        <v>0.13125000000000001</v>
      </c>
      <c r="AA457" s="185">
        <f t="shared" si="327"/>
        <v>0</v>
      </c>
      <c r="AB457" s="185">
        <f t="shared" si="328"/>
        <v>0</v>
      </c>
      <c r="AC457" s="185">
        <f t="shared" si="329"/>
        <v>0</v>
      </c>
      <c r="AD457" s="185">
        <f t="shared" si="363"/>
        <v>134.16999999999999</v>
      </c>
      <c r="AE457" s="185">
        <f t="shared" si="363"/>
        <v>188.55</v>
      </c>
      <c r="AF457" s="185">
        <f t="shared" si="330"/>
        <v>322.72000000000003</v>
      </c>
      <c r="AG457" s="185">
        <f t="shared" si="348"/>
        <v>989037.5</v>
      </c>
      <c r="AH457" s="185">
        <f t="shared" si="349"/>
        <v>2810829.4999999991</v>
      </c>
      <c r="AI457" s="411">
        <f t="shared" si="364"/>
        <v>3221740.1900000102</v>
      </c>
      <c r="AJ457" s="411">
        <f t="shared" si="351"/>
        <v>0</v>
      </c>
      <c r="AK457" s="411">
        <f t="shared" si="365"/>
        <v>3221740.1900000102</v>
      </c>
      <c r="AL457" s="185">
        <f t="shared" si="371"/>
        <v>0</v>
      </c>
      <c r="AM457" s="317">
        <f t="shared" si="335"/>
        <v>36</v>
      </c>
      <c r="AN457" s="14">
        <f t="shared" si="366"/>
        <v>0</v>
      </c>
      <c r="AO457" s="14">
        <f t="shared" si="356"/>
        <v>0</v>
      </c>
      <c r="AP457" s="14">
        <f t="shared" si="367"/>
        <v>0</v>
      </c>
      <c r="AS457" s="14">
        <f t="shared" si="331"/>
        <v>0</v>
      </c>
      <c r="AT457" s="14">
        <f t="shared" si="336"/>
        <v>0</v>
      </c>
      <c r="AU457" s="185">
        <f t="shared" si="337"/>
        <v>0</v>
      </c>
      <c r="AV457" s="185">
        <f t="shared" si="338"/>
        <v>0</v>
      </c>
    </row>
    <row r="458" spans="1:48">
      <c r="A458" s="401" t="str">
        <f t="shared" si="339"/>
        <v xml:space="preserve"> </v>
      </c>
      <c r="B458" s="185">
        <f t="shared" si="359"/>
        <v>0</v>
      </c>
      <c r="C458" s="14">
        <f t="shared" si="323"/>
        <v>0</v>
      </c>
      <c r="D458" s="14">
        <f t="shared" si="340"/>
        <v>0</v>
      </c>
      <c r="E458" s="14">
        <f t="shared" si="324"/>
        <v>0</v>
      </c>
      <c r="F458" s="14">
        <f t="shared" si="360"/>
        <v>0</v>
      </c>
      <c r="G458" s="14">
        <f t="shared" si="360"/>
        <v>0</v>
      </c>
      <c r="H458" s="14">
        <f t="shared" si="361"/>
        <v>0</v>
      </c>
      <c r="I458" s="185">
        <f t="shared" si="341"/>
        <v>0</v>
      </c>
      <c r="J458" s="185">
        <f t="shared" si="342"/>
        <v>0</v>
      </c>
      <c r="K458" s="185">
        <f t="shared" si="343"/>
        <v>0</v>
      </c>
      <c r="L458" s="317">
        <f t="shared" si="357"/>
        <v>36</v>
      </c>
      <c r="M458" s="317">
        <f t="shared" si="332"/>
        <v>442</v>
      </c>
      <c r="N458" s="185">
        <f t="shared" si="333"/>
        <v>0</v>
      </c>
      <c r="O458" s="185">
        <f t="shared" si="368"/>
        <v>0</v>
      </c>
      <c r="P458" s="185">
        <f t="shared" si="344"/>
        <v>0</v>
      </c>
      <c r="Q458" s="185">
        <f t="shared" si="369"/>
        <v>0</v>
      </c>
      <c r="R458" s="185">
        <f t="shared" si="372"/>
        <v>134.16999999999999</v>
      </c>
      <c r="S458" s="185">
        <f t="shared" si="372"/>
        <v>188.55</v>
      </c>
      <c r="T458" s="185">
        <f t="shared" si="362"/>
        <v>322.72000000000003</v>
      </c>
      <c r="U458" s="185">
        <f t="shared" si="345"/>
        <v>1005371.31</v>
      </c>
      <c r="V458" s="185">
        <f t="shared" si="346"/>
        <v>6046189.700000003</v>
      </c>
      <c r="W458" s="185">
        <f t="shared" si="347"/>
        <v>0</v>
      </c>
      <c r="X458" s="401" t="str">
        <f t="shared" si="334"/>
        <v xml:space="preserve"> </v>
      </c>
      <c r="Y458" s="185">
        <f t="shared" si="370"/>
        <v>0</v>
      </c>
      <c r="Z458" s="393">
        <f t="shared" si="326"/>
        <v>0.13125000000000001</v>
      </c>
      <c r="AA458" s="185">
        <f t="shared" si="327"/>
        <v>0</v>
      </c>
      <c r="AB458" s="185">
        <f t="shared" si="328"/>
        <v>0</v>
      </c>
      <c r="AC458" s="185">
        <f t="shared" si="329"/>
        <v>0</v>
      </c>
      <c r="AD458" s="185">
        <f t="shared" si="363"/>
        <v>134.16999999999999</v>
      </c>
      <c r="AE458" s="185">
        <f t="shared" si="363"/>
        <v>188.55</v>
      </c>
      <c r="AF458" s="185">
        <f t="shared" si="330"/>
        <v>322.72000000000003</v>
      </c>
      <c r="AG458" s="185">
        <f t="shared" si="348"/>
        <v>989037.5</v>
      </c>
      <c r="AH458" s="185">
        <f t="shared" si="349"/>
        <v>2810829.4999999991</v>
      </c>
      <c r="AI458" s="411">
        <f t="shared" si="364"/>
        <v>3221740.1900000102</v>
      </c>
      <c r="AJ458" s="411">
        <f t="shared" si="351"/>
        <v>0</v>
      </c>
      <c r="AK458" s="411">
        <f t="shared" si="365"/>
        <v>3221740.1900000102</v>
      </c>
      <c r="AL458" s="185">
        <f t="shared" si="371"/>
        <v>0</v>
      </c>
      <c r="AM458" s="317">
        <f t="shared" si="335"/>
        <v>36</v>
      </c>
      <c r="AN458" s="14">
        <f t="shared" si="366"/>
        <v>0</v>
      </c>
      <c r="AO458" s="14">
        <f t="shared" si="356"/>
        <v>0</v>
      </c>
      <c r="AP458" s="14">
        <f t="shared" si="367"/>
        <v>0</v>
      </c>
      <c r="AS458" s="14">
        <f t="shared" si="331"/>
        <v>0</v>
      </c>
      <c r="AT458" s="14">
        <f t="shared" si="336"/>
        <v>0</v>
      </c>
      <c r="AU458" s="185">
        <f t="shared" si="337"/>
        <v>0</v>
      </c>
      <c r="AV458" s="185">
        <f t="shared" si="338"/>
        <v>0</v>
      </c>
    </row>
    <row r="459" spans="1:48" ht="15.75" thickBot="1">
      <c r="A459" s="404" t="str">
        <f t="shared" si="339"/>
        <v xml:space="preserve"> </v>
      </c>
      <c r="B459" s="237">
        <f t="shared" si="359"/>
        <v>0</v>
      </c>
      <c r="C459" s="21">
        <f t="shared" si="323"/>
        <v>0</v>
      </c>
      <c r="D459" s="21">
        <f t="shared" si="340"/>
        <v>0</v>
      </c>
      <c r="E459" s="21">
        <f t="shared" si="324"/>
        <v>0</v>
      </c>
      <c r="F459" s="21">
        <f t="shared" ref="F459:G474" si="373">+F458</f>
        <v>0</v>
      </c>
      <c r="G459" s="21">
        <f t="shared" si="373"/>
        <v>0</v>
      </c>
      <c r="H459" s="21">
        <f t="shared" si="361"/>
        <v>0</v>
      </c>
      <c r="I459" s="237">
        <f t="shared" si="341"/>
        <v>0</v>
      </c>
      <c r="J459" s="237">
        <f t="shared" si="342"/>
        <v>0</v>
      </c>
      <c r="K459" s="237">
        <f t="shared" si="343"/>
        <v>0</v>
      </c>
      <c r="L459" s="318">
        <f t="shared" si="357"/>
        <v>36</v>
      </c>
      <c r="M459" s="318">
        <f t="shared" si="332"/>
        <v>443</v>
      </c>
      <c r="N459" s="237">
        <f t="shared" si="333"/>
        <v>0</v>
      </c>
      <c r="O459" s="237">
        <f t="shared" si="368"/>
        <v>0</v>
      </c>
      <c r="P459" s="237">
        <f t="shared" si="344"/>
        <v>0</v>
      </c>
      <c r="Q459" s="237">
        <f t="shared" si="369"/>
        <v>0</v>
      </c>
      <c r="R459" s="237">
        <f t="shared" si="372"/>
        <v>134.16999999999999</v>
      </c>
      <c r="S459" s="237">
        <f t="shared" si="372"/>
        <v>188.55</v>
      </c>
      <c r="T459" s="237">
        <f t="shared" si="362"/>
        <v>322.72000000000003</v>
      </c>
      <c r="U459" s="237">
        <f t="shared" si="345"/>
        <v>1005371.31</v>
      </c>
      <c r="V459" s="237">
        <f t="shared" si="346"/>
        <v>6046189.700000003</v>
      </c>
      <c r="W459" s="237">
        <f t="shared" si="347"/>
        <v>0</v>
      </c>
      <c r="X459" s="404" t="str">
        <f t="shared" si="334"/>
        <v xml:space="preserve"> </v>
      </c>
      <c r="Y459" s="237">
        <f t="shared" si="370"/>
        <v>0</v>
      </c>
      <c r="Z459" s="394">
        <f t="shared" si="326"/>
        <v>0.13125000000000001</v>
      </c>
      <c r="AA459" s="237">
        <f t="shared" si="327"/>
        <v>0</v>
      </c>
      <c r="AB459" s="237">
        <f t="shared" si="328"/>
        <v>0</v>
      </c>
      <c r="AC459" s="237">
        <f t="shared" si="329"/>
        <v>0</v>
      </c>
      <c r="AD459" s="237">
        <f t="shared" si="363"/>
        <v>134.16999999999999</v>
      </c>
      <c r="AE459" s="237">
        <f t="shared" si="363"/>
        <v>188.55</v>
      </c>
      <c r="AF459" s="237">
        <f t="shared" si="330"/>
        <v>322.72000000000003</v>
      </c>
      <c r="AG459" s="237">
        <f t="shared" si="348"/>
        <v>989037.5</v>
      </c>
      <c r="AH459" s="237">
        <f t="shared" si="349"/>
        <v>2810829.4999999991</v>
      </c>
      <c r="AI459" s="412">
        <f t="shared" si="364"/>
        <v>3221740.1900000102</v>
      </c>
      <c r="AJ459" s="412">
        <f t="shared" si="351"/>
        <v>0</v>
      </c>
      <c r="AK459" s="411">
        <f t="shared" si="365"/>
        <v>3221740.1900000102</v>
      </c>
      <c r="AL459" s="237">
        <f t="shared" si="371"/>
        <v>0</v>
      </c>
      <c r="AM459" s="318">
        <f t="shared" si="335"/>
        <v>36</v>
      </c>
      <c r="AN459" s="21">
        <f t="shared" si="366"/>
        <v>0</v>
      </c>
      <c r="AO459" s="21">
        <f t="shared" si="356"/>
        <v>0</v>
      </c>
      <c r="AP459" s="21">
        <f t="shared" si="367"/>
        <v>0</v>
      </c>
      <c r="AQ459" s="21"/>
      <c r="AR459" s="23"/>
      <c r="AS459" s="21">
        <f t="shared" si="331"/>
        <v>0</v>
      </c>
      <c r="AT459" s="21">
        <f t="shared" si="336"/>
        <v>0</v>
      </c>
      <c r="AU459" s="237">
        <f t="shared" si="337"/>
        <v>0</v>
      </c>
      <c r="AV459" s="237">
        <f t="shared" si="338"/>
        <v>0</v>
      </c>
    </row>
    <row r="460" spans="1:48">
      <c r="A460" s="401" t="str">
        <f t="shared" si="339"/>
        <v xml:space="preserve"> </v>
      </c>
      <c r="B460" s="185">
        <f t="shared" si="359"/>
        <v>0</v>
      </c>
      <c r="C460" s="14">
        <f t="shared" si="323"/>
        <v>0</v>
      </c>
      <c r="D460" s="14">
        <f t="shared" si="340"/>
        <v>0</v>
      </c>
      <c r="E460" s="14">
        <f t="shared" si="324"/>
        <v>0</v>
      </c>
      <c r="F460" s="14">
        <f t="shared" si="373"/>
        <v>0</v>
      </c>
      <c r="G460" s="14">
        <f t="shared" si="373"/>
        <v>0</v>
      </c>
      <c r="H460" s="14">
        <f t="shared" si="361"/>
        <v>0</v>
      </c>
      <c r="I460" s="185">
        <f t="shared" si="341"/>
        <v>0</v>
      </c>
      <c r="J460" s="185">
        <f t="shared" si="342"/>
        <v>0</v>
      </c>
      <c r="K460" s="185">
        <f t="shared" si="343"/>
        <v>0</v>
      </c>
      <c r="L460" s="317">
        <f t="shared" si="357"/>
        <v>37</v>
      </c>
      <c r="M460" s="317">
        <f t="shared" si="332"/>
        <v>444</v>
      </c>
      <c r="N460" s="185">
        <f t="shared" si="333"/>
        <v>0</v>
      </c>
      <c r="O460" s="185">
        <f t="shared" si="368"/>
        <v>0</v>
      </c>
      <c r="P460" s="185">
        <f t="shared" si="344"/>
        <v>0</v>
      </c>
      <c r="Q460" s="185">
        <f t="shared" si="369"/>
        <v>0</v>
      </c>
      <c r="R460" s="185">
        <f t="shared" si="372"/>
        <v>134.16999999999999</v>
      </c>
      <c r="S460" s="185">
        <f t="shared" si="372"/>
        <v>188.55</v>
      </c>
      <c r="T460" s="185">
        <f t="shared" si="362"/>
        <v>322.72000000000003</v>
      </c>
      <c r="U460" s="185">
        <f t="shared" si="345"/>
        <v>1005371.31</v>
      </c>
      <c r="V460" s="185">
        <f t="shared" si="346"/>
        <v>6046189.700000003</v>
      </c>
      <c r="W460" s="185">
        <f t="shared" si="347"/>
        <v>0</v>
      </c>
      <c r="X460" s="401" t="str">
        <f t="shared" si="334"/>
        <v xml:space="preserve"> </v>
      </c>
      <c r="Y460" s="185">
        <f t="shared" si="370"/>
        <v>0</v>
      </c>
      <c r="Z460" s="393">
        <f t="shared" si="326"/>
        <v>0.13125000000000001</v>
      </c>
      <c r="AA460" s="185">
        <f t="shared" si="327"/>
        <v>0</v>
      </c>
      <c r="AB460" s="185">
        <f t="shared" si="328"/>
        <v>0</v>
      </c>
      <c r="AC460" s="185">
        <f t="shared" si="329"/>
        <v>0</v>
      </c>
      <c r="AD460" s="185">
        <f t="shared" si="363"/>
        <v>134.16999999999999</v>
      </c>
      <c r="AE460" s="185">
        <f t="shared" si="363"/>
        <v>188.55</v>
      </c>
      <c r="AF460" s="185">
        <f t="shared" si="330"/>
        <v>322.72000000000003</v>
      </c>
      <c r="AG460" s="185">
        <f t="shared" si="348"/>
        <v>989037.5</v>
      </c>
      <c r="AH460" s="185">
        <f t="shared" si="349"/>
        <v>2810829.4999999991</v>
      </c>
      <c r="AI460" s="411">
        <f t="shared" si="364"/>
        <v>3221740.1900000102</v>
      </c>
      <c r="AJ460" s="411">
        <f t="shared" si="351"/>
        <v>0</v>
      </c>
      <c r="AK460" s="411">
        <f t="shared" si="365"/>
        <v>3221740.1900000102</v>
      </c>
      <c r="AL460" s="185">
        <f t="shared" si="371"/>
        <v>0</v>
      </c>
      <c r="AM460" s="317">
        <f t="shared" si="335"/>
        <v>37</v>
      </c>
      <c r="AN460" s="14">
        <f t="shared" si="366"/>
        <v>0</v>
      </c>
      <c r="AO460" s="14">
        <f t="shared" si="356"/>
        <v>0</v>
      </c>
      <c r="AP460" s="14">
        <f t="shared" si="367"/>
        <v>0</v>
      </c>
      <c r="AS460" s="14">
        <f t="shared" si="331"/>
        <v>0</v>
      </c>
      <c r="AT460" s="14">
        <f t="shared" si="336"/>
        <v>0</v>
      </c>
      <c r="AU460" s="185">
        <f t="shared" si="337"/>
        <v>0</v>
      </c>
      <c r="AV460" s="185">
        <f t="shared" si="338"/>
        <v>0</v>
      </c>
    </row>
    <row r="461" spans="1:48">
      <c r="A461" s="401" t="str">
        <f t="shared" si="339"/>
        <v xml:space="preserve"> </v>
      </c>
      <c r="B461" s="185">
        <f t="shared" si="359"/>
        <v>0</v>
      </c>
      <c r="C461" s="14">
        <f t="shared" si="323"/>
        <v>0</v>
      </c>
      <c r="D461" s="14">
        <f t="shared" si="340"/>
        <v>0</v>
      </c>
      <c r="E461" s="14">
        <f t="shared" si="324"/>
        <v>0</v>
      </c>
      <c r="F461" s="14">
        <f t="shared" si="373"/>
        <v>0</v>
      </c>
      <c r="G461" s="14">
        <f t="shared" si="373"/>
        <v>0</v>
      </c>
      <c r="H461" s="14">
        <f t="shared" si="361"/>
        <v>0</v>
      </c>
      <c r="I461" s="185">
        <f t="shared" si="341"/>
        <v>0</v>
      </c>
      <c r="J461" s="185">
        <f t="shared" si="342"/>
        <v>0</v>
      </c>
      <c r="K461" s="185">
        <f t="shared" si="343"/>
        <v>0</v>
      </c>
      <c r="L461" s="317">
        <f t="shared" si="357"/>
        <v>37</v>
      </c>
      <c r="M461" s="317">
        <f t="shared" si="332"/>
        <v>445</v>
      </c>
      <c r="N461" s="185">
        <f t="shared" si="333"/>
        <v>0</v>
      </c>
      <c r="O461" s="185">
        <f t="shared" si="368"/>
        <v>0</v>
      </c>
      <c r="P461" s="185">
        <f t="shared" si="344"/>
        <v>0</v>
      </c>
      <c r="Q461" s="185">
        <f t="shared" si="369"/>
        <v>0</v>
      </c>
      <c r="R461" s="185">
        <f t="shared" si="372"/>
        <v>134.16999999999999</v>
      </c>
      <c r="S461" s="185">
        <f t="shared" si="372"/>
        <v>188.55</v>
      </c>
      <c r="T461" s="185">
        <f t="shared" si="362"/>
        <v>322.72000000000003</v>
      </c>
      <c r="U461" s="185">
        <f t="shared" si="345"/>
        <v>1005371.31</v>
      </c>
      <c r="V461" s="185">
        <f t="shared" si="346"/>
        <v>6046189.700000003</v>
      </c>
      <c r="W461" s="185">
        <f t="shared" si="347"/>
        <v>0</v>
      </c>
      <c r="X461" s="401" t="str">
        <f t="shared" si="334"/>
        <v xml:space="preserve"> </v>
      </c>
      <c r="Y461" s="185">
        <f t="shared" si="370"/>
        <v>0</v>
      </c>
      <c r="Z461" s="393">
        <f t="shared" si="326"/>
        <v>0.13125000000000001</v>
      </c>
      <c r="AA461" s="185">
        <f t="shared" si="327"/>
        <v>0</v>
      </c>
      <c r="AB461" s="185">
        <f t="shared" si="328"/>
        <v>0</v>
      </c>
      <c r="AC461" s="185">
        <f t="shared" si="329"/>
        <v>0</v>
      </c>
      <c r="AD461" s="185">
        <f t="shared" ref="AD461:AE476" si="374">+AD460</f>
        <v>134.16999999999999</v>
      </c>
      <c r="AE461" s="185">
        <f t="shared" si="374"/>
        <v>188.55</v>
      </c>
      <c r="AF461" s="185">
        <f t="shared" si="330"/>
        <v>322.72000000000003</v>
      </c>
      <c r="AG461" s="185">
        <f t="shared" si="348"/>
        <v>989037.5</v>
      </c>
      <c r="AH461" s="185">
        <f t="shared" si="349"/>
        <v>2810829.4999999991</v>
      </c>
      <c r="AI461" s="411">
        <f t="shared" si="364"/>
        <v>3221740.1900000102</v>
      </c>
      <c r="AJ461" s="411">
        <f t="shared" si="351"/>
        <v>0</v>
      </c>
      <c r="AK461" s="411">
        <f t="shared" si="365"/>
        <v>3221740.1900000102</v>
      </c>
      <c r="AL461" s="185">
        <f t="shared" si="371"/>
        <v>0</v>
      </c>
      <c r="AM461" s="317">
        <f t="shared" si="335"/>
        <v>37</v>
      </c>
      <c r="AN461" s="14">
        <f t="shared" si="366"/>
        <v>0</v>
      </c>
      <c r="AO461" s="14">
        <f t="shared" si="356"/>
        <v>0</v>
      </c>
      <c r="AP461" s="14">
        <f t="shared" si="367"/>
        <v>0</v>
      </c>
      <c r="AS461" s="14">
        <f t="shared" si="331"/>
        <v>0</v>
      </c>
      <c r="AT461" s="14">
        <f t="shared" si="336"/>
        <v>0</v>
      </c>
      <c r="AU461" s="185">
        <f t="shared" si="337"/>
        <v>0</v>
      </c>
      <c r="AV461" s="185">
        <f t="shared" si="338"/>
        <v>0</v>
      </c>
    </row>
    <row r="462" spans="1:48">
      <c r="A462" s="401" t="str">
        <f t="shared" si="339"/>
        <v xml:space="preserve"> </v>
      </c>
      <c r="B462" s="185">
        <f t="shared" si="359"/>
        <v>0</v>
      </c>
      <c r="C462" s="14">
        <f t="shared" si="323"/>
        <v>0</v>
      </c>
      <c r="D462" s="14">
        <f t="shared" si="340"/>
        <v>0</v>
      </c>
      <c r="E462" s="14">
        <f t="shared" si="324"/>
        <v>0</v>
      </c>
      <c r="F462" s="14">
        <f t="shared" si="373"/>
        <v>0</v>
      </c>
      <c r="G462" s="14">
        <f t="shared" si="373"/>
        <v>0</v>
      </c>
      <c r="H462" s="14">
        <f t="shared" si="361"/>
        <v>0</v>
      </c>
      <c r="I462" s="185">
        <f t="shared" si="341"/>
        <v>0</v>
      </c>
      <c r="J462" s="185">
        <f t="shared" si="342"/>
        <v>0</v>
      </c>
      <c r="K462" s="185">
        <f t="shared" si="343"/>
        <v>0</v>
      </c>
      <c r="L462" s="317">
        <f t="shared" si="357"/>
        <v>37</v>
      </c>
      <c r="M462" s="317">
        <f t="shared" si="332"/>
        <v>446</v>
      </c>
      <c r="N462" s="185">
        <f t="shared" si="333"/>
        <v>0</v>
      </c>
      <c r="O462" s="185">
        <f t="shared" si="368"/>
        <v>0</v>
      </c>
      <c r="P462" s="185">
        <f t="shared" si="344"/>
        <v>0</v>
      </c>
      <c r="Q462" s="185">
        <f t="shared" si="369"/>
        <v>0</v>
      </c>
      <c r="R462" s="185">
        <f t="shared" si="372"/>
        <v>134.16999999999999</v>
      </c>
      <c r="S462" s="185">
        <f t="shared" si="372"/>
        <v>188.55</v>
      </c>
      <c r="T462" s="185">
        <f t="shared" si="362"/>
        <v>322.72000000000003</v>
      </c>
      <c r="U462" s="185">
        <f t="shared" si="345"/>
        <v>1005371.31</v>
      </c>
      <c r="V462" s="185">
        <f t="shared" si="346"/>
        <v>6046189.700000003</v>
      </c>
      <c r="W462" s="185">
        <f t="shared" si="347"/>
        <v>0</v>
      </c>
      <c r="X462" s="401" t="str">
        <f t="shared" si="334"/>
        <v xml:space="preserve"> </v>
      </c>
      <c r="Y462" s="185">
        <f t="shared" si="370"/>
        <v>0</v>
      </c>
      <c r="Z462" s="393">
        <f t="shared" si="326"/>
        <v>0.13125000000000001</v>
      </c>
      <c r="AA462" s="185">
        <f t="shared" si="327"/>
        <v>0</v>
      </c>
      <c r="AB462" s="185">
        <f t="shared" si="328"/>
        <v>0</v>
      </c>
      <c r="AC462" s="185">
        <f t="shared" si="329"/>
        <v>0</v>
      </c>
      <c r="AD462" s="185">
        <f t="shared" si="374"/>
        <v>134.16999999999999</v>
      </c>
      <c r="AE462" s="185">
        <f t="shared" si="374"/>
        <v>188.55</v>
      </c>
      <c r="AF462" s="185">
        <f t="shared" si="330"/>
        <v>322.72000000000003</v>
      </c>
      <c r="AG462" s="185">
        <f t="shared" si="348"/>
        <v>989037.5</v>
      </c>
      <c r="AH462" s="185">
        <f t="shared" si="349"/>
        <v>2810829.4999999991</v>
      </c>
      <c r="AI462" s="411">
        <f t="shared" si="364"/>
        <v>3221740.1900000102</v>
      </c>
      <c r="AJ462" s="411">
        <f t="shared" si="351"/>
        <v>0</v>
      </c>
      <c r="AK462" s="411">
        <f t="shared" si="365"/>
        <v>3221740.1900000102</v>
      </c>
      <c r="AL462" s="185">
        <f t="shared" si="371"/>
        <v>0</v>
      </c>
      <c r="AM462" s="317">
        <f t="shared" si="335"/>
        <v>37</v>
      </c>
      <c r="AN462" s="14">
        <f t="shared" si="366"/>
        <v>0</v>
      </c>
      <c r="AO462" s="14">
        <f t="shared" si="356"/>
        <v>0</v>
      </c>
      <c r="AP462" s="14">
        <f t="shared" si="367"/>
        <v>0</v>
      </c>
      <c r="AS462" s="14">
        <f t="shared" si="331"/>
        <v>0</v>
      </c>
      <c r="AT462" s="14">
        <f t="shared" si="336"/>
        <v>0</v>
      </c>
      <c r="AU462" s="185">
        <f t="shared" si="337"/>
        <v>0</v>
      </c>
      <c r="AV462" s="185">
        <f t="shared" si="338"/>
        <v>0</v>
      </c>
    </row>
    <row r="463" spans="1:48">
      <c r="A463" s="401" t="str">
        <f t="shared" si="339"/>
        <v xml:space="preserve"> </v>
      </c>
      <c r="B463" s="185">
        <f t="shared" si="359"/>
        <v>0</v>
      </c>
      <c r="C463" s="14">
        <f t="shared" si="323"/>
        <v>0</v>
      </c>
      <c r="D463" s="14">
        <f t="shared" si="340"/>
        <v>0</v>
      </c>
      <c r="E463" s="14">
        <f t="shared" si="324"/>
        <v>0</v>
      </c>
      <c r="F463" s="14">
        <f t="shared" si="373"/>
        <v>0</v>
      </c>
      <c r="G463" s="14">
        <f t="shared" si="373"/>
        <v>0</v>
      </c>
      <c r="H463" s="14">
        <f t="shared" si="361"/>
        <v>0</v>
      </c>
      <c r="I463" s="185">
        <f t="shared" si="341"/>
        <v>0</v>
      </c>
      <c r="J463" s="185">
        <f t="shared" si="342"/>
        <v>0</v>
      </c>
      <c r="K463" s="185">
        <f t="shared" si="343"/>
        <v>0</v>
      </c>
      <c r="L463" s="317">
        <f t="shared" si="357"/>
        <v>37</v>
      </c>
      <c r="M463" s="317">
        <f t="shared" si="332"/>
        <v>447</v>
      </c>
      <c r="N463" s="185">
        <f t="shared" si="333"/>
        <v>0</v>
      </c>
      <c r="O463" s="185">
        <f t="shared" si="368"/>
        <v>0</v>
      </c>
      <c r="P463" s="185">
        <f t="shared" si="344"/>
        <v>0</v>
      </c>
      <c r="Q463" s="185">
        <f t="shared" si="369"/>
        <v>0</v>
      </c>
      <c r="R463" s="185">
        <f t="shared" si="372"/>
        <v>134.16999999999999</v>
      </c>
      <c r="S463" s="185">
        <f t="shared" si="372"/>
        <v>188.55</v>
      </c>
      <c r="T463" s="185">
        <f t="shared" si="362"/>
        <v>322.72000000000003</v>
      </c>
      <c r="U463" s="185">
        <f t="shared" si="345"/>
        <v>1005371.31</v>
      </c>
      <c r="V463" s="185">
        <f t="shared" si="346"/>
        <v>6046189.700000003</v>
      </c>
      <c r="W463" s="185">
        <f t="shared" si="347"/>
        <v>0</v>
      </c>
      <c r="X463" s="401" t="str">
        <f t="shared" si="334"/>
        <v xml:space="preserve"> </v>
      </c>
      <c r="Y463" s="185">
        <f t="shared" si="370"/>
        <v>0</v>
      </c>
      <c r="Z463" s="393">
        <f t="shared" si="326"/>
        <v>0.13125000000000001</v>
      </c>
      <c r="AA463" s="185">
        <f t="shared" si="327"/>
        <v>0</v>
      </c>
      <c r="AB463" s="185">
        <f t="shared" si="328"/>
        <v>0</v>
      </c>
      <c r="AC463" s="185">
        <f t="shared" si="329"/>
        <v>0</v>
      </c>
      <c r="AD463" s="185">
        <f t="shared" si="374"/>
        <v>134.16999999999999</v>
      </c>
      <c r="AE463" s="185">
        <f t="shared" si="374"/>
        <v>188.55</v>
      </c>
      <c r="AF463" s="185">
        <f t="shared" si="330"/>
        <v>322.72000000000003</v>
      </c>
      <c r="AG463" s="185">
        <f t="shared" si="348"/>
        <v>989037.5</v>
      </c>
      <c r="AH463" s="185">
        <f t="shared" si="349"/>
        <v>2810829.4999999991</v>
      </c>
      <c r="AI463" s="411">
        <f t="shared" si="364"/>
        <v>3221740.1900000102</v>
      </c>
      <c r="AJ463" s="411">
        <f t="shared" si="351"/>
        <v>0</v>
      </c>
      <c r="AK463" s="411">
        <f t="shared" si="365"/>
        <v>3221740.1900000102</v>
      </c>
      <c r="AL463" s="185">
        <f t="shared" si="371"/>
        <v>0</v>
      </c>
      <c r="AM463" s="317">
        <f t="shared" si="335"/>
        <v>37</v>
      </c>
      <c r="AN463" s="14">
        <f t="shared" si="366"/>
        <v>0</v>
      </c>
      <c r="AO463" s="14">
        <f t="shared" si="356"/>
        <v>0</v>
      </c>
      <c r="AP463" s="14">
        <f t="shared" si="367"/>
        <v>0</v>
      </c>
      <c r="AS463" s="14">
        <f t="shared" si="331"/>
        <v>0</v>
      </c>
      <c r="AT463" s="14">
        <f t="shared" si="336"/>
        <v>0</v>
      </c>
      <c r="AU463" s="185">
        <f t="shared" si="337"/>
        <v>0</v>
      </c>
      <c r="AV463" s="185">
        <f t="shared" si="338"/>
        <v>0</v>
      </c>
    </row>
    <row r="464" spans="1:48">
      <c r="A464" s="401" t="str">
        <f t="shared" si="339"/>
        <v xml:space="preserve"> </v>
      </c>
      <c r="B464" s="185">
        <f t="shared" si="359"/>
        <v>0</v>
      </c>
      <c r="C464" s="14">
        <f t="shared" ref="C464:C491" si="375">IF(+$K463&lt;=0,0,$C$6)</f>
        <v>0</v>
      </c>
      <c r="D464" s="14">
        <f t="shared" si="340"/>
        <v>0</v>
      </c>
      <c r="E464" s="14">
        <f t="shared" ref="E464:E491" si="376">ROUND($B464*($C$4/12), 2)</f>
        <v>0</v>
      </c>
      <c r="F464" s="14">
        <f t="shared" si="373"/>
        <v>0</v>
      </c>
      <c r="G464" s="14">
        <f t="shared" si="373"/>
        <v>0</v>
      </c>
      <c r="H464" s="14">
        <f t="shared" si="361"/>
        <v>0</v>
      </c>
      <c r="I464" s="185">
        <f t="shared" si="341"/>
        <v>0</v>
      </c>
      <c r="J464" s="185">
        <f t="shared" si="342"/>
        <v>0</v>
      </c>
      <c r="K464" s="185">
        <f t="shared" si="343"/>
        <v>0</v>
      </c>
      <c r="L464" s="317">
        <f t="shared" si="357"/>
        <v>37</v>
      </c>
      <c r="M464" s="317">
        <f t="shared" si="332"/>
        <v>448</v>
      </c>
      <c r="N464" s="185">
        <f t="shared" si="333"/>
        <v>0</v>
      </c>
      <c r="O464" s="185">
        <f t="shared" si="368"/>
        <v>0</v>
      </c>
      <c r="P464" s="185">
        <f t="shared" si="344"/>
        <v>0</v>
      </c>
      <c r="Q464" s="185">
        <f t="shared" si="369"/>
        <v>0</v>
      </c>
      <c r="R464" s="185">
        <f t="shared" ref="R464:S479" si="377">+R463</f>
        <v>134.16999999999999</v>
      </c>
      <c r="S464" s="185">
        <f t="shared" si="377"/>
        <v>188.55</v>
      </c>
      <c r="T464" s="185">
        <f t="shared" si="362"/>
        <v>322.72000000000003</v>
      </c>
      <c r="U464" s="185">
        <f t="shared" si="345"/>
        <v>1005371.31</v>
      </c>
      <c r="V464" s="185">
        <f t="shared" si="346"/>
        <v>6046189.700000003</v>
      </c>
      <c r="W464" s="185">
        <f t="shared" si="347"/>
        <v>0</v>
      </c>
      <c r="X464" s="401" t="str">
        <f t="shared" si="334"/>
        <v xml:space="preserve"> </v>
      </c>
      <c r="Y464" s="185">
        <f t="shared" si="370"/>
        <v>0</v>
      </c>
      <c r="Z464" s="393">
        <f t="shared" ref="Z464:Z527" si="378">IF(L464&gt;4,$AA$10,$AA$9)</f>
        <v>0.13125000000000001</v>
      </c>
      <c r="AA464" s="185">
        <f t="shared" ref="AA464:AA527" si="379">IF($O$11&lt;=$A464,IF(+AL463&lt;=0,0,IF(Z464=$AA$9,$Z$9,$Z$10)),0)</f>
        <v>0</v>
      </c>
      <c r="AB464" s="185">
        <f t="shared" ref="AB464:AB527" si="380">+AA464-AC464</f>
        <v>0</v>
      </c>
      <c r="AC464" s="185">
        <f t="shared" ref="AC464:AC527" si="381">IF($O$11&lt;=$A464,ROUND(Y464*(Z464/12),2),0)</f>
        <v>0</v>
      </c>
      <c r="AD464" s="185">
        <f t="shared" si="374"/>
        <v>134.16999999999999</v>
      </c>
      <c r="AE464" s="185">
        <f t="shared" si="374"/>
        <v>188.55</v>
      </c>
      <c r="AF464" s="185">
        <f t="shared" ref="AF464:AF527" si="382">SUM(AB464:AE464)</f>
        <v>322.72000000000003</v>
      </c>
      <c r="AG464" s="185">
        <f t="shared" si="348"/>
        <v>989037.5</v>
      </c>
      <c r="AH464" s="185">
        <f t="shared" si="349"/>
        <v>2810829.4999999991</v>
      </c>
      <c r="AI464" s="411">
        <f t="shared" si="364"/>
        <v>3221740.1900000102</v>
      </c>
      <c r="AJ464" s="411">
        <f t="shared" si="351"/>
        <v>0</v>
      </c>
      <c r="AK464" s="411">
        <f t="shared" si="365"/>
        <v>3221740.1900000102</v>
      </c>
      <c r="AL464" s="185">
        <f t="shared" si="371"/>
        <v>0</v>
      </c>
      <c r="AM464" s="317">
        <f t="shared" si="335"/>
        <v>37</v>
      </c>
      <c r="AN464" s="14">
        <f t="shared" si="366"/>
        <v>0</v>
      </c>
      <c r="AO464" s="14">
        <f t="shared" si="356"/>
        <v>0</v>
      </c>
      <c r="AP464" s="14">
        <f t="shared" si="367"/>
        <v>0</v>
      </c>
      <c r="AS464" s="14">
        <f t="shared" ref="AS464:AS491" si="383">+AN464-AR464</f>
        <v>0</v>
      </c>
      <c r="AT464" s="14">
        <f t="shared" si="336"/>
        <v>0</v>
      </c>
      <c r="AU464" s="185">
        <f t="shared" si="337"/>
        <v>0</v>
      </c>
      <c r="AV464" s="185">
        <f t="shared" si="338"/>
        <v>0</v>
      </c>
    </row>
    <row r="465" spans="1:48">
      <c r="A465" s="401" t="str">
        <f t="shared" si="339"/>
        <v xml:space="preserve"> </v>
      </c>
      <c r="B465" s="185">
        <f t="shared" si="359"/>
        <v>0</v>
      </c>
      <c r="C465" s="14">
        <f t="shared" si="375"/>
        <v>0</v>
      </c>
      <c r="D465" s="14">
        <f t="shared" si="340"/>
        <v>0</v>
      </c>
      <c r="E465" s="14">
        <f t="shared" si="376"/>
        <v>0</v>
      </c>
      <c r="F465" s="14">
        <f t="shared" si="373"/>
        <v>0</v>
      </c>
      <c r="G465" s="14">
        <f t="shared" si="373"/>
        <v>0</v>
      </c>
      <c r="H465" s="14">
        <f t="shared" si="361"/>
        <v>0</v>
      </c>
      <c r="I465" s="185">
        <f t="shared" si="341"/>
        <v>0</v>
      </c>
      <c r="J465" s="185">
        <f t="shared" si="342"/>
        <v>0</v>
      </c>
      <c r="K465" s="185">
        <f t="shared" si="343"/>
        <v>0</v>
      </c>
      <c r="L465" s="317">
        <f t="shared" si="357"/>
        <v>37</v>
      </c>
      <c r="M465" s="317">
        <f t="shared" ref="M465:M491" si="384">IF(N465&lt;&gt;"",IF(N465=$O$5,0,+M464+1),0)</f>
        <v>449</v>
      </c>
      <c r="N465" s="185">
        <f t="shared" ref="N465:N491" si="385">IF(+W464&lt;0,0,+W464)</f>
        <v>0</v>
      </c>
      <c r="O465" s="185">
        <f t="shared" si="368"/>
        <v>0</v>
      </c>
      <c r="P465" s="185">
        <f t="shared" si="344"/>
        <v>0</v>
      </c>
      <c r="Q465" s="185">
        <f t="shared" si="369"/>
        <v>0</v>
      </c>
      <c r="R465" s="185">
        <f t="shared" si="377"/>
        <v>134.16999999999999</v>
      </c>
      <c r="S465" s="185">
        <f t="shared" si="377"/>
        <v>188.55</v>
      </c>
      <c r="T465" s="185">
        <f t="shared" si="362"/>
        <v>322.72000000000003</v>
      </c>
      <c r="U465" s="185">
        <f t="shared" si="345"/>
        <v>1005371.31</v>
      </c>
      <c r="V465" s="185">
        <f t="shared" si="346"/>
        <v>6046189.700000003</v>
      </c>
      <c r="W465" s="185">
        <f t="shared" si="347"/>
        <v>0</v>
      </c>
      <c r="X465" s="401" t="str">
        <f t="shared" ref="X465:X528" si="386">+A465</f>
        <v xml:space="preserve"> </v>
      </c>
      <c r="Y465" s="185">
        <f t="shared" si="370"/>
        <v>0</v>
      </c>
      <c r="Z465" s="393">
        <f t="shared" si="378"/>
        <v>0.13125000000000001</v>
      </c>
      <c r="AA465" s="185">
        <f t="shared" si="379"/>
        <v>0</v>
      </c>
      <c r="AB465" s="185">
        <f t="shared" si="380"/>
        <v>0</v>
      </c>
      <c r="AC465" s="185">
        <f t="shared" si="381"/>
        <v>0</v>
      </c>
      <c r="AD465" s="185">
        <f t="shared" si="374"/>
        <v>134.16999999999999</v>
      </c>
      <c r="AE465" s="185">
        <f t="shared" si="374"/>
        <v>188.55</v>
      </c>
      <c r="AF465" s="185">
        <f t="shared" si="382"/>
        <v>322.72000000000003</v>
      </c>
      <c r="AG465" s="185">
        <f t="shared" si="348"/>
        <v>989037.5</v>
      </c>
      <c r="AH465" s="185">
        <f t="shared" si="349"/>
        <v>2810829.4999999991</v>
      </c>
      <c r="AI465" s="411">
        <f t="shared" si="364"/>
        <v>3221740.1900000102</v>
      </c>
      <c r="AJ465" s="411">
        <f t="shared" si="351"/>
        <v>0</v>
      </c>
      <c r="AK465" s="411">
        <f t="shared" si="365"/>
        <v>3221740.1900000102</v>
      </c>
      <c r="AL465" s="185">
        <f t="shared" si="371"/>
        <v>0</v>
      </c>
      <c r="AM465" s="317">
        <f t="shared" ref="AM465:AM528" si="387">+L465</f>
        <v>37</v>
      </c>
      <c r="AN465" s="14">
        <f t="shared" si="366"/>
        <v>0</v>
      </c>
      <c r="AO465" s="14">
        <f t="shared" si="356"/>
        <v>0</v>
      </c>
      <c r="AP465" s="14">
        <f t="shared" si="367"/>
        <v>0</v>
      </c>
      <c r="AS465" s="14">
        <f t="shared" si="383"/>
        <v>0</v>
      </c>
      <c r="AT465" s="14">
        <f t="shared" ref="AT465:AT491" si="388">IF(W465&lt;=0,0,+AS465+AT464)</f>
        <v>0</v>
      </c>
      <c r="AU465" s="185">
        <f t="shared" ref="AU465:AU491" si="389">IF(W465&lt;=0,0,+($O$5+AV464)*$AQ$2/12)</f>
        <v>0</v>
      </c>
      <c r="AV465" s="185">
        <f t="shared" ref="AV465:AV491" si="390">IF(W465&lt;=0,0,+AV464+AU465)</f>
        <v>0</v>
      </c>
    </row>
    <row r="466" spans="1:48">
      <c r="A466" s="401" t="str">
        <f t="shared" ref="A466:A491" si="391">IF(K466&lt;=0," ",+A465+30)</f>
        <v xml:space="preserve"> </v>
      </c>
      <c r="B466" s="185">
        <f t="shared" si="359"/>
        <v>0</v>
      </c>
      <c r="C466" s="14">
        <f t="shared" si="375"/>
        <v>0</v>
      </c>
      <c r="D466" s="14">
        <f t="shared" ref="D466:D491" si="392">+C466-E466</f>
        <v>0</v>
      </c>
      <c r="E466" s="14">
        <f t="shared" si="376"/>
        <v>0</v>
      </c>
      <c r="F466" s="14">
        <f t="shared" si="373"/>
        <v>0</v>
      </c>
      <c r="G466" s="14">
        <f t="shared" si="373"/>
        <v>0</v>
      </c>
      <c r="H466" s="14">
        <f t="shared" si="361"/>
        <v>0</v>
      </c>
      <c r="I466" s="185">
        <f t="shared" ref="I466:I491" si="393">$D466+$I465</f>
        <v>0</v>
      </c>
      <c r="J466" s="185">
        <f t="shared" ref="J466:J491" si="394">$E466+$J465</f>
        <v>0</v>
      </c>
      <c r="K466" s="185">
        <f t="shared" ref="K466:K491" si="395">+B466-D466</f>
        <v>0</v>
      </c>
      <c r="L466" s="317">
        <f t="shared" si="357"/>
        <v>37</v>
      </c>
      <c r="M466" s="317">
        <f t="shared" si="384"/>
        <v>450</v>
      </c>
      <c r="N466" s="185">
        <f t="shared" si="385"/>
        <v>0</v>
      </c>
      <c r="O466" s="185">
        <f t="shared" si="368"/>
        <v>0</v>
      </c>
      <c r="P466" s="185">
        <f t="shared" ref="P466:P491" si="396">+O466-Q466</f>
        <v>0</v>
      </c>
      <c r="Q466" s="185">
        <f t="shared" si="369"/>
        <v>0</v>
      </c>
      <c r="R466" s="185">
        <f t="shared" si="377"/>
        <v>134.16999999999999</v>
      </c>
      <c r="S466" s="185">
        <f t="shared" si="377"/>
        <v>188.55</v>
      </c>
      <c r="T466" s="185">
        <f t="shared" si="362"/>
        <v>322.72000000000003</v>
      </c>
      <c r="U466" s="185">
        <f t="shared" ref="U466:U491" si="397">+P466+U465</f>
        <v>1005371.31</v>
      </c>
      <c r="V466" s="185">
        <f t="shared" ref="V466:V491" si="398">+V465+Q466</f>
        <v>6046189.700000003</v>
      </c>
      <c r="W466" s="185">
        <f t="shared" ref="W466:W491" si="399">+N466-P466</f>
        <v>0</v>
      </c>
      <c r="X466" s="401" t="str">
        <f t="shared" si="386"/>
        <v xml:space="preserve"> </v>
      </c>
      <c r="Y466" s="185">
        <f t="shared" si="370"/>
        <v>0</v>
      </c>
      <c r="Z466" s="393">
        <f t="shared" si="378"/>
        <v>0.13125000000000001</v>
      </c>
      <c r="AA466" s="185">
        <f t="shared" si="379"/>
        <v>0</v>
      </c>
      <c r="AB466" s="185">
        <f t="shared" si="380"/>
        <v>0</v>
      </c>
      <c r="AC466" s="185">
        <f t="shared" si="381"/>
        <v>0</v>
      </c>
      <c r="AD466" s="185">
        <f t="shared" si="374"/>
        <v>134.16999999999999</v>
      </c>
      <c r="AE466" s="185">
        <f t="shared" si="374"/>
        <v>188.55</v>
      </c>
      <c r="AF466" s="185">
        <f t="shared" si="382"/>
        <v>322.72000000000003</v>
      </c>
      <c r="AG466" s="185">
        <f t="shared" ref="AG466:AG529" si="400">+AB466+AG465</f>
        <v>989037.5</v>
      </c>
      <c r="AH466" s="185">
        <f t="shared" ref="AH466:AH529" si="401">+AH465+AC466</f>
        <v>2810829.4999999991</v>
      </c>
      <c r="AI466" s="411">
        <f t="shared" si="364"/>
        <v>3221740.1900000102</v>
      </c>
      <c r="AJ466" s="411">
        <f t="shared" si="351"/>
        <v>0</v>
      </c>
      <c r="AK466" s="411">
        <f t="shared" si="365"/>
        <v>3221740.1900000102</v>
      </c>
      <c r="AL466" s="185">
        <f t="shared" si="371"/>
        <v>0</v>
      </c>
      <c r="AM466" s="317">
        <f t="shared" si="387"/>
        <v>37</v>
      </c>
      <c r="AN466" s="14">
        <f t="shared" si="366"/>
        <v>0</v>
      </c>
      <c r="AO466" s="14">
        <f t="shared" si="356"/>
        <v>0</v>
      </c>
      <c r="AP466" s="14">
        <f t="shared" si="367"/>
        <v>0</v>
      </c>
      <c r="AS466" s="14">
        <f t="shared" si="383"/>
        <v>0</v>
      </c>
      <c r="AT466" s="14">
        <f t="shared" si="388"/>
        <v>0</v>
      </c>
      <c r="AU466" s="185">
        <f t="shared" si="389"/>
        <v>0</v>
      </c>
      <c r="AV466" s="185">
        <f t="shared" si="390"/>
        <v>0</v>
      </c>
    </row>
    <row r="467" spans="1:48">
      <c r="A467" s="401" t="str">
        <f t="shared" si="391"/>
        <v xml:space="preserve"> </v>
      </c>
      <c r="B467" s="185">
        <f t="shared" si="359"/>
        <v>0</v>
      </c>
      <c r="C467" s="14">
        <f t="shared" si="375"/>
        <v>0</v>
      </c>
      <c r="D467" s="14">
        <f t="shared" si="392"/>
        <v>0</v>
      </c>
      <c r="E467" s="14">
        <f t="shared" si="376"/>
        <v>0</v>
      </c>
      <c r="F467" s="14">
        <f t="shared" si="373"/>
        <v>0</v>
      </c>
      <c r="G467" s="14">
        <f t="shared" si="373"/>
        <v>0</v>
      </c>
      <c r="H467" s="14">
        <f t="shared" si="361"/>
        <v>0</v>
      </c>
      <c r="I467" s="185">
        <f t="shared" si="393"/>
        <v>0</v>
      </c>
      <c r="J467" s="185">
        <f t="shared" si="394"/>
        <v>0</v>
      </c>
      <c r="K467" s="185">
        <f t="shared" si="395"/>
        <v>0</v>
      </c>
      <c r="L467" s="317">
        <f t="shared" si="357"/>
        <v>37</v>
      </c>
      <c r="M467" s="317">
        <f t="shared" si="384"/>
        <v>451</v>
      </c>
      <c r="N467" s="185">
        <f t="shared" si="385"/>
        <v>0</v>
      </c>
      <c r="O467" s="185">
        <f t="shared" si="368"/>
        <v>0</v>
      </c>
      <c r="P467" s="185">
        <f t="shared" si="396"/>
        <v>0</v>
      </c>
      <c r="Q467" s="185">
        <f t="shared" si="369"/>
        <v>0</v>
      </c>
      <c r="R467" s="185">
        <f t="shared" si="377"/>
        <v>134.16999999999999</v>
      </c>
      <c r="S467" s="185">
        <f t="shared" si="377"/>
        <v>188.55</v>
      </c>
      <c r="T467" s="185">
        <f t="shared" si="362"/>
        <v>322.72000000000003</v>
      </c>
      <c r="U467" s="185">
        <f t="shared" si="397"/>
        <v>1005371.31</v>
      </c>
      <c r="V467" s="185">
        <f t="shared" si="398"/>
        <v>6046189.700000003</v>
      </c>
      <c r="W467" s="185">
        <f t="shared" si="399"/>
        <v>0</v>
      </c>
      <c r="X467" s="401" t="str">
        <f t="shared" si="386"/>
        <v xml:space="preserve"> </v>
      </c>
      <c r="Y467" s="185">
        <f t="shared" si="370"/>
        <v>0</v>
      </c>
      <c r="Z467" s="393">
        <f t="shared" si="378"/>
        <v>0.13125000000000001</v>
      </c>
      <c r="AA467" s="185">
        <f t="shared" si="379"/>
        <v>0</v>
      </c>
      <c r="AB467" s="185">
        <f t="shared" si="380"/>
        <v>0</v>
      </c>
      <c r="AC467" s="185">
        <f t="shared" si="381"/>
        <v>0</v>
      </c>
      <c r="AD467" s="185">
        <f t="shared" si="374"/>
        <v>134.16999999999999</v>
      </c>
      <c r="AE467" s="185">
        <f t="shared" si="374"/>
        <v>188.55</v>
      </c>
      <c r="AF467" s="185">
        <f t="shared" si="382"/>
        <v>322.72000000000003</v>
      </c>
      <c r="AG467" s="185">
        <f t="shared" si="400"/>
        <v>989037.5</v>
      </c>
      <c r="AH467" s="185">
        <f t="shared" si="401"/>
        <v>2810829.4999999991</v>
      </c>
      <c r="AI467" s="411">
        <f t="shared" si="364"/>
        <v>3221740.1900000102</v>
      </c>
      <c r="AJ467" s="411">
        <f t="shared" si="351"/>
        <v>0</v>
      </c>
      <c r="AK467" s="411">
        <f t="shared" si="365"/>
        <v>3221740.1900000102</v>
      </c>
      <c r="AL467" s="185">
        <f t="shared" si="371"/>
        <v>0</v>
      </c>
      <c r="AM467" s="317">
        <f t="shared" si="387"/>
        <v>37</v>
      </c>
      <c r="AN467" s="14">
        <f t="shared" si="366"/>
        <v>0</v>
      </c>
      <c r="AO467" s="14">
        <f t="shared" si="356"/>
        <v>0</v>
      </c>
      <c r="AP467" s="14">
        <f t="shared" si="367"/>
        <v>0</v>
      </c>
      <c r="AS467" s="14">
        <f t="shared" si="383"/>
        <v>0</v>
      </c>
      <c r="AT467" s="14">
        <f t="shared" si="388"/>
        <v>0</v>
      </c>
      <c r="AU467" s="185">
        <f t="shared" si="389"/>
        <v>0</v>
      </c>
      <c r="AV467" s="185">
        <f t="shared" si="390"/>
        <v>0</v>
      </c>
    </row>
    <row r="468" spans="1:48">
      <c r="A468" s="401" t="str">
        <f t="shared" si="391"/>
        <v xml:space="preserve"> </v>
      </c>
      <c r="B468" s="185">
        <f t="shared" si="359"/>
        <v>0</v>
      </c>
      <c r="C468" s="14">
        <f t="shared" si="375"/>
        <v>0</v>
      </c>
      <c r="D468" s="14">
        <f t="shared" si="392"/>
        <v>0</v>
      </c>
      <c r="E468" s="14">
        <f t="shared" si="376"/>
        <v>0</v>
      </c>
      <c r="F468" s="14">
        <f t="shared" si="373"/>
        <v>0</v>
      </c>
      <c r="G468" s="14">
        <f t="shared" si="373"/>
        <v>0</v>
      </c>
      <c r="H468" s="14">
        <f t="shared" si="361"/>
        <v>0</v>
      </c>
      <c r="I468" s="185">
        <f t="shared" si="393"/>
        <v>0</v>
      </c>
      <c r="J468" s="185">
        <f t="shared" si="394"/>
        <v>0</v>
      </c>
      <c r="K468" s="185">
        <f t="shared" si="395"/>
        <v>0</v>
      </c>
      <c r="L468" s="317">
        <f t="shared" si="357"/>
        <v>37</v>
      </c>
      <c r="M468" s="317">
        <f t="shared" si="384"/>
        <v>452</v>
      </c>
      <c r="N468" s="185">
        <f t="shared" si="385"/>
        <v>0</v>
      </c>
      <c r="O468" s="185">
        <f t="shared" si="368"/>
        <v>0</v>
      </c>
      <c r="P468" s="185">
        <f t="shared" si="396"/>
        <v>0</v>
      </c>
      <c r="Q468" s="185">
        <f t="shared" si="369"/>
        <v>0</v>
      </c>
      <c r="R468" s="185">
        <f t="shared" si="377"/>
        <v>134.16999999999999</v>
      </c>
      <c r="S468" s="185">
        <f t="shared" si="377"/>
        <v>188.55</v>
      </c>
      <c r="T468" s="185">
        <f t="shared" si="362"/>
        <v>322.72000000000003</v>
      </c>
      <c r="U468" s="185">
        <f t="shared" si="397"/>
        <v>1005371.31</v>
      </c>
      <c r="V468" s="185">
        <f t="shared" si="398"/>
        <v>6046189.700000003</v>
      </c>
      <c r="W468" s="185">
        <f t="shared" si="399"/>
        <v>0</v>
      </c>
      <c r="X468" s="401" t="str">
        <f t="shared" si="386"/>
        <v xml:space="preserve"> </v>
      </c>
      <c r="Y468" s="185">
        <f t="shared" si="370"/>
        <v>0</v>
      </c>
      <c r="Z468" s="393">
        <f t="shared" si="378"/>
        <v>0.13125000000000001</v>
      </c>
      <c r="AA468" s="185">
        <f t="shared" si="379"/>
        <v>0</v>
      </c>
      <c r="AB468" s="185">
        <f t="shared" si="380"/>
        <v>0</v>
      </c>
      <c r="AC468" s="185">
        <f t="shared" si="381"/>
        <v>0</v>
      </c>
      <c r="AD468" s="185">
        <f t="shared" si="374"/>
        <v>134.16999999999999</v>
      </c>
      <c r="AE468" s="185">
        <f t="shared" si="374"/>
        <v>188.55</v>
      </c>
      <c r="AF468" s="185">
        <f t="shared" si="382"/>
        <v>322.72000000000003</v>
      </c>
      <c r="AG468" s="185">
        <f t="shared" si="400"/>
        <v>989037.5</v>
      </c>
      <c r="AH468" s="185">
        <f t="shared" si="401"/>
        <v>2810829.4999999991</v>
      </c>
      <c r="AI468" s="411">
        <f t="shared" si="364"/>
        <v>3221740.1900000102</v>
      </c>
      <c r="AJ468" s="411">
        <f t="shared" si="351"/>
        <v>0</v>
      </c>
      <c r="AK468" s="411">
        <f t="shared" si="365"/>
        <v>3221740.1900000102</v>
      </c>
      <c r="AL468" s="185">
        <f t="shared" si="371"/>
        <v>0</v>
      </c>
      <c r="AM468" s="317">
        <f t="shared" si="387"/>
        <v>37</v>
      </c>
      <c r="AN468" s="14">
        <f t="shared" si="366"/>
        <v>0</v>
      </c>
      <c r="AO468" s="14">
        <f t="shared" si="356"/>
        <v>0</v>
      </c>
      <c r="AP468" s="14">
        <f t="shared" si="367"/>
        <v>0</v>
      </c>
      <c r="AS468" s="14">
        <f t="shared" si="383"/>
        <v>0</v>
      </c>
      <c r="AT468" s="14">
        <f t="shared" si="388"/>
        <v>0</v>
      </c>
      <c r="AU468" s="185">
        <f t="shared" si="389"/>
        <v>0</v>
      </c>
      <c r="AV468" s="185">
        <f t="shared" si="390"/>
        <v>0</v>
      </c>
    </row>
    <row r="469" spans="1:48">
      <c r="A469" s="401" t="str">
        <f t="shared" si="391"/>
        <v xml:space="preserve"> </v>
      </c>
      <c r="B469" s="185">
        <f t="shared" si="359"/>
        <v>0</v>
      </c>
      <c r="C469" s="14">
        <f t="shared" si="375"/>
        <v>0</v>
      </c>
      <c r="D469" s="14">
        <f t="shared" si="392"/>
        <v>0</v>
      </c>
      <c r="E469" s="14">
        <f t="shared" si="376"/>
        <v>0</v>
      </c>
      <c r="F469" s="14">
        <f t="shared" si="373"/>
        <v>0</v>
      </c>
      <c r="G469" s="14">
        <f t="shared" si="373"/>
        <v>0</v>
      </c>
      <c r="H469" s="14">
        <f t="shared" si="361"/>
        <v>0</v>
      </c>
      <c r="I469" s="185">
        <f t="shared" si="393"/>
        <v>0</v>
      </c>
      <c r="J469" s="185">
        <f t="shared" si="394"/>
        <v>0</v>
      </c>
      <c r="K469" s="185">
        <f t="shared" si="395"/>
        <v>0</v>
      </c>
      <c r="L469" s="317">
        <f t="shared" si="357"/>
        <v>37</v>
      </c>
      <c r="M469" s="317">
        <f t="shared" si="384"/>
        <v>453</v>
      </c>
      <c r="N469" s="185">
        <f t="shared" si="385"/>
        <v>0</v>
      </c>
      <c r="O469" s="185">
        <f t="shared" si="368"/>
        <v>0</v>
      </c>
      <c r="P469" s="185">
        <f t="shared" si="396"/>
        <v>0</v>
      </c>
      <c r="Q469" s="185">
        <f t="shared" si="369"/>
        <v>0</v>
      </c>
      <c r="R469" s="185">
        <f t="shared" si="377"/>
        <v>134.16999999999999</v>
      </c>
      <c r="S469" s="185">
        <f t="shared" si="377"/>
        <v>188.55</v>
      </c>
      <c r="T469" s="185">
        <f t="shared" si="362"/>
        <v>322.72000000000003</v>
      </c>
      <c r="U469" s="185">
        <f t="shared" si="397"/>
        <v>1005371.31</v>
      </c>
      <c r="V469" s="185">
        <f t="shared" si="398"/>
        <v>6046189.700000003</v>
      </c>
      <c r="W469" s="185">
        <f t="shared" si="399"/>
        <v>0</v>
      </c>
      <c r="X469" s="401" t="str">
        <f t="shared" si="386"/>
        <v xml:space="preserve"> </v>
      </c>
      <c r="Y469" s="185">
        <f t="shared" si="370"/>
        <v>0</v>
      </c>
      <c r="Z469" s="393">
        <f t="shared" si="378"/>
        <v>0.13125000000000001</v>
      </c>
      <c r="AA469" s="185">
        <f t="shared" si="379"/>
        <v>0</v>
      </c>
      <c r="AB469" s="185">
        <f t="shared" si="380"/>
        <v>0</v>
      </c>
      <c r="AC469" s="185">
        <f t="shared" si="381"/>
        <v>0</v>
      </c>
      <c r="AD469" s="185">
        <f t="shared" si="374"/>
        <v>134.16999999999999</v>
      </c>
      <c r="AE469" s="185">
        <f t="shared" si="374"/>
        <v>188.55</v>
      </c>
      <c r="AF469" s="185">
        <f t="shared" si="382"/>
        <v>322.72000000000003</v>
      </c>
      <c r="AG469" s="185">
        <f t="shared" si="400"/>
        <v>989037.5</v>
      </c>
      <c r="AH469" s="185">
        <f t="shared" si="401"/>
        <v>2810829.4999999991</v>
      </c>
      <c r="AI469" s="411">
        <f t="shared" si="364"/>
        <v>3221740.1900000102</v>
      </c>
      <c r="AJ469" s="411">
        <f t="shared" si="351"/>
        <v>0</v>
      </c>
      <c r="AK469" s="411">
        <f t="shared" si="365"/>
        <v>3221740.1900000102</v>
      </c>
      <c r="AL469" s="185">
        <f t="shared" si="371"/>
        <v>0</v>
      </c>
      <c r="AM469" s="317">
        <f t="shared" si="387"/>
        <v>37</v>
      </c>
      <c r="AN469" s="14">
        <f t="shared" si="366"/>
        <v>0</v>
      </c>
      <c r="AO469" s="14">
        <f t="shared" si="356"/>
        <v>0</v>
      </c>
      <c r="AP469" s="14">
        <f t="shared" si="367"/>
        <v>0</v>
      </c>
      <c r="AS469" s="14">
        <f t="shared" si="383"/>
        <v>0</v>
      </c>
      <c r="AT469" s="14">
        <f t="shared" si="388"/>
        <v>0</v>
      </c>
      <c r="AU469" s="185">
        <f t="shared" si="389"/>
        <v>0</v>
      </c>
      <c r="AV469" s="185">
        <f t="shared" si="390"/>
        <v>0</v>
      </c>
    </row>
    <row r="470" spans="1:48">
      <c r="A470" s="401" t="str">
        <f t="shared" si="391"/>
        <v xml:space="preserve"> </v>
      </c>
      <c r="B470" s="185">
        <f t="shared" si="359"/>
        <v>0</v>
      </c>
      <c r="C470" s="14">
        <f t="shared" si="375"/>
        <v>0</v>
      </c>
      <c r="D470" s="14">
        <f t="shared" si="392"/>
        <v>0</v>
      </c>
      <c r="E470" s="14">
        <f t="shared" si="376"/>
        <v>0</v>
      </c>
      <c r="F470" s="14">
        <f t="shared" si="373"/>
        <v>0</v>
      </c>
      <c r="G470" s="14">
        <f t="shared" si="373"/>
        <v>0</v>
      </c>
      <c r="H470" s="14">
        <f t="shared" si="361"/>
        <v>0</v>
      </c>
      <c r="I470" s="185">
        <f t="shared" si="393"/>
        <v>0</v>
      </c>
      <c r="J470" s="185">
        <f t="shared" si="394"/>
        <v>0</v>
      </c>
      <c r="K470" s="185">
        <f t="shared" si="395"/>
        <v>0</v>
      </c>
      <c r="L470" s="317">
        <f t="shared" si="357"/>
        <v>37</v>
      </c>
      <c r="M470" s="317">
        <f t="shared" si="384"/>
        <v>454</v>
      </c>
      <c r="N470" s="185">
        <f t="shared" si="385"/>
        <v>0</v>
      </c>
      <c r="O470" s="185">
        <f t="shared" si="368"/>
        <v>0</v>
      </c>
      <c r="P470" s="185">
        <f t="shared" si="396"/>
        <v>0</v>
      </c>
      <c r="Q470" s="185">
        <f t="shared" si="369"/>
        <v>0</v>
      </c>
      <c r="R470" s="185">
        <f t="shared" si="377"/>
        <v>134.16999999999999</v>
      </c>
      <c r="S470" s="185">
        <f t="shared" si="377"/>
        <v>188.55</v>
      </c>
      <c r="T470" s="185">
        <f t="shared" si="362"/>
        <v>322.72000000000003</v>
      </c>
      <c r="U470" s="185">
        <f t="shared" si="397"/>
        <v>1005371.31</v>
      </c>
      <c r="V470" s="185">
        <f t="shared" si="398"/>
        <v>6046189.700000003</v>
      </c>
      <c r="W470" s="185">
        <f t="shared" si="399"/>
        <v>0</v>
      </c>
      <c r="X470" s="401" t="str">
        <f t="shared" si="386"/>
        <v xml:space="preserve"> </v>
      </c>
      <c r="Y470" s="185">
        <f t="shared" si="370"/>
        <v>0</v>
      </c>
      <c r="Z470" s="393">
        <f t="shared" si="378"/>
        <v>0.13125000000000001</v>
      </c>
      <c r="AA470" s="185">
        <f t="shared" si="379"/>
        <v>0</v>
      </c>
      <c r="AB470" s="185">
        <f t="shared" si="380"/>
        <v>0</v>
      </c>
      <c r="AC470" s="185">
        <f t="shared" si="381"/>
        <v>0</v>
      </c>
      <c r="AD470" s="185">
        <f t="shared" si="374"/>
        <v>134.16999999999999</v>
      </c>
      <c r="AE470" s="185">
        <f t="shared" si="374"/>
        <v>188.55</v>
      </c>
      <c r="AF470" s="185">
        <f t="shared" si="382"/>
        <v>322.72000000000003</v>
      </c>
      <c r="AG470" s="185">
        <f t="shared" si="400"/>
        <v>989037.5</v>
      </c>
      <c r="AH470" s="185">
        <f t="shared" si="401"/>
        <v>2810829.4999999991</v>
      </c>
      <c r="AI470" s="411">
        <f t="shared" si="364"/>
        <v>3221740.1900000102</v>
      </c>
      <c r="AJ470" s="411">
        <f t="shared" si="351"/>
        <v>0</v>
      </c>
      <c r="AK470" s="411">
        <f t="shared" si="365"/>
        <v>3221740.1900000102</v>
      </c>
      <c r="AL470" s="185">
        <f t="shared" si="371"/>
        <v>0</v>
      </c>
      <c r="AM470" s="317">
        <f t="shared" si="387"/>
        <v>37</v>
      </c>
      <c r="AN470" s="14">
        <f t="shared" si="366"/>
        <v>0</v>
      </c>
      <c r="AO470" s="14">
        <f t="shared" si="356"/>
        <v>0</v>
      </c>
      <c r="AP470" s="14">
        <f t="shared" si="367"/>
        <v>0</v>
      </c>
      <c r="AS470" s="14">
        <f t="shared" si="383"/>
        <v>0</v>
      </c>
      <c r="AT470" s="14">
        <f t="shared" si="388"/>
        <v>0</v>
      </c>
      <c r="AU470" s="185">
        <f t="shared" si="389"/>
        <v>0</v>
      </c>
      <c r="AV470" s="185">
        <f t="shared" si="390"/>
        <v>0</v>
      </c>
    </row>
    <row r="471" spans="1:48" ht="15.75" thickBot="1">
      <c r="A471" s="404" t="str">
        <f t="shared" si="391"/>
        <v xml:space="preserve"> </v>
      </c>
      <c r="B471" s="237">
        <f t="shared" si="359"/>
        <v>0</v>
      </c>
      <c r="C471" s="21">
        <f t="shared" si="375"/>
        <v>0</v>
      </c>
      <c r="D471" s="21">
        <f t="shared" si="392"/>
        <v>0</v>
      </c>
      <c r="E471" s="21">
        <f t="shared" si="376"/>
        <v>0</v>
      </c>
      <c r="F471" s="21">
        <f t="shared" si="373"/>
        <v>0</v>
      </c>
      <c r="G471" s="21">
        <f t="shared" si="373"/>
        <v>0</v>
      </c>
      <c r="H471" s="21">
        <f t="shared" si="361"/>
        <v>0</v>
      </c>
      <c r="I471" s="237">
        <f t="shared" si="393"/>
        <v>0</v>
      </c>
      <c r="J471" s="237">
        <f t="shared" si="394"/>
        <v>0</v>
      </c>
      <c r="K471" s="237">
        <f t="shared" si="395"/>
        <v>0</v>
      </c>
      <c r="L471" s="318">
        <f t="shared" si="357"/>
        <v>37</v>
      </c>
      <c r="M471" s="318">
        <f t="shared" si="384"/>
        <v>455</v>
      </c>
      <c r="N471" s="237">
        <f t="shared" si="385"/>
        <v>0</v>
      </c>
      <c r="O471" s="237">
        <f t="shared" si="368"/>
        <v>0</v>
      </c>
      <c r="P471" s="237">
        <f t="shared" si="396"/>
        <v>0</v>
      </c>
      <c r="Q471" s="237">
        <f t="shared" si="369"/>
        <v>0</v>
      </c>
      <c r="R471" s="237">
        <f t="shared" si="377"/>
        <v>134.16999999999999</v>
      </c>
      <c r="S471" s="237">
        <f t="shared" si="377"/>
        <v>188.55</v>
      </c>
      <c r="T471" s="237">
        <f t="shared" si="362"/>
        <v>322.72000000000003</v>
      </c>
      <c r="U471" s="237">
        <f t="shared" si="397"/>
        <v>1005371.31</v>
      </c>
      <c r="V471" s="237">
        <f t="shared" si="398"/>
        <v>6046189.700000003</v>
      </c>
      <c r="W471" s="237">
        <f t="shared" si="399"/>
        <v>0</v>
      </c>
      <c r="X471" s="404" t="str">
        <f t="shared" si="386"/>
        <v xml:space="preserve"> </v>
      </c>
      <c r="Y471" s="237">
        <f t="shared" si="370"/>
        <v>0</v>
      </c>
      <c r="Z471" s="394">
        <f t="shared" si="378"/>
        <v>0.13125000000000001</v>
      </c>
      <c r="AA471" s="237">
        <f t="shared" si="379"/>
        <v>0</v>
      </c>
      <c r="AB471" s="237">
        <f t="shared" si="380"/>
        <v>0</v>
      </c>
      <c r="AC471" s="237">
        <f t="shared" si="381"/>
        <v>0</v>
      </c>
      <c r="AD471" s="237">
        <f t="shared" si="374"/>
        <v>134.16999999999999</v>
      </c>
      <c r="AE471" s="237">
        <f t="shared" si="374"/>
        <v>188.55</v>
      </c>
      <c r="AF471" s="237">
        <f t="shared" si="382"/>
        <v>322.72000000000003</v>
      </c>
      <c r="AG471" s="237">
        <f t="shared" si="400"/>
        <v>989037.5</v>
      </c>
      <c r="AH471" s="237">
        <f t="shared" si="401"/>
        <v>2810829.4999999991</v>
      </c>
      <c r="AI471" s="412">
        <f t="shared" si="364"/>
        <v>3221740.1900000102</v>
      </c>
      <c r="AJ471" s="412">
        <f t="shared" si="351"/>
        <v>0</v>
      </c>
      <c r="AK471" s="411">
        <f t="shared" si="365"/>
        <v>3221740.1900000102</v>
      </c>
      <c r="AL471" s="237">
        <f t="shared" si="371"/>
        <v>0</v>
      </c>
      <c r="AM471" s="318">
        <f t="shared" si="387"/>
        <v>37</v>
      </c>
      <c r="AN471" s="21">
        <f t="shared" si="366"/>
        <v>0</v>
      </c>
      <c r="AO471" s="21">
        <f t="shared" si="356"/>
        <v>0</v>
      </c>
      <c r="AP471" s="21">
        <f t="shared" si="367"/>
        <v>0</v>
      </c>
      <c r="AQ471" s="21"/>
      <c r="AR471" s="23"/>
      <c r="AS471" s="21">
        <f t="shared" si="383"/>
        <v>0</v>
      </c>
      <c r="AT471" s="21">
        <f t="shared" si="388"/>
        <v>0</v>
      </c>
      <c r="AU471" s="237">
        <f t="shared" si="389"/>
        <v>0</v>
      </c>
      <c r="AV471" s="237">
        <f t="shared" si="390"/>
        <v>0</v>
      </c>
    </row>
    <row r="472" spans="1:48">
      <c r="A472" s="401" t="str">
        <f t="shared" si="391"/>
        <v xml:space="preserve"> </v>
      </c>
      <c r="B472" s="185">
        <f t="shared" si="359"/>
        <v>0</v>
      </c>
      <c r="C472" s="14">
        <f t="shared" si="375"/>
        <v>0</v>
      </c>
      <c r="D472" s="14">
        <f t="shared" si="392"/>
        <v>0</v>
      </c>
      <c r="E472" s="14">
        <f t="shared" si="376"/>
        <v>0</v>
      </c>
      <c r="F472" s="14">
        <f t="shared" si="373"/>
        <v>0</v>
      </c>
      <c r="G472" s="14">
        <f t="shared" si="373"/>
        <v>0</v>
      </c>
      <c r="H472" s="14">
        <f t="shared" si="361"/>
        <v>0</v>
      </c>
      <c r="I472" s="185">
        <f t="shared" si="393"/>
        <v>0</v>
      </c>
      <c r="J472" s="185">
        <f t="shared" si="394"/>
        <v>0</v>
      </c>
      <c r="K472" s="185">
        <f t="shared" si="395"/>
        <v>0</v>
      </c>
      <c r="L472" s="317">
        <f t="shared" si="357"/>
        <v>38</v>
      </c>
      <c r="M472" s="317">
        <f t="shared" si="384"/>
        <v>456</v>
      </c>
      <c r="N472" s="185">
        <f t="shared" si="385"/>
        <v>0</v>
      </c>
      <c r="O472" s="185">
        <f t="shared" si="368"/>
        <v>0</v>
      </c>
      <c r="P472" s="185">
        <f t="shared" si="396"/>
        <v>0</v>
      </c>
      <c r="Q472" s="185">
        <f t="shared" si="369"/>
        <v>0</v>
      </c>
      <c r="R472" s="185">
        <f t="shared" si="377"/>
        <v>134.16999999999999</v>
      </c>
      <c r="S472" s="185">
        <f t="shared" si="377"/>
        <v>188.55</v>
      </c>
      <c r="T472" s="185">
        <f t="shared" si="362"/>
        <v>322.72000000000003</v>
      </c>
      <c r="U472" s="185">
        <f t="shared" si="397"/>
        <v>1005371.31</v>
      </c>
      <c r="V472" s="185">
        <f t="shared" si="398"/>
        <v>6046189.700000003</v>
      </c>
      <c r="W472" s="185">
        <f t="shared" si="399"/>
        <v>0</v>
      </c>
      <c r="X472" s="401" t="str">
        <f t="shared" si="386"/>
        <v xml:space="preserve"> </v>
      </c>
      <c r="Y472" s="185">
        <f t="shared" si="370"/>
        <v>0</v>
      </c>
      <c r="Z472" s="393">
        <f t="shared" si="378"/>
        <v>0.13125000000000001</v>
      </c>
      <c r="AA472" s="185">
        <f t="shared" si="379"/>
        <v>0</v>
      </c>
      <c r="AB472" s="185">
        <f t="shared" si="380"/>
        <v>0</v>
      </c>
      <c r="AC472" s="185">
        <f t="shared" si="381"/>
        <v>0</v>
      </c>
      <c r="AD472" s="185">
        <f t="shared" si="374"/>
        <v>134.16999999999999</v>
      </c>
      <c r="AE472" s="185">
        <f t="shared" si="374"/>
        <v>188.55</v>
      </c>
      <c r="AF472" s="185">
        <f t="shared" si="382"/>
        <v>322.72000000000003</v>
      </c>
      <c r="AG472" s="185">
        <f t="shared" si="400"/>
        <v>989037.5</v>
      </c>
      <c r="AH472" s="185">
        <f t="shared" si="401"/>
        <v>2810829.4999999991</v>
      </c>
      <c r="AI472" s="411">
        <f t="shared" si="364"/>
        <v>3221740.1900000102</v>
      </c>
      <c r="AJ472" s="411">
        <f t="shared" si="351"/>
        <v>0</v>
      </c>
      <c r="AK472" s="411">
        <f t="shared" si="365"/>
        <v>3221740.1900000102</v>
      </c>
      <c r="AL472" s="185">
        <f t="shared" si="371"/>
        <v>0</v>
      </c>
      <c r="AM472" s="317">
        <f t="shared" si="387"/>
        <v>38</v>
      </c>
      <c r="AN472" s="14">
        <f t="shared" si="366"/>
        <v>0</v>
      </c>
      <c r="AO472" s="14">
        <f t="shared" si="356"/>
        <v>0</v>
      </c>
      <c r="AP472" s="14">
        <f t="shared" si="367"/>
        <v>0</v>
      </c>
      <c r="AS472" s="14">
        <f t="shared" si="383"/>
        <v>0</v>
      </c>
      <c r="AT472" s="14">
        <f t="shared" si="388"/>
        <v>0</v>
      </c>
      <c r="AU472" s="185">
        <f t="shared" si="389"/>
        <v>0</v>
      </c>
      <c r="AV472" s="185">
        <f t="shared" si="390"/>
        <v>0</v>
      </c>
    </row>
    <row r="473" spans="1:48">
      <c r="A473" s="401" t="str">
        <f t="shared" si="391"/>
        <v xml:space="preserve"> </v>
      </c>
      <c r="B473" s="185">
        <f t="shared" si="359"/>
        <v>0</v>
      </c>
      <c r="C473" s="14">
        <f t="shared" si="375"/>
        <v>0</v>
      </c>
      <c r="D473" s="14">
        <f t="shared" si="392"/>
        <v>0</v>
      </c>
      <c r="E473" s="14">
        <f t="shared" si="376"/>
        <v>0</v>
      </c>
      <c r="F473" s="14">
        <f t="shared" si="373"/>
        <v>0</v>
      </c>
      <c r="G473" s="14">
        <f t="shared" si="373"/>
        <v>0</v>
      </c>
      <c r="H473" s="14">
        <f t="shared" si="361"/>
        <v>0</v>
      </c>
      <c r="I473" s="185">
        <f t="shared" si="393"/>
        <v>0</v>
      </c>
      <c r="J473" s="185">
        <f t="shared" si="394"/>
        <v>0</v>
      </c>
      <c r="K473" s="185">
        <f t="shared" si="395"/>
        <v>0</v>
      </c>
      <c r="L473" s="317">
        <f t="shared" si="357"/>
        <v>38</v>
      </c>
      <c r="M473" s="317">
        <f t="shared" si="384"/>
        <v>457</v>
      </c>
      <c r="N473" s="185">
        <f t="shared" si="385"/>
        <v>0</v>
      </c>
      <c r="O473" s="185">
        <f t="shared" si="368"/>
        <v>0</v>
      </c>
      <c r="P473" s="185">
        <f t="shared" si="396"/>
        <v>0</v>
      </c>
      <c r="Q473" s="185">
        <f t="shared" si="369"/>
        <v>0</v>
      </c>
      <c r="R473" s="185">
        <f t="shared" si="377"/>
        <v>134.16999999999999</v>
      </c>
      <c r="S473" s="185">
        <f t="shared" si="377"/>
        <v>188.55</v>
      </c>
      <c r="T473" s="185">
        <f t="shared" si="362"/>
        <v>322.72000000000003</v>
      </c>
      <c r="U473" s="185">
        <f t="shared" si="397"/>
        <v>1005371.31</v>
      </c>
      <c r="V473" s="185">
        <f t="shared" si="398"/>
        <v>6046189.700000003</v>
      </c>
      <c r="W473" s="185">
        <f t="shared" si="399"/>
        <v>0</v>
      </c>
      <c r="X473" s="401" t="str">
        <f t="shared" si="386"/>
        <v xml:space="preserve"> </v>
      </c>
      <c r="Y473" s="185">
        <f t="shared" si="370"/>
        <v>0</v>
      </c>
      <c r="Z473" s="393">
        <f t="shared" si="378"/>
        <v>0.13125000000000001</v>
      </c>
      <c r="AA473" s="185">
        <f t="shared" si="379"/>
        <v>0</v>
      </c>
      <c r="AB473" s="185">
        <f t="shared" si="380"/>
        <v>0</v>
      </c>
      <c r="AC473" s="185">
        <f t="shared" si="381"/>
        <v>0</v>
      </c>
      <c r="AD473" s="185">
        <f t="shared" si="374"/>
        <v>134.16999999999999</v>
      </c>
      <c r="AE473" s="185">
        <f t="shared" si="374"/>
        <v>188.55</v>
      </c>
      <c r="AF473" s="185">
        <f t="shared" si="382"/>
        <v>322.72000000000003</v>
      </c>
      <c r="AG473" s="185">
        <f t="shared" si="400"/>
        <v>989037.5</v>
      </c>
      <c r="AH473" s="185">
        <f t="shared" si="401"/>
        <v>2810829.4999999991</v>
      </c>
      <c r="AI473" s="411">
        <f t="shared" si="364"/>
        <v>3221740.1900000102</v>
      </c>
      <c r="AJ473" s="411">
        <f t="shared" si="351"/>
        <v>0</v>
      </c>
      <c r="AK473" s="411">
        <f t="shared" si="365"/>
        <v>3221740.1900000102</v>
      </c>
      <c r="AL473" s="185">
        <f t="shared" si="371"/>
        <v>0</v>
      </c>
      <c r="AM473" s="317">
        <f t="shared" si="387"/>
        <v>38</v>
      </c>
      <c r="AN473" s="14">
        <f t="shared" si="366"/>
        <v>0</v>
      </c>
      <c r="AO473" s="14">
        <f t="shared" si="356"/>
        <v>0</v>
      </c>
      <c r="AP473" s="14">
        <f t="shared" si="367"/>
        <v>0</v>
      </c>
      <c r="AS473" s="14">
        <f t="shared" si="383"/>
        <v>0</v>
      </c>
      <c r="AT473" s="14">
        <f t="shared" si="388"/>
        <v>0</v>
      </c>
      <c r="AU473" s="185">
        <f t="shared" si="389"/>
        <v>0</v>
      </c>
      <c r="AV473" s="185">
        <f t="shared" si="390"/>
        <v>0</v>
      </c>
    </row>
    <row r="474" spans="1:48">
      <c r="A474" s="401" t="str">
        <f t="shared" si="391"/>
        <v xml:space="preserve"> </v>
      </c>
      <c r="B474" s="185">
        <f t="shared" si="359"/>
        <v>0</v>
      </c>
      <c r="C474" s="14">
        <f t="shared" si="375"/>
        <v>0</v>
      </c>
      <c r="D474" s="14">
        <f t="shared" si="392"/>
        <v>0</v>
      </c>
      <c r="E474" s="14">
        <f t="shared" si="376"/>
        <v>0</v>
      </c>
      <c r="F474" s="14">
        <f t="shared" si="373"/>
        <v>0</v>
      </c>
      <c r="G474" s="14">
        <f t="shared" si="373"/>
        <v>0</v>
      </c>
      <c r="H474" s="14">
        <f t="shared" si="361"/>
        <v>0</v>
      </c>
      <c r="I474" s="185">
        <f t="shared" si="393"/>
        <v>0</v>
      </c>
      <c r="J474" s="185">
        <f t="shared" si="394"/>
        <v>0</v>
      </c>
      <c r="K474" s="185">
        <f t="shared" si="395"/>
        <v>0</v>
      </c>
      <c r="L474" s="317">
        <f t="shared" si="357"/>
        <v>38</v>
      </c>
      <c r="M474" s="317">
        <f t="shared" si="384"/>
        <v>458</v>
      </c>
      <c r="N474" s="185">
        <f t="shared" si="385"/>
        <v>0</v>
      </c>
      <c r="O474" s="185">
        <f t="shared" si="368"/>
        <v>0</v>
      </c>
      <c r="P474" s="185">
        <f t="shared" si="396"/>
        <v>0</v>
      </c>
      <c r="Q474" s="185">
        <f t="shared" si="369"/>
        <v>0</v>
      </c>
      <c r="R474" s="185">
        <f t="shared" si="377"/>
        <v>134.16999999999999</v>
      </c>
      <c r="S474" s="185">
        <f t="shared" si="377"/>
        <v>188.55</v>
      </c>
      <c r="T474" s="185">
        <f t="shared" si="362"/>
        <v>322.72000000000003</v>
      </c>
      <c r="U474" s="185">
        <f t="shared" si="397"/>
        <v>1005371.31</v>
      </c>
      <c r="V474" s="185">
        <f t="shared" si="398"/>
        <v>6046189.700000003</v>
      </c>
      <c r="W474" s="185">
        <f t="shared" si="399"/>
        <v>0</v>
      </c>
      <c r="X474" s="401" t="str">
        <f t="shared" si="386"/>
        <v xml:space="preserve"> </v>
      </c>
      <c r="Y474" s="185">
        <f t="shared" si="370"/>
        <v>0</v>
      </c>
      <c r="Z474" s="393">
        <f t="shared" si="378"/>
        <v>0.13125000000000001</v>
      </c>
      <c r="AA474" s="185">
        <f t="shared" si="379"/>
        <v>0</v>
      </c>
      <c r="AB474" s="185">
        <f t="shared" si="380"/>
        <v>0</v>
      </c>
      <c r="AC474" s="185">
        <f t="shared" si="381"/>
        <v>0</v>
      </c>
      <c r="AD474" s="185">
        <f t="shared" si="374"/>
        <v>134.16999999999999</v>
      </c>
      <c r="AE474" s="185">
        <f t="shared" si="374"/>
        <v>188.55</v>
      </c>
      <c r="AF474" s="185">
        <f t="shared" si="382"/>
        <v>322.72000000000003</v>
      </c>
      <c r="AG474" s="185">
        <f t="shared" si="400"/>
        <v>989037.5</v>
      </c>
      <c r="AH474" s="185">
        <f t="shared" si="401"/>
        <v>2810829.4999999991</v>
      </c>
      <c r="AI474" s="411">
        <f t="shared" si="364"/>
        <v>3221740.1900000102</v>
      </c>
      <c r="AJ474" s="411">
        <f t="shared" si="351"/>
        <v>0</v>
      </c>
      <c r="AK474" s="411">
        <f t="shared" si="365"/>
        <v>3221740.1900000102</v>
      </c>
      <c r="AL474" s="185">
        <f t="shared" si="371"/>
        <v>0</v>
      </c>
      <c r="AM474" s="317">
        <f t="shared" si="387"/>
        <v>38</v>
      </c>
      <c r="AN474" s="14">
        <f t="shared" si="366"/>
        <v>0</v>
      </c>
      <c r="AO474" s="14">
        <f t="shared" si="356"/>
        <v>0</v>
      </c>
      <c r="AP474" s="14">
        <f t="shared" si="367"/>
        <v>0</v>
      </c>
      <c r="AS474" s="14">
        <f t="shared" si="383"/>
        <v>0</v>
      </c>
      <c r="AT474" s="14">
        <f t="shared" si="388"/>
        <v>0</v>
      </c>
      <c r="AU474" s="185">
        <f t="shared" si="389"/>
        <v>0</v>
      </c>
      <c r="AV474" s="185">
        <f t="shared" si="390"/>
        <v>0</v>
      </c>
    </row>
    <row r="475" spans="1:48">
      <c r="A475" s="401" t="str">
        <f t="shared" si="391"/>
        <v xml:space="preserve"> </v>
      </c>
      <c r="B475" s="185">
        <f t="shared" si="359"/>
        <v>0</v>
      </c>
      <c r="C475" s="14">
        <f t="shared" si="375"/>
        <v>0</v>
      </c>
      <c r="D475" s="14">
        <f t="shared" si="392"/>
        <v>0</v>
      </c>
      <c r="E475" s="14">
        <f t="shared" si="376"/>
        <v>0</v>
      </c>
      <c r="F475" s="14">
        <f t="shared" ref="F475:G490" si="402">+F474</f>
        <v>0</v>
      </c>
      <c r="G475" s="14">
        <f t="shared" si="402"/>
        <v>0</v>
      </c>
      <c r="H475" s="14">
        <f t="shared" si="361"/>
        <v>0</v>
      </c>
      <c r="I475" s="185">
        <f t="shared" si="393"/>
        <v>0</v>
      </c>
      <c r="J475" s="185">
        <f t="shared" si="394"/>
        <v>0</v>
      </c>
      <c r="K475" s="185">
        <f t="shared" si="395"/>
        <v>0</v>
      </c>
      <c r="L475" s="317">
        <f t="shared" si="357"/>
        <v>38</v>
      </c>
      <c r="M475" s="317">
        <f t="shared" si="384"/>
        <v>459</v>
      </c>
      <c r="N475" s="185">
        <f t="shared" si="385"/>
        <v>0</v>
      </c>
      <c r="O475" s="185">
        <f t="shared" si="368"/>
        <v>0</v>
      </c>
      <c r="P475" s="185">
        <f t="shared" si="396"/>
        <v>0</v>
      </c>
      <c r="Q475" s="185">
        <f t="shared" si="369"/>
        <v>0</v>
      </c>
      <c r="R475" s="185">
        <f t="shared" si="377"/>
        <v>134.16999999999999</v>
      </c>
      <c r="S475" s="185">
        <f t="shared" si="377"/>
        <v>188.55</v>
      </c>
      <c r="T475" s="185">
        <f t="shared" si="362"/>
        <v>322.72000000000003</v>
      </c>
      <c r="U475" s="185">
        <f t="shared" si="397"/>
        <v>1005371.31</v>
      </c>
      <c r="V475" s="185">
        <f t="shared" si="398"/>
        <v>6046189.700000003</v>
      </c>
      <c r="W475" s="185">
        <f t="shared" si="399"/>
        <v>0</v>
      </c>
      <c r="X475" s="401" t="str">
        <f t="shared" si="386"/>
        <v xml:space="preserve"> </v>
      </c>
      <c r="Y475" s="185">
        <f t="shared" si="370"/>
        <v>0</v>
      </c>
      <c r="Z475" s="393">
        <f t="shared" si="378"/>
        <v>0.13125000000000001</v>
      </c>
      <c r="AA475" s="185">
        <f t="shared" si="379"/>
        <v>0</v>
      </c>
      <c r="AB475" s="185">
        <f t="shared" si="380"/>
        <v>0</v>
      </c>
      <c r="AC475" s="185">
        <f t="shared" si="381"/>
        <v>0</v>
      </c>
      <c r="AD475" s="185">
        <f t="shared" si="374"/>
        <v>134.16999999999999</v>
      </c>
      <c r="AE475" s="185">
        <f t="shared" si="374"/>
        <v>188.55</v>
      </c>
      <c r="AF475" s="185">
        <f t="shared" si="382"/>
        <v>322.72000000000003</v>
      </c>
      <c r="AG475" s="185">
        <f t="shared" si="400"/>
        <v>989037.5</v>
      </c>
      <c r="AH475" s="185">
        <f t="shared" si="401"/>
        <v>2810829.4999999991</v>
      </c>
      <c r="AI475" s="411">
        <f t="shared" si="364"/>
        <v>3221740.1900000102</v>
      </c>
      <c r="AJ475" s="411">
        <f t="shared" si="351"/>
        <v>0</v>
      </c>
      <c r="AK475" s="411">
        <f t="shared" si="365"/>
        <v>3221740.1900000102</v>
      </c>
      <c r="AL475" s="185">
        <f t="shared" si="371"/>
        <v>0</v>
      </c>
      <c r="AM475" s="317">
        <f t="shared" si="387"/>
        <v>38</v>
      </c>
      <c r="AN475" s="14">
        <f t="shared" si="366"/>
        <v>0</v>
      </c>
      <c r="AO475" s="14">
        <f t="shared" si="356"/>
        <v>0</v>
      </c>
      <c r="AP475" s="14">
        <f t="shared" si="367"/>
        <v>0</v>
      </c>
      <c r="AS475" s="14">
        <f t="shared" si="383"/>
        <v>0</v>
      </c>
      <c r="AT475" s="14">
        <f t="shared" si="388"/>
        <v>0</v>
      </c>
      <c r="AU475" s="185">
        <f t="shared" si="389"/>
        <v>0</v>
      </c>
      <c r="AV475" s="185">
        <f t="shared" si="390"/>
        <v>0</v>
      </c>
    </row>
    <row r="476" spans="1:48">
      <c r="A476" s="401" t="str">
        <f t="shared" si="391"/>
        <v xml:space="preserve"> </v>
      </c>
      <c r="B476" s="185">
        <f t="shared" si="359"/>
        <v>0</v>
      </c>
      <c r="C476" s="14">
        <f t="shared" si="375"/>
        <v>0</v>
      </c>
      <c r="D476" s="14">
        <f t="shared" si="392"/>
        <v>0</v>
      </c>
      <c r="E476" s="14">
        <f t="shared" si="376"/>
        <v>0</v>
      </c>
      <c r="F476" s="14">
        <f t="shared" si="402"/>
        <v>0</v>
      </c>
      <c r="G476" s="14">
        <f t="shared" si="402"/>
        <v>0</v>
      </c>
      <c r="H476" s="14">
        <f t="shared" si="361"/>
        <v>0</v>
      </c>
      <c r="I476" s="185">
        <f t="shared" si="393"/>
        <v>0</v>
      </c>
      <c r="J476" s="185">
        <f t="shared" si="394"/>
        <v>0</v>
      </c>
      <c r="K476" s="185">
        <f t="shared" si="395"/>
        <v>0</v>
      </c>
      <c r="L476" s="317">
        <f t="shared" si="357"/>
        <v>38</v>
      </c>
      <c r="M476" s="317">
        <f t="shared" si="384"/>
        <v>460</v>
      </c>
      <c r="N476" s="185">
        <f t="shared" si="385"/>
        <v>0</v>
      </c>
      <c r="O476" s="185">
        <f t="shared" si="368"/>
        <v>0</v>
      </c>
      <c r="P476" s="185">
        <f t="shared" si="396"/>
        <v>0</v>
      </c>
      <c r="Q476" s="185">
        <f t="shared" si="369"/>
        <v>0</v>
      </c>
      <c r="R476" s="185">
        <f t="shared" si="377"/>
        <v>134.16999999999999</v>
      </c>
      <c r="S476" s="185">
        <f t="shared" si="377"/>
        <v>188.55</v>
      </c>
      <c r="T476" s="185">
        <f t="shared" si="362"/>
        <v>322.72000000000003</v>
      </c>
      <c r="U476" s="185">
        <f t="shared" si="397"/>
        <v>1005371.31</v>
      </c>
      <c r="V476" s="185">
        <f t="shared" si="398"/>
        <v>6046189.700000003</v>
      </c>
      <c r="W476" s="185">
        <f t="shared" si="399"/>
        <v>0</v>
      </c>
      <c r="X476" s="401" t="str">
        <f t="shared" si="386"/>
        <v xml:space="preserve"> </v>
      </c>
      <c r="Y476" s="185">
        <f t="shared" si="370"/>
        <v>0</v>
      </c>
      <c r="Z476" s="393">
        <f t="shared" si="378"/>
        <v>0.13125000000000001</v>
      </c>
      <c r="AA476" s="185">
        <f t="shared" si="379"/>
        <v>0</v>
      </c>
      <c r="AB476" s="185">
        <f t="shared" si="380"/>
        <v>0</v>
      </c>
      <c r="AC476" s="185">
        <f t="shared" si="381"/>
        <v>0</v>
      </c>
      <c r="AD476" s="185">
        <f t="shared" si="374"/>
        <v>134.16999999999999</v>
      </c>
      <c r="AE476" s="185">
        <f t="shared" si="374"/>
        <v>188.55</v>
      </c>
      <c r="AF476" s="185">
        <f t="shared" si="382"/>
        <v>322.72000000000003</v>
      </c>
      <c r="AG476" s="185">
        <f t="shared" si="400"/>
        <v>989037.5</v>
      </c>
      <c r="AH476" s="185">
        <f t="shared" si="401"/>
        <v>2810829.4999999991</v>
      </c>
      <c r="AI476" s="411">
        <f t="shared" si="364"/>
        <v>3221740.1900000102</v>
      </c>
      <c r="AJ476" s="411">
        <f t="shared" ref="AJ476:AJ539" si="403">+W476-AL476</f>
        <v>0</v>
      </c>
      <c r="AK476" s="411">
        <f t="shared" si="365"/>
        <v>3221740.1900000102</v>
      </c>
      <c r="AL476" s="185">
        <f t="shared" si="371"/>
        <v>0</v>
      </c>
      <c r="AM476" s="317">
        <f t="shared" si="387"/>
        <v>38</v>
      </c>
      <c r="AN476" s="14">
        <f t="shared" si="366"/>
        <v>0</v>
      </c>
      <c r="AO476" s="14">
        <f t="shared" si="356"/>
        <v>0</v>
      </c>
      <c r="AP476" s="14">
        <f t="shared" si="367"/>
        <v>0</v>
      </c>
      <c r="AS476" s="14">
        <f t="shared" si="383"/>
        <v>0</v>
      </c>
      <c r="AT476" s="14">
        <f t="shared" si="388"/>
        <v>0</v>
      </c>
      <c r="AU476" s="185">
        <f t="shared" si="389"/>
        <v>0</v>
      </c>
      <c r="AV476" s="185">
        <f t="shared" si="390"/>
        <v>0</v>
      </c>
    </row>
    <row r="477" spans="1:48">
      <c r="A477" s="401" t="str">
        <f t="shared" si="391"/>
        <v xml:space="preserve"> </v>
      </c>
      <c r="B477" s="185">
        <f t="shared" si="359"/>
        <v>0</v>
      </c>
      <c r="C477" s="14">
        <f t="shared" si="375"/>
        <v>0</v>
      </c>
      <c r="D477" s="14">
        <f t="shared" si="392"/>
        <v>0</v>
      </c>
      <c r="E477" s="14">
        <f t="shared" si="376"/>
        <v>0</v>
      </c>
      <c r="F477" s="14">
        <f t="shared" si="402"/>
        <v>0</v>
      </c>
      <c r="G477" s="14">
        <f t="shared" si="402"/>
        <v>0</v>
      </c>
      <c r="H477" s="14">
        <f t="shared" si="361"/>
        <v>0</v>
      </c>
      <c r="I477" s="185">
        <f t="shared" si="393"/>
        <v>0</v>
      </c>
      <c r="J477" s="185">
        <f t="shared" si="394"/>
        <v>0</v>
      </c>
      <c r="K477" s="185">
        <f t="shared" si="395"/>
        <v>0</v>
      </c>
      <c r="L477" s="317">
        <f t="shared" si="357"/>
        <v>38</v>
      </c>
      <c r="M477" s="317">
        <f t="shared" si="384"/>
        <v>461</v>
      </c>
      <c r="N477" s="185">
        <f t="shared" si="385"/>
        <v>0</v>
      </c>
      <c r="O477" s="185">
        <f t="shared" si="368"/>
        <v>0</v>
      </c>
      <c r="P477" s="185">
        <f t="shared" si="396"/>
        <v>0</v>
      </c>
      <c r="Q477" s="185">
        <f t="shared" si="369"/>
        <v>0</v>
      </c>
      <c r="R477" s="185">
        <f t="shared" si="377"/>
        <v>134.16999999999999</v>
      </c>
      <c r="S477" s="185">
        <f t="shared" si="377"/>
        <v>188.55</v>
      </c>
      <c r="T477" s="185">
        <f t="shared" si="362"/>
        <v>322.72000000000003</v>
      </c>
      <c r="U477" s="185">
        <f t="shared" si="397"/>
        <v>1005371.31</v>
      </c>
      <c r="V477" s="185">
        <f t="shared" si="398"/>
        <v>6046189.700000003</v>
      </c>
      <c r="W477" s="185">
        <f t="shared" si="399"/>
        <v>0</v>
      </c>
      <c r="X477" s="401" t="str">
        <f t="shared" si="386"/>
        <v xml:space="preserve"> </v>
      </c>
      <c r="Y477" s="185">
        <f t="shared" si="370"/>
        <v>0</v>
      </c>
      <c r="Z477" s="393">
        <f t="shared" si="378"/>
        <v>0.13125000000000001</v>
      </c>
      <c r="AA477" s="185">
        <f t="shared" si="379"/>
        <v>0</v>
      </c>
      <c r="AB477" s="185">
        <f t="shared" si="380"/>
        <v>0</v>
      </c>
      <c r="AC477" s="185">
        <f t="shared" si="381"/>
        <v>0</v>
      </c>
      <c r="AD477" s="185">
        <f t="shared" ref="AD477:AE492" si="404">+AD476</f>
        <v>134.16999999999999</v>
      </c>
      <c r="AE477" s="185">
        <f t="shared" si="404"/>
        <v>188.55</v>
      </c>
      <c r="AF477" s="185">
        <f t="shared" si="382"/>
        <v>322.72000000000003</v>
      </c>
      <c r="AG477" s="185">
        <f t="shared" si="400"/>
        <v>989037.5</v>
      </c>
      <c r="AH477" s="185">
        <f t="shared" si="401"/>
        <v>2810829.4999999991</v>
      </c>
      <c r="AI477" s="411">
        <f t="shared" si="364"/>
        <v>3221740.1900000102</v>
      </c>
      <c r="AJ477" s="411">
        <f t="shared" si="403"/>
        <v>0</v>
      </c>
      <c r="AK477" s="411">
        <f t="shared" si="365"/>
        <v>3221740.1900000102</v>
      </c>
      <c r="AL477" s="185">
        <f t="shared" si="371"/>
        <v>0</v>
      </c>
      <c r="AM477" s="317">
        <f t="shared" si="387"/>
        <v>38</v>
      </c>
      <c r="AN477" s="14">
        <f t="shared" si="366"/>
        <v>0</v>
      </c>
      <c r="AO477" s="14">
        <f t="shared" si="356"/>
        <v>0</v>
      </c>
      <c r="AP477" s="14">
        <f t="shared" si="367"/>
        <v>0</v>
      </c>
      <c r="AS477" s="14">
        <f t="shared" si="383"/>
        <v>0</v>
      </c>
      <c r="AT477" s="14">
        <f t="shared" si="388"/>
        <v>0</v>
      </c>
      <c r="AU477" s="185">
        <f t="shared" si="389"/>
        <v>0</v>
      </c>
      <c r="AV477" s="185">
        <f t="shared" si="390"/>
        <v>0</v>
      </c>
    </row>
    <row r="478" spans="1:48">
      <c r="A478" s="401" t="str">
        <f t="shared" si="391"/>
        <v xml:space="preserve"> </v>
      </c>
      <c r="B478" s="185">
        <f t="shared" si="359"/>
        <v>0</v>
      </c>
      <c r="C478" s="14">
        <f t="shared" si="375"/>
        <v>0</v>
      </c>
      <c r="D478" s="14">
        <f t="shared" si="392"/>
        <v>0</v>
      </c>
      <c r="E478" s="14">
        <f t="shared" si="376"/>
        <v>0</v>
      </c>
      <c r="F478" s="14">
        <f t="shared" si="402"/>
        <v>0</v>
      </c>
      <c r="G478" s="14">
        <f t="shared" si="402"/>
        <v>0</v>
      </c>
      <c r="H478" s="14">
        <f t="shared" si="361"/>
        <v>0</v>
      </c>
      <c r="I478" s="185">
        <f t="shared" si="393"/>
        <v>0</v>
      </c>
      <c r="J478" s="185">
        <f t="shared" si="394"/>
        <v>0</v>
      </c>
      <c r="K478" s="185">
        <f t="shared" si="395"/>
        <v>0</v>
      </c>
      <c r="L478" s="317">
        <f t="shared" si="357"/>
        <v>38</v>
      </c>
      <c r="M478" s="317">
        <f t="shared" si="384"/>
        <v>462</v>
      </c>
      <c r="N478" s="185">
        <f t="shared" si="385"/>
        <v>0</v>
      </c>
      <c r="O478" s="185">
        <f t="shared" si="368"/>
        <v>0</v>
      </c>
      <c r="P478" s="185">
        <f t="shared" si="396"/>
        <v>0</v>
      </c>
      <c r="Q478" s="185">
        <f t="shared" si="369"/>
        <v>0</v>
      </c>
      <c r="R478" s="185">
        <f t="shared" si="377"/>
        <v>134.16999999999999</v>
      </c>
      <c r="S478" s="185">
        <f t="shared" si="377"/>
        <v>188.55</v>
      </c>
      <c r="T478" s="185">
        <f t="shared" si="362"/>
        <v>322.72000000000003</v>
      </c>
      <c r="U478" s="185">
        <f t="shared" si="397"/>
        <v>1005371.31</v>
      </c>
      <c r="V478" s="185">
        <f t="shared" si="398"/>
        <v>6046189.700000003</v>
      </c>
      <c r="W478" s="185">
        <f t="shared" si="399"/>
        <v>0</v>
      </c>
      <c r="X478" s="401" t="str">
        <f t="shared" si="386"/>
        <v xml:space="preserve"> </v>
      </c>
      <c r="Y478" s="185">
        <f t="shared" si="370"/>
        <v>0</v>
      </c>
      <c r="Z478" s="393">
        <f t="shared" si="378"/>
        <v>0.13125000000000001</v>
      </c>
      <c r="AA478" s="185">
        <f t="shared" si="379"/>
        <v>0</v>
      </c>
      <c r="AB478" s="185">
        <f t="shared" si="380"/>
        <v>0</v>
      </c>
      <c r="AC478" s="185">
        <f t="shared" si="381"/>
        <v>0</v>
      </c>
      <c r="AD478" s="185">
        <f t="shared" si="404"/>
        <v>134.16999999999999</v>
      </c>
      <c r="AE478" s="185">
        <f t="shared" si="404"/>
        <v>188.55</v>
      </c>
      <c r="AF478" s="185">
        <f t="shared" si="382"/>
        <v>322.72000000000003</v>
      </c>
      <c r="AG478" s="185">
        <f t="shared" si="400"/>
        <v>989037.5</v>
      </c>
      <c r="AH478" s="185">
        <f t="shared" si="401"/>
        <v>2810829.4999999991</v>
      </c>
      <c r="AI478" s="411">
        <f t="shared" si="364"/>
        <v>3221740.1900000102</v>
      </c>
      <c r="AJ478" s="411">
        <f t="shared" si="403"/>
        <v>0</v>
      </c>
      <c r="AK478" s="411">
        <f t="shared" si="365"/>
        <v>3221740.1900000102</v>
      </c>
      <c r="AL478" s="185">
        <f t="shared" si="371"/>
        <v>0</v>
      </c>
      <c r="AM478" s="317">
        <f t="shared" si="387"/>
        <v>38</v>
      </c>
      <c r="AN478" s="14">
        <f t="shared" si="366"/>
        <v>0</v>
      </c>
      <c r="AO478" s="14">
        <f t="shared" si="356"/>
        <v>0</v>
      </c>
      <c r="AP478" s="14">
        <f t="shared" si="367"/>
        <v>0</v>
      </c>
      <c r="AS478" s="14">
        <f t="shared" si="383"/>
        <v>0</v>
      </c>
      <c r="AT478" s="14">
        <f t="shared" si="388"/>
        <v>0</v>
      </c>
      <c r="AU478" s="185">
        <f t="shared" si="389"/>
        <v>0</v>
      </c>
      <c r="AV478" s="185">
        <f t="shared" si="390"/>
        <v>0</v>
      </c>
    </row>
    <row r="479" spans="1:48">
      <c r="A479" s="401" t="str">
        <f t="shared" si="391"/>
        <v xml:space="preserve"> </v>
      </c>
      <c r="B479" s="185">
        <f t="shared" si="359"/>
        <v>0</v>
      </c>
      <c r="C479" s="14">
        <f t="shared" si="375"/>
        <v>0</v>
      </c>
      <c r="D479" s="14">
        <f t="shared" si="392"/>
        <v>0</v>
      </c>
      <c r="E479" s="14">
        <f t="shared" si="376"/>
        <v>0</v>
      </c>
      <c r="F479" s="14">
        <f t="shared" si="402"/>
        <v>0</v>
      </c>
      <c r="G479" s="14">
        <f t="shared" si="402"/>
        <v>0</v>
      </c>
      <c r="H479" s="14">
        <f t="shared" si="361"/>
        <v>0</v>
      </c>
      <c r="I479" s="185">
        <f t="shared" si="393"/>
        <v>0</v>
      </c>
      <c r="J479" s="185">
        <f t="shared" si="394"/>
        <v>0</v>
      </c>
      <c r="K479" s="185">
        <f t="shared" si="395"/>
        <v>0</v>
      </c>
      <c r="L479" s="317">
        <f t="shared" si="357"/>
        <v>38</v>
      </c>
      <c r="M479" s="317">
        <f t="shared" si="384"/>
        <v>463</v>
      </c>
      <c r="N479" s="185">
        <f t="shared" si="385"/>
        <v>0</v>
      </c>
      <c r="O479" s="185">
        <f t="shared" si="368"/>
        <v>0</v>
      </c>
      <c r="P479" s="185">
        <f t="shared" si="396"/>
        <v>0</v>
      </c>
      <c r="Q479" s="185">
        <f t="shared" si="369"/>
        <v>0</v>
      </c>
      <c r="R479" s="185">
        <f t="shared" si="377"/>
        <v>134.16999999999999</v>
      </c>
      <c r="S479" s="185">
        <f t="shared" si="377"/>
        <v>188.55</v>
      </c>
      <c r="T479" s="185">
        <f t="shared" si="362"/>
        <v>322.72000000000003</v>
      </c>
      <c r="U479" s="185">
        <f t="shared" si="397"/>
        <v>1005371.31</v>
      </c>
      <c r="V479" s="185">
        <f t="shared" si="398"/>
        <v>6046189.700000003</v>
      </c>
      <c r="W479" s="185">
        <f t="shared" si="399"/>
        <v>0</v>
      </c>
      <c r="X479" s="401" t="str">
        <f t="shared" si="386"/>
        <v xml:space="preserve"> </v>
      </c>
      <c r="Y479" s="185">
        <f t="shared" si="370"/>
        <v>0</v>
      </c>
      <c r="Z479" s="393">
        <f t="shared" si="378"/>
        <v>0.13125000000000001</v>
      </c>
      <c r="AA479" s="185">
        <f t="shared" si="379"/>
        <v>0</v>
      </c>
      <c r="AB479" s="185">
        <f t="shared" si="380"/>
        <v>0</v>
      </c>
      <c r="AC479" s="185">
        <f t="shared" si="381"/>
        <v>0</v>
      </c>
      <c r="AD479" s="185">
        <f t="shared" si="404"/>
        <v>134.16999999999999</v>
      </c>
      <c r="AE479" s="185">
        <f t="shared" si="404"/>
        <v>188.55</v>
      </c>
      <c r="AF479" s="185">
        <f t="shared" si="382"/>
        <v>322.72000000000003</v>
      </c>
      <c r="AG479" s="185">
        <f t="shared" si="400"/>
        <v>989037.5</v>
      </c>
      <c r="AH479" s="185">
        <f t="shared" si="401"/>
        <v>2810829.4999999991</v>
      </c>
      <c r="AI479" s="411">
        <f t="shared" si="364"/>
        <v>3221740.1900000102</v>
      </c>
      <c r="AJ479" s="411">
        <f t="shared" si="403"/>
        <v>0</v>
      </c>
      <c r="AK479" s="411">
        <f t="shared" si="365"/>
        <v>3221740.1900000102</v>
      </c>
      <c r="AL479" s="185">
        <f t="shared" si="371"/>
        <v>0</v>
      </c>
      <c r="AM479" s="317">
        <f t="shared" si="387"/>
        <v>38</v>
      </c>
      <c r="AN479" s="14">
        <f t="shared" si="366"/>
        <v>0</v>
      </c>
      <c r="AO479" s="14">
        <f t="shared" si="356"/>
        <v>0</v>
      </c>
      <c r="AP479" s="14">
        <f t="shared" si="367"/>
        <v>0</v>
      </c>
      <c r="AS479" s="14">
        <f t="shared" si="383"/>
        <v>0</v>
      </c>
      <c r="AT479" s="14">
        <f t="shared" si="388"/>
        <v>0</v>
      </c>
      <c r="AU479" s="185">
        <f t="shared" si="389"/>
        <v>0</v>
      </c>
      <c r="AV479" s="185">
        <f t="shared" si="390"/>
        <v>0</v>
      </c>
    </row>
    <row r="480" spans="1:48">
      <c r="A480" s="401" t="str">
        <f t="shared" si="391"/>
        <v xml:space="preserve"> </v>
      </c>
      <c r="B480" s="185">
        <f t="shared" si="359"/>
        <v>0</v>
      </c>
      <c r="C480" s="14">
        <f t="shared" si="375"/>
        <v>0</v>
      </c>
      <c r="D480" s="14">
        <f t="shared" si="392"/>
        <v>0</v>
      </c>
      <c r="E480" s="14">
        <f t="shared" si="376"/>
        <v>0</v>
      </c>
      <c r="F480" s="14">
        <f t="shared" si="402"/>
        <v>0</v>
      </c>
      <c r="G480" s="14">
        <f t="shared" si="402"/>
        <v>0</v>
      </c>
      <c r="H480" s="14">
        <f t="shared" si="361"/>
        <v>0</v>
      </c>
      <c r="I480" s="185">
        <f t="shared" si="393"/>
        <v>0</v>
      </c>
      <c r="J480" s="185">
        <f t="shared" si="394"/>
        <v>0</v>
      </c>
      <c r="K480" s="185">
        <f t="shared" si="395"/>
        <v>0</v>
      </c>
      <c r="L480" s="317">
        <f t="shared" si="357"/>
        <v>38</v>
      </c>
      <c r="M480" s="317">
        <f t="shared" si="384"/>
        <v>464</v>
      </c>
      <c r="N480" s="185">
        <f t="shared" si="385"/>
        <v>0</v>
      </c>
      <c r="O480" s="185">
        <f t="shared" si="368"/>
        <v>0</v>
      </c>
      <c r="P480" s="185">
        <f t="shared" si="396"/>
        <v>0</v>
      </c>
      <c r="Q480" s="185">
        <f t="shared" si="369"/>
        <v>0</v>
      </c>
      <c r="R480" s="185">
        <f t="shared" ref="R480:S491" si="405">+R479</f>
        <v>134.16999999999999</v>
      </c>
      <c r="S480" s="185">
        <f t="shared" si="405"/>
        <v>188.55</v>
      </c>
      <c r="T480" s="185">
        <f t="shared" si="362"/>
        <v>322.72000000000003</v>
      </c>
      <c r="U480" s="185">
        <f t="shared" si="397"/>
        <v>1005371.31</v>
      </c>
      <c r="V480" s="185">
        <f t="shared" si="398"/>
        <v>6046189.700000003</v>
      </c>
      <c r="W480" s="185">
        <f t="shared" si="399"/>
        <v>0</v>
      </c>
      <c r="X480" s="401" t="str">
        <f t="shared" si="386"/>
        <v xml:space="preserve"> </v>
      </c>
      <c r="Y480" s="185">
        <f t="shared" si="370"/>
        <v>0</v>
      </c>
      <c r="Z480" s="393">
        <f t="shared" si="378"/>
        <v>0.13125000000000001</v>
      </c>
      <c r="AA480" s="185">
        <f t="shared" si="379"/>
        <v>0</v>
      </c>
      <c r="AB480" s="185">
        <f t="shared" si="380"/>
        <v>0</v>
      </c>
      <c r="AC480" s="185">
        <f t="shared" si="381"/>
        <v>0</v>
      </c>
      <c r="AD480" s="185">
        <f t="shared" si="404"/>
        <v>134.16999999999999</v>
      </c>
      <c r="AE480" s="185">
        <f t="shared" si="404"/>
        <v>188.55</v>
      </c>
      <c r="AF480" s="185">
        <f t="shared" si="382"/>
        <v>322.72000000000003</v>
      </c>
      <c r="AG480" s="185">
        <f t="shared" si="400"/>
        <v>989037.5</v>
      </c>
      <c r="AH480" s="185">
        <f t="shared" si="401"/>
        <v>2810829.4999999991</v>
      </c>
      <c r="AI480" s="411">
        <f t="shared" si="364"/>
        <v>3221740.1900000102</v>
      </c>
      <c r="AJ480" s="411">
        <f t="shared" si="403"/>
        <v>0</v>
      </c>
      <c r="AK480" s="411">
        <f t="shared" si="365"/>
        <v>3221740.1900000102</v>
      </c>
      <c r="AL480" s="185">
        <f t="shared" si="371"/>
        <v>0</v>
      </c>
      <c r="AM480" s="317">
        <f t="shared" si="387"/>
        <v>38</v>
      </c>
      <c r="AN480" s="14">
        <f t="shared" si="366"/>
        <v>0</v>
      </c>
      <c r="AO480" s="14">
        <f t="shared" si="356"/>
        <v>0</v>
      </c>
      <c r="AP480" s="14">
        <f t="shared" si="367"/>
        <v>0</v>
      </c>
      <c r="AS480" s="14">
        <f t="shared" si="383"/>
        <v>0</v>
      </c>
      <c r="AT480" s="14">
        <f t="shared" si="388"/>
        <v>0</v>
      </c>
      <c r="AU480" s="185">
        <f t="shared" si="389"/>
        <v>0</v>
      </c>
      <c r="AV480" s="185">
        <f t="shared" si="390"/>
        <v>0</v>
      </c>
    </row>
    <row r="481" spans="1:49">
      <c r="A481" s="401" t="str">
        <f t="shared" si="391"/>
        <v xml:space="preserve"> </v>
      </c>
      <c r="B481" s="185">
        <f t="shared" si="359"/>
        <v>0</v>
      </c>
      <c r="C481" s="14">
        <f t="shared" si="375"/>
        <v>0</v>
      </c>
      <c r="D481" s="14">
        <f t="shared" si="392"/>
        <v>0</v>
      </c>
      <c r="E481" s="14">
        <f t="shared" si="376"/>
        <v>0</v>
      </c>
      <c r="F481" s="14">
        <f t="shared" si="402"/>
        <v>0</v>
      </c>
      <c r="G481" s="14">
        <f t="shared" si="402"/>
        <v>0</v>
      </c>
      <c r="H481" s="14">
        <f t="shared" si="361"/>
        <v>0</v>
      </c>
      <c r="I481" s="185">
        <f t="shared" si="393"/>
        <v>0</v>
      </c>
      <c r="J481" s="185">
        <f t="shared" si="394"/>
        <v>0</v>
      </c>
      <c r="K481" s="185">
        <f t="shared" si="395"/>
        <v>0</v>
      </c>
      <c r="L481" s="317">
        <f t="shared" si="357"/>
        <v>38</v>
      </c>
      <c r="M481" s="317">
        <f t="shared" si="384"/>
        <v>465</v>
      </c>
      <c r="N481" s="185">
        <f t="shared" si="385"/>
        <v>0</v>
      </c>
      <c r="O481" s="185">
        <f t="shared" si="368"/>
        <v>0</v>
      </c>
      <c r="P481" s="185">
        <f t="shared" si="396"/>
        <v>0</v>
      </c>
      <c r="Q481" s="185">
        <f t="shared" si="369"/>
        <v>0</v>
      </c>
      <c r="R481" s="185">
        <f t="shared" si="405"/>
        <v>134.16999999999999</v>
      </c>
      <c r="S481" s="185">
        <f t="shared" si="405"/>
        <v>188.55</v>
      </c>
      <c r="T481" s="185">
        <f t="shared" si="362"/>
        <v>322.72000000000003</v>
      </c>
      <c r="U481" s="185">
        <f t="shared" si="397"/>
        <v>1005371.31</v>
      </c>
      <c r="V481" s="185">
        <f t="shared" si="398"/>
        <v>6046189.700000003</v>
      </c>
      <c r="W481" s="185">
        <f t="shared" si="399"/>
        <v>0</v>
      </c>
      <c r="X481" s="401" t="str">
        <f t="shared" si="386"/>
        <v xml:space="preserve"> </v>
      </c>
      <c r="Y481" s="185">
        <f t="shared" si="370"/>
        <v>0</v>
      </c>
      <c r="Z481" s="393">
        <f t="shared" si="378"/>
        <v>0.13125000000000001</v>
      </c>
      <c r="AA481" s="185">
        <f t="shared" si="379"/>
        <v>0</v>
      </c>
      <c r="AB481" s="185">
        <f t="shared" si="380"/>
        <v>0</v>
      </c>
      <c r="AC481" s="185">
        <f t="shared" si="381"/>
        <v>0</v>
      </c>
      <c r="AD481" s="185">
        <f t="shared" si="404"/>
        <v>134.16999999999999</v>
      </c>
      <c r="AE481" s="185">
        <f t="shared" si="404"/>
        <v>188.55</v>
      </c>
      <c r="AF481" s="185">
        <f t="shared" si="382"/>
        <v>322.72000000000003</v>
      </c>
      <c r="AG481" s="185">
        <f t="shared" si="400"/>
        <v>989037.5</v>
      </c>
      <c r="AH481" s="185">
        <f t="shared" si="401"/>
        <v>2810829.4999999991</v>
      </c>
      <c r="AI481" s="411">
        <f t="shared" si="364"/>
        <v>3221740.1900000102</v>
      </c>
      <c r="AJ481" s="411">
        <f t="shared" si="403"/>
        <v>0</v>
      </c>
      <c r="AK481" s="411">
        <f t="shared" si="365"/>
        <v>3221740.1900000102</v>
      </c>
      <c r="AL481" s="185">
        <f t="shared" si="371"/>
        <v>0</v>
      </c>
      <c r="AM481" s="317">
        <f t="shared" si="387"/>
        <v>38</v>
      </c>
      <c r="AN481" s="14">
        <f t="shared" si="366"/>
        <v>0</v>
      </c>
      <c r="AO481" s="14">
        <f t="shared" si="356"/>
        <v>0</v>
      </c>
      <c r="AP481" s="14">
        <f t="shared" si="367"/>
        <v>0</v>
      </c>
      <c r="AS481" s="14">
        <f t="shared" si="383"/>
        <v>0</v>
      </c>
      <c r="AT481" s="14">
        <f t="shared" si="388"/>
        <v>0</v>
      </c>
      <c r="AU481" s="185">
        <f t="shared" si="389"/>
        <v>0</v>
      </c>
      <c r="AV481" s="185">
        <f t="shared" si="390"/>
        <v>0</v>
      </c>
    </row>
    <row r="482" spans="1:49">
      <c r="A482" s="401" t="str">
        <f t="shared" si="391"/>
        <v xml:space="preserve"> </v>
      </c>
      <c r="B482" s="185">
        <f t="shared" si="359"/>
        <v>0</v>
      </c>
      <c r="C482" s="14">
        <f t="shared" si="375"/>
        <v>0</v>
      </c>
      <c r="D482" s="14">
        <f t="shared" si="392"/>
        <v>0</v>
      </c>
      <c r="E482" s="14">
        <f t="shared" si="376"/>
        <v>0</v>
      </c>
      <c r="F482" s="14">
        <f t="shared" si="402"/>
        <v>0</v>
      </c>
      <c r="G482" s="14">
        <f t="shared" si="402"/>
        <v>0</v>
      </c>
      <c r="H482" s="14">
        <f t="shared" si="361"/>
        <v>0</v>
      </c>
      <c r="I482" s="185">
        <f t="shared" si="393"/>
        <v>0</v>
      </c>
      <c r="J482" s="185">
        <f t="shared" si="394"/>
        <v>0</v>
      </c>
      <c r="K482" s="185">
        <f t="shared" si="395"/>
        <v>0</v>
      </c>
      <c r="L482" s="317">
        <f t="shared" si="357"/>
        <v>38</v>
      </c>
      <c r="M482" s="317">
        <f t="shared" si="384"/>
        <v>466</v>
      </c>
      <c r="N482" s="185">
        <f t="shared" si="385"/>
        <v>0</v>
      </c>
      <c r="O482" s="185">
        <f t="shared" si="368"/>
        <v>0</v>
      </c>
      <c r="P482" s="185">
        <f t="shared" si="396"/>
        <v>0</v>
      </c>
      <c r="Q482" s="185">
        <f t="shared" si="369"/>
        <v>0</v>
      </c>
      <c r="R482" s="185">
        <f t="shared" si="405"/>
        <v>134.16999999999999</v>
      </c>
      <c r="S482" s="185">
        <f t="shared" si="405"/>
        <v>188.55</v>
      </c>
      <c r="T482" s="185">
        <f t="shared" si="362"/>
        <v>322.72000000000003</v>
      </c>
      <c r="U482" s="185">
        <f t="shared" si="397"/>
        <v>1005371.31</v>
      </c>
      <c r="V482" s="185">
        <f t="shared" si="398"/>
        <v>6046189.700000003</v>
      </c>
      <c r="W482" s="185">
        <f t="shared" si="399"/>
        <v>0</v>
      </c>
      <c r="X482" s="401" t="str">
        <f t="shared" si="386"/>
        <v xml:space="preserve"> </v>
      </c>
      <c r="Y482" s="185">
        <f t="shared" si="370"/>
        <v>0</v>
      </c>
      <c r="Z482" s="393">
        <f t="shared" si="378"/>
        <v>0.13125000000000001</v>
      </c>
      <c r="AA482" s="185">
        <f t="shared" si="379"/>
        <v>0</v>
      </c>
      <c r="AB482" s="185">
        <f t="shared" si="380"/>
        <v>0</v>
      </c>
      <c r="AC482" s="185">
        <f t="shared" si="381"/>
        <v>0</v>
      </c>
      <c r="AD482" s="185">
        <f t="shared" si="404"/>
        <v>134.16999999999999</v>
      </c>
      <c r="AE482" s="185">
        <f t="shared" si="404"/>
        <v>188.55</v>
      </c>
      <c r="AF482" s="185">
        <f t="shared" si="382"/>
        <v>322.72000000000003</v>
      </c>
      <c r="AG482" s="185">
        <f t="shared" si="400"/>
        <v>989037.5</v>
      </c>
      <c r="AH482" s="185">
        <f t="shared" si="401"/>
        <v>2810829.4999999991</v>
      </c>
      <c r="AI482" s="411">
        <f t="shared" si="364"/>
        <v>3221740.1900000102</v>
      </c>
      <c r="AJ482" s="411">
        <f t="shared" si="403"/>
        <v>0</v>
      </c>
      <c r="AK482" s="411">
        <f t="shared" si="365"/>
        <v>3221740.1900000102</v>
      </c>
      <c r="AL482" s="185">
        <f t="shared" si="371"/>
        <v>0</v>
      </c>
      <c r="AM482" s="317">
        <f t="shared" si="387"/>
        <v>38</v>
      </c>
      <c r="AN482" s="14">
        <f t="shared" si="366"/>
        <v>0</v>
      </c>
      <c r="AO482" s="14">
        <f t="shared" si="356"/>
        <v>0</v>
      </c>
      <c r="AP482" s="14">
        <f t="shared" si="367"/>
        <v>0</v>
      </c>
      <c r="AS482" s="14">
        <f t="shared" si="383"/>
        <v>0</v>
      </c>
      <c r="AT482" s="14">
        <f t="shared" si="388"/>
        <v>0</v>
      </c>
      <c r="AU482" s="185">
        <f t="shared" si="389"/>
        <v>0</v>
      </c>
      <c r="AV482" s="185">
        <f t="shared" si="390"/>
        <v>0</v>
      </c>
    </row>
    <row r="483" spans="1:49" ht="15.75" thickBot="1">
      <c r="A483" s="404" t="str">
        <f t="shared" si="391"/>
        <v xml:space="preserve"> </v>
      </c>
      <c r="B483" s="237">
        <f t="shared" si="359"/>
        <v>0</v>
      </c>
      <c r="C483" s="21">
        <f t="shared" si="375"/>
        <v>0</v>
      </c>
      <c r="D483" s="21">
        <f t="shared" si="392"/>
        <v>0</v>
      </c>
      <c r="E483" s="21">
        <f t="shared" si="376"/>
        <v>0</v>
      </c>
      <c r="F483" s="21">
        <f t="shared" si="402"/>
        <v>0</v>
      </c>
      <c r="G483" s="21">
        <f t="shared" si="402"/>
        <v>0</v>
      </c>
      <c r="H483" s="21">
        <f t="shared" si="361"/>
        <v>0</v>
      </c>
      <c r="I483" s="237">
        <f t="shared" si="393"/>
        <v>0</v>
      </c>
      <c r="J483" s="237">
        <f t="shared" si="394"/>
        <v>0</v>
      </c>
      <c r="K483" s="237">
        <f t="shared" si="395"/>
        <v>0</v>
      </c>
      <c r="L483" s="318">
        <f t="shared" si="357"/>
        <v>38</v>
      </c>
      <c r="M483" s="318">
        <f t="shared" si="384"/>
        <v>467</v>
      </c>
      <c r="N483" s="237">
        <f t="shared" si="385"/>
        <v>0</v>
      </c>
      <c r="O483" s="237">
        <f t="shared" si="368"/>
        <v>0</v>
      </c>
      <c r="P483" s="237">
        <f t="shared" si="396"/>
        <v>0</v>
      </c>
      <c r="Q483" s="237">
        <f t="shared" si="369"/>
        <v>0</v>
      </c>
      <c r="R483" s="237">
        <f t="shared" si="405"/>
        <v>134.16999999999999</v>
      </c>
      <c r="S483" s="237">
        <f t="shared" si="405"/>
        <v>188.55</v>
      </c>
      <c r="T483" s="237">
        <f t="shared" si="362"/>
        <v>322.72000000000003</v>
      </c>
      <c r="U483" s="237">
        <f t="shared" si="397"/>
        <v>1005371.31</v>
      </c>
      <c r="V483" s="237">
        <f t="shared" si="398"/>
        <v>6046189.700000003</v>
      </c>
      <c r="W483" s="237">
        <f t="shared" si="399"/>
        <v>0</v>
      </c>
      <c r="X483" s="404" t="str">
        <f t="shared" si="386"/>
        <v xml:space="preserve"> </v>
      </c>
      <c r="Y483" s="237">
        <f t="shared" si="370"/>
        <v>0</v>
      </c>
      <c r="Z483" s="394">
        <f t="shared" si="378"/>
        <v>0.13125000000000001</v>
      </c>
      <c r="AA483" s="237">
        <f t="shared" si="379"/>
        <v>0</v>
      </c>
      <c r="AB483" s="237">
        <f t="shared" si="380"/>
        <v>0</v>
      </c>
      <c r="AC483" s="237">
        <f t="shared" si="381"/>
        <v>0</v>
      </c>
      <c r="AD483" s="237">
        <f t="shared" si="404"/>
        <v>134.16999999999999</v>
      </c>
      <c r="AE483" s="237">
        <f t="shared" si="404"/>
        <v>188.55</v>
      </c>
      <c r="AF483" s="237">
        <f t="shared" si="382"/>
        <v>322.72000000000003</v>
      </c>
      <c r="AG483" s="237">
        <f t="shared" si="400"/>
        <v>989037.5</v>
      </c>
      <c r="AH483" s="237">
        <f t="shared" si="401"/>
        <v>2810829.4999999991</v>
      </c>
      <c r="AI483" s="412">
        <f t="shared" si="364"/>
        <v>3221740.1900000102</v>
      </c>
      <c r="AJ483" s="412">
        <f t="shared" si="403"/>
        <v>0</v>
      </c>
      <c r="AK483" s="411">
        <f t="shared" si="365"/>
        <v>3221740.1900000102</v>
      </c>
      <c r="AL483" s="237">
        <f t="shared" si="371"/>
        <v>0</v>
      </c>
      <c r="AM483" s="318">
        <f t="shared" si="387"/>
        <v>38</v>
      </c>
      <c r="AN483" s="21">
        <f t="shared" si="366"/>
        <v>0</v>
      </c>
      <c r="AO483" s="21">
        <f t="shared" si="356"/>
        <v>0</v>
      </c>
      <c r="AP483" s="21">
        <f t="shared" si="367"/>
        <v>0</v>
      </c>
      <c r="AQ483" s="21"/>
      <c r="AR483" s="23"/>
      <c r="AS483" s="21">
        <f t="shared" si="383"/>
        <v>0</v>
      </c>
      <c r="AT483" s="21">
        <f t="shared" si="388"/>
        <v>0</v>
      </c>
      <c r="AU483" s="237">
        <f t="shared" si="389"/>
        <v>0</v>
      </c>
      <c r="AV483" s="237">
        <f t="shared" si="390"/>
        <v>0</v>
      </c>
    </row>
    <row r="484" spans="1:49">
      <c r="A484" s="401" t="str">
        <f t="shared" si="391"/>
        <v xml:space="preserve"> </v>
      </c>
      <c r="B484" s="185">
        <f t="shared" si="359"/>
        <v>0</v>
      </c>
      <c r="C484" s="14">
        <f t="shared" si="375"/>
        <v>0</v>
      </c>
      <c r="D484" s="14">
        <f t="shared" si="392"/>
        <v>0</v>
      </c>
      <c r="E484" s="14">
        <f t="shared" si="376"/>
        <v>0</v>
      </c>
      <c r="F484" s="14">
        <f t="shared" si="402"/>
        <v>0</v>
      </c>
      <c r="G484" s="14">
        <f t="shared" si="402"/>
        <v>0</v>
      </c>
      <c r="H484" s="14">
        <f t="shared" si="361"/>
        <v>0</v>
      </c>
      <c r="I484" s="185">
        <f t="shared" si="393"/>
        <v>0</v>
      </c>
      <c r="J484" s="185">
        <f t="shared" si="394"/>
        <v>0</v>
      </c>
      <c r="K484" s="185">
        <f t="shared" si="395"/>
        <v>0</v>
      </c>
      <c r="L484" s="317">
        <f t="shared" si="357"/>
        <v>39</v>
      </c>
      <c r="M484" s="317">
        <f t="shared" si="384"/>
        <v>468</v>
      </c>
      <c r="N484" s="185">
        <f t="shared" si="385"/>
        <v>0</v>
      </c>
      <c r="O484" s="185">
        <f t="shared" si="368"/>
        <v>0</v>
      </c>
      <c r="P484" s="185">
        <f t="shared" si="396"/>
        <v>0</v>
      </c>
      <c r="Q484" s="185">
        <f t="shared" si="369"/>
        <v>0</v>
      </c>
      <c r="R484" s="185">
        <f t="shared" si="405"/>
        <v>134.16999999999999</v>
      </c>
      <c r="S484" s="185">
        <f t="shared" si="405"/>
        <v>188.55</v>
      </c>
      <c r="T484" s="185">
        <f t="shared" si="362"/>
        <v>322.72000000000003</v>
      </c>
      <c r="U484" s="185">
        <f t="shared" si="397"/>
        <v>1005371.31</v>
      </c>
      <c r="V484" s="185">
        <f t="shared" si="398"/>
        <v>6046189.700000003</v>
      </c>
      <c r="W484" s="185">
        <f t="shared" si="399"/>
        <v>0</v>
      </c>
      <c r="X484" s="401" t="str">
        <f t="shared" si="386"/>
        <v xml:space="preserve"> </v>
      </c>
      <c r="Y484" s="185">
        <f t="shared" si="370"/>
        <v>0</v>
      </c>
      <c r="Z484" s="393">
        <f t="shared" si="378"/>
        <v>0.13125000000000001</v>
      </c>
      <c r="AA484" s="185">
        <f t="shared" si="379"/>
        <v>0</v>
      </c>
      <c r="AB484" s="185">
        <f t="shared" si="380"/>
        <v>0</v>
      </c>
      <c r="AC484" s="185">
        <f t="shared" si="381"/>
        <v>0</v>
      </c>
      <c r="AD484" s="185">
        <f t="shared" si="404"/>
        <v>134.16999999999999</v>
      </c>
      <c r="AE484" s="185">
        <f t="shared" si="404"/>
        <v>188.55</v>
      </c>
      <c r="AF484" s="185">
        <f t="shared" si="382"/>
        <v>322.72000000000003</v>
      </c>
      <c r="AG484" s="185">
        <f t="shared" si="400"/>
        <v>989037.5</v>
      </c>
      <c r="AH484" s="185">
        <f t="shared" si="401"/>
        <v>2810829.4999999991</v>
      </c>
      <c r="AI484" s="411">
        <f t="shared" si="364"/>
        <v>3221740.1900000102</v>
      </c>
      <c r="AJ484" s="411">
        <f t="shared" si="403"/>
        <v>0</v>
      </c>
      <c r="AK484" s="411">
        <f t="shared" si="365"/>
        <v>3221740.1900000102</v>
      </c>
      <c r="AL484" s="185">
        <f t="shared" si="371"/>
        <v>0</v>
      </c>
      <c r="AM484" s="317">
        <f t="shared" si="387"/>
        <v>39</v>
      </c>
      <c r="AN484" s="14">
        <f t="shared" si="366"/>
        <v>0</v>
      </c>
      <c r="AO484" s="14">
        <f t="shared" si="356"/>
        <v>0</v>
      </c>
      <c r="AP484" s="14">
        <f t="shared" si="367"/>
        <v>0</v>
      </c>
      <c r="AS484" s="14">
        <f t="shared" si="383"/>
        <v>0</v>
      </c>
      <c r="AT484" s="14">
        <f t="shared" si="388"/>
        <v>0</v>
      </c>
      <c r="AU484" s="185">
        <f t="shared" si="389"/>
        <v>0</v>
      </c>
      <c r="AV484" s="185">
        <f t="shared" si="390"/>
        <v>0</v>
      </c>
    </row>
    <row r="485" spans="1:49">
      <c r="A485" s="401" t="str">
        <f t="shared" si="391"/>
        <v xml:space="preserve"> </v>
      </c>
      <c r="B485" s="185">
        <f t="shared" si="359"/>
        <v>0</v>
      </c>
      <c r="C485" s="14">
        <f t="shared" si="375"/>
        <v>0</v>
      </c>
      <c r="D485" s="14">
        <f t="shared" si="392"/>
        <v>0</v>
      </c>
      <c r="E485" s="14">
        <f t="shared" si="376"/>
        <v>0</v>
      </c>
      <c r="F485" s="14">
        <f t="shared" si="402"/>
        <v>0</v>
      </c>
      <c r="G485" s="14">
        <f t="shared" si="402"/>
        <v>0</v>
      </c>
      <c r="H485" s="14">
        <f t="shared" si="361"/>
        <v>0</v>
      </c>
      <c r="I485" s="185">
        <f t="shared" si="393"/>
        <v>0</v>
      </c>
      <c r="J485" s="185">
        <f t="shared" si="394"/>
        <v>0</v>
      </c>
      <c r="K485" s="185">
        <f t="shared" si="395"/>
        <v>0</v>
      </c>
      <c r="L485" s="317">
        <f t="shared" si="357"/>
        <v>39</v>
      </c>
      <c r="M485" s="317">
        <f t="shared" si="384"/>
        <v>469</v>
      </c>
      <c r="N485" s="185">
        <f t="shared" si="385"/>
        <v>0</v>
      </c>
      <c r="O485" s="185">
        <f t="shared" si="368"/>
        <v>0</v>
      </c>
      <c r="P485" s="185">
        <f t="shared" si="396"/>
        <v>0</v>
      </c>
      <c r="Q485" s="185">
        <f t="shared" si="369"/>
        <v>0</v>
      </c>
      <c r="R485" s="185">
        <f t="shared" si="405"/>
        <v>134.16999999999999</v>
      </c>
      <c r="S485" s="185">
        <f t="shared" si="405"/>
        <v>188.55</v>
      </c>
      <c r="T485" s="185">
        <f t="shared" si="362"/>
        <v>322.72000000000003</v>
      </c>
      <c r="U485" s="185">
        <f t="shared" si="397"/>
        <v>1005371.31</v>
      </c>
      <c r="V485" s="185">
        <f t="shared" si="398"/>
        <v>6046189.700000003</v>
      </c>
      <c r="W485" s="185">
        <f t="shared" si="399"/>
        <v>0</v>
      </c>
      <c r="X485" s="401" t="str">
        <f t="shared" si="386"/>
        <v xml:space="preserve"> </v>
      </c>
      <c r="Y485" s="185">
        <f t="shared" si="370"/>
        <v>0</v>
      </c>
      <c r="Z485" s="393">
        <f t="shared" si="378"/>
        <v>0.13125000000000001</v>
      </c>
      <c r="AA485" s="185">
        <f t="shared" si="379"/>
        <v>0</v>
      </c>
      <c r="AB485" s="185">
        <f t="shared" si="380"/>
        <v>0</v>
      </c>
      <c r="AC485" s="185">
        <f t="shared" si="381"/>
        <v>0</v>
      </c>
      <c r="AD485" s="185">
        <f t="shared" si="404"/>
        <v>134.16999999999999</v>
      </c>
      <c r="AE485" s="185">
        <f t="shared" si="404"/>
        <v>188.55</v>
      </c>
      <c r="AF485" s="185">
        <f t="shared" si="382"/>
        <v>322.72000000000003</v>
      </c>
      <c r="AG485" s="185">
        <f t="shared" si="400"/>
        <v>989037.5</v>
      </c>
      <c r="AH485" s="185">
        <f t="shared" si="401"/>
        <v>2810829.4999999991</v>
      </c>
      <c r="AI485" s="411">
        <f t="shared" si="364"/>
        <v>3221740.1900000102</v>
      </c>
      <c r="AJ485" s="411">
        <f t="shared" si="403"/>
        <v>0</v>
      </c>
      <c r="AK485" s="411">
        <f t="shared" si="365"/>
        <v>3221740.1900000102</v>
      </c>
      <c r="AL485" s="185">
        <f t="shared" si="371"/>
        <v>0</v>
      </c>
      <c r="AM485" s="317">
        <f t="shared" si="387"/>
        <v>39</v>
      </c>
      <c r="AN485" s="14">
        <f t="shared" si="366"/>
        <v>0</v>
      </c>
      <c r="AO485" s="14">
        <f t="shared" si="356"/>
        <v>0</v>
      </c>
      <c r="AP485" s="14">
        <f t="shared" si="367"/>
        <v>0</v>
      </c>
      <c r="AS485" s="14">
        <f t="shared" si="383"/>
        <v>0</v>
      </c>
      <c r="AT485" s="14">
        <f t="shared" si="388"/>
        <v>0</v>
      </c>
      <c r="AU485" s="185">
        <f t="shared" si="389"/>
        <v>0</v>
      </c>
      <c r="AV485" s="185">
        <f t="shared" si="390"/>
        <v>0</v>
      </c>
    </row>
    <row r="486" spans="1:49">
      <c r="A486" s="401" t="str">
        <f t="shared" si="391"/>
        <v xml:space="preserve"> </v>
      </c>
      <c r="B486" s="185">
        <f t="shared" si="359"/>
        <v>0</v>
      </c>
      <c r="C486" s="14">
        <f t="shared" si="375"/>
        <v>0</v>
      </c>
      <c r="D486" s="14">
        <f t="shared" si="392"/>
        <v>0</v>
      </c>
      <c r="E486" s="14">
        <f t="shared" si="376"/>
        <v>0</v>
      </c>
      <c r="F486" s="14">
        <f t="shared" si="402"/>
        <v>0</v>
      </c>
      <c r="G486" s="14">
        <f t="shared" si="402"/>
        <v>0</v>
      </c>
      <c r="H486" s="14">
        <f t="shared" si="361"/>
        <v>0</v>
      </c>
      <c r="I486" s="185">
        <f t="shared" si="393"/>
        <v>0</v>
      </c>
      <c r="J486" s="185">
        <f t="shared" si="394"/>
        <v>0</v>
      </c>
      <c r="K486" s="185">
        <f t="shared" si="395"/>
        <v>0</v>
      </c>
      <c r="L486" s="317">
        <f t="shared" si="357"/>
        <v>39</v>
      </c>
      <c r="M486" s="317">
        <f t="shared" si="384"/>
        <v>470</v>
      </c>
      <c r="N486" s="185">
        <f t="shared" si="385"/>
        <v>0</v>
      </c>
      <c r="O486" s="185">
        <f t="shared" si="368"/>
        <v>0</v>
      </c>
      <c r="P486" s="185">
        <f t="shared" si="396"/>
        <v>0</v>
      </c>
      <c r="Q486" s="185">
        <f t="shared" si="369"/>
        <v>0</v>
      </c>
      <c r="R486" s="185">
        <f t="shared" si="405"/>
        <v>134.16999999999999</v>
      </c>
      <c r="S486" s="185">
        <f t="shared" si="405"/>
        <v>188.55</v>
      </c>
      <c r="T486" s="185">
        <f t="shared" si="362"/>
        <v>322.72000000000003</v>
      </c>
      <c r="U486" s="185">
        <f t="shared" si="397"/>
        <v>1005371.31</v>
      </c>
      <c r="V486" s="185">
        <f t="shared" si="398"/>
        <v>6046189.700000003</v>
      </c>
      <c r="W486" s="185">
        <f t="shared" si="399"/>
        <v>0</v>
      </c>
      <c r="X486" s="401" t="str">
        <f t="shared" si="386"/>
        <v xml:space="preserve"> </v>
      </c>
      <c r="Y486" s="185">
        <f t="shared" si="370"/>
        <v>0</v>
      </c>
      <c r="Z486" s="393">
        <f t="shared" si="378"/>
        <v>0.13125000000000001</v>
      </c>
      <c r="AA486" s="185">
        <f t="shared" si="379"/>
        <v>0</v>
      </c>
      <c r="AB486" s="185">
        <f t="shared" si="380"/>
        <v>0</v>
      </c>
      <c r="AC486" s="185">
        <f t="shared" si="381"/>
        <v>0</v>
      </c>
      <c r="AD486" s="185">
        <f t="shared" si="404"/>
        <v>134.16999999999999</v>
      </c>
      <c r="AE486" s="185">
        <f t="shared" si="404"/>
        <v>188.55</v>
      </c>
      <c r="AF486" s="185">
        <f t="shared" si="382"/>
        <v>322.72000000000003</v>
      </c>
      <c r="AG486" s="185">
        <f t="shared" si="400"/>
        <v>989037.5</v>
      </c>
      <c r="AH486" s="185">
        <f t="shared" si="401"/>
        <v>2810829.4999999991</v>
      </c>
      <c r="AI486" s="411">
        <f t="shared" si="364"/>
        <v>3221740.1900000102</v>
      </c>
      <c r="AJ486" s="411">
        <f t="shared" si="403"/>
        <v>0</v>
      </c>
      <c r="AK486" s="411">
        <f t="shared" si="365"/>
        <v>3221740.1900000102</v>
      </c>
      <c r="AL486" s="185">
        <f t="shared" si="371"/>
        <v>0</v>
      </c>
      <c r="AM486" s="317">
        <f t="shared" si="387"/>
        <v>39</v>
      </c>
      <c r="AN486" s="14">
        <f t="shared" si="366"/>
        <v>0</v>
      </c>
      <c r="AO486" s="14">
        <f t="shared" si="356"/>
        <v>0</v>
      </c>
      <c r="AP486" s="14">
        <f t="shared" si="367"/>
        <v>0</v>
      </c>
      <c r="AS486" s="14">
        <f t="shared" si="383"/>
        <v>0</v>
      </c>
      <c r="AT486" s="14">
        <f t="shared" si="388"/>
        <v>0</v>
      </c>
      <c r="AU486" s="185">
        <f t="shared" si="389"/>
        <v>0</v>
      </c>
      <c r="AV486" s="185">
        <f t="shared" si="390"/>
        <v>0</v>
      </c>
    </row>
    <row r="487" spans="1:49">
      <c r="A487" s="401" t="str">
        <f t="shared" si="391"/>
        <v xml:space="preserve"> </v>
      </c>
      <c r="B487" s="185">
        <f t="shared" si="359"/>
        <v>0</v>
      </c>
      <c r="C487" s="14">
        <f t="shared" si="375"/>
        <v>0</v>
      </c>
      <c r="D487" s="14">
        <f t="shared" si="392"/>
        <v>0</v>
      </c>
      <c r="E487" s="14">
        <f t="shared" si="376"/>
        <v>0</v>
      </c>
      <c r="F487" s="14">
        <f t="shared" si="402"/>
        <v>0</v>
      </c>
      <c r="G487" s="14">
        <f t="shared" si="402"/>
        <v>0</v>
      </c>
      <c r="H487" s="14">
        <f t="shared" si="361"/>
        <v>0</v>
      </c>
      <c r="I487" s="185">
        <f t="shared" si="393"/>
        <v>0</v>
      </c>
      <c r="J487" s="185">
        <f t="shared" si="394"/>
        <v>0</v>
      </c>
      <c r="K487" s="185">
        <f t="shared" si="395"/>
        <v>0</v>
      </c>
      <c r="L487" s="317">
        <f t="shared" si="357"/>
        <v>39</v>
      </c>
      <c r="M487" s="317">
        <f t="shared" si="384"/>
        <v>471</v>
      </c>
      <c r="N487" s="185">
        <f t="shared" si="385"/>
        <v>0</v>
      </c>
      <c r="O487" s="185">
        <f t="shared" si="368"/>
        <v>0</v>
      </c>
      <c r="P487" s="185">
        <f t="shared" si="396"/>
        <v>0</v>
      </c>
      <c r="Q487" s="185">
        <f t="shared" si="369"/>
        <v>0</v>
      </c>
      <c r="R487" s="185">
        <f t="shared" si="405"/>
        <v>134.16999999999999</v>
      </c>
      <c r="S487" s="185">
        <f t="shared" si="405"/>
        <v>188.55</v>
      </c>
      <c r="T487" s="185">
        <f t="shared" si="362"/>
        <v>322.72000000000003</v>
      </c>
      <c r="U487" s="185">
        <f t="shared" si="397"/>
        <v>1005371.31</v>
      </c>
      <c r="V487" s="185">
        <f t="shared" si="398"/>
        <v>6046189.700000003</v>
      </c>
      <c r="W487" s="185">
        <f t="shared" si="399"/>
        <v>0</v>
      </c>
      <c r="X487" s="401" t="str">
        <f t="shared" si="386"/>
        <v xml:space="preserve"> </v>
      </c>
      <c r="Y487" s="185">
        <f t="shared" si="370"/>
        <v>0</v>
      </c>
      <c r="Z487" s="393">
        <f t="shared" si="378"/>
        <v>0.13125000000000001</v>
      </c>
      <c r="AA487" s="185">
        <f t="shared" si="379"/>
        <v>0</v>
      </c>
      <c r="AB487" s="185">
        <f t="shared" si="380"/>
        <v>0</v>
      </c>
      <c r="AC487" s="185">
        <f t="shared" si="381"/>
        <v>0</v>
      </c>
      <c r="AD487" s="185">
        <f t="shared" si="404"/>
        <v>134.16999999999999</v>
      </c>
      <c r="AE487" s="185">
        <f t="shared" si="404"/>
        <v>188.55</v>
      </c>
      <c r="AF487" s="185">
        <f t="shared" si="382"/>
        <v>322.72000000000003</v>
      </c>
      <c r="AG487" s="185">
        <f t="shared" si="400"/>
        <v>989037.5</v>
      </c>
      <c r="AH487" s="185">
        <f t="shared" si="401"/>
        <v>2810829.4999999991</v>
      </c>
      <c r="AI487" s="411">
        <f t="shared" si="364"/>
        <v>3221740.1900000102</v>
      </c>
      <c r="AJ487" s="411">
        <f t="shared" si="403"/>
        <v>0</v>
      </c>
      <c r="AK487" s="411">
        <f t="shared" si="365"/>
        <v>3221740.1900000102</v>
      </c>
      <c r="AL487" s="185">
        <f t="shared" si="371"/>
        <v>0</v>
      </c>
      <c r="AM487" s="317">
        <f t="shared" si="387"/>
        <v>39</v>
      </c>
      <c r="AN487" s="14">
        <f t="shared" si="366"/>
        <v>0</v>
      </c>
      <c r="AO487" s="14">
        <f t="shared" si="356"/>
        <v>0</v>
      </c>
      <c r="AP487" s="14">
        <f t="shared" si="367"/>
        <v>0</v>
      </c>
      <c r="AS487" s="14">
        <f t="shared" si="383"/>
        <v>0</v>
      </c>
      <c r="AT487" s="14">
        <f t="shared" si="388"/>
        <v>0</v>
      </c>
      <c r="AU487" s="185">
        <f t="shared" si="389"/>
        <v>0</v>
      </c>
      <c r="AV487" s="185">
        <f t="shared" si="390"/>
        <v>0</v>
      </c>
    </row>
    <row r="488" spans="1:49">
      <c r="A488" s="401" t="str">
        <f t="shared" si="391"/>
        <v xml:space="preserve"> </v>
      </c>
      <c r="B488" s="185">
        <f t="shared" si="359"/>
        <v>0</v>
      </c>
      <c r="C488" s="14">
        <f t="shared" si="375"/>
        <v>0</v>
      </c>
      <c r="D488" s="14">
        <f t="shared" si="392"/>
        <v>0</v>
      </c>
      <c r="E488" s="14">
        <f t="shared" si="376"/>
        <v>0</v>
      </c>
      <c r="F488" s="14">
        <f t="shared" si="402"/>
        <v>0</v>
      </c>
      <c r="G488" s="14">
        <f t="shared" si="402"/>
        <v>0</v>
      </c>
      <c r="H488" s="14">
        <f t="shared" si="361"/>
        <v>0</v>
      </c>
      <c r="I488" s="185">
        <f t="shared" si="393"/>
        <v>0</v>
      </c>
      <c r="J488" s="185">
        <f t="shared" si="394"/>
        <v>0</v>
      </c>
      <c r="K488" s="185">
        <f t="shared" si="395"/>
        <v>0</v>
      </c>
      <c r="L488" s="317">
        <f t="shared" si="357"/>
        <v>39</v>
      </c>
      <c r="M488" s="317">
        <f t="shared" si="384"/>
        <v>472</v>
      </c>
      <c r="N488" s="185">
        <f t="shared" si="385"/>
        <v>0</v>
      </c>
      <c r="O488" s="185">
        <f t="shared" si="368"/>
        <v>0</v>
      </c>
      <c r="P488" s="185">
        <f t="shared" si="396"/>
        <v>0</v>
      </c>
      <c r="Q488" s="185">
        <f t="shared" si="369"/>
        <v>0</v>
      </c>
      <c r="R488" s="185">
        <f t="shared" si="405"/>
        <v>134.16999999999999</v>
      </c>
      <c r="S488" s="185">
        <f t="shared" si="405"/>
        <v>188.55</v>
      </c>
      <c r="T488" s="185">
        <f t="shared" si="362"/>
        <v>322.72000000000003</v>
      </c>
      <c r="U488" s="185">
        <f t="shared" si="397"/>
        <v>1005371.31</v>
      </c>
      <c r="V488" s="185">
        <f t="shared" si="398"/>
        <v>6046189.700000003</v>
      </c>
      <c r="W488" s="185">
        <f t="shared" si="399"/>
        <v>0</v>
      </c>
      <c r="X488" s="401" t="str">
        <f t="shared" si="386"/>
        <v xml:space="preserve"> </v>
      </c>
      <c r="Y488" s="185">
        <f t="shared" si="370"/>
        <v>0</v>
      </c>
      <c r="Z488" s="393">
        <f t="shared" si="378"/>
        <v>0.13125000000000001</v>
      </c>
      <c r="AA488" s="185">
        <f t="shared" si="379"/>
        <v>0</v>
      </c>
      <c r="AB488" s="185">
        <f t="shared" si="380"/>
        <v>0</v>
      </c>
      <c r="AC488" s="185">
        <f t="shared" si="381"/>
        <v>0</v>
      </c>
      <c r="AD488" s="185">
        <f t="shared" si="404"/>
        <v>134.16999999999999</v>
      </c>
      <c r="AE488" s="185">
        <f t="shared" si="404"/>
        <v>188.55</v>
      </c>
      <c r="AF488" s="185">
        <f t="shared" si="382"/>
        <v>322.72000000000003</v>
      </c>
      <c r="AG488" s="185">
        <f t="shared" si="400"/>
        <v>989037.5</v>
      </c>
      <c r="AH488" s="185">
        <f t="shared" si="401"/>
        <v>2810829.4999999991</v>
      </c>
      <c r="AI488" s="411">
        <f t="shared" si="364"/>
        <v>3221740.1900000102</v>
      </c>
      <c r="AJ488" s="411">
        <f t="shared" si="403"/>
        <v>0</v>
      </c>
      <c r="AK488" s="411">
        <f t="shared" si="365"/>
        <v>3221740.1900000102</v>
      </c>
      <c r="AL488" s="185">
        <f t="shared" si="371"/>
        <v>0</v>
      </c>
      <c r="AM488" s="317">
        <f t="shared" si="387"/>
        <v>39</v>
      </c>
      <c r="AN488" s="14">
        <f t="shared" si="366"/>
        <v>0</v>
      </c>
      <c r="AO488" s="14">
        <f t="shared" si="356"/>
        <v>0</v>
      </c>
      <c r="AP488" s="14">
        <f t="shared" si="367"/>
        <v>0</v>
      </c>
      <c r="AS488" s="14">
        <f t="shared" si="383"/>
        <v>0</v>
      </c>
      <c r="AT488" s="14">
        <f t="shared" si="388"/>
        <v>0</v>
      </c>
      <c r="AU488" s="185">
        <f t="shared" si="389"/>
        <v>0</v>
      </c>
      <c r="AV488" s="185">
        <f t="shared" si="390"/>
        <v>0</v>
      </c>
    </row>
    <row r="489" spans="1:49">
      <c r="A489" s="401" t="str">
        <f t="shared" si="391"/>
        <v xml:space="preserve"> </v>
      </c>
      <c r="B489" s="185">
        <f t="shared" si="359"/>
        <v>0</v>
      </c>
      <c r="C489" s="14">
        <f t="shared" si="375"/>
        <v>0</v>
      </c>
      <c r="D489" s="14">
        <f t="shared" si="392"/>
        <v>0</v>
      </c>
      <c r="E489" s="14">
        <f t="shared" si="376"/>
        <v>0</v>
      </c>
      <c r="F489" s="14">
        <f t="shared" si="402"/>
        <v>0</v>
      </c>
      <c r="G489" s="14">
        <f t="shared" si="402"/>
        <v>0</v>
      </c>
      <c r="H489" s="14">
        <f t="shared" si="361"/>
        <v>0</v>
      </c>
      <c r="I489" s="185">
        <f t="shared" si="393"/>
        <v>0</v>
      </c>
      <c r="J489" s="185">
        <f t="shared" si="394"/>
        <v>0</v>
      </c>
      <c r="K489" s="185">
        <f t="shared" si="395"/>
        <v>0</v>
      </c>
      <c r="L489" s="317">
        <f t="shared" si="357"/>
        <v>39</v>
      </c>
      <c r="M489" s="317">
        <f t="shared" si="384"/>
        <v>473</v>
      </c>
      <c r="N489" s="185">
        <f t="shared" si="385"/>
        <v>0</v>
      </c>
      <c r="O489" s="185">
        <f t="shared" si="368"/>
        <v>0</v>
      </c>
      <c r="P489" s="185">
        <f t="shared" si="396"/>
        <v>0</v>
      </c>
      <c r="Q489" s="185">
        <f t="shared" si="369"/>
        <v>0</v>
      </c>
      <c r="R489" s="185">
        <f t="shared" si="405"/>
        <v>134.16999999999999</v>
      </c>
      <c r="S489" s="185">
        <f t="shared" si="405"/>
        <v>188.55</v>
      </c>
      <c r="T489" s="185">
        <f t="shared" si="362"/>
        <v>322.72000000000003</v>
      </c>
      <c r="U489" s="185">
        <f t="shared" si="397"/>
        <v>1005371.31</v>
      </c>
      <c r="V489" s="185">
        <f t="shared" si="398"/>
        <v>6046189.700000003</v>
      </c>
      <c r="W489" s="185">
        <f t="shared" si="399"/>
        <v>0</v>
      </c>
      <c r="X489" s="401" t="str">
        <f t="shared" si="386"/>
        <v xml:space="preserve"> </v>
      </c>
      <c r="Y489" s="185">
        <f t="shared" si="370"/>
        <v>0</v>
      </c>
      <c r="Z489" s="393">
        <f t="shared" si="378"/>
        <v>0.13125000000000001</v>
      </c>
      <c r="AA489" s="185">
        <f t="shared" si="379"/>
        <v>0</v>
      </c>
      <c r="AB489" s="185">
        <f t="shared" si="380"/>
        <v>0</v>
      </c>
      <c r="AC489" s="185">
        <f t="shared" si="381"/>
        <v>0</v>
      </c>
      <c r="AD489" s="185">
        <f t="shared" si="404"/>
        <v>134.16999999999999</v>
      </c>
      <c r="AE489" s="185">
        <f t="shared" si="404"/>
        <v>188.55</v>
      </c>
      <c r="AF489" s="185">
        <f t="shared" si="382"/>
        <v>322.72000000000003</v>
      </c>
      <c r="AG489" s="185">
        <f t="shared" si="400"/>
        <v>989037.5</v>
      </c>
      <c r="AH489" s="185">
        <f t="shared" si="401"/>
        <v>2810829.4999999991</v>
      </c>
      <c r="AI489" s="411">
        <f t="shared" si="364"/>
        <v>3221740.1900000102</v>
      </c>
      <c r="AJ489" s="411">
        <f t="shared" si="403"/>
        <v>0</v>
      </c>
      <c r="AK489" s="411">
        <f t="shared" si="365"/>
        <v>3221740.1900000102</v>
      </c>
      <c r="AL489" s="185">
        <f t="shared" si="371"/>
        <v>0</v>
      </c>
      <c r="AM489" s="317">
        <f t="shared" si="387"/>
        <v>39</v>
      </c>
      <c r="AN489" s="14">
        <f t="shared" si="366"/>
        <v>0</v>
      </c>
      <c r="AO489" s="14">
        <f t="shared" si="356"/>
        <v>0</v>
      </c>
      <c r="AP489" s="14">
        <f t="shared" si="367"/>
        <v>0</v>
      </c>
      <c r="AS489" s="14">
        <f t="shared" si="383"/>
        <v>0</v>
      </c>
      <c r="AT489" s="14">
        <f t="shared" si="388"/>
        <v>0</v>
      </c>
      <c r="AU489" s="185">
        <f t="shared" si="389"/>
        <v>0</v>
      </c>
      <c r="AV489" s="185">
        <f t="shared" si="390"/>
        <v>0</v>
      </c>
    </row>
    <row r="490" spans="1:49">
      <c r="A490" s="401" t="str">
        <f t="shared" si="391"/>
        <v xml:space="preserve"> </v>
      </c>
      <c r="B490" s="185">
        <f t="shared" si="359"/>
        <v>0</v>
      </c>
      <c r="C490" s="14">
        <f t="shared" si="375"/>
        <v>0</v>
      </c>
      <c r="D490" s="14">
        <f t="shared" si="392"/>
        <v>0</v>
      </c>
      <c r="E490" s="14">
        <f t="shared" si="376"/>
        <v>0</v>
      </c>
      <c r="F490" s="14">
        <f t="shared" si="402"/>
        <v>0</v>
      </c>
      <c r="G490" s="14">
        <f t="shared" si="402"/>
        <v>0</v>
      </c>
      <c r="H490" s="14">
        <f t="shared" si="361"/>
        <v>0</v>
      </c>
      <c r="I490" s="185">
        <f t="shared" si="393"/>
        <v>0</v>
      </c>
      <c r="J490" s="185">
        <f t="shared" si="394"/>
        <v>0</v>
      </c>
      <c r="K490" s="185">
        <f t="shared" si="395"/>
        <v>0</v>
      </c>
      <c r="L490" s="317">
        <f t="shared" si="357"/>
        <v>39</v>
      </c>
      <c r="M490" s="317">
        <f t="shared" si="384"/>
        <v>474</v>
      </c>
      <c r="N490" s="185">
        <f t="shared" si="385"/>
        <v>0</v>
      </c>
      <c r="O490" s="185">
        <f t="shared" si="368"/>
        <v>0</v>
      </c>
      <c r="P490" s="185">
        <f t="shared" si="396"/>
        <v>0</v>
      </c>
      <c r="Q490" s="185">
        <f t="shared" si="369"/>
        <v>0</v>
      </c>
      <c r="R490" s="185">
        <f t="shared" si="405"/>
        <v>134.16999999999999</v>
      </c>
      <c r="S490" s="185">
        <f t="shared" si="405"/>
        <v>188.55</v>
      </c>
      <c r="T490" s="185">
        <f t="shared" si="362"/>
        <v>322.72000000000003</v>
      </c>
      <c r="U490" s="185">
        <f t="shared" si="397"/>
        <v>1005371.31</v>
      </c>
      <c r="V490" s="185">
        <f t="shared" si="398"/>
        <v>6046189.700000003</v>
      </c>
      <c r="W490" s="185">
        <f t="shared" si="399"/>
        <v>0</v>
      </c>
      <c r="X490" s="401" t="str">
        <f t="shared" si="386"/>
        <v xml:space="preserve"> </v>
      </c>
      <c r="Y490" s="185">
        <f t="shared" si="370"/>
        <v>0</v>
      </c>
      <c r="Z490" s="393">
        <f t="shared" si="378"/>
        <v>0.13125000000000001</v>
      </c>
      <c r="AA490" s="185">
        <f t="shared" si="379"/>
        <v>0</v>
      </c>
      <c r="AB490" s="185">
        <f t="shared" si="380"/>
        <v>0</v>
      </c>
      <c r="AC490" s="185">
        <f t="shared" si="381"/>
        <v>0</v>
      </c>
      <c r="AD490" s="185">
        <f t="shared" si="404"/>
        <v>134.16999999999999</v>
      </c>
      <c r="AE490" s="185">
        <f t="shared" si="404"/>
        <v>188.55</v>
      </c>
      <c r="AF490" s="185">
        <f t="shared" si="382"/>
        <v>322.72000000000003</v>
      </c>
      <c r="AG490" s="185">
        <f t="shared" si="400"/>
        <v>989037.5</v>
      </c>
      <c r="AH490" s="185">
        <f t="shared" si="401"/>
        <v>2810829.4999999991</v>
      </c>
      <c r="AI490" s="411">
        <f t="shared" si="364"/>
        <v>3221740.1900000102</v>
      </c>
      <c r="AJ490" s="411">
        <f t="shared" si="403"/>
        <v>0</v>
      </c>
      <c r="AK490" s="411">
        <f t="shared" si="365"/>
        <v>3221740.1900000102</v>
      </c>
      <c r="AL490" s="185">
        <f t="shared" si="371"/>
        <v>0</v>
      </c>
      <c r="AM490" s="317">
        <f t="shared" si="387"/>
        <v>39</v>
      </c>
      <c r="AN490" s="14">
        <f t="shared" si="366"/>
        <v>0</v>
      </c>
      <c r="AO490" s="14">
        <f t="shared" si="356"/>
        <v>0</v>
      </c>
      <c r="AP490" s="14">
        <f t="shared" si="367"/>
        <v>0</v>
      </c>
      <c r="AS490" s="14">
        <f t="shared" si="383"/>
        <v>0</v>
      </c>
      <c r="AT490" s="14">
        <f t="shared" si="388"/>
        <v>0</v>
      </c>
      <c r="AU490" s="185">
        <f t="shared" si="389"/>
        <v>0</v>
      </c>
      <c r="AV490" s="185">
        <f t="shared" si="390"/>
        <v>0</v>
      </c>
    </row>
    <row r="491" spans="1:49">
      <c r="A491" s="401" t="str">
        <f t="shared" si="391"/>
        <v xml:space="preserve"> </v>
      </c>
      <c r="B491" s="185">
        <f t="shared" si="359"/>
        <v>0</v>
      </c>
      <c r="C491" s="14">
        <f t="shared" si="375"/>
        <v>0</v>
      </c>
      <c r="D491" s="14">
        <f t="shared" si="392"/>
        <v>0</v>
      </c>
      <c r="E491" s="14">
        <f t="shared" si="376"/>
        <v>0</v>
      </c>
      <c r="F491" s="14">
        <f t="shared" ref="F491:G491" si="406">+F490</f>
        <v>0</v>
      </c>
      <c r="G491" s="14">
        <f t="shared" si="406"/>
        <v>0</v>
      </c>
      <c r="H491" s="14">
        <f t="shared" si="361"/>
        <v>0</v>
      </c>
      <c r="I491" s="185">
        <f t="shared" si="393"/>
        <v>0</v>
      </c>
      <c r="J491" s="185">
        <f t="shared" si="394"/>
        <v>0</v>
      </c>
      <c r="K491" s="185">
        <f t="shared" si="395"/>
        <v>0</v>
      </c>
      <c r="L491" s="317">
        <f t="shared" si="357"/>
        <v>39</v>
      </c>
      <c r="M491" s="317">
        <f t="shared" si="384"/>
        <v>475</v>
      </c>
      <c r="N491" s="185">
        <f t="shared" si="385"/>
        <v>0</v>
      </c>
      <c r="O491" s="185">
        <f t="shared" si="368"/>
        <v>0</v>
      </c>
      <c r="P491" s="185">
        <f t="shared" si="396"/>
        <v>0</v>
      </c>
      <c r="Q491" s="185">
        <f t="shared" si="369"/>
        <v>0</v>
      </c>
      <c r="R491" s="185">
        <f t="shared" si="405"/>
        <v>134.16999999999999</v>
      </c>
      <c r="S491" s="185">
        <f t="shared" si="405"/>
        <v>188.55</v>
      </c>
      <c r="T491" s="185">
        <f t="shared" si="362"/>
        <v>322.72000000000003</v>
      </c>
      <c r="U491" s="185">
        <f t="shared" si="397"/>
        <v>1005371.31</v>
      </c>
      <c r="V491" s="185">
        <f t="shared" si="398"/>
        <v>6046189.700000003</v>
      </c>
      <c r="W491" s="185">
        <f t="shared" si="399"/>
        <v>0</v>
      </c>
      <c r="X491" s="401" t="str">
        <f t="shared" si="386"/>
        <v xml:space="preserve"> </v>
      </c>
      <c r="Y491" s="185">
        <f t="shared" si="370"/>
        <v>0</v>
      </c>
      <c r="Z491" s="393">
        <f t="shared" si="378"/>
        <v>0.13125000000000001</v>
      </c>
      <c r="AA491" s="185">
        <f t="shared" si="379"/>
        <v>0</v>
      </c>
      <c r="AB491" s="185">
        <f t="shared" si="380"/>
        <v>0</v>
      </c>
      <c r="AC491" s="185">
        <f t="shared" si="381"/>
        <v>0</v>
      </c>
      <c r="AD491" s="185">
        <f t="shared" si="404"/>
        <v>134.16999999999999</v>
      </c>
      <c r="AE491" s="185">
        <f t="shared" si="404"/>
        <v>188.55</v>
      </c>
      <c r="AF491" s="185">
        <f t="shared" si="382"/>
        <v>322.72000000000003</v>
      </c>
      <c r="AG491" s="185">
        <f t="shared" si="400"/>
        <v>989037.5</v>
      </c>
      <c r="AH491" s="185">
        <f t="shared" si="401"/>
        <v>2810829.4999999991</v>
      </c>
      <c r="AI491" s="411">
        <f t="shared" si="364"/>
        <v>3221740.1900000102</v>
      </c>
      <c r="AJ491" s="411">
        <f t="shared" si="403"/>
        <v>0</v>
      </c>
      <c r="AK491" s="411">
        <f t="shared" si="365"/>
        <v>3221740.1900000102</v>
      </c>
      <c r="AL491" s="185">
        <f t="shared" si="371"/>
        <v>0</v>
      </c>
      <c r="AM491" s="317">
        <f t="shared" si="387"/>
        <v>39</v>
      </c>
      <c r="AN491" s="14">
        <f t="shared" si="366"/>
        <v>0</v>
      </c>
      <c r="AO491" s="14">
        <f t="shared" si="356"/>
        <v>0</v>
      </c>
      <c r="AP491" s="14">
        <f t="shared" si="367"/>
        <v>0</v>
      </c>
      <c r="AS491" s="14">
        <f t="shared" si="383"/>
        <v>0</v>
      </c>
      <c r="AT491" s="14">
        <f t="shared" si="388"/>
        <v>0</v>
      </c>
      <c r="AU491" s="185">
        <f t="shared" si="389"/>
        <v>0</v>
      </c>
      <c r="AV491" s="185">
        <f t="shared" si="390"/>
        <v>0</v>
      </c>
    </row>
    <row r="492" spans="1:49">
      <c r="A492" s="401"/>
      <c r="L492" s="317">
        <f t="shared" si="357"/>
        <v>0</v>
      </c>
      <c r="M492" s="317"/>
      <c r="X492" s="401">
        <f t="shared" si="386"/>
        <v>0</v>
      </c>
      <c r="Y492" s="185">
        <f t="shared" si="370"/>
        <v>0</v>
      </c>
      <c r="Z492" s="393">
        <f t="shared" si="378"/>
        <v>0.10625</v>
      </c>
      <c r="AA492" s="14">
        <f t="shared" si="379"/>
        <v>0</v>
      </c>
      <c r="AB492" s="14">
        <f t="shared" si="380"/>
        <v>0</v>
      </c>
      <c r="AC492" s="14">
        <f t="shared" si="381"/>
        <v>0</v>
      </c>
      <c r="AD492" s="14">
        <f t="shared" si="404"/>
        <v>134.16999999999999</v>
      </c>
      <c r="AE492" s="14">
        <f t="shared" si="404"/>
        <v>188.55</v>
      </c>
      <c r="AF492" s="14">
        <f t="shared" si="382"/>
        <v>322.72000000000003</v>
      </c>
      <c r="AG492" s="185">
        <f t="shared" si="400"/>
        <v>989037.5</v>
      </c>
      <c r="AH492" s="185">
        <f t="shared" si="401"/>
        <v>2810829.4999999991</v>
      </c>
      <c r="AI492" s="411">
        <f t="shared" si="364"/>
        <v>3221740.1900000102</v>
      </c>
      <c r="AJ492" s="411">
        <f t="shared" si="403"/>
        <v>0</v>
      </c>
      <c r="AK492" s="411">
        <f t="shared" si="365"/>
        <v>3221740.1900000102</v>
      </c>
      <c r="AL492" s="185">
        <f t="shared" si="371"/>
        <v>0</v>
      </c>
      <c r="AM492" s="317">
        <f t="shared" si="387"/>
        <v>0</v>
      </c>
    </row>
    <row r="493" spans="1:49">
      <c r="A493" s="401"/>
      <c r="L493" s="317">
        <f t="shared" si="357"/>
        <v>0</v>
      </c>
      <c r="M493" s="317"/>
      <c r="X493" s="401">
        <f t="shared" si="386"/>
        <v>0</v>
      </c>
      <c r="Y493" s="185">
        <f t="shared" si="370"/>
        <v>0</v>
      </c>
      <c r="Z493" s="393">
        <f t="shared" si="378"/>
        <v>0.10625</v>
      </c>
      <c r="AA493" s="14">
        <f t="shared" si="379"/>
        <v>0</v>
      </c>
      <c r="AB493" s="14">
        <f t="shared" si="380"/>
        <v>0</v>
      </c>
      <c r="AC493" s="14">
        <f t="shared" si="381"/>
        <v>0</v>
      </c>
      <c r="AD493" s="14">
        <f t="shared" ref="AD493:AE508" si="407">+AD492</f>
        <v>134.16999999999999</v>
      </c>
      <c r="AE493" s="14">
        <f t="shared" si="407"/>
        <v>188.55</v>
      </c>
      <c r="AF493" s="14">
        <f t="shared" si="382"/>
        <v>322.72000000000003</v>
      </c>
      <c r="AG493" s="185">
        <f t="shared" si="400"/>
        <v>989037.5</v>
      </c>
      <c r="AH493" s="185">
        <f t="shared" si="401"/>
        <v>2810829.4999999991</v>
      </c>
      <c r="AI493" s="411">
        <f t="shared" si="364"/>
        <v>3221740.1900000102</v>
      </c>
      <c r="AJ493" s="411">
        <f t="shared" si="403"/>
        <v>0</v>
      </c>
      <c r="AK493" s="411">
        <f t="shared" si="365"/>
        <v>3221740.1900000102</v>
      </c>
      <c r="AL493" s="185">
        <f t="shared" si="371"/>
        <v>0</v>
      </c>
      <c r="AM493" s="317">
        <f t="shared" si="387"/>
        <v>0</v>
      </c>
    </row>
    <row r="494" spans="1:49">
      <c r="A494" s="401"/>
      <c r="L494" s="317">
        <f t="shared" si="357"/>
        <v>0</v>
      </c>
      <c r="M494" s="317"/>
      <c r="X494" s="401">
        <f t="shared" si="386"/>
        <v>0</v>
      </c>
      <c r="Y494" s="185">
        <f t="shared" si="370"/>
        <v>0</v>
      </c>
      <c r="Z494" s="393">
        <f t="shared" si="378"/>
        <v>0.10625</v>
      </c>
      <c r="AA494" s="14">
        <f t="shared" si="379"/>
        <v>0</v>
      </c>
      <c r="AB494" s="14">
        <f t="shared" si="380"/>
        <v>0</v>
      </c>
      <c r="AC494" s="14">
        <f t="shared" si="381"/>
        <v>0</v>
      </c>
      <c r="AD494" s="14">
        <f t="shared" si="407"/>
        <v>134.16999999999999</v>
      </c>
      <c r="AE494" s="14">
        <f t="shared" si="407"/>
        <v>188.55</v>
      </c>
      <c r="AF494" s="14">
        <f t="shared" si="382"/>
        <v>322.72000000000003</v>
      </c>
      <c r="AG494" s="185">
        <f t="shared" si="400"/>
        <v>989037.5</v>
      </c>
      <c r="AH494" s="185">
        <f t="shared" si="401"/>
        <v>2810829.4999999991</v>
      </c>
      <c r="AI494" s="411">
        <f t="shared" si="364"/>
        <v>3221740.1900000102</v>
      </c>
      <c r="AJ494" s="411">
        <f t="shared" si="403"/>
        <v>0</v>
      </c>
      <c r="AK494" s="411">
        <f t="shared" si="365"/>
        <v>3221740.1900000102</v>
      </c>
      <c r="AL494" s="185">
        <f t="shared" si="371"/>
        <v>0</v>
      </c>
      <c r="AM494" s="317">
        <f t="shared" si="387"/>
        <v>0</v>
      </c>
    </row>
    <row r="495" spans="1:49" ht="15.75" thickBot="1">
      <c r="A495" s="404"/>
      <c r="B495" s="237"/>
      <c r="C495" s="21"/>
      <c r="D495" s="21"/>
      <c r="E495" s="21"/>
      <c r="F495" s="21"/>
      <c r="G495" s="21"/>
      <c r="H495" s="21"/>
      <c r="I495" s="237"/>
      <c r="J495" s="237"/>
      <c r="K495" s="237"/>
      <c r="L495" s="318">
        <f t="shared" si="357"/>
        <v>0</v>
      </c>
      <c r="M495" s="318"/>
      <c r="N495" s="237"/>
      <c r="U495" s="237"/>
      <c r="V495" s="237"/>
      <c r="W495" s="237"/>
      <c r="X495" s="404">
        <f t="shared" si="386"/>
        <v>0</v>
      </c>
      <c r="Y495" s="185">
        <f t="shared" si="370"/>
        <v>0</v>
      </c>
      <c r="Z495" s="393">
        <f t="shared" si="378"/>
        <v>0.10625</v>
      </c>
      <c r="AA495" s="14">
        <f t="shared" si="379"/>
        <v>0</v>
      </c>
      <c r="AB495" s="14">
        <f t="shared" si="380"/>
        <v>0</v>
      </c>
      <c r="AC495" s="14">
        <f t="shared" si="381"/>
        <v>0</v>
      </c>
      <c r="AD495" s="14">
        <f t="shared" si="407"/>
        <v>134.16999999999999</v>
      </c>
      <c r="AE495" s="14">
        <f t="shared" si="407"/>
        <v>188.55</v>
      </c>
      <c r="AF495" s="14">
        <f t="shared" si="382"/>
        <v>322.72000000000003</v>
      </c>
      <c r="AG495" s="185">
        <f t="shared" si="400"/>
        <v>989037.5</v>
      </c>
      <c r="AH495" s="185">
        <f t="shared" si="401"/>
        <v>2810829.4999999991</v>
      </c>
      <c r="AI495" s="411">
        <f t="shared" si="364"/>
        <v>3221740.1900000102</v>
      </c>
      <c r="AJ495" s="411">
        <f t="shared" si="403"/>
        <v>0</v>
      </c>
      <c r="AK495" s="411">
        <f t="shared" si="365"/>
        <v>3221740.1900000102</v>
      </c>
      <c r="AL495" s="185">
        <f t="shared" si="371"/>
        <v>0</v>
      </c>
      <c r="AM495" s="318">
        <f t="shared" si="387"/>
        <v>0</v>
      </c>
      <c r="AN495" s="21"/>
      <c r="AO495" s="21"/>
      <c r="AP495" s="21"/>
      <c r="AQ495" s="21"/>
      <c r="AR495" s="23"/>
      <c r="AS495" s="21"/>
      <c r="AT495" s="21"/>
      <c r="AU495" s="237"/>
      <c r="AV495" s="237"/>
      <c r="AW495" s="21"/>
    </row>
    <row r="496" spans="1:49">
      <c r="A496" s="401"/>
      <c r="L496" s="317">
        <f t="shared" ref="L496:L559" si="408">IF(MOD(M496,12)=0,M496/12,L495)</f>
        <v>0</v>
      </c>
      <c r="M496" s="317"/>
      <c r="X496" s="401">
        <f t="shared" si="386"/>
        <v>0</v>
      </c>
      <c r="Y496" s="185">
        <f t="shared" si="370"/>
        <v>0</v>
      </c>
      <c r="Z496" s="393">
        <f t="shared" si="378"/>
        <v>0.10625</v>
      </c>
      <c r="AA496" s="14">
        <f t="shared" si="379"/>
        <v>0</v>
      </c>
      <c r="AB496" s="14">
        <f t="shared" si="380"/>
        <v>0</v>
      </c>
      <c r="AC496" s="14">
        <f t="shared" si="381"/>
        <v>0</v>
      </c>
      <c r="AD496" s="14">
        <f t="shared" si="407"/>
        <v>134.16999999999999</v>
      </c>
      <c r="AE496" s="14">
        <f t="shared" si="407"/>
        <v>188.55</v>
      </c>
      <c r="AF496" s="14">
        <f t="shared" si="382"/>
        <v>322.72000000000003</v>
      </c>
      <c r="AG496" s="185">
        <f t="shared" si="400"/>
        <v>989037.5</v>
      </c>
      <c r="AH496" s="185">
        <f t="shared" si="401"/>
        <v>2810829.4999999991</v>
      </c>
      <c r="AI496" s="411">
        <f t="shared" si="364"/>
        <v>3221740.1900000102</v>
      </c>
      <c r="AJ496" s="411">
        <f t="shared" si="403"/>
        <v>0</v>
      </c>
      <c r="AK496" s="411">
        <f t="shared" si="365"/>
        <v>3221740.1900000102</v>
      </c>
      <c r="AL496" s="185">
        <f t="shared" si="371"/>
        <v>0</v>
      </c>
      <c r="AM496" s="317">
        <f t="shared" si="387"/>
        <v>0</v>
      </c>
    </row>
    <row r="497" spans="1:49">
      <c r="A497" s="401"/>
      <c r="L497" s="317">
        <f t="shared" si="408"/>
        <v>0</v>
      </c>
      <c r="M497" s="317"/>
      <c r="X497" s="401">
        <f t="shared" si="386"/>
        <v>0</v>
      </c>
      <c r="Y497" s="185">
        <f t="shared" si="370"/>
        <v>0</v>
      </c>
      <c r="Z497" s="393">
        <f t="shared" si="378"/>
        <v>0.10625</v>
      </c>
      <c r="AA497" s="14">
        <f t="shared" si="379"/>
        <v>0</v>
      </c>
      <c r="AB497" s="14">
        <f t="shared" si="380"/>
        <v>0</v>
      </c>
      <c r="AC497" s="14">
        <f t="shared" si="381"/>
        <v>0</v>
      </c>
      <c r="AD497" s="14">
        <f t="shared" si="407"/>
        <v>134.16999999999999</v>
      </c>
      <c r="AE497" s="14">
        <f t="shared" si="407"/>
        <v>188.55</v>
      </c>
      <c r="AF497" s="14">
        <f t="shared" si="382"/>
        <v>322.72000000000003</v>
      </c>
      <c r="AG497" s="185">
        <f t="shared" si="400"/>
        <v>989037.5</v>
      </c>
      <c r="AH497" s="185">
        <f t="shared" si="401"/>
        <v>2810829.4999999991</v>
      </c>
      <c r="AI497" s="411">
        <f t="shared" si="364"/>
        <v>3221740.1900000102</v>
      </c>
      <c r="AJ497" s="411">
        <f t="shared" si="403"/>
        <v>0</v>
      </c>
      <c r="AK497" s="411">
        <f t="shared" si="365"/>
        <v>3221740.1900000102</v>
      </c>
      <c r="AL497" s="185">
        <f t="shared" si="371"/>
        <v>0</v>
      </c>
      <c r="AM497" s="317">
        <f t="shared" si="387"/>
        <v>0</v>
      </c>
    </row>
    <row r="498" spans="1:49">
      <c r="A498" s="401"/>
      <c r="L498" s="317">
        <f t="shared" si="408"/>
        <v>0</v>
      </c>
      <c r="M498" s="317"/>
      <c r="X498" s="401">
        <f t="shared" si="386"/>
        <v>0</v>
      </c>
      <c r="Y498" s="185">
        <f t="shared" si="370"/>
        <v>0</v>
      </c>
      <c r="Z498" s="393">
        <f t="shared" si="378"/>
        <v>0.10625</v>
      </c>
      <c r="AA498" s="14">
        <f t="shared" si="379"/>
        <v>0</v>
      </c>
      <c r="AB498" s="14">
        <f t="shared" si="380"/>
        <v>0</v>
      </c>
      <c r="AC498" s="14">
        <f t="shared" si="381"/>
        <v>0</v>
      </c>
      <c r="AD498" s="14">
        <f t="shared" si="407"/>
        <v>134.16999999999999</v>
      </c>
      <c r="AE498" s="14">
        <f t="shared" si="407"/>
        <v>188.55</v>
      </c>
      <c r="AF498" s="14">
        <f t="shared" si="382"/>
        <v>322.72000000000003</v>
      </c>
      <c r="AG498" s="185">
        <f t="shared" si="400"/>
        <v>989037.5</v>
      </c>
      <c r="AH498" s="185">
        <f t="shared" si="401"/>
        <v>2810829.4999999991</v>
      </c>
      <c r="AI498" s="411">
        <f t="shared" si="364"/>
        <v>3221740.1900000102</v>
      </c>
      <c r="AJ498" s="411">
        <f t="shared" si="403"/>
        <v>0</v>
      </c>
      <c r="AK498" s="411">
        <f t="shared" si="365"/>
        <v>3221740.1900000102</v>
      </c>
      <c r="AL498" s="185">
        <f t="shared" si="371"/>
        <v>0</v>
      </c>
      <c r="AM498" s="317">
        <f t="shared" si="387"/>
        <v>0</v>
      </c>
    </row>
    <row r="499" spans="1:49">
      <c r="A499" s="401"/>
      <c r="L499" s="317">
        <f t="shared" si="408"/>
        <v>0</v>
      </c>
      <c r="M499" s="317"/>
      <c r="X499" s="401">
        <f t="shared" si="386"/>
        <v>0</v>
      </c>
      <c r="Y499" s="185">
        <f t="shared" si="370"/>
        <v>0</v>
      </c>
      <c r="Z499" s="393">
        <f t="shared" si="378"/>
        <v>0.10625</v>
      </c>
      <c r="AA499" s="14">
        <f t="shared" si="379"/>
        <v>0</v>
      </c>
      <c r="AB499" s="14">
        <f t="shared" si="380"/>
        <v>0</v>
      </c>
      <c r="AC499" s="14">
        <f t="shared" si="381"/>
        <v>0</v>
      </c>
      <c r="AD499" s="14">
        <f t="shared" si="407"/>
        <v>134.16999999999999</v>
      </c>
      <c r="AE499" s="14">
        <f t="shared" si="407"/>
        <v>188.55</v>
      </c>
      <c r="AF499" s="14">
        <f t="shared" si="382"/>
        <v>322.72000000000003</v>
      </c>
      <c r="AG499" s="185">
        <f t="shared" si="400"/>
        <v>989037.5</v>
      </c>
      <c r="AH499" s="185">
        <f t="shared" si="401"/>
        <v>2810829.4999999991</v>
      </c>
      <c r="AI499" s="411">
        <f t="shared" si="364"/>
        <v>3221740.1900000102</v>
      </c>
      <c r="AJ499" s="411">
        <f t="shared" si="403"/>
        <v>0</v>
      </c>
      <c r="AK499" s="411">
        <f t="shared" si="365"/>
        <v>3221740.1900000102</v>
      </c>
      <c r="AL499" s="185">
        <f t="shared" si="371"/>
        <v>0</v>
      </c>
      <c r="AM499" s="317">
        <f t="shared" si="387"/>
        <v>0</v>
      </c>
    </row>
    <row r="500" spans="1:49">
      <c r="A500" s="401"/>
      <c r="L500" s="317">
        <f t="shared" si="408"/>
        <v>0</v>
      </c>
      <c r="M500" s="317"/>
      <c r="X500" s="401">
        <f t="shared" si="386"/>
        <v>0</v>
      </c>
      <c r="Y500" s="185">
        <f t="shared" si="370"/>
        <v>0</v>
      </c>
      <c r="Z500" s="393">
        <f t="shared" si="378"/>
        <v>0.10625</v>
      </c>
      <c r="AA500" s="14">
        <f t="shared" si="379"/>
        <v>0</v>
      </c>
      <c r="AB500" s="14">
        <f t="shared" si="380"/>
        <v>0</v>
      </c>
      <c r="AC500" s="14">
        <f t="shared" si="381"/>
        <v>0</v>
      </c>
      <c r="AD500" s="14">
        <f t="shared" si="407"/>
        <v>134.16999999999999</v>
      </c>
      <c r="AE500" s="14">
        <f t="shared" si="407"/>
        <v>188.55</v>
      </c>
      <c r="AF500" s="14">
        <f t="shared" si="382"/>
        <v>322.72000000000003</v>
      </c>
      <c r="AG500" s="185">
        <f t="shared" si="400"/>
        <v>989037.5</v>
      </c>
      <c r="AH500" s="185">
        <f t="shared" si="401"/>
        <v>2810829.4999999991</v>
      </c>
      <c r="AI500" s="411">
        <f t="shared" si="364"/>
        <v>3221740.1900000102</v>
      </c>
      <c r="AJ500" s="411">
        <f t="shared" si="403"/>
        <v>0</v>
      </c>
      <c r="AK500" s="411">
        <f t="shared" si="365"/>
        <v>3221740.1900000102</v>
      </c>
      <c r="AL500" s="185">
        <f t="shared" si="371"/>
        <v>0</v>
      </c>
      <c r="AM500" s="317">
        <f t="shared" si="387"/>
        <v>0</v>
      </c>
    </row>
    <row r="501" spans="1:49">
      <c r="A501" s="401"/>
      <c r="L501" s="317">
        <f t="shared" si="408"/>
        <v>0</v>
      </c>
      <c r="M501" s="317"/>
      <c r="X501" s="401">
        <f t="shared" si="386"/>
        <v>0</v>
      </c>
      <c r="Y501" s="185">
        <f t="shared" si="370"/>
        <v>0</v>
      </c>
      <c r="Z501" s="393">
        <f t="shared" si="378"/>
        <v>0.10625</v>
      </c>
      <c r="AA501" s="14">
        <f t="shared" si="379"/>
        <v>0</v>
      </c>
      <c r="AB501" s="14">
        <f t="shared" si="380"/>
        <v>0</v>
      </c>
      <c r="AC501" s="14">
        <f t="shared" si="381"/>
        <v>0</v>
      </c>
      <c r="AD501" s="14">
        <f t="shared" si="407"/>
        <v>134.16999999999999</v>
      </c>
      <c r="AE501" s="14">
        <f t="shared" si="407"/>
        <v>188.55</v>
      </c>
      <c r="AF501" s="14">
        <f t="shared" si="382"/>
        <v>322.72000000000003</v>
      </c>
      <c r="AG501" s="185">
        <f t="shared" si="400"/>
        <v>989037.5</v>
      </c>
      <c r="AH501" s="185">
        <f t="shared" si="401"/>
        <v>2810829.4999999991</v>
      </c>
      <c r="AI501" s="411">
        <f t="shared" si="364"/>
        <v>3221740.1900000102</v>
      </c>
      <c r="AJ501" s="411">
        <f t="shared" si="403"/>
        <v>0</v>
      </c>
      <c r="AK501" s="411">
        <f t="shared" si="365"/>
        <v>3221740.1900000102</v>
      </c>
      <c r="AL501" s="185">
        <f t="shared" si="371"/>
        <v>0</v>
      </c>
      <c r="AM501" s="317">
        <f t="shared" si="387"/>
        <v>0</v>
      </c>
    </row>
    <row r="502" spans="1:49">
      <c r="A502" s="401"/>
      <c r="L502" s="317">
        <f t="shared" si="408"/>
        <v>0</v>
      </c>
      <c r="M502" s="317"/>
      <c r="X502" s="401">
        <f t="shared" si="386"/>
        <v>0</v>
      </c>
      <c r="Y502" s="185">
        <f t="shared" si="370"/>
        <v>0</v>
      </c>
      <c r="Z502" s="393">
        <f t="shared" si="378"/>
        <v>0.10625</v>
      </c>
      <c r="AA502" s="14">
        <f t="shared" si="379"/>
        <v>0</v>
      </c>
      <c r="AB502" s="14">
        <f t="shared" si="380"/>
        <v>0</v>
      </c>
      <c r="AC502" s="14">
        <f t="shared" si="381"/>
        <v>0</v>
      </c>
      <c r="AD502" s="14">
        <f t="shared" si="407"/>
        <v>134.16999999999999</v>
      </c>
      <c r="AE502" s="14">
        <f t="shared" si="407"/>
        <v>188.55</v>
      </c>
      <c r="AF502" s="14">
        <f t="shared" si="382"/>
        <v>322.72000000000003</v>
      </c>
      <c r="AG502" s="185">
        <f t="shared" si="400"/>
        <v>989037.5</v>
      </c>
      <c r="AH502" s="185">
        <f t="shared" si="401"/>
        <v>2810829.4999999991</v>
      </c>
      <c r="AI502" s="411">
        <f t="shared" si="364"/>
        <v>3221740.1900000102</v>
      </c>
      <c r="AJ502" s="411">
        <f t="shared" si="403"/>
        <v>0</v>
      </c>
      <c r="AK502" s="411">
        <f t="shared" si="365"/>
        <v>3221740.1900000102</v>
      </c>
      <c r="AL502" s="185">
        <f t="shared" si="371"/>
        <v>0</v>
      </c>
      <c r="AM502" s="317">
        <f t="shared" si="387"/>
        <v>0</v>
      </c>
    </row>
    <row r="503" spans="1:49">
      <c r="A503" s="401"/>
      <c r="L503" s="317">
        <f t="shared" si="408"/>
        <v>0</v>
      </c>
      <c r="M503" s="317"/>
      <c r="X503" s="401">
        <f t="shared" si="386"/>
        <v>0</v>
      </c>
      <c r="Y503" s="185">
        <f t="shared" si="370"/>
        <v>0</v>
      </c>
      <c r="Z503" s="393">
        <f t="shared" si="378"/>
        <v>0.10625</v>
      </c>
      <c r="AA503" s="14">
        <f t="shared" si="379"/>
        <v>0</v>
      </c>
      <c r="AB503" s="14">
        <f t="shared" si="380"/>
        <v>0</v>
      </c>
      <c r="AC503" s="14">
        <f t="shared" si="381"/>
        <v>0</v>
      </c>
      <c r="AD503" s="14">
        <f t="shared" si="407"/>
        <v>134.16999999999999</v>
      </c>
      <c r="AE503" s="14">
        <f t="shared" si="407"/>
        <v>188.55</v>
      </c>
      <c r="AF503" s="14">
        <f t="shared" si="382"/>
        <v>322.72000000000003</v>
      </c>
      <c r="AG503" s="185">
        <f t="shared" si="400"/>
        <v>989037.5</v>
      </c>
      <c r="AH503" s="185">
        <f t="shared" si="401"/>
        <v>2810829.4999999991</v>
      </c>
      <c r="AI503" s="411">
        <f t="shared" si="364"/>
        <v>3221740.1900000102</v>
      </c>
      <c r="AJ503" s="411">
        <f t="shared" si="403"/>
        <v>0</v>
      </c>
      <c r="AK503" s="411">
        <f t="shared" si="365"/>
        <v>3221740.1900000102</v>
      </c>
      <c r="AL503" s="185">
        <f t="shared" si="371"/>
        <v>0</v>
      </c>
      <c r="AM503" s="317">
        <f t="shared" si="387"/>
        <v>0</v>
      </c>
    </row>
    <row r="504" spans="1:49">
      <c r="A504" s="401"/>
      <c r="L504" s="317">
        <f t="shared" si="408"/>
        <v>0</v>
      </c>
      <c r="M504" s="317"/>
      <c r="X504" s="401">
        <f t="shared" si="386"/>
        <v>0</v>
      </c>
      <c r="Y504" s="185">
        <f t="shared" si="370"/>
        <v>0</v>
      </c>
      <c r="Z504" s="393">
        <f t="shared" si="378"/>
        <v>0.10625</v>
      </c>
      <c r="AA504" s="14">
        <f t="shared" si="379"/>
        <v>0</v>
      </c>
      <c r="AB504" s="14">
        <f t="shared" si="380"/>
        <v>0</v>
      </c>
      <c r="AC504" s="14">
        <f t="shared" si="381"/>
        <v>0</v>
      </c>
      <c r="AD504" s="14">
        <f t="shared" si="407"/>
        <v>134.16999999999999</v>
      </c>
      <c r="AE504" s="14">
        <f t="shared" si="407"/>
        <v>188.55</v>
      </c>
      <c r="AF504" s="14">
        <f t="shared" si="382"/>
        <v>322.72000000000003</v>
      </c>
      <c r="AG504" s="185">
        <f t="shared" si="400"/>
        <v>989037.5</v>
      </c>
      <c r="AH504" s="185">
        <f t="shared" si="401"/>
        <v>2810829.4999999991</v>
      </c>
      <c r="AI504" s="411">
        <f t="shared" si="364"/>
        <v>3221740.1900000102</v>
      </c>
      <c r="AJ504" s="411">
        <f t="shared" si="403"/>
        <v>0</v>
      </c>
      <c r="AK504" s="411">
        <f t="shared" si="365"/>
        <v>3221740.1900000102</v>
      </c>
      <c r="AL504" s="185">
        <f t="shared" si="371"/>
        <v>0</v>
      </c>
      <c r="AM504" s="317">
        <f t="shared" si="387"/>
        <v>0</v>
      </c>
    </row>
    <row r="505" spans="1:49">
      <c r="A505" s="401"/>
      <c r="L505" s="317">
        <f t="shared" si="408"/>
        <v>0</v>
      </c>
      <c r="M505" s="317"/>
      <c r="X505" s="401">
        <f t="shared" si="386"/>
        <v>0</v>
      </c>
      <c r="Y505" s="185">
        <f t="shared" si="370"/>
        <v>0</v>
      </c>
      <c r="Z505" s="393">
        <f t="shared" si="378"/>
        <v>0.10625</v>
      </c>
      <c r="AA505" s="14">
        <f t="shared" si="379"/>
        <v>0</v>
      </c>
      <c r="AB505" s="14">
        <f t="shared" si="380"/>
        <v>0</v>
      </c>
      <c r="AC505" s="14">
        <f t="shared" si="381"/>
        <v>0</v>
      </c>
      <c r="AD505" s="14">
        <f t="shared" si="407"/>
        <v>134.16999999999999</v>
      </c>
      <c r="AE505" s="14">
        <f t="shared" si="407"/>
        <v>188.55</v>
      </c>
      <c r="AF505" s="14">
        <f t="shared" si="382"/>
        <v>322.72000000000003</v>
      </c>
      <c r="AG505" s="185">
        <f t="shared" si="400"/>
        <v>989037.5</v>
      </c>
      <c r="AH505" s="185">
        <f t="shared" si="401"/>
        <v>2810829.4999999991</v>
      </c>
      <c r="AI505" s="411">
        <f t="shared" si="364"/>
        <v>3221740.1900000102</v>
      </c>
      <c r="AJ505" s="411">
        <f t="shared" si="403"/>
        <v>0</v>
      </c>
      <c r="AK505" s="411">
        <f t="shared" si="365"/>
        <v>3221740.1900000102</v>
      </c>
      <c r="AL505" s="185">
        <f t="shared" si="371"/>
        <v>0</v>
      </c>
      <c r="AM505" s="317">
        <f t="shared" si="387"/>
        <v>0</v>
      </c>
    </row>
    <row r="506" spans="1:49">
      <c r="A506" s="401"/>
      <c r="L506" s="317">
        <f t="shared" si="408"/>
        <v>0</v>
      </c>
      <c r="M506" s="317"/>
      <c r="X506" s="401">
        <f t="shared" si="386"/>
        <v>0</v>
      </c>
      <c r="Y506" s="185">
        <f t="shared" si="370"/>
        <v>0</v>
      </c>
      <c r="Z506" s="393">
        <f t="shared" si="378"/>
        <v>0.10625</v>
      </c>
      <c r="AA506" s="14">
        <f t="shared" si="379"/>
        <v>0</v>
      </c>
      <c r="AB506" s="14">
        <f t="shared" si="380"/>
        <v>0</v>
      </c>
      <c r="AC506" s="14">
        <f t="shared" si="381"/>
        <v>0</v>
      </c>
      <c r="AD506" s="14">
        <f t="shared" si="407"/>
        <v>134.16999999999999</v>
      </c>
      <c r="AE506" s="14">
        <f t="shared" si="407"/>
        <v>188.55</v>
      </c>
      <c r="AF506" s="14">
        <f t="shared" si="382"/>
        <v>322.72000000000003</v>
      </c>
      <c r="AG506" s="185">
        <f t="shared" si="400"/>
        <v>989037.5</v>
      </c>
      <c r="AH506" s="185">
        <f t="shared" si="401"/>
        <v>2810829.4999999991</v>
      </c>
      <c r="AI506" s="411">
        <f t="shared" si="364"/>
        <v>3221740.1900000102</v>
      </c>
      <c r="AJ506" s="411">
        <f t="shared" si="403"/>
        <v>0</v>
      </c>
      <c r="AK506" s="411">
        <f t="shared" si="365"/>
        <v>3221740.1900000102</v>
      </c>
      <c r="AL506" s="185">
        <f t="shared" si="371"/>
        <v>0</v>
      </c>
      <c r="AM506" s="317">
        <f t="shared" si="387"/>
        <v>0</v>
      </c>
    </row>
    <row r="507" spans="1:49" ht="15.75" thickBot="1">
      <c r="A507" s="404"/>
      <c r="B507" s="237"/>
      <c r="C507" s="21"/>
      <c r="D507" s="21"/>
      <c r="E507" s="21"/>
      <c r="F507" s="21"/>
      <c r="G507" s="21"/>
      <c r="H507" s="21"/>
      <c r="I507" s="237"/>
      <c r="J507" s="237"/>
      <c r="K507" s="237"/>
      <c r="L507" s="318">
        <f t="shared" si="408"/>
        <v>0</v>
      </c>
      <c r="M507" s="318"/>
      <c r="N507" s="237"/>
      <c r="U507" s="237"/>
      <c r="V507" s="237"/>
      <c r="W507" s="237"/>
      <c r="X507" s="404">
        <f t="shared" si="386"/>
        <v>0</v>
      </c>
      <c r="Y507" s="185">
        <f t="shared" si="370"/>
        <v>0</v>
      </c>
      <c r="Z507" s="393">
        <f t="shared" si="378"/>
        <v>0.10625</v>
      </c>
      <c r="AA507" s="14">
        <f t="shared" si="379"/>
        <v>0</v>
      </c>
      <c r="AB507" s="14">
        <f t="shared" si="380"/>
        <v>0</v>
      </c>
      <c r="AC507" s="14">
        <f t="shared" si="381"/>
        <v>0</v>
      </c>
      <c r="AD507" s="14">
        <f t="shared" si="407"/>
        <v>134.16999999999999</v>
      </c>
      <c r="AE507" s="14">
        <f t="shared" si="407"/>
        <v>188.55</v>
      </c>
      <c r="AF507" s="14">
        <f t="shared" si="382"/>
        <v>322.72000000000003</v>
      </c>
      <c r="AG507" s="185">
        <f t="shared" si="400"/>
        <v>989037.5</v>
      </c>
      <c r="AH507" s="185">
        <f t="shared" si="401"/>
        <v>2810829.4999999991</v>
      </c>
      <c r="AI507" s="411">
        <f t="shared" si="364"/>
        <v>3221740.1900000102</v>
      </c>
      <c r="AJ507" s="411">
        <f t="shared" si="403"/>
        <v>0</v>
      </c>
      <c r="AK507" s="411">
        <f t="shared" si="365"/>
        <v>3221740.1900000102</v>
      </c>
      <c r="AL507" s="185">
        <f t="shared" si="371"/>
        <v>0</v>
      </c>
      <c r="AM507" s="318">
        <f t="shared" si="387"/>
        <v>0</v>
      </c>
      <c r="AN507" s="21"/>
      <c r="AO507" s="21"/>
      <c r="AP507" s="21"/>
      <c r="AQ507" s="21"/>
      <c r="AR507" s="23"/>
      <c r="AS507" s="21"/>
      <c r="AT507" s="21"/>
      <c r="AU507" s="237"/>
      <c r="AV507" s="237"/>
      <c r="AW507" s="21"/>
    </row>
    <row r="508" spans="1:49">
      <c r="A508" s="401"/>
      <c r="L508" s="317">
        <f t="shared" si="408"/>
        <v>0</v>
      </c>
      <c r="M508" s="317"/>
      <c r="X508" s="401">
        <f t="shared" si="386"/>
        <v>0</v>
      </c>
      <c r="Y508" s="185">
        <f t="shared" si="370"/>
        <v>0</v>
      </c>
      <c r="Z508" s="393">
        <f t="shared" si="378"/>
        <v>0.10625</v>
      </c>
      <c r="AA508" s="14">
        <f t="shared" si="379"/>
        <v>0</v>
      </c>
      <c r="AB508" s="14">
        <f t="shared" si="380"/>
        <v>0</v>
      </c>
      <c r="AC508" s="14">
        <f t="shared" si="381"/>
        <v>0</v>
      </c>
      <c r="AD508" s="14">
        <f t="shared" si="407"/>
        <v>134.16999999999999</v>
      </c>
      <c r="AE508" s="14">
        <f t="shared" si="407"/>
        <v>188.55</v>
      </c>
      <c r="AF508" s="14">
        <f t="shared" si="382"/>
        <v>322.72000000000003</v>
      </c>
      <c r="AG508" s="185">
        <f t="shared" si="400"/>
        <v>989037.5</v>
      </c>
      <c r="AH508" s="185">
        <f t="shared" si="401"/>
        <v>2810829.4999999991</v>
      </c>
      <c r="AI508" s="411">
        <f t="shared" si="364"/>
        <v>3221740.1900000102</v>
      </c>
      <c r="AJ508" s="411">
        <f t="shared" si="403"/>
        <v>0</v>
      </c>
      <c r="AK508" s="411">
        <f t="shared" si="365"/>
        <v>3221740.1900000102</v>
      </c>
      <c r="AL508" s="185">
        <f t="shared" si="371"/>
        <v>0</v>
      </c>
      <c r="AM508" s="317">
        <f t="shared" si="387"/>
        <v>0</v>
      </c>
    </row>
    <row r="509" spans="1:49">
      <c r="A509" s="401"/>
      <c r="L509" s="317">
        <f t="shared" si="408"/>
        <v>0</v>
      </c>
      <c r="M509" s="317"/>
      <c r="X509" s="401">
        <f t="shared" si="386"/>
        <v>0</v>
      </c>
      <c r="Y509" s="185">
        <f t="shared" si="370"/>
        <v>0</v>
      </c>
      <c r="Z509" s="393">
        <f t="shared" si="378"/>
        <v>0.10625</v>
      </c>
      <c r="AA509" s="14">
        <f t="shared" si="379"/>
        <v>0</v>
      </c>
      <c r="AB509" s="14">
        <f t="shared" si="380"/>
        <v>0</v>
      </c>
      <c r="AC509" s="14">
        <f t="shared" si="381"/>
        <v>0</v>
      </c>
      <c r="AD509" s="14">
        <f t="shared" ref="AD509:AE524" si="409">+AD508</f>
        <v>134.16999999999999</v>
      </c>
      <c r="AE509" s="14">
        <f t="shared" si="409"/>
        <v>188.55</v>
      </c>
      <c r="AF509" s="14">
        <f t="shared" si="382"/>
        <v>322.72000000000003</v>
      </c>
      <c r="AG509" s="185">
        <f t="shared" si="400"/>
        <v>989037.5</v>
      </c>
      <c r="AH509" s="185">
        <f t="shared" si="401"/>
        <v>2810829.4999999991</v>
      </c>
      <c r="AI509" s="411">
        <f t="shared" ref="AI509:AI544" si="410">O509-AA509+AI508</f>
        <v>3221740.1900000102</v>
      </c>
      <c r="AJ509" s="411">
        <f t="shared" si="403"/>
        <v>0</v>
      </c>
      <c r="AK509" s="411">
        <f t="shared" ref="AK509:AK544" si="411">SUM(AI509:AJ509)</f>
        <v>3221740.1900000102</v>
      </c>
      <c r="AL509" s="185">
        <f t="shared" si="371"/>
        <v>0</v>
      </c>
      <c r="AM509" s="317">
        <f t="shared" si="387"/>
        <v>0</v>
      </c>
    </row>
    <row r="510" spans="1:49">
      <c r="A510" s="401"/>
      <c r="L510" s="317">
        <f t="shared" si="408"/>
        <v>0</v>
      </c>
      <c r="M510" s="317"/>
      <c r="X510" s="401">
        <f t="shared" si="386"/>
        <v>0</v>
      </c>
      <c r="Y510" s="185">
        <f t="shared" si="370"/>
        <v>0</v>
      </c>
      <c r="Z510" s="393">
        <f t="shared" si="378"/>
        <v>0.10625</v>
      </c>
      <c r="AA510" s="14">
        <f t="shared" si="379"/>
        <v>0</v>
      </c>
      <c r="AB510" s="14">
        <f t="shared" si="380"/>
        <v>0</v>
      </c>
      <c r="AC510" s="14">
        <f t="shared" si="381"/>
        <v>0</v>
      </c>
      <c r="AD510" s="14">
        <f t="shared" si="409"/>
        <v>134.16999999999999</v>
      </c>
      <c r="AE510" s="14">
        <f t="shared" si="409"/>
        <v>188.55</v>
      </c>
      <c r="AF510" s="14">
        <f t="shared" si="382"/>
        <v>322.72000000000003</v>
      </c>
      <c r="AG510" s="185">
        <f t="shared" si="400"/>
        <v>989037.5</v>
      </c>
      <c r="AH510" s="185">
        <f t="shared" si="401"/>
        <v>2810829.4999999991</v>
      </c>
      <c r="AI510" s="411">
        <f t="shared" si="410"/>
        <v>3221740.1900000102</v>
      </c>
      <c r="AJ510" s="411">
        <f t="shared" si="403"/>
        <v>0</v>
      </c>
      <c r="AK510" s="411">
        <f t="shared" si="411"/>
        <v>3221740.1900000102</v>
      </c>
      <c r="AL510" s="185">
        <f t="shared" si="371"/>
        <v>0</v>
      </c>
      <c r="AM510" s="317">
        <f t="shared" si="387"/>
        <v>0</v>
      </c>
    </row>
    <row r="511" spans="1:49">
      <c r="A511" s="401"/>
      <c r="L511" s="317">
        <f t="shared" si="408"/>
        <v>0</v>
      </c>
      <c r="M511" s="317"/>
      <c r="X511" s="401">
        <f t="shared" si="386"/>
        <v>0</v>
      </c>
      <c r="Y511" s="185">
        <f t="shared" ref="Y511:Y544" si="412">IF(+AL510&lt;0,0,+AL510)</f>
        <v>0</v>
      </c>
      <c r="Z511" s="393">
        <f t="shared" si="378"/>
        <v>0.10625</v>
      </c>
      <c r="AA511" s="14">
        <f t="shared" si="379"/>
        <v>0</v>
      </c>
      <c r="AB511" s="14">
        <f t="shared" si="380"/>
        <v>0</v>
      </c>
      <c r="AC511" s="14">
        <f t="shared" si="381"/>
        <v>0</v>
      </c>
      <c r="AD511" s="14">
        <f t="shared" si="409"/>
        <v>134.16999999999999</v>
      </c>
      <c r="AE511" s="14">
        <f t="shared" si="409"/>
        <v>188.55</v>
      </c>
      <c r="AF511" s="14">
        <f t="shared" si="382"/>
        <v>322.72000000000003</v>
      </c>
      <c r="AG511" s="185">
        <f t="shared" si="400"/>
        <v>989037.5</v>
      </c>
      <c r="AH511" s="185">
        <f t="shared" si="401"/>
        <v>2810829.4999999991</v>
      </c>
      <c r="AI511" s="411">
        <f t="shared" si="410"/>
        <v>3221740.1900000102</v>
      </c>
      <c r="AJ511" s="411">
        <f t="shared" si="403"/>
        <v>0</v>
      </c>
      <c r="AK511" s="411">
        <f t="shared" si="411"/>
        <v>3221740.1900000102</v>
      </c>
      <c r="AL511" s="185">
        <f t="shared" ref="AL511:AL544" si="413">+Y511-AB511</f>
        <v>0</v>
      </c>
      <c r="AM511" s="317">
        <f t="shared" si="387"/>
        <v>0</v>
      </c>
    </row>
    <row r="512" spans="1:49">
      <c r="A512" s="401"/>
      <c r="L512" s="317">
        <f t="shared" si="408"/>
        <v>0</v>
      </c>
      <c r="M512" s="317"/>
      <c r="X512" s="401">
        <f t="shared" si="386"/>
        <v>0</v>
      </c>
      <c r="Y512" s="185">
        <f t="shared" si="412"/>
        <v>0</v>
      </c>
      <c r="Z512" s="393">
        <f t="shared" si="378"/>
        <v>0.10625</v>
      </c>
      <c r="AA512" s="14">
        <f t="shared" si="379"/>
        <v>0</v>
      </c>
      <c r="AB512" s="14">
        <f t="shared" si="380"/>
        <v>0</v>
      </c>
      <c r="AC512" s="14">
        <f t="shared" si="381"/>
        <v>0</v>
      </c>
      <c r="AD512" s="14">
        <f t="shared" si="409"/>
        <v>134.16999999999999</v>
      </c>
      <c r="AE512" s="14">
        <f t="shared" si="409"/>
        <v>188.55</v>
      </c>
      <c r="AF512" s="14">
        <f t="shared" si="382"/>
        <v>322.72000000000003</v>
      </c>
      <c r="AG512" s="185">
        <f t="shared" si="400"/>
        <v>989037.5</v>
      </c>
      <c r="AH512" s="185">
        <f t="shared" si="401"/>
        <v>2810829.4999999991</v>
      </c>
      <c r="AI512" s="411">
        <f t="shared" si="410"/>
        <v>3221740.1900000102</v>
      </c>
      <c r="AJ512" s="411">
        <f t="shared" si="403"/>
        <v>0</v>
      </c>
      <c r="AK512" s="411">
        <f t="shared" si="411"/>
        <v>3221740.1900000102</v>
      </c>
      <c r="AL512" s="185">
        <f t="shared" si="413"/>
        <v>0</v>
      </c>
      <c r="AM512" s="317">
        <f t="shared" si="387"/>
        <v>0</v>
      </c>
    </row>
    <row r="513" spans="1:49">
      <c r="A513" s="401"/>
      <c r="L513" s="317">
        <f t="shared" si="408"/>
        <v>0</v>
      </c>
      <c r="M513" s="317"/>
      <c r="X513" s="401">
        <f t="shared" si="386"/>
        <v>0</v>
      </c>
      <c r="Y513" s="185">
        <f t="shared" si="412"/>
        <v>0</v>
      </c>
      <c r="Z513" s="393">
        <f t="shared" si="378"/>
        <v>0.10625</v>
      </c>
      <c r="AA513" s="14">
        <f t="shared" si="379"/>
        <v>0</v>
      </c>
      <c r="AB513" s="14">
        <f t="shared" si="380"/>
        <v>0</v>
      </c>
      <c r="AC513" s="14">
        <f t="shared" si="381"/>
        <v>0</v>
      </c>
      <c r="AD513" s="14">
        <f t="shared" si="409"/>
        <v>134.16999999999999</v>
      </c>
      <c r="AE513" s="14">
        <f t="shared" si="409"/>
        <v>188.55</v>
      </c>
      <c r="AF513" s="14">
        <f t="shared" si="382"/>
        <v>322.72000000000003</v>
      </c>
      <c r="AG513" s="185">
        <f t="shared" si="400"/>
        <v>989037.5</v>
      </c>
      <c r="AH513" s="185">
        <f t="shared" si="401"/>
        <v>2810829.4999999991</v>
      </c>
      <c r="AI513" s="411">
        <f t="shared" si="410"/>
        <v>3221740.1900000102</v>
      </c>
      <c r="AJ513" s="411">
        <f t="shared" si="403"/>
        <v>0</v>
      </c>
      <c r="AK513" s="411">
        <f t="shared" si="411"/>
        <v>3221740.1900000102</v>
      </c>
      <c r="AL513" s="185">
        <f t="shared" si="413"/>
        <v>0</v>
      </c>
      <c r="AM513" s="317">
        <f t="shared" si="387"/>
        <v>0</v>
      </c>
    </row>
    <row r="514" spans="1:49">
      <c r="A514" s="401"/>
      <c r="L514" s="317">
        <f t="shared" si="408"/>
        <v>0</v>
      </c>
      <c r="M514" s="317"/>
      <c r="X514" s="401">
        <f t="shared" si="386"/>
        <v>0</v>
      </c>
      <c r="Y514" s="185">
        <f t="shared" si="412"/>
        <v>0</v>
      </c>
      <c r="Z514" s="393">
        <f t="shared" si="378"/>
        <v>0.10625</v>
      </c>
      <c r="AA514" s="14">
        <f t="shared" si="379"/>
        <v>0</v>
      </c>
      <c r="AB514" s="14">
        <f t="shared" si="380"/>
        <v>0</v>
      </c>
      <c r="AC514" s="14">
        <f t="shared" si="381"/>
        <v>0</v>
      </c>
      <c r="AD514" s="14">
        <f t="shared" si="409"/>
        <v>134.16999999999999</v>
      </c>
      <c r="AE514" s="14">
        <f t="shared" si="409"/>
        <v>188.55</v>
      </c>
      <c r="AF514" s="14">
        <f t="shared" si="382"/>
        <v>322.72000000000003</v>
      </c>
      <c r="AG514" s="185">
        <f t="shared" si="400"/>
        <v>989037.5</v>
      </c>
      <c r="AH514" s="185">
        <f t="shared" si="401"/>
        <v>2810829.4999999991</v>
      </c>
      <c r="AI514" s="411">
        <f t="shared" si="410"/>
        <v>3221740.1900000102</v>
      </c>
      <c r="AJ514" s="411">
        <f t="shared" si="403"/>
        <v>0</v>
      </c>
      <c r="AK514" s="411">
        <f t="shared" si="411"/>
        <v>3221740.1900000102</v>
      </c>
      <c r="AL514" s="185">
        <f t="shared" si="413"/>
        <v>0</v>
      </c>
      <c r="AM514" s="317">
        <f t="shared" si="387"/>
        <v>0</v>
      </c>
    </row>
    <row r="515" spans="1:49">
      <c r="A515" s="401"/>
      <c r="L515" s="317">
        <f t="shared" si="408"/>
        <v>0</v>
      </c>
      <c r="M515" s="317"/>
      <c r="X515" s="401">
        <f t="shared" si="386"/>
        <v>0</v>
      </c>
      <c r="Y515" s="185">
        <f t="shared" si="412"/>
        <v>0</v>
      </c>
      <c r="Z515" s="393">
        <f t="shared" si="378"/>
        <v>0.10625</v>
      </c>
      <c r="AA515" s="14">
        <f t="shared" si="379"/>
        <v>0</v>
      </c>
      <c r="AB515" s="14">
        <f t="shared" si="380"/>
        <v>0</v>
      </c>
      <c r="AC515" s="14">
        <f t="shared" si="381"/>
        <v>0</v>
      </c>
      <c r="AD515" s="14">
        <f t="shared" si="409"/>
        <v>134.16999999999999</v>
      </c>
      <c r="AE515" s="14">
        <f t="shared" si="409"/>
        <v>188.55</v>
      </c>
      <c r="AF515" s="14">
        <f t="shared" si="382"/>
        <v>322.72000000000003</v>
      </c>
      <c r="AG515" s="185">
        <f t="shared" si="400"/>
        <v>989037.5</v>
      </c>
      <c r="AH515" s="185">
        <f t="shared" si="401"/>
        <v>2810829.4999999991</v>
      </c>
      <c r="AI515" s="411">
        <f t="shared" si="410"/>
        <v>3221740.1900000102</v>
      </c>
      <c r="AJ515" s="411">
        <f t="shared" si="403"/>
        <v>0</v>
      </c>
      <c r="AK515" s="411">
        <f t="shared" si="411"/>
        <v>3221740.1900000102</v>
      </c>
      <c r="AL515" s="185">
        <f t="shared" si="413"/>
        <v>0</v>
      </c>
      <c r="AM515" s="317">
        <f t="shared" si="387"/>
        <v>0</v>
      </c>
    </row>
    <row r="516" spans="1:49">
      <c r="A516" s="401"/>
      <c r="L516" s="317">
        <f t="shared" si="408"/>
        <v>0</v>
      </c>
      <c r="M516" s="317"/>
      <c r="X516" s="401">
        <f t="shared" si="386"/>
        <v>0</v>
      </c>
      <c r="Y516" s="185">
        <f t="shared" si="412"/>
        <v>0</v>
      </c>
      <c r="Z516" s="393">
        <f t="shared" si="378"/>
        <v>0.10625</v>
      </c>
      <c r="AA516" s="14">
        <f t="shared" si="379"/>
        <v>0</v>
      </c>
      <c r="AB516" s="14">
        <f t="shared" si="380"/>
        <v>0</v>
      </c>
      <c r="AC516" s="14">
        <f t="shared" si="381"/>
        <v>0</v>
      </c>
      <c r="AD516" s="14">
        <f t="shared" si="409"/>
        <v>134.16999999999999</v>
      </c>
      <c r="AE516" s="14">
        <f t="shared" si="409"/>
        <v>188.55</v>
      </c>
      <c r="AF516" s="14">
        <f t="shared" si="382"/>
        <v>322.72000000000003</v>
      </c>
      <c r="AG516" s="185">
        <f t="shared" si="400"/>
        <v>989037.5</v>
      </c>
      <c r="AH516" s="185">
        <f t="shared" si="401"/>
        <v>2810829.4999999991</v>
      </c>
      <c r="AI516" s="411">
        <f t="shared" si="410"/>
        <v>3221740.1900000102</v>
      </c>
      <c r="AJ516" s="411">
        <f t="shared" si="403"/>
        <v>0</v>
      </c>
      <c r="AK516" s="411">
        <f t="shared" si="411"/>
        <v>3221740.1900000102</v>
      </c>
      <c r="AL516" s="185">
        <f t="shared" si="413"/>
        <v>0</v>
      </c>
      <c r="AM516" s="317">
        <f t="shared" si="387"/>
        <v>0</v>
      </c>
    </row>
    <row r="517" spans="1:49">
      <c r="A517" s="401"/>
      <c r="L517" s="317">
        <f t="shared" si="408"/>
        <v>0</v>
      </c>
      <c r="M517" s="317"/>
      <c r="X517" s="401">
        <f t="shared" si="386"/>
        <v>0</v>
      </c>
      <c r="Y517" s="185">
        <f t="shared" si="412"/>
        <v>0</v>
      </c>
      <c r="Z517" s="393">
        <f t="shared" si="378"/>
        <v>0.10625</v>
      </c>
      <c r="AA517" s="14">
        <f t="shared" si="379"/>
        <v>0</v>
      </c>
      <c r="AB517" s="14">
        <f t="shared" si="380"/>
        <v>0</v>
      </c>
      <c r="AC517" s="14">
        <f t="shared" si="381"/>
        <v>0</v>
      </c>
      <c r="AD517" s="14">
        <f t="shared" si="409"/>
        <v>134.16999999999999</v>
      </c>
      <c r="AE517" s="14">
        <f t="shared" si="409"/>
        <v>188.55</v>
      </c>
      <c r="AF517" s="14">
        <f t="shared" si="382"/>
        <v>322.72000000000003</v>
      </c>
      <c r="AG517" s="185">
        <f t="shared" si="400"/>
        <v>989037.5</v>
      </c>
      <c r="AH517" s="185">
        <f t="shared" si="401"/>
        <v>2810829.4999999991</v>
      </c>
      <c r="AI517" s="411">
        <f t="shared" si="410"/>
        <v>3221740.1900000102</v>
      </c>
      <c r="AJ517" s="411">
        <f t="shared" si="403"/>
        <v>0</v>
      </c>
      <c r="AK517" s="411">
        <f t="shared" si="411"/>
        <v>3221740.1900000102</v>
      </c>
      <c r="AL517" s="185">
        <f t="shared" si="413"/>
        <v>0</v>
      </c>
      <c r="AM517" s="317">
        <f t="shared" si="387"/>
        <v>0</v>
      </c>
    </row>
    <row r="518" spans="1:49">
      <c r="A518" s="401"/>
      <c r="L518" s="317">
        <f t="shared" si="408"/>
        <v>0</v>
      </c>
      <c r="M518" s="317"/>
      <c r="X518" s="401">
        <f t="shared" si="386"/>
        <v>0</v>
      </c>
      <c r="Y518" s="185">
        <f t="shared" si="412"/>
        <v>0</v>
      </c>
      <c r="Z518" s="393">
        <f t="shared" si="378"/>
        <v>0.10625</v>
      </c>
      <c r="AA518" s="14">
        <f t="shared" si="379"/>
        <v>0</v>
      </c>
      <c r="AB518" s="14">
        <f t="shared" si="380"/>
        <v>0</v>
      </c>
      <c r="AC518" s="14">
        <f t="shared" si="381"/>
        <v>0</v>
      </c>
      <c r="AD518" s="14">
        <f t="shared" si="409"/>
        <v>134.16999999999999</v>
      </c>
      <c r="AE518" s="14">
        <f t="shared" si="409"/>
        <v>188.55</v>
      </c>
      <c r="AF518" s="14">
        <f t="shared" si="382"/>
        <v>322.72000000000003</v>
      </c>
      <c r="AG518" s="185">
        <f t="shared" si="400"/>
        <v>989037.5</v>
      </c>
      <c r="AH518" s="185">
        <f t="shared" si="401"/>
        <v>2810829.4999999991</v>
      </c>
      <c r="AI518" s="411">
        <f t="shared" si="410"/>
        <v>3221740.1900000102</v>
      </c>
      <c r="AJ518" s="411">
        <f t="shared" si="403"/>
        <v>0</v>
      </c>
      <c r="AK518" s="411">
        <f t="shared" si="411"/>
        <v>3221740.1900000102</v>
      </c>
      <c r="AL518" s="185">
        <f t="shared" si="413"/>
        <v>0</v>
      </c>
      <c r="AM518" s="317">
        <f t="shared" si="387"/>
        <v>0</v>
      </c>
    </row>
    <row r="519" spans="1:49" ht="15.75" thickBot="1">
      <c r="A519" s="404"/>
      <c r="B519" s="237"/>
      <c r="C519" s="21"/>
      <c r="D519" s="21"/>
      <c r="E519" s="21"/>
      <c r="F519" s="21"/>
      <c r="G519" s="21"/>
      <c r="H519" s="21"/>
      <c r="I519" s="237"/>
      <c r="J519" s="237"/>
      <c r="K519" s="237"/>
      <c r="L519" s="318">
        <f t="shared" si="408"/>
        <v>0</v>
      </c>
      <c r="M519" s="318"/>
      <c r="N519" s="237"/>
      <c r="U519" s="237"/>
      <c r="V519" s="237"/>
      <c r="W519" s="237"/>
      <c r="X519" s="404">
        <f t="shared" si="386"/>
        <v>0</v>
      </c>
      <c r="Y519" s="185">
        <f t="shared" si="412"/>
        <v>0</v>
      </c>
      <c r="Z519" s="393">
        <f t="shared" si="378"/>
        <v>0.10625</v>
      </c>
      <c r="AA519" s="14">
        <f t="shared" si="379"/>
        <v>0</v>
      </c>
      <c r="AB519" s="14">
        <f t="shared" si="380"/>
        <v>0</v>
      </c>
      <c r="AC519" s="14">
        <f t="shared" si="381"/>
        <v>0</v>
      </c>
      <c r="AD519" s="14">
        <f t="shared" si="409"/>
        <v>134.16999999999999</v>
      </c>
      <c r="AE519" s="14">
        <f t="shared" si="409"/>
        <v>188.55</v>
      </c>
      <c r="AF519" s="14">
        <f t="shared" si="382"/>
        <v>322.72000000000003</v>
      </c>
      <c r="AG519" s="185">
        <f t="shared" si="400"/>
        <v>989037.5</v>
      </c>
      <c r="AH519" s="185">
        <f t="shared" si="401"/>
        <v>2810829.4999999991</v>
      </c>
      <c r="AI519" s="411">
        <f t="shared" si="410"/>
        <v>3221740.1900000102</v>
      </c>
      <c r="AJ519" s="411">
        <f t="shared" si="403"/>
        <v>0</v>
      </c>
      <c r="AK519" s="411">
        <f t="shared" si="411"/>
        <v>3221740.1900000102</v>
      </c>
      <c r="AL519" s="185">
        <f t="shared" si="413"/>
        <v>0</v>
      </c>
      <c r="AM519" s="318">
        <f t="shared" si="387"/>
        <v>0</v>
      </c>
      <c r="AN519" s="21"/>
      <c r="AO519" s="21"/>
      <c r="AP519" s="21"/>
      <c r="AQ519" s="21"/>
      <c r="AR519" s="23"/>
      <c r="AS519" s="21"/>
      <c r="AT519" s="21"/>
      <c r="AU519" s="237"/>
      <c r="AV519" s="237"/>
      <c r="AW519" s="21"/>
    </row>
    <row r="520" spans="1:49">
      <c r="A520" s="401"/>
      <c r="L520" s="317">
        <f t="shared" si="408"/>
        <v>0</v>
      </c>
      <c r="M520" s="317"/>
      <c r="X520" s="401">
        <f t="shared" si="386"/>
        <v>0</v>
      </c>
      <c r="Y520" s="185">
        <f t="shared" si="412"/>
        <v>0</v>
      </c>
      <c r="Z520" s="393">
        <f t="shared" si="378"/>
        <v>0.10625</v>
      </c>
      <c r="AA520" s="14">
        <f t="shared" si="379"/>
        <v>0</v>
      </c>
      <c r="AB520" s="14">
        <f t="shared" si="380"/>
        <v>0</v>
      </c>
      <c r="AC520" s="14">
        <f t="shared" si="381"/>
        <v>0</v>
      </c>
      <c r="AD520" s="14">
        <f t="shared" si="409"/>
        <v>134.16999999999999</v>
      </c>
      <c r="AE520" s="14">
        <f t="shared" si="409"/>
        <v>188.55</v>
      </c>
      <c r="AF520" s="14">
        <f t="shared" si="382"/>
        <v>322.72000000000003</v>
      </c>
      <c r="AG520" s="185">
        <f t="shared" si="400"/>
        <v>989037.5</v>
      </c>
      <c r="AH520" s="185">
        <f t="shared" si="401"/>
        <v>2810829.4999999991</v>
      </c>
      <c r="AI520" s="411">
        <f t="shared" si="410"/>
        <v>3221740.1900000102</v>
      </c>
      <c r="AJ520" s="411">
        <f t="shared" si="403"/>
        <v>0</v>
      </c>
      <c r="AK520" s="411">
        <f t="shared" si="411"/>
        <v>3221740.1900000102</v>
      </c>
      <c r="AL520" s="185">
        <f t="shared" si="413"/>
        <v>0</v>
      </c>
      <c r="AM520" s="317">
        <f t="shared" si="387"/>
        <v>0</v>
      </c>
    </row>
    <row r="521" spans="1:49">
      <c r="A521" s="401"/>
      <c r="L521" s="317">
        <f t="shared" si="408"/>
        <v>0</v>
      </c>
      <c r="M521" s="317"/>
      <c r="X521" s="401">
        <f t="shared" si="386"/>
        <v>0</v>
      </c>
      <c r="Y521" s="185">
        <f t="shared" si="412"/>
        <v>0</v>
      </c>
      <c r="Z521" s="393">
        <f t="shared" si="378"/>
        <v>0.10625</v>
      </c>
      <c r="AA521" s="14">
        <f t="shared" si="379"/>
        <v>0</v>
      </c>
      <c r="AB521" s="14">
        <f t="shared" si="380"/>
        <v>0</v>
      </c>
      <c r="AC521" s="14">
        <f t="shared" si="381"/>
        <v>0</v>
      </c>
      <c r="AD521" s="14">
        <f t="shared" si="409"/>
        <v>134.16999999999999</v>
      </c>
      <c r="AE521" s="14">
        <f t="shared" si="409"/>
        <v>188.55</v>
      </c>
      <c r="AF521" s="14">
        <f t="shared" si="382"/>
        <v>322.72000000000003</v>
      </c>
      <c r="AG521" s="185">
        <f t="shared" si="400"/>
        <v>989037.5</v>
      </c>
      <c r="AH521" s="185">
        <f t="shared" si="401"/>
        <v>2810829.4999999991</v>
      </c>
      <c r="AI521" s="411">
        <f t="shared" si="410"/>
        <v>3221740.1900000102</v>
      </c>
      <c r="AJ521" s="411">
        <f t="shared" si="403"/>
        <v>0</v>
      </c>
      <c r="AK521" s="411">
        <f t="shared" si="411"/>
        <v>3221740.1900000102</v>
      </c>
      <c r="AL521" s="185">
        <f t="shared" si="413"/>
        <v>0</v>
      </c>
      <c r="AM521" s="317">
        <f t="shared" si="387"/>
        <v>0</v>
      </c>
    </row>
    <row r="522" spans="1:49">
      <c r="A522" s="401"/>
      <c r="L522" s="317">
        <f t="shared" si="408"/>
        <v>0</v>
      </c>
      <c r="M522" s="317"/>
      <c r="X522" s="401">
        <f t="shared" si="386"/>
        <v>0</v>
      </c>
      <c r="Y522" s="185">
        <f t="shared" si="412"/>
        <v>0</v>
      </c>
      <c r="Z522" s="393">
        <f t="shared" si="378"/>
        <v>0.10625</v>
      </c>
      <c r="AA522" s="14">
        <f t="shared" si="379"/>
        <v>0</v>
      </c>
      <c r="AB522" s="14">
        <f t="shared" si="380"/>
        <v>0</v>
      </c>
      <c r="AC522" s="14">
        <f t="shared" si="381"/>
        <v>0</v>
      </c>
      <c r="AD522" s="14">
        <f t="shared" si="409"/>
        <v>134.16999999999999</v>
      </c>
      <c r="AE522" s="14">
        <f t="shared" si="409"/>
        <v>188.55</v>
      </c>
      <c r="AF522" s="14">
        <f t="shared" si="382"/>
        <v>322.72000000000003</v>
      </c>
      <c r="AG522" s="185">
        <f t="shared" si="400"/>
        <v>989037.5</v>
      </c>
      <c r="AH522" s="185">
        <f t="shared" si="401"/>
        <v>2810829.4999999991</v>
      </c>
      <c r="AI522" s="411">
        <f t="shared" si="410"/>
        <v>3221740.1900000102</v>
      </c>
      <c r="AJ522" s="411">
        <f t="shared" si="403"/>
        <v>0</v>
      </c>
      <c r="AK522" s="411">
        <f t="shared" si="411"/>
        <v>3221740.1900000102</v>
      </c>
      <c r="AL522" s="185">
        <f t="shared" si="413"/>
        <v>0</v>
      </c>
      <c r="AM522" s="317">
        <f t="shared" si="387"/>
        <v>0</v>
      </c>
    </row>
    <row r="523" spans="1:49">
      <c r="A523" s="401"/>
      <c r="L523" s="317">
        <f t="shared" si="408"/>
        <v>0</v>
      </c>
      <c r="M523" s="317"/>
      <c r="X523" s="401">
        <f t="shared" si="386"/>
        <v>0</v>
      </c>
      <c r="Y523" s="185">
        <f t="shared" si="412"/>
        <v>0</v>
      </c>
      <c r="Z523" s="393">
        <f t="shared" si="378"/>
        <v>0.10625</v>
      </c>
      <c r="AA523" s="14">
        <f t="shared" si="379"/>
        <v>0</v>
      </c>
      <c r="AB523" s="14">
        <f t="shared" si="380"/>
        <v>0</v>
      </c>
      <c r="AC523" s="14">
        <f t="shared" si="381"/>
        <v>0</v>
      </c>
      <c r="AD523" s="14">
        <f t="shared" si="409"/>
        <v>134.16999999999999</v>
      </c>
      <c r="AE523" s="14">
        <f t="shared" si="409"/>
        <v>188.55</v>
      </c>
      <c r="AF523" s="14">
        <f t="shared" si="382"/>
        <v>322.72000000000003</v>
      </c>
      <c r="AG523" s="185">
        <f t="shared" si="400"/>
        <v>989037.5</v>
      </c>
      <c r="AH523" s="185">
        <f t="shared" si="401"/>
        <v>2810829.4999999991</v>
      </c>
      <c r="AI523" s="411">
        <f t="shared" si="410"/>
        <v>3221740.1900000102</v>
      </c>
      <c r="AJ523" s="411">
        <f t="shared" si="403"/>
        <v>0</v>
      </c>
      <c r="AK523" s="411">
        <f t="shared" si="411"/>
        <v>3221740.1900000102</v>
      </c>
      <c r="AL523" s="185">
        <f t="shared" si="413"/>
        <v>0</v>
      </c>
      <c r="AM523" s="317">
        <f t="shared" si="387"/>
        <v>0</v>
      </c>
    </row>
    <row r="524" spans="1:49">
      <c r="A524" s="401"/>
      <c r="L524" s="317">
        <f t="shared" si="408"/>
        <v>0</v>
      </c>
      <c r="M524" s="317"/>
      <c r="X524" s="401">
        <f t="shared" si="386"/>
        <v>0</v>
      </c>
      <c r="Y524" s="185">
        <f t="shared" si="412"/>
        <v>0</v>
      </c>
      <c r="Z524" s="393">
        <f t="shared" si="378"/>
        <v>0.10625</v>
      </c>
      <c r="AA524" s="14">
        <f t="shared" si="379"/>
        <v>0</v>
      </c>
      <c r="AB524" s="14">
        <f t="shared" si="380"/>
        <v>0</v>
      </c>
      <c r="AC524" s="14">
        <f t="shared" si="381"/>
        <v>0</v>
      </c>
      <c r="AD524" s="14">
        <f t="shared" si="409"/>
        <v>134.16999999999999</v>
      </c>
      <c r="AE524" s="14">
        <f t="shared" si="409"/>
        <v>188.55</v>
      </c>
      <c r="AF524" s="14">
        <f t="shared" si="382"/>
        <v>322.72000000000003</v>
      </c>
      <c r="AG524" s="185">
        <f t="shared" si="400"/>
        <v>989037.5</v>
      </c>
      <c r="AH524" s="185">
        <f t="shared" si="401"/>
        <v>2810829.4999999991</v>
      </c>
      <c r="AI524" s="411">
        <f t="shared" si="410"/>
        <v>3221740.1900000102</v>
      </c>
      <c r="AJ524" s="411">
        <f t="shared" si="403"/>
        <v>0</v>
      </c>
      <c r="AK524" s="411">
        <f t="shared" si="411"/>
        <v>3221740.1900000102</v>
      </c>
      <c r="AL524" s="185">
        <f t="shared" si="413"/>
        <v>0</v>
      </c>
      <c r="AM524" s="317">
        <f t="shared" si="387"/>
        <v>0</v>
      </c>
    </row>
    <row r="525" spans="1:49">
      <c r="A525" s="401"/>
      <c r="L525" s="317">
        <f t="shared" si="408"/>
        <v>0</v>
      </c>
      <c r="M525" s="317"/>
      <c r="X525" s="401">
        <f t="shared" si="386"/>
        <v>0</v>
      </c>
      <c r="Y525" s="185">
        <f t="shared" si="412"/>
        <v>0</v>
      </c>
      <c r="Z525" s="393">
        <f t="shared" si="378"/>
        <v>0.10625</v>
      </c>
      <c r="AA525" s="14">
        <f t="shared" si="379"/>
        <v>0</v>
      </c>
      <c r="AB525" s="14">
        <f t="shared" si="380"/>
        <v>0</v>
      </c>
      <c r="AC525" s="14">
        <f t="shared" si="381"/>
        <v>0</v>
      </c>
      <c r="AD525" s="14">
        <f t="shared" ref="AD525:AE540" si="414">+AD524</f>
        <v>134.16999999999999</v>
      </c>
      <c r="AE525" s="14">
        <f t="shared" si="414"/>
        <v>188.55</v>
      </c>
      <c r="AF525" s="14">
        <f t="shared" si="382"/>
        <v>322.72000000000003</v>
      </c>
      <c r="AG525" s="185">
        <f t="shared" si="400"/>
        <v>989037.5</v>
      </c>
      <c r="AH525" s="185">
        <f t="shared" si="401"/>
        <v>2810829.4999999991</v>
      </c>
      <c r="AI525" s="411">
        <f t="shared" si="410"/>
        <v>3221740.1900000102</v>
      </c>
      <c r="AJ525" s="411">
        <f t="shared" si="403"/>
        <v>0</v>
      </c>
      <c r="AK525" s="411">
        <f t="shared" si="411"/>
        <v>3221740.1900000102</v>
      </c>
      <c r="AL525" s="185">
        <f t="shared" si="413"/>
        <v>0</v>
      </c>
      <c r="AM525" s="317">
        <f t="shared" si="387"/>
        <v>0</v>
      </c>
    </row>
    <row r="526" spans="1:49">
      <c r="A526" s="401"/>
      <c r="L526" s="317">
        <f t="shared" si="408"/>
        <v>0</v>
      </c>
      <c r="M526" s="317"/>
      <c r="X526" s="401">
        <f t="shared" si="386"/>
        <v>0</v>
      </c>
      <c r="Y526" s="185">
        <f t="shared" si="412"/>
        <v>0</v>
      </c>
      <c r="Z526" s="393">
        <f t="shared" si="378"/>
        <v>0.10625</v>
      </c>
      <c r="AA526" s="14">
        <f t="shared" si="379"/>
        <v>0</v>
      </c>
      <c r="AB526" s="14">
        <f t="shared" si="380"/>
        <v>0</v>
      </c>
      <c r="AC526" s="14">
        <f t="shared" si="381"/>
        <v>0</v>
      </c>
      <c r="AD526" s="14">
        <f t="shared" si="414"/>
        <v>134.16999999999999</v>
      </c>
      <c r="AE526" s="14">
        <f t="shared" si="414"/>
        <v>188.55</v>
      </c>
      <c r="AF526" s="14">
        <f t="shared" si="382"/>
        <v>322.72000000000003</v>
      </c>
      <c r="AG526" s="185">
        <f t="shared" si="400"/>
        <v>989037.5</v>
      </c>
      <c r="AH526" s="185">
        <f t="shared" si="401"/>
        <v>2810829.4999999991</v>
      </c>
      <c r="AI526" s="411">
        <f t="shared" si="410"/>
        <v>3221740.1900000102</v>
      </c>
      <c r="AJ526" s="411">
        <f t="shared" si="403"/>
        <v>0</v>
      </c>
      <c r="AK526" s="411">
        <f t="shared" si="411"/>
        <v>3221740.1900000102</v>
      </c>
      <c r="AL526" s="185">
        <f t="shared" si="413"/>
        <v>0</v>
      </c>
      <c r="AM526" s="317">
        <f t="shared" si="387"/>
        <v>0</v>
      </c>
    </row>
    <row r="527" spans="1:49">
      <c r="A527" s="401"/>
      <c r="L527" s="317">
        <f t="shared" si="408"/>
        <v>0</v>
      </c>
      <c r="M527" s="317"/>
      <c r="X527" s="401">
        <f t="shared" si="386"/>
        <v>0</v>
      </c>
      <c r="Y527" s="185">
        <f t="shared" si="412"/>
        <v>0</v>
      </c>
      <c r="Z527" s="393">
        <f t="shared" si="378"/>
        <v>0.10625</v>
      </c>
      <c r="AA527" s="14">
        <f t="shared" si="379"/>
        <v>0</v>
      </c>
      <c r="AB527" s="14">
        <f t="shared" si="380"/>
        <v>0</v>
      </c>
      <c r="AC527" s="14">
        <f t="shared" si="381"/>
        <v>0</v>
      </c>
      <c r="AD527" s="14">
        <f t="shared" si="414"/>
        <v>134.16999999999999</v>
      </c>
      <c r="AE527" s="14">
        <f t="shared" si="414"/>
        <v>188.55</v>
      </c>
      <c r="AF527" s="14">
        <f t="shared" si="382"/>
        <v>322.72000000000003</v>
      </c>
      <c r="AG527" s="185">
        <f t="shared" si="400"/>
        <v>989037.5</v>
      </c>
      <c r="AH527" s="185">
        <f t="shared" si="401"/>
        <v>2810829.4999999991</v>
      </c>
      <c r="AI527" s="411">
        <f t="shared" si="410"/>
        <v>3221740.1900000102</v>
      </c>
      <c r="AJ527" s="411">
        <f t="shared" si="403"/>
        <v>0</v>
      </c>
      <c r="AK527" s="411">
        <f t="shared" si="411"/>
        <v>3221740.1900000102</v>
      </c>
      <c r="AL527" s="185">
        <f t="shared" si="413"/>
        <v>0</v>
      </c>
      <c r="AM527" s="317">
        <f t="shared" si="387"/>
        <v>0</v>
      </c>
    </row>
    <row r="528" spans="1:49">
      <c r="A528" s="401"/>
      <c r="L528" s="317">
        <f t="shared" si="408"/>
        <v>0</v>
      </c>
      <c r="M528" s="317"/>
      <c r="X528" s="401">
        <f t="shared" si="386"/>
        <v>0</v>
      </c>
      <c r="Y528" s="185">
        <f t="shared" si="412"/>
        <v>0</v>
      </c>
      <c r="Z528" s="393">
        <f t="shared" ref="Z528:Z544" si="415">IF(L528&gt;4,$AA$10,$AA$9)</f>
        <v>0.10625</v>
      </c>
      <c r="AA528" s="14">
        <f t="shared" ref="AA528:AA544" si="416">IF($O$11&lt;=$A528,IF(+AL527&lt;=0,0,IF(Z528=$AA$9,$Z$9,$Z$10)),0)</f>
        <v>0</v>
      </c>
      <c r="AB528" s="14">
        <f t="shared" ref="AB528:AB544" si="417">+AA528-AC528</f>
        <v>0</v>
      </c>
      <c r="AC528" s="14">
        <f t="shared" ref="AC528:AC544" si="418">IF($O$11&lt;=$A528,ROUND(Y528*(Z528/12),2),0)</f>
        <v>0</v>
      </c>
      <c r="AD528" s="14">
        <f t="shared" si="414"/>
        <v>134.16999999999999</v>
      </c>
      <c r="AE528" s="14">
        <f t="shared" si="414"/>
        <v>188.55</v>
      </c>
      <c r="AF528" s="14">
        <f t="shared" ref="AF528:AF544" si="419">SUM(AB528:AE528)</f>
        <v>322.72000000000003</v>
      </c>
      <c r="AG528" s="185">
        <f t="shared" si="400"/>
        <v>989037.5</v>
      </c>
      <c r="AH528" s="185">
        <f t="shared" si="401"/>
        <v>2810829.4999999991</v>
      </c>
      <c r="AI528" s="411">
        <f t="shared" si="410"/>
        <v>3221740.1900000102</v>
      </c>
      <c r="AJ528" s="411">
        <f t="shared" si="403"/>
        <v>0</v>
      </c>
      <c r="AK528" s="411">
        <f t="shared" si="411"/>
        <v>3221740.1900000102</v>
      </c>
      <c r="AL528" s="185">
        <f t="shared" si="413"/>
        <v>0</v>
      </c>
      <c r="AM528" s="317">
        <f t="shared" si="387"/>
        <v>0</v>
      </c>
    </row>
    <row r="529" spans="1:49">
      <c r="A529" s="401"/>
      <c r="L529" s="317">
        <f t="shared" si="408"/>
        <v>0</v>
      </c>
      <c r="M529" s="317"/>
      <c r="X529" s="401">
        <f t="shared" ref="X529:X592" si="420">+A529</f>
        <v>0</v>
      </c>
      <c r="Y529" s="185">
        <f t="shared" si="412"/>
        <v>0</v>
      </c>
      <c r="Z529" s="393">
        <f t="shared" si="415"/>
        <v>0.10625</v>
      </c>
      <c r="AA529" s="14">
        <f t="shared" si="416"/>
        <v>0</v>
      </c>
      <c r="AB529" s="14">
        <f t="shared" si="417"/>
        <v>0</v>
      </c>
      <c r="AC529" s="14">
        <f t="shared" si="418"/>
        <v>0</v>
      </c>
      <c r="AD529" s="14">
        <f t="shared" si="414"/>
        <v>134.16999999999999</v>
      </c>
      <c r="AE529" s="14">
        <f t="shared" si="414"/>
        <v>188.55</v>
      </c>
      <c r="AF529" s="14">
        <f t="shared" si="419"/>
        <v>322.72000000000003</v>
      </c>
      <c r="AG529" s="185">
        <f t="shared" si="400"/>
        <v>989037.5</v>
      </c>
      <c r="AH529" s="185">
        <f t="shared" si="401"/>
        <v>2810829.4999999991</v>
      </c>
      <c r="AI529" s="411">
        <f t="shared" si="410"/>
        <v>3221740.1900000102</v>
      </c>
      <c r="AJ529" s="411">
        <f t="shared" si="403"/>
        <v>0</v>
      </c>
      <c r="AK529" s="411">
        <f t="shared" si="411"/>
        <v>3221740.1900000102</v>
      </c>
      <c r="AL529" s="185">
        <f t="shared" si="413"/>
        <v>0</v>
      </c>
      <c r="AM529" s="317">
        <f t="shared" ref="AM529:AM592" si="421">+L529</f>
        <v>0</v>
      </c>
    </row>
    <row r="530" spans="1:49">
      <c r="A530" s="401"/>
      <c r="L530" s="317">
        <f t="shared" si="408"/>
        <v>0</v>
      </c>
      <c r="M530" s="317"/>
      <c r="X530" s="401">
        <f t="shared" si="420"/>
        <v>0</v>
      </c>
      <c r="Y530" s="185">
        <f t="shared" si="412"/>
        <v>0</v>
      </c>
      <c r="Z530" s="393">
        <f t="shared" si="415"/>
        <v>0.10625</v>
      </c>
      <c r="AA530" s="14">
        <f t="shared" si="416"/>
        <v>0</v>
      </c>
      <c r="AB530" s="14">
        <f t="shared" si="417"/>
        <v>0</v>
      </c>
      <c r="AC530" s="14">
        <f t="shared" si="418"/>
        <v>0</v>
      </c>
      <c r="AD530" s="14">
        <f t="shared" si="414"/>
        <v>134.16999999999999</v>
      </c>
      <c r="AE530" s="14">
        <f t="shared" si="414"/>
        <v>188.55</v>
      </c>
      <c r="AF530" s="14">
        <f t="shared" si="419"/>
        <v>322.72000000000003</v>
      </c>
      <c r="AG530" s="185">
        <f t="shared" ref="AG530:AG544" si="422">+AB530+AG529</f>
        <v>989037.5</v>
      </c>
      <c r="AH530" s="185">
        <f t="shared" ref="AH530:AH544" si="423">+AH529+AC530</f>
        <v>2810829.4999999991</v>
      </c>
      <c r="AI530" s="411">
        <f t="shared" si="410"/>
        <v>3221740.1900000102</v>
      </c>
      <c r="AJ530" s="411">
        <f t="shared" si="403"/>
        <v>0</v>
      </c>
      <c r="AK530" s="411">
        <f t="shared" si="411"/>
        <v>3221740.1900000102</v>
      </c>
      <c r="AL530" s="185">
        <f t="shared" si="413"/>
        <v>0</v>
      </c>
      <c r="AM530" s="317">
        <f t="shared" si="421"/>
        <v>0</v>
      </c>
    </row>
    <row r="531" spans="1:49" ht="15.75" thickBot="1">
      <c r="A531" s="404"/>
      <c r="B531" s="237"/>
      <c r="C531" s="21"/>
      <c r="D531" s="21"/>
      <c r="E531" s="21"/>
      <c r="F531" s="21"/>
      <c r="G531" s="21"/>
      <c r="H531" s="21"/>
      <c r="I531" s="237"/>
      <c r="J531" s="237"/>
      <c r="K531" s="237"/>
      <c r="L531" s="318">
        <f t="shared" si="408"/>
        <v>0</v>
      </c>
      <c r="M531" s="318"/>
      <c r="N531" s="237"/>
      <c r="U531" s="237"/>
      <c r="V531" s="237"/>
      <c r="W531" s="237"/>
      <c r="X531" s="404">
        <f t="shared" si="420"/>
        <v>0</v>
      </c>
      <c r="Y531" s="185">
        <f t="shared" si="412"/>
        <v>0</v>
      </c>
      <c r="Z531" s="393">
        <f t="shared" si="415"/>
        <v>0.10625</v>
      </c>
      <c r="AA531" s="14">
        <f t="shared" si="416"/>
        <v>0</v>
      </c>
      <c r="AB531" s="14">
        <f t="shared" si="417"/>
        <v>0</v>
      </c>
      <c r="AC531" s="14">
        <f t="shared" si="418"/>
        <v>0</v>
      </c>
      <c r="AD531" s="14">
        <f t="shared" si="414"/>
        <v>134.16999999999999</v>
      </c>
      <c r="AE531" s="14">
        <f t="shared" si="414"/>
        <v>188.55</v>
      </c>
      <c r="AF531" s="14">
        <f t="shared" si="419"/>
        <v>322.72000000000003</v>
      </c>
      <c r="AG531" s="185">
        <f t="shared" si="422"/>
        <v>989037.5</v>
      </c>
      <c r="AH531" s="185">
        <f t="shared" si="423"/>
        <v>2810829.4999999991</v>
      </c>
      <c r="AI531" s="411">
        <f t="shared" si="410"/>
        <v>3221740.1900000102</v>
      </c>
      <c r="AJ531" s="411">
        <f t="shared" si="403"/>
        <v>0</v>
      </c>
      <c r="AK531" s="411">
        <f t="shared" si="411"/>
        <v>3221740.1900000102</v>
      </c>
      <c r="AL531" s="185">
        <f t="shared" si="413"/>
        <v>0</v>
      </c>
      <c r="AM531" s="318">
        <f t="shared" si="421"/>
        <v>0</v>
      </c>
      <c r="AN531" s="21"/>
      <c r="AO531" s="21"/>
      <c r="AP531" s="21"/>
      <c r="AQ531" s="21"/>
      <c r="AR531" s="23"/>
      <c r="AS531" s="21"/>
      <c r="AT531" s="21"/>
      <c r="AU531" s="237"/>
      <c r="AV531" s="237"/>
      <c r="AW531" s="21"/>
    </row>
    <row r="532" spans="1:49">
      <c r="A532" s="401"/>
      <c r="L532" s="317">
        <f t="shared" si="408"/>
        <v>0</v>
      </c>
      <c r="M532" s="317"/>
      <c r="X532" s="401">
        <f t="shared" si="420"/>
        <v>0</v>
      </c>
      <c r="Y532" s="185">
        <f t="shared" si="412"/>
        <v>0</v>
      </c>
      <c r="Z532" s="393">
        <f t="shared" si="415"/>
        <v>0.10625</v>
      </c>
      <c r="AA532" s="14">
        <f t="shared" si="416"/>
        <v>0</v>
      </c>
      <c r="AB532" s="14">
        <f t="shared" si="417"/>
        <v>0</v>
      </c>
      <c r="AC532" s="14">
        <f t="shared" si="418"/>
        <v>0</v>
      </c>
      <c r="AD532" s="14">
        <f t="shared" si="414"/>
        <v>134.16999999999999</v>
      </c>
      <c r="AE532" s="14">
        <f t="shared" si="414"/>
        <v>188.55</v>
      </c>
      <c r="AF532" s="14">
        <f t="shared" si="419"/>
        <v>322.72000000000003</v>
      </c>
      <c r="AG532" s="185">
        <f t="shared" si="422"/>
        <v>989037.5</v>
      </c>
      <c r="AH532" s="185">
        <f t="shared" si="423"/>
        <v>2810829.4999999991</v>
      </c>
      <c r="AI532" s="411">
        <f t="shared" si="410"/>
        <v>3221740.1900000102</v>
      </c>
      <c r="AJ532" s="411">
        <f t="shared" si="403"/>
        <v>0</v>
      </c>
      <c r="AK532" s="411">
        <f t="shared" si="411"/>
        <v>3221740.1900000102</v>
      </c>
      <c r="AL532" s="185">
        <f t="shared" si="413"/>
        <v>0</v>
      </c>
      <c r="AM532" s="317">
        <f t="shared" si="421"/>
        <v>0</v>
      </c>
    </row>
    <row r="533" spans="1:49">
      <c r="A533" s="401"/>
      <c r="L533" s="317">
        <f t="shared" si="408"/>
        <v>0</v>
      </c>
      <c r="M533" s="317"/>
      <c r="X533" s="401">
        <f t="shared" si="420"/>
        <v>0</v>
      </c>
      <c r="Y533" s="185">
        <f t="shared" si="412"/>
        <v>0</v>
      </c>
      <c r="Z533" s="393">
        <f t="shared" si="415"/>
        <v>0.10625</v>
      </c>
      <c r="AA533" s="14">
        <f t="shared" si="416"/>
        <v>0</v>
      </c>
      <c r="AB533" s="14">
        <f t="shared" si="417"/>
        <v>0</v>
      </c>
      <c r="AC533" s="14">
        <f t="shared" si="418"/>
        <v>0</v>
      </c>
      <c r="AD533" s="14">
        <f t="shared" si="414"/>
        <v>134.16999999999999</v>
      </c>
      <c r="AE533" s="14">
        <f t="shared" si="414"/>
        <v>188.55</v>
      </c>
      <c r="AF533" s="14">
        <f t="shared" si="419"/>
        <v>322.72000000000003</v>
      </c>
      <c r="AG533" s="185">
        <f t="shared" si="422"/>
        <v>989037.5</v>
      </c>
      <c r="AH533" s="185">
        <f t="shared" si="423"/>
        <v>2810829.4999999991</v>
      </c>
      <c r="AI533" s="411">
        <f t="shared" si="410"/>
        <v>3221740.1900000102</v>
      </c>
      <c r="AJ533" s="411">
        <f t="shared" si="403"/>
        <v>0</v>
      </c>
      <c r="AK533" s="411">
        <f t="shared" si="411"/>
        <v>3221740.1900000102</v>
      </c>
      <c r="AL533" s="185">
        <f t="shared" si="413"/>
        <v>0</v>
      </c>
      <c r="AM533" s="317">
        <f t="shared" si="421"/>
        <v>0</v>
      </c>
    </row>
    <row r="534" spans="1:49">
      <c r="A534" s="401"/>
      <c r="L534" s="317">
        <f t="shared" si="408"/>
        <v>0</v>
      </c>
      <c r="M534" s="317"/>
      <c r="X534" s="401">
        <f t="shared" si="420"/>
        <v>0</v>
      </c>
      <c r="Y534" s="185">
        <f t="shared" si="412"/>
        <v>0</v>
      </c>
      <c r="Z534" s="393">
        <f t="shared" si="415"/>
        <v>0.10625</v>
      </c>
      <c r="AA534" s="14">
        <f t="shared" si="416"/>
        <v>0</v>
      </c>
      <c r="AB534" s="14">
        <f t="shared" si="417"/>
        <v>0</v>
      </c>
      <c r="AC534" s="14">
        <f t="shared" si="418"/>
        <v>0</v>
      </c>
      <c r="AD534" s="14">
        <f t="shared" si="414"/>
        <v>134.16999999999999</v>
      </c>
      <c r="AE534" s="14">
        <f t="shared" si="414"/>
        <v>188.55</v>
      </c>
      <c r="AF534" s="14">
        <f t="shared" si="419"/>
        <v>322.72000000000003</v>
      </c>
      <c r="AG534" s="185">
        <f t="shared" si="422"/>
        <v>989037.5</v>
      </c>
      <c r="AH534" s="185">
        <f t="shared" si="423"/>
        <v>2810829.4999999991</v>
      </c>
      <c r="AI534" s="411">
        <f t="shared" si="410"/>
        <v>3221740.1900000102</v>
      </c>
      <c r="AJ534" s="411">
        <f t="shared" si="403"/>
        <v>0</v>
      </c>
      <c r="AK534" s="411">
        <f t="shared" si="411"/>
        <v>3221740.1900000102</v>
      </c>
      <c r="AL534" s="185">
        <f t="shared" si="413"/>
        <v>0</v>
      </c>
      <c r="AM534" s="317">
        <f t="shared" si="421"/>
        <v>0</v>
      </c>
    </row>
    <row r="535" spans="1:49">
      <c r="A535" s="401"/>
      <c r="L535" s="317">
        <f t="shared" si="408"/>
        <v>0</v>
      </c>
      <c r="M535" s="317"/>
      <c r="X535" s="401">
        <f t="shared" si="420"/>
        <v>0</v>
      </c>
      <c r="Y535" s="185">
        <f t="shared" si="412"/>
        <v>0</v>
      </c>
      <c r="Z535" s="393">
        <f t="shared" si="415"/>
        <v>0.10625</v>
      </c>
      <c r="AA535" s="14">
        <f t="shared" si="416"/>
        <v>0</v>
      </c>
      <c r="AB535" s="14">
        <f t="shared" si="417"/>
        <v>0</v>
      </c>
      <c r="AC535" s="14">
        <f t="shared" si="418"/>
        <v>0</v>
      </c>
      <c r="AD535" s="14">
        <f t="shared" si="414"/>
        <v>134.16999999999999</v>
      </c>
      <c r="AE535" s="14">
        <f t="shared" si="414"/>
        <v>188.55</v>
      </c>
      <c r="AF535" s="14">
        <f t="shared" si="419"/>
        <v>322.72000000000003</v>
      </c>
      <c r="AG535" s="185">
        <f t="shared" si="422"/>
        <v>989037.5</v>
      </c>
      <c r="AH535" s="185">
        <f t="shared" si="423"/>
        <v>2810829.4999999991</v>
      </c>
      <c r="AI535" s="411">
        <f t="shared" si="410"/>
        <v>3221740.1900000102</v>
      </c>
      <c r="AJ535" s="411">
        <f t="shared" si="403"/>
        <v>0</v>
      </c>
      <c r="AK535" s="411">
        <f t="shared" si="411"/>
        <v>3221740.1900000102</v>
      </c>
      <c r="AL535" s="185">
        <f t="shared" si="413"/>
        <v>0</v>
      </c>
      <c r="AM535" s="317">
        <f t="shared" si="421"/>
        <v>0</v>
      </c>
    </row>
    <row r="536" spans="1:49">
      <c r="A536" s="401"/>
      <c r="L536" s="317">
        <f t="shared" si="408"/>
        <v>0</v>
      </c>
      <c r="M536" s="317"/>
      <c r="X536" s="401">
        <f t="shared" si="420"/>
        <v>0</v>
      </c>
      <c r="Y536" s="185">
        <f t="shared" si="412"/>
        <v>0</v>
      </c>
      <c r="Z536" s="393">
        <f t="shared" si="415"/>
        <v>0.10625</v>
      </c>
      <c r="AA536" s="14">
        <f t="shared" si="416"/>
        <v>0</v>
      </c>
      <c r="AB536" s="14">
        <f t="shared" si="417"/>
        <v>0</v>
      </c>
      <c r="AC536" s="14">
        <f t="shared" si="418"/>
        <v>0</v>
      </c>
      <c r="AD536" s="14">
        <f t="shared" si="414"/>
        <v>134.16999999999999</v>
      </c>
      <c r="AE536" s="14">
        <f t="shared" si="414"/>
        <v>188.55</v>
      </c>
      <c r="AF536" s="14">
        <f t="shared" si="419"/>
        <v>322.72000000000003</v>
      </c>
      <c r="AG536" s="185">
        <f t="shared" si="422"/>
        <v>989037.5</v>
      </c>
      <c r="AH536" s="185">
        <f t="shared" si="423"/>
        <v>2810829.4999999991</v>
      </c>
      <c r="AI536" s="411">
        <f t="shared" si="410"/>
        <v>3221740.1900000102</v>
      </c>
      <c r="AJ536" s="411">
        <f t="shared" si="403"/>
        <v>0</v>
      </c>
      <c r="AK536" s="411">
        <f t="shared" si="411"/>
        <v>3221740.1900000102</v>
      </c>
      <c r="AL536" s="185">
        <f t="shared" si="413"/>
        <v>0</v>
      </c>
      <c r="AM536" s="317">
        <f t="shared" si="421"/>
        <v>0</v>
      </c>
    </row>
    <row r="537" spans="1:49">
      <c r="A537" s="401"/>
      <c r="L537" s="317">
        <f t="shared" si="408"/>
        <v>0</v>
      </c>
      <c r="M537" s="317"/>
      <c r="X537" s="401">
        <f t="shared" si="420"/>
        <v>0</v>
      </c>
      <c r="Y537" s="185">
        <f t="shared" si="412"/>
        <v>0</v>
      </c>
      <c r="Z537" s="393">
        <f t="shared" si="415"/>
        <v>0.10625</v>
      </c>
      <c r="AA537" s="14">
        <f t="shared" si="416"/>
        <v>0</v>
      </c>
      <c r="AB537" s="14">
        <f t="shared" si="417"/>
        <v>0</v>
      </c>
      <c r="AC537" s="14">
        <f t="shared" si="418"/>
        <v>0</v>
      </c>
      <c r="AD537" s="14">
        <f t="shared" si="414"/>
        <v>134.16999999999999</v>
      </c>
      <c r="AE537" s="14">
        <f t="shared" si="414"/>
        <v>188.55</v>
      </c>
      <c r="AF537" s="14">
        <f t="shared" si="419"/>
        <v>322.72000000000003</v>
      </c>
      <c r="AG537" s="185">
        <f t="shared" si="422"/>
        <v>989037.5</v>
      </c>
      <c r="AH537" s="185">
        <f t="shared" si="423"/>
        <v>2810829.4999999991</v>
      </c>
      <c r="AI537" s="411">
        <f t="shared" si="410"/>
        <v>3221740.1900000102</v>
      </c>
      <c r="AJ537" s="411">
        <f t="shared" si="403"/>
        <v>0</v>
      </c>
      <c r="AK537" s="411">
        <f t="shared" si="411"/>
        <v>3221740.1900000102</v>
      </c>
      <c r="AL537" s="185">
        <f t="shared" si="413"/>
        <v>0</v>
      </c>
      <c r="AM537" s="317">
        <f t="shared" si="421"/>
        <v>0</v>
      </c>
    </row>
    <row r="538" spans="1:49">
      <c r="A538" s="401"/>
      <c r="L538" s="317">
        <f t="shared" si="408"/>
        <v>0</v>
      </c>
      <c r="M538" s="317"/>
      <c r="X538" s="401">
        <f t="shared" si="420"/>
        <v>0</v>
      </c>
      <c r="Y538" s="185">
        <f t="shared" si="412"/>
        <v>0</v>
      </c>
      <c r="Z538" s="393">
        <f t="shared" si="415"/>
        <v>0.10625</v>
      </c>
      <c r="AA538" s="14">
        <f t="shared" si="416"/>
        <v>0</v>
      </c>
      <c r="AB538" s="14">
        <f t="shared" si="417"/>
        <v>0</v>
      </c>
      <c r="AC538" s="14">
        <f t="shared" si="418"/>
        <v>0</v>
      </c>
      <c r="AD538" s="14">
        <f t="shared" si="414"/>
        <v>134.16999999999999</v>
      </c>
      <c r="AE538" s="14">
        <f t="shared" si="414"/>
        <v>188.55</v>
      </c>
      <c r="AF538" s="14">
        <f t="shared" si="419"/>
        <v>322.72000000000003</v>
      </c>
      <c r="AG538" s="185">
        <f t="shared" si="422"/>
        <v>989037.5</v>
      </c>
      <c r="AH538" s="185">
        <f t="shared" si="423"/>
        <v>2810829.4999999991</v>
      </c>
      <c r="AI538" s="411">
        <f t="shared" si="410"/>
        <v>3221740.1900000102</v>
      </c>
      <c r="AJ538" s="411">
        <f t="shared" si="403"/>
        <v>0</v>
      </c>
      <c r="AK538" s="411">
        <f t="shared" si="411"/>
        <v>3221740.1900000102</v>
      </c>
      <c r="AL538" s="185">
        <f t="shared" si="413"/>
        <v>0</v>
      </c>
      <c r="AM538" s="317">
        <f t="shared" si="421"/>
        <v>0</v>
      </c>
    </row>
    <row r="539" spans="1:49">
      <c r="A539" s="401"/>
      <c r="L539" s="317">
        <f t="shared" si="408"/>
        <v>0</v>
      </c>
      <c r="M539" s="317"/>
      <c r="X539" s="401">
        <f t="shared" si="420"/>
        <v>0</v>
      </c>
      <c r="Y539" s="185">
        <f t="shared" si="412"/>
        <v>0</v>
      </c>
      <c r="Z539" s="393">
        <f t="shared" si="415"/>
        <v>0.10625</v>
      </c>
      <c r="AA539" s="14">
        <f t="shared" si="416"/>
        <v>0</v>
      </c>
      <c r="AB539" s="14">
        <f t="shared" si="417"/>
        <v>0</v>
      </c>
      <c r="AC539" s="14">
        <f t="shared" si="418"/>
        <v>0</v>
      </c>
      <c r="AD539" s="14">
        <f t="shared" si="414"/>
        <v>134.16999999999999</v>
      </c>
      <c r="AE539" s="14">
        <f t="shared" si="414"/>
        <v>188.55</v>
      </c>
      <c r="AF539" s="14">
        <f t="shared" si="419"/>
        <v>322.72000000000003</v>
      </c>
      <c r="AG539" s="185">
        <f t="shared" si="422"/>
        <v>989037.5</v>
      </c>
      <c r="AH539" s="185">
        <f t="shared" si="423"/>
        <v>2810829.4999999991</v>
      </c>
      <c r="AI539" s="411">
        <f t="shared" si="410"/>
        <v>3221740.1900000102</v>
      </c>
      <c r="AJ539" s="411">
        <f t="shared" si="403"/>
        <v>0</v>
      </c>
      <c r="AK539" s="411">
        <f t="shared" si="411"/>
        <v>3221740.1900000102</v>
      </c>
      <c r="AL539" s="185">
        <f t="shared" si="413"/>
        <v>0</v>
      </c>
      <c r="AM539" s="317">
        <f t="shared" si="421"/>
        <v>0</v>
      </c>
    </row>
    <row r="540" spans="1:49">
      <c r="A540" s="401"/>
      <c r="L540" s="317">
        <f t="shared" si="408"/>
        <v>0</v>
      </c>
      <c r="M540" s="317"/>
      <c r="X540" s="401">
        <f t="shared" si="420"/>
        <v>0</v>
      </c>
      <c r="Y540" s="185">
        <f t="shared" si="412"/>
        <v>0</v>
      </c>
      <c r="Z540" s="393">
        <f t="shared" si="415"/>
        <v>0.10625</v>
      </c>
      <c r="AA540" s="14">
        <f t="shared" si="416"/>
        <v>0</v>
      </c>
      <c r="AB540" s="14">
        <f t="shared" si="417"/>
        <v>0</v>
      </c>
      <c r="AC540" s="14">
        <f t="shared" si="418"/>
        <v>0</v>
      </c>
      <c r="AD540" s="14">
        <f t="shared" si="414"/>
        <v>134.16999999999999</v>
      </c>
      <c r="AE540" s="14">
        <f t="shared" si="414"/>
        <v>188.55</v>
      </c>
      <c r="AF540" s="14">
        <f t="shared" si="419"/>
        <v>322.72000000000003</v>
      </c>
      <c r="AG540" s="185">
        <f t="shared" si="422"/>
        <v>989037.5</v>
      </c>
      <c r="AH540" s="185">
        <f t="shared" si="423"/>
        <v>2810829.4999999991</v>
      </c>
      <c r="AI540" s="411">
        <f t="shared" si="410"/>
        <v>3221740.1900000102</v>
      </c>
      <c r="AJ540" s="411">
        <f t="shared" ref="AJ540:AJ544" si="424">+W540-AL540</f>
        <v>0</v>
      </c>
      <c r="AK540" s="411">
        <f t="shared" si="411"/>
        <v>3221740.1900000102</v>
      </c>
      <c r="AL540" s="185">
        <f t="shared" si="413"/>
        <v>0</v>
      </c>
      <c r="AM540" s="317">
        <f t="shared" si="421"/>
        <v>0</v>
      </c>
    </row>
    <row r="541" spans="1:49">
      <c r="A541" s="401"/>
      <c r="L541" s="317">
        <f t="shared" si="408"/>
        <v>0</v>
      </c>
      <c r="M541" s="317"/>
      <c r="X541" s="401">
        <f t="shared" si="420"/>
        <v>0</v>
      </c>
      <c r="Y541" s="185">
        <f t="shared" si="412"/>
        <v>0</v>
      </c>
      <c r="Z541" s="393">
        <f t="shared" si="415"/>
        <v>0.10625</v>
      </c>
      <c r="AA541" s="14">
        <f t="shared" si="416"/>
        <v>0</v>
      </c>
      <c r="AB541" s="14">
        <f t="shared" si="417"/>
        <v>0</v>
      </c>
      <c r="AC541" s="14">
        <f t="shared" si="418"/>
        <v>0</v>
      </c>
      <c r="AD541" s="14">
        <f t="shared" ref="AD541:AE544" si="425">+AD540</f>
        <v>134.16999999999999</v>
      </c>
      <c r="AE541" s="14">
        <f t="shared" si="425"/>
        <v>188.55</v>
      </c>
      <c r="AF541" s="14">
        <f t="shared" si="419"/>
        <v>322.72000000000003</v>
      </c>
      <c r="AG541" s="185">
        <f t="shared" si="422"/>
        <v>989037.5</v>
      </c>
      <c r="AH541" s="185">
        <f t="shared" si="423"/>
        <v>2810829.4999999991</v>
      </c>
      <c r="AI541" s="411">
        <f t="shared" si="410"/>
        <v>3221740.1900000102</v>
      </c>
      <c r="AJ541" s="411">
        <f t="shared" si="424"/>
        <v>0</v>
      </c>
      <c r="AK541" s="411">
        <f t="shared" si="411"/>
        <v>3221740.1900000102</v>
      </c>
      <c r="AL541" s="185">
        <f t="shared" si="413"/>
        <v>0</v>
      </c>
      <c r="AM541" s="317">
        <f t="shared" si="421"/>
        <v>0</v>
      </c>
    </row>
    <row r="542" spans="1:49">
      <c r="A542" s="401"/>
      <c r="L542" s="317">
        <f t="shared" si="408"/>
        <v>0</v>
      </c>
      <c r="M542" s="317"/>
      <c r="X542" s="401">
        <f t="shared" si="420"/>
        <v>0</v>
      </c>
      <c r="Y542" s="185">
        <f t="shared" si="412"/>
        <v>0</v>
      </c>
      <c r="Z542" s="393">
        <f t="shared" si="415"/>
        <v>0.10625</v>
      </c>
      <c r="AA542" s="14">
        <f t="shared" si="416"/>
        <v>0</v>
      </c>
      <c r="AB542" s="14">
        <f t="shared" si="417"/>
        <v>0</v>
      </c>
      <c r="AC542" s="14">
        <f t="shared" si="418"/>
        <v>0</v>
      </c>
      <c r="AD542" s="14">
        <f t="shared" si="425"/>
        <v>134.16999999999999</v>
      </c>
      <c r="AE542" s="14">
        <f t="shared" si="425"/>
        <v>188.55</v>
      </c>
      <c r="AF542" s="14">
        <f t="shared" si="419"/>
        <v>322.72000000000003</v>
      </c>
      <c r="AG542" s="185">
        <f t="shared" si="422"/>
        <v>989037.5</v>
      </c>
      <c r="AH542" s="185">
        <f t="shared" si="423"/>
        <v>2810829.4999999991</v>
      </c>
      <c r="AI542" s="411">
        <f t="shared" si="410"/>
        <v>3221740.1900000102</v>
      </c>
      <c r="AJ542" s="411">
        <f t="shared" si="424"/>
        <v>0</v>
      </c>
      <c r="AK542" s="411">
        <f t="shared" si="411"/>
        <v>3221740.1900000102</v>
      </c>
      <c r="AL542" s="185">
        <f t="shared" si="413"/>
        <v>0</v>
      </c>
      <c r="AM542" s="317">
        <f t="shared" si="421"/>
        <v>0</v>
      </c>
    </row>
    <row r="543" spans="1:49" ht="15.75" thickBot="1">
      <c r="A543" s="404"/>
      <c r="B543" s="237"/>
      <c r="C543" s="21"/>
      <c r="D543" s="21"/>
      <c r="E543" s="21"/>
      <c r="F543" s="21"/>
      <c r="G543" s="21"/>
      <c r="H543" s="21"/>
      <c r="I543" s="237"/>
      <c r="J543" s="237"/>
      <c r="K543" s="237"/>
      <c r="L543" s="318">
        <f t="shared" si="408"/>
        <v>0</v>
      </c>
      <c r="M543" s="318"/>
      <c r="N543" s="237"/>
      <c r="U543" s="237"/>
      <c r="V543" s="237"/>
      <c r="W543" s="237"/>
      <c r="X543" s="404">
        <f t="shared" si="420"/>
        <v>0</v>
      </c>
      <c r="Y543" s="185">
        <f t="shared" si="412"/>
        <v>0</v>
      </c>
      <c r="Z543" s="393">
        <f t="shared" si="415"/>
        <v>0.10625</v>
      </c>
      <c r="AA543" s="14">
        <f t="shared" si="416"/>
        <v>0</v>
      </c>
      <c r="AB543" s="14">
        <f t="shared" si="417"/>
        <v>0</v>
      </c>
      <c r="AC543" s="14">
        <f t="shared" si="418"/>
        <v>0</v>
      </c>
      <c r="AD543" s="14">
        <f t="shared" si="425"/>
        <v>134.16999999999999</v>
      </c>
      <c r="AE543" s="14">
        <f t="shared" si="425"/>
        <v>188.55</v>
      </c>
      <c r="AF543" s="14">
        <f t="shared" si="419"/>
        <v>322.72000000000003</v>
      </c>
      <c r="AG543" s="185">
        <f t="shared" si="422"/>
        <v>989037.5</v>
      </c>
      <c r="AH543" s="185">
        <f t="shared" si="423"/>
        <v>2810829.4999999991</v>
      </c>
      <c r="AI543" s="411">
        <f t="shared" si="410"/>
        <v>3221740.1900000102</v>
      </c>
      <c r="AJ543" s="411">
        <f t="shared" si="424"/>
        <v>0</v>
      </c>
      <c r="AK543" s="411">
        <f t="shared" si="411"/>
        <v>3221740.1900000102</v>
      </c>
      <c r="AL543" s="185">
        <f t="shared" si="413"/>
        <v>0</v>
      </c>
      <c r="AM543" s="318">
        <f t="shared" si="421"/>
        <v>0</v>
      </c>
      <c r="AN543" s="21"/>
      <c r="AO543" s="21"/>
      <c r="AP543" s="21"/>
      <c r="AQ543" s="21"/>
      <c r="AR543" s="23"/>
      <c r="AS543" s="21"/>
      <c r="AT543" s="21"/>
      <c r="AU543" s="237"/>
      <c r="AV543" s="237"/>
      <c r="AW543" s="21"/>
    </row>
    <row r="544" spans="1:49">
      <c r="A544" s="401"/>
      <c r="L544" s="317">
        <f t="shared" si="408"/>
        <v>0</v>
      </c>
      <c r="M544" s="317"/>
      <c r="X544" s="401">
        <f t="shared" si="420"/>
        <v>0</v>
      </c>
      <c r="Y544" s="185">
        <f t="shared" si="412"/>
        <v>0</v>
      </c>
      <c r="Z544" s="393">
        <f t="shared" si="415"/>
        <v>0.10625</v>
      </c>
      <c r="AA544" s="14">
        <f t="shared" si="416"/>
        <v>0</v>
      </c>
      <c r="AB544" s="14">
        <f t="shared" si="417"/>
        <v>0</v>
      </c>
      <c r="AC544" s="14">
        <f t="shared" si="418"/>
        <v>0</v>
      </c>
      <c r="AD544" s="14">
        <f t="shared" si="425"/>
        <v>134.16999999999999</v>
      </c>
      <c r="AE544" s="14">
        <f t="shared" si="425"/>
        <v>188.55</v>
      </c>
      <c r="AF544" s="14">
        <f t="shared" si="419"/>
        <v>322.72000000000003</v>
      </c>
      <c r="AG544" s="185">
        <f t="shared" si="422"/>
        <v>989037.5</v>
      </c>
      <c r="AH544" s="185">
        <f t="shared" si="423"/>
        <v>2810829.4999999991</v>
      </c>
      <c r="AI544" s="411">
        <f t="shared" si="410"/>
        <v>3221740.1900000102</v>
      </c>
      <c r="AJ544" s="411">
        <f t="shared" si="424"/>
        <v>0</v>
      </c>
      <c r="AK544" s="411">
        <f t="shared" si="411"/>
        <v>3221740.1900000102</v>
      </c>
      <c r="AL544" s="185">
        <f t="shared" si="413"/>
        <v>0</v>
      </c>
      <c r="AM544" s="317">
        <f t="shared" si="421"/>
        <v>0</v>
      </c>
    </row>
    <row r="545" spans="1:49">
      <c r="A545" s="401"/>
      <c r="L545" s="317">
        <f t="shared" si="408"/>
        <v>0</v>
      </c>
      <c r="M545" s="317"/>
      <c r="X545" s="401">
        <f t="shared" si="420"/>
        <v>0</v>
      </c>
      <c r="AM545" s="317">
        <f t="shared" si="421"/>
        <v>0</v>
      </c>
    </row>
    <row r="546" spans="1:49">
      <c r="A546" s="401"/>
      <c r="L546" s="317">
        <f t="shared" si="408"/>
        <v>0</v>
      </c>
      <c r="M546" s="317"/>
      <c r="X546" s="401">
        <f t="shared" si="420"/>
        <v>0</v>
      </c>
      <c r="AM546" s="317">
        <f t="shared" si="421"/>
        <v>0</v>
      </c>
    </row>
    <row r="547" spans="1:49">
      <c r="A547" s="401"/>
      <c r="L547" s="317">
        <f t="shared" si="408"/>
        <v>0</v>
      </c>
      <c r="M547" s="317"/>
      <c r="X547" s="401">
        <f t="shared" si="420"/>
        <v>0</v>
      </c>
      <c r="AM547" s="317">
        <f t="shared" si="421"/>
        <v>0</v>
      </c>
    </row>
    <row r="548" spans="1:49">
      <c r="A548" s="401"/>
      <c r="L548" s="317">
        <f t="shared" si="408"/>
        <v>0</v>
      </c>
      <c r="M548" s="317"/>
      <c r="X548" s="401">
        <f t="shared" si="420"/>
        <v>0</v>
      </c>
      <c r="AM548" s="317">
        <f t="shared" si="421"/>
        <v>0</v>
      </c>
    </row>
    <row r="549" spans="1:49">
      <c r="A549" s="401"/>
      <c r="L549" s="317">
        <f t="shared" si="408"/>
        <v>0</v>
      </c>
      <c r="M549" s="317"/>
      <c r="X549" s="401">
        <f t="shared" si="420"/>
        <v>0</v>
      </c>
      <c r="AM549" s="317">
        <f t="shared" si="421"/>
        <v>0</v>
      </c>
    </row>
    <row r="550" spans="1:49">
      <c r="A550" s="401"/>
      <c r="L550" s="317">
        <f t="shared" si="408"/>
        <v>0</v>
      </c>
      <c r="M550" s="317"/>
      <c r="X550" s="401">
        <f t="shared" si="420"/>
        <v>0</v>
      </c>
      <c r="AM550" s="317">
        <f t="shared" si="421"/>
        <v>0</v>
      </c>
    </row>
    <row r="551" spans="1:49">
      <c r="A551" s="401"/>
      <c r="L551" s="317">
        <f t="shared" si="408"/>
        <v>0</v>
      </c>
      <c r="M551" s="317"/>
      <c r="X551" s="401">
        <f t="shared" si="420"/>
        <v>0</v>
      </c>
      <c r="AM551" s="317">
        <f t="shared" si="421"/>
        <v>0</v>
      </c>
    </row>
    <row r="552" spans="1:49">
      <c r="A552" s="401"/>
      <c r="L552" s="317">
        <f t="shared" si="408"/>
        <v>0</v>
      </c>
      <c r="M552" s="317"/>
      <c r="X552" s="401">
        <f t="shared" si="420"/>
        <v>0</v>
      </c>
      <c r="AM552" s="317">
        <f t="shared" si="421"/>
        <v>0</v>
      </c>
    </row>
    <row r="553" spans="1:49">
      <c r="A553" s="401"/>
      <c r="L553" s="317">
        <f t="shared" si="408"/>
        <v>0</v>
      </c>
      <c r="M553" s="317"/>
      <c r="X553" s="401">
        <f t="shared" si="420"/>
        <v>0</v>
      </c>
      <c r="AM553" s="317">
        <f t="shared" si="421"/>
        <v>0</v>
      </c>
    </row>
    <row r="554" spans="1:49">
      <c r="A554" s="401"/>
      <c r="L554" s="317">
        <f t="shared" si="408"/>
        <v>0</v>
      </c>
      <c r="M554" s="317"/>
      <c r="X554" s="401">
        <f t="shared" si="420"/>
        <v>0</v>
      </c>
      <c r="AM554" s="317">
        <f t="shared" si="421"/>
        <v>0</v>
      </c>
    </row>
    <row r="555" spans="1:49" ht="15.75" thickBot="1">
      <c r="A555" s="404"/>
      <c r="B555" s="237"/>
      <c r="C555" s="21"/>
      <c r="D555" s="21"/>
      <c r="E555" s="21"/>
      <c r="F555" s="21"/>
      <c r="G555" s="21"/>
      <c r="H555" s="21"/>
      <c r="I555" s="237"/>
      <c r="J555" s="237"/>
      <c r="K555" s="237"/>
      <c r="L555" s="318">
        <f t="shared" si="408"/>
        <v>0</v>
      </c>
      <c r="M555" s="318"/>
      <c r="N555" s="237"/>
      <c r="O555" s="21"/>
      <c r="P555" s="21"/>
      <c r="Q555" s="21"/>
      <c r="R555" s="21"/>
      <c r="S555" s="21"/>
      <c r="T555" s="21"/>
      <c r="U555" s="237"/>
      <c r="V555" s="237"/>
      <c r="W555" s="237"/>
      <c r="X555" s="404">
        <f t="shared" si="420"/>
        <v>0</v>
      </c>
      <c r="Y555" s="237"/>
      <c r="Z555" s="394"/>
      <c r="AA555" s="21"/>
      <c r="AB555" s="21"/>
      <c r="AC555" s="21"/>
      <c r="AD555" s="21"/>
      <c r="AE555" s="21"/>
      <c r="AF555" s="21"/>
      <c r="AG555" s="237"/>
      <c r="AH555" s="237"/>
      <c r="AI555" s="237"/>
      <c r="AJ555" s="237"/>
      <c r="AK555" s="237"/>
      <c r="AL555" s="237"/>
      <c r="AM555" s="318">
        <f t="shared" si="421"/>
        <v>0</v>
      </c>
      <c r="AN555" s="21"/>
      <c r="AO555" s="21"/>
      <c r="AP555" s="21"/>
      <c r="AQ555" s="21"/>
      <c r="AR555" s="23"/>
      <c r="AS555" s="21"/>
      <c r="AT555" s="21"/>
      <c r="AU555" s="237"/>
      <c r="AV555" s="237"/>
      <c r="AW555" s="21"/>
    </row>
    <row r="556" spans="1:49">
      <c r="A556" s="401"/>
      <c r="L556" s="317">
        <f t="shared" si="408"/>
        <v>0</v>
      </c>
      <c r="M556" s="317"/>
      <c r="X556" s="401">
        <f t="shared" si="420"/>
        <v>0</v>
      </c>
      <c r="AM556" s="317">
        <f t="shared" si="421"/>
        <v>0</v>
      </c>
    </row>
    <row r="557" spans="1:49">
      <c r="A557" s="401"/>
      <c r="L557" s="317">
        <f t="shared" si="408"/>
        <v>0</v>
      </c>
      <c r="M557" s="317"/>
      <c r="X557" s="401">
        <f t="shared" si="420"/>
        <v>0</v>
      </c>
      <c r="AM557" s="317">
        <f t="shared" si="421"/>
        <v>0</v>
      </c>
    </row>
    <row r="558" spans="1:49">
      <c r="A558" s="401"/>
      <c r="L558" s="317">
        <f t="shared" si="408"/>
        <v>0</v>
      </c>
      <c r="M558" s="317"/>
      <c r="X558" s="401">
        <f t="shared" si="420"/>
        <v>0</v>
      </c>
      <c r="AM558" s="317">
        <f t="shared" si="421"/>
        <v>0</v>
      </c>
    </row>
    <row r="559" spans="1:49">
      <c r="A559" s="401"/>
      <c r="L559" s="317">
        <f t="shared" si="408"/>
        <v>0</v>
      </c>
      <c r="M559" s="317"/>
      <c r="X559" s="401">
        <f t="shared" si="420"/>
        <v>0</v>
      </c>
      <c r="AM559" s="317">
        <f t="shared" si="421"/>
        <v>0</v>
      </c>
    </row>
    <row r="560" spans="1:49">
      <c r="A560" s="401"/>
      <c r="L560" s="317">
        <f t="shared" ref="L560:L623" si="426">IF(MOD(M560,12)=0,M560/12,L559)</f>
        <v>0</v>
      </c>
      <c r="M560" s="317"/>
      <c r="X560" s="401">
        <f t="shared" si="420"/>
        <v>0</v>
      </c>
      <c r="AM560" s="317">
        <f t="shared" si="421"/>
        <v>0</v>
      </c>
    </row>
    <row r="561" spans="1:49">
      <c r="A561" s="401"/>
      <c r="L561" s="317">
        <f t="shared" si="426"/>
        <v>0</v>
      </c>
      <c r="M561" s="317"/>
      <c r="X561" s="401">
        <f t="shared" si="420"/>
        <v>0</v>
      </c>
      <c r="AM561" s="317">
        <f t="shared" si="421"/>
        <v>0</v>
      </c>
    </row>
    <row r="562" spans="1:49">
      <c r="A562" s="401"/>
      <c r="L562" s="317">
        <f t="shared" si="426"/>
        <v>0</v>
      </c>
      <c r="M562" s="317"/>
      <c r="X562" s="401">
        <f t="shared" si="420"/>
        <v>0</v>
      </c>
      <c r="AM562" s="317">
        <f t="shared" si="421"/>
        <v>0</v>
      </c>
    </row>
    <row r="563" spans="1:49">
      <c r="A563" s="401"/>
      <c r="L563" s="317">
        <f t="shared" si="426"/>
        <v>0</v>
      </c>
      <c r="M563" s="317"/>
      <c r="X563" s="401">
        <f t="shared" si="420"/>
        <v>0</v>
      </c>
      <c r="AM563" s="317">
        <f t="shared" si="421"/>
        <v>0</v>
      </c>
    </row>
    <row r="564" spans="1:49">
      <c r="A564" s="401"/>
      <c r="L564" s="317">
        <f t="shared" si="426"/>
        <v>0</v>
      </c>
      <c r="M564" s="317"/>
      <c r="X564" s="401">
        <f t="shared" si="420"/>
        <v>0</v>
      </c>
      <c r="AM564" s="317">
        <f t="shared" si="421"/>
        <v>0</v>
      </c>
    </row>
    <row r="565" spans="1:49">
      <c r="A565" s="401"/>
      <c r="L565" s="317">
        <f t="shared" si="426"/>
        <v>0</v>
      </c>
      <c r="M565" s="317"/>
      <c r="X565" s="401">
        <f t="shared" si="420"/>
        <v>0</v>
      </c>
      <c r="AM565" s="317">
        <f t="shared" si="421"/>
        <v>0</v>
      </c>
    </row>
    <row r="566" spans="1:49">
      <c r="A566" s="401"/>
      <c r="L566" s="317">
        <f t="shared" si="426"/>
        <v>0</v>
      </c>
      <c r="M566" s="317"/>
      <c r="X566" s="401">
        <f t="shared" si="420"/>
        <v>0</v>
      </c>
      <c r="AM566" s="317">
        <f t="shared" si="421"/>
        <v>0</v>
      </c>
    </row>
    <row r="567" spans="1:49" ht="15.75" thickBot="1">
      <c r="A567" s="404"/>
      <c r="B567" s="237"/>
      <c r="C567" s="21"/>
      <c r="D567" s="21"/>
      <c r="E567" s="21"/>
      <c r="F567" s="21"/>
      <c r="G567" s="21"/>
      <c r="H567" s="21"/>
      <c r="I567" s="237"/>
      <c r="J567" s="237"/>
      <c r="K567" s="237"/>
      <c r="L567" s="318">
        <f t="shared" si="426"/>
        <v>0</v>
      </c>
      <c r="M567" s="318"/>
      <c r="N567" s="237"/>
      <c r="O567" s="21"/>
      <c r="P567" s="21"/>
      <c r="Q567" s="21"/>
      <c r="R567" s="21"/>
      <c r="S567" s="21"/>
      <c r="T567" s="21"/>
      <c r="U567" s="237"/>
      <c r="V567" s="237"/>
      <c r="W567" s="237"/>
      <c r="X567" s="404">
        <f t="shared" si="420"/>
        <v>0</v>
      </c>
      <c r="Y567" s="237"/>
      <c r="Z567" s="394"/>
      <c r="AA567" s="21"/>
      <c r="AB567" s="21"/>
      <c r="AC567" s="21"/>
      <c r="AD567" s="21"/>
      <c r="AE567" s="21"/>
      <c r="AF567" s="21"/>
      <c r="AG567" s="237"/>
      <c r="AH567" s="237"/>
      <c r="AI567" s="237"/>
      <c r="AJ567" s="237"/>
      <c r="AK567" s="237"/>
      <c r="AL567" s="237"/>
      <c r="AM567" s="318">
        <f t="shared" si="421"/>
        <v>0</v>
      </c>
      <c r="AN567" s="21"/>
      <c r="AO567" s="21"/>
      <c r="AP567" s="21"/>
      <c r="AQ567" s="21"/>
      <c r="AR567" s="23"/>
      <c r="AS567" s="21"/>
      <c r="AT567" s="21"/>
      <c r="AU567" s="237"/>
      <c r="AV567" s="237"/>
      <c r="AW567" s="21"/>
    </row>
    <row r="568" spans="1:49">
      <c r="A568" s="401"/>
      <c r="L568" s="317">
        <f t="shared" si="426"/>
        <v>0</v>
      </c>
      <c r="M568" s="317"/>
      <c r="X568" s="401">
        <f t="shared" si="420"/>
        <v>0</v>
      </c>
      <c r="AM568" s="317">
        <f t="shared" si="421"/>
        <v>0</v>
      </c>
    </row>
    <row r="569" spans="1:49">
      <c r="A569" s="401"/>
      <c r="L569" s="317">
        <f t="shared" si="426"/>
        <v>0</v>
      </c>
      <c r="M569" s="317"/>
      <c r="X569" s="401">
        <f t="shared" si="420"/>
        <v>0</v>
      </c>
      <c r="AM569" s="317">
        <f t="shared" si="421"/>
        <v>0</v>
      </c>
    </row>
    <row r="570" spans="1:49">
      <c r="A570" s="401"/>
      <c r="L570" s="317">
        <f t="shared" si="426"/>
        <v>0</v>
      </c>
      <c r="M570" s="317"/>
      <c r="X570" s="401">
        <f t="shared" si="420"/>
        <v>0</v>
      </c>
      <c r="AM570" s="317">
        <f t="shared" si="421"/>
        <v>0</v>
      </c>
    </row>
    <row r="571" spans="1:49">
      <c r="A571" s="401"/>
      <c r="L571" s="317">
        <f t="shared" si="426"/>
        <v>0</v>
      </c>
      <c r="M571" s="317"/>
      <c r="X571" s="401">
        <f t="shared" si="420"/>
        <v>0</v>
      </c>
      <c r="AM571" s="317">
        <f t="shared" si="421"/>
        <v>0</v>
      </c>
    </row>
    <row r="572" spans="1:49">
      <c r="A572" s="401"/>
      <c r="L572" s="317">
        <f t="shared" si="426"/>
        <v>0</v>
      </c>
      <c r="M572" s="317"/>
      <c r="X572" s="401">
        <f t="shared" si="420"/>
        <v>0</v>
      </c>
      <c r="AM572" s="317">
        <f t="shared" si="421"/>
        <v>0</v>
      </c>
    </row>
    <row r="573" spans="1:49">
      <c r="A573" s="401"/>
      <c r="L573" s="317">
        <f t="shared" si="426"/>
        <v>0</v>
      </c>
      <c r="M573" s="317"/>
      <c r="X573" s="401">
        <f t="shared" si="420"/>
        <v>0</v>
      </c>
      <c r="AM573" s="317">
        <f t="shared" si="421"/>
        <v>0</v>
      </c>
    </row>
    <row r="574" spans="1:49">
      <c r="A574" s="401"/>
      <c r="L574" s="317">
        <f t="shared" si="426"/>
        <v>0</v>
      </c>
      <c r="M574" s="317"/>
      <c r="X574" s="401">
        <f t="shared" si="420"/>
        <v>0</v>
      </c>
      <c r="AM574" s="317">
        <f t="shared" si="421"/>
        <v>0</v>
      </c>
    </row>
    <row r="575" spans="1:49">
      <c r="A575" s="401"/>
      <c r="L575" s="317">
        <f t="shared" si="426"/>
        <v>0</v>
      </c>
      <c r="M575" s="317"/>
      <c r="X575" s="401">
        <f t="shared" si="420"/>
        <v>0</v>
      </c>
      <c r="AM575" s="317">
        <f t="shared" si="421"/>
        <v>0</v>
      </c>
    </row>
    <row r="576" spans="1:49">
      <c r="A576" s="401"/>
      <c r="L576" s="317">
        <f t="shared" si="426"/>
        <v>0</v>
      </c>
      <c r="M576" s="317"/>
      <c r="X576" s="401">
        <f t="shared" si="420"/>
        <v>0</v>
      </c>
      <c r="AM576" s="317">
        <f t="shared" si="421"/>
        <v>0</v>
      </c>
    </row>
    <row r="577" spans="1:49">
      <c r="A577" s="401"/>
      <c r="L577" s="317">
        <f t="shared" si="426"/>
        <v>0</v>
      </c>
      <c r="M577" s="317"/>
      <c r="X577" s="401">
        <f t="shared" si="420"/>
        <v>0</v>
      </c>
      <c r="AM577" s="317">
        <f t="shared" si="421"/>
        <v>0</v>
      </c>
    </row>
    <row r="578" spans="1:49">
      <c r="A578" s="401"/>
      <c r="L578" s="317">
        <f t="shared" si="426"/>
        <v>0</v>
      </c>
      <c r="M578" s="317"/>
      <c r="X578" s="401">
        <f t="shared" si="420"/>
        <v>0</v>
      </c>
      <c r="AM578" s="317">
        <f t="shared" si="421"/>
        <v>0</v>
      </c>
    </row>
    <row r="579" spans="1:49" ht="15.75" thickBot="1">
      <c r="A579" s="404"/>
      <c r="B579" s="237"/>
      <c r="C579" s="21"/>
      <c r="D579" s="21"/>
      <c r="E579" s="21"/>
      <c r="F579" s="21"/>
      <c r="G579" s="21"/>
      <c r="H579" s="21"/>
      <c r="I579" s="237"/>
      <c r="J579" s="237"/>
      <c r="K579" s="237"/>
      <c r="L579" s="318">
        <f t="shared" si="426"/>
        <v>0</v>
      </c>
      <c r="M579" s="318"/>
      <c r="N579" s="237"/>
      <c r="O579" s="21"/>
      <c r="P579" s="21"/>
      <c r="Q579" s="21"/>
      <c r="R579" s="21"/>
      <c r="S579" s="21"/>
      <c r="T579" s="21"/>
      <c r="U579" s="237"/>
      <c r="V579" s="237"/>
      <c r="W579" s="237"/>
      <c r="X579" s="404">
        <f t="shared" si="420"/>
        <v>0</v>
      </c>
      <c r="Y579" s="237"/>
      <c r="Z579" s="394"/>
      <c r="AA579" s="21"/>
      <c r="AB579" s="21"/>
      <c r="AC579" s="21"/>
      <c r="AD579" s="21"/>
      <c r="AE579" s="21"/>
      <c r="AF579" s="21"/>
      <c r="AG579" s="237"/>
      <c r="AH579" s="237"/>
      <c r="AI579" s="237"/>
      <c r="AJ579" s="237"/>
      <c r="AK579" s="237"/>
      <c r="AL579" s="237"/>
      <c r="AM579" s="318">
        <f t="shared" si="421"/>
        <v>0</v>
      </c>
      <c r="AN579" s="21"/>
      <c r="AO579" s="21"/>
      <c r="AP579" s="21"/>
      <c r="AQ579" s="21"/>
      <c r="AR579" s="23"/>
      <c r="AS579" s="21"/>
      <c r="AT579" s="21"/>
      <c r="AU579" s="237"/>
      <c r="AV579" s="237"/>
      <c r="AW579" s="21"/>
    </row>
    <row r="580" spans="1:49">
      <c r="A580" s="401"/>
      <c r="L580" s="317">
        <f t="shared" si="426"/>
        <v>0</v>
      </c>
      <c r="M580" s="317"/>
      <c r="X580" s="401">
        <f t="shared" si="420"/>
        <v>0</v>
      </c>
      <c r="AM580" s="317">
        <f t="shared" si="421"/>
        <v>0</v>
      </c>
    </row>
    <row r="581" spans="1:49">
      <c r="A581" s="401"/>
      <c r="L581" s="317">
        <f t="shared" si="426"/>
        <v>0</v>
      </c>
      <c r="M581" s="317"/>
      <c r="X581" s="401">
        <f t="shared" si="420"/>
        <v>0</v>
      </c>
      <c r="AM581" s="317">
        <f t="shared" si="421"/>
        <v>0</v>
      </c>
    </row>
    <row r="582" spans="1:49">
      <c r="A582" s="401"/>
      <c r="L582" s="317">
        <f t="shared" si="426"/>
        <v>0</v>
      </c>
      <c r="M582" s="317"/>
      <c r="X582" s="401">
        <f t="shared" si="420"/>
        <v>0</v>
      </c>
      <c r="AM582" s="317">
        <f t="shared" si="421"/>
        <v>0</v>
      </c>
    </row>
    <row r="583" spans="1:49">
      <c r="A583" s="401"/>
      <c r="L583" s="317">
        <f t="shared" si="426"/>
        <v>0</v>
      </c>
      <c r="M583" s="317"/>
      <c r="X583" s="401">
        <f t="shared" si="420"/>
        <v>0</v>
      </c>
      <c r="AM583" s="317">
        <f t="shared" si="421"/>
        <v>0</v>
      </c>
    </row>
    <row r="584" spans="1:49">
      <c r="A584" s="401"/>
      <c r="L584" s="317">
        <f t="shared" si="426"/>
        <v>0</v>
      </c>
      <c r="M584" s="317"/>
      <c r="X584" s="401">
        <f t="shared" si="420"/>
        <v>0</v>
      </c>
      <c r="AM584" s="317">
        <f t="shared" si="421"/>
        <v>0</v>
      </c>
    </row>
    <row r="585" spans="1:49">
      <c r="A585" s="401"/>
      <c r="L585" s="317">
        <f t="shared" si="426"/>
        <v>0</v>
      </c>
      <c r="M585" s="317"/>
      <c r="X585" s="401">
        <f t="shared" si="420"/>
        <v>0</v>
      </c>
      <c r="AM585" s="317">
        <f t="shared" si="421"/>
        <v>0</v>
      </c>
    </row>
    <row r="586" spans="1:49">
      <c r="A586" s="401"/>
      <c r="L586" s="317">
        <f t="shared" si="426"/>
        <v>0</v>
      </c>
      <c r="M586" s="317"/>
      <c r="X586" s="401">
        <f t="shared" si="420"/>
        <v>0</v>
      </c>
      <c r="AM586" s="317">
        <f t="shared" si="421"/>
        <v>0</v>
      </c>
    </row>
    <row r="587" spans="1:49">
      <c r="A587" s="401"/>
      <c r="L587" s="317">
        <f t="shared" si="426"/>
        <v>0</v>
      </c>
      <c r="M587" s="317"/>
      <c r="X587" s="401">
        <f t="shared" si="420"/>
        <v>0</v>
      </c>
      <c r="AM587" s="317">
        <f t="shared" si="421"/>
        <v>0</v>
      </c>
    </row>
    <row r="588" spans="1:49">
      <c r="A588" s="401"/>
      <c r="L588" s="317">
        <f t="shared" si="426"/>
        <v>0</v>
      </c>
      <c r="M588" s="317"/>
      <c r="X588" s="401">
        <f t="shared" si="420"/>
        <v>0</v>
      </c>
      <c r="AM588" s="317">
        <f t="shared" si="421"/>
        <v>0</v>
      </c>
    </row>
    <row r="589" spans="1:49">
      <c r="A589" s="401"/>
      <c r="L589" s="317">
        <f t="shared" si="426"/>
        <v>0</v>
      </c>
      <c r="M589" s="317"/>
      <c r="X589" s="401">
        <f t="shared" si="420"/>
        <v>0</v>
      </c>
      <c r="AM589" s="317">
        <f t="shared" si="421"/>
        <v>0</v>
      </c>
    </row>
    <row r="590" spans="1:49">
      <c r="A590" s="401"/>
      <c r="L590" s="317">
        <f t="shared" si="426"/>
        <v>0</v>
      </c>
      <c r="M590" s="317"/>
      <c r="X590" s="401">
        <f t="shared" si="420"/>
        <v>0</v>
      </c>
      <c r="AM590" s="317">
        <f t="shared" si="421"/>
        <v>0</v>
      </c>
    </row>
    <row r="591" spans="1:49" ht="15.75" thickBot="1">
      <c r="A591" s="404"/>
      <c r="B591" s="237"/>
      <c r="C591" s="21"/>
      <c r="D591" s="21"/>
      <c r="E591" s="21"/>
      <c r="F591" s="21"/>
      <c r="G591" s="21"/>
      <c r="H591" s="21"/>
      <c r="I591" s="237"/>
      <c r="J591" s="237"/>
      <c r="K591" s="237"/>
      <c r="L591" s="318">
        <f t="shared" si="426"/>
        <v>0</v>
      </c>
      <c r="M591" s="318"/>
      <c r="N591" s="237"/>
      <c r="O591" s="21"/>
      <c r="P591" s="21"/>
      <c r="Q591" s="21"/>
      <c r="R591" s="21"/>
      <c r="S591" s="21"/>
      <c r="T591" s="21"/>
      <c r="U591" s="237"/>
      <c r="V591" s="237"/>
      <c r="W591" s="237"/>
      <c r="X591" s="404">
        <f t="shared" si="420"/>
        <v>0</v>
      </c>
      <c r="Y591" s="237"/>
      <c r="Z591" s="394"/>
      <c r="AA591" s="21"/>
      <c r="AB591" s="21"/>
      <c r="AC591" s="21"/>
      <c r="AD591" s="21"/>
      <c r="AE591" s="21"/>
      <c r="AF591" s="21"/>
      <c r="AG591" s="237"/>
      <c r="AH591" s="237"/>
      <c r="AI591" s="237"/>
      <c r="AJ591" s="237"/>
      <c r="AK591" s="237"/>
      <c r="AL591" s="237"/>
      <c r="AM591" s="318">
        <f t="shared" si="421"/>
        <v>0</v>
      </c>
      <c r="AN591" s="21"/>
      <c r="AO591" s="21"/>
      <c r="AP591" s="21"/>
      <c r="AQ591" s="21"/>
      <c r="AR591" s="23"/>
      <c r="AS591" s="21"/>
      <c r="AT591" s="21"/>
      <c r="AU591" s="237"/>
      <c r="AV591" s="237"/>
      <c r="AW591" s="21"/>
    </row>
    <row r="592" spans="1:49">
      <c r="A592" s="401"/>
      <c r="L592" s="317">
        <f t="shared" si="426"/>
        <v>0</v>
      </c>
      <c r="M592" s="317"/>
      <c r="X592" s="401">
        <f t="shared" si="420"/>
        <v>0</v>
      </c>
      <c r="AM592" s="317">
        <f t="shared" si="421"/>
        <v>0</v>
      </c>
    </row>
    <row r="593" spans="1:49">
      <c r="A593" s="401"/>
      <c r="L593" s="317">
        <f t="shared" si="426"/>
        <v>0</v>
      </c>
      <c r="M593" s="317"/>
      <c r="X593" s="401">
        <f t="shared" ref="X593:X656" si="427">+A593</f>
        <v>0</v>
      </c>
      <c r="AM593" s="317">
        <f t="shared" ref="AM593:AM656" si="428">+L593</f>
        <v>0</v>
      </c>
    </row>
    <row r="594" spans="1:49">
      <c r="A594" s="401"/>
      <c r="L594" s="317">
        <f t="shared" si="426"/>
        <v>0</v>
      </c>
      <c r="M594" s="317"/>
      <c r="X594" s="401">
        <f t="shared" si="427"/>
        <v>0</v>
      </c>
      <c r="AM594" s="317">
        <f t="shared" si="428"/>
        <v>0</v>
      </c>
    </row>
    <row r="595" spans="1:49">
      <c r="A595" s="401"/>
      <c r="L595" s="317">
        <f t="shared" si="426"/>
        <v>0</v>
      </c>
      <c r="M595" s="317"/>
      <c r="X595" s="401">
        <f t="shared" si="427"/>
        <v>0</v>
      </c>
      <c r="AM595" s="317">
        <f t="shared" si="428"/>
        <v>0</v>
      </c>
    </row>
    <row r="596" spans="1:49">
      <c r="A596" s="401"/>
      <c r="L596" s="317">
        <f t="shared" si="426"/>
        <v>0</v>
      </c>
      <c r="M596" s="317"/>
      <c r="X596" s="401">
        <f t="shared" si="427"/>
        <v>0</v>
      </c>
      <c r="AM596" s="317">
        <f t="shared" si="428"/>
        <v>0</v>
      </c>
    </row>
    <row r="597" spans="1:49">
      <c r="A597" s="401"/>
      <c r="L597" s="317">
        <f t="shared" si="426"/>
        <v>0</v>
      </c>
      <c r="M597" s="317"/>
      <c r="X597" s="401">
        <f t="shared" si="427"/>
        <v>0</v>
      </c>
      <c r="AM597" s="317">
        <f t="shared" si="428"/>
        <v>0</v>
      </c>
    </row>
    <row r="598" spans="1:49">
      <c r="A598" s="401"/>
      <c r="L598" s="317">
        <f t="shared" si="426"/>
        <v>0</v>
      </c>
      <c r="M598" s="317"/>
      <c r="X598" s="401">
        <f t="shared" si="427"/>
        <v>0</v>
      </c>
      <c r="AM598" s="317">
        <f t="shared" si="428"/>
        <v>0</v>
      </c>
    </row>
    <row r="599" spans="1:49">
      <c r="A599" s="401"/>
      <c r="L599" s="317">
        <f t="shared" si="426"/>
        <v>0</v>
      </c>
      <c r="M599" s="317"/>
      <c r="X599" s="401">
        <f t="shared" si="427"/>
        <v>0</v>
      </c>
      <c r="AM599" s="317">
        <f t="shared" si="428"/>
        <v>0</v>
      </c>
    </row>
    <row r="600" spans="1:49">
      <c r="A600" s="401"/>
      <c r="L600" s="317">
        <f t="shared" si="426"/>
        <v>0</v>
      </c>
      <c r="M600" s="317"/>
      <c r="X600" s="401">
        <f t="shared" si="427"/>
        <v>0</v>
      </c>
      <c r="AM600" s="317">
        <f t="shared" si="428"/>
        <v>0</v>
      </c>
    </row>
    <row r="601" spans="1:49">
      <c r="A601" s="401"/>
      <c r="L601" s="317">
        <f t="shared" si="426"/>
        <v>0</v>
      </c>
      <c r="M601" s="317"/>
      <c r="X601" s="401">
        <f t="shared" si="427"/>
        <v>0</v>
      </c>
      <c r="AM601" s="317">
        <f t="shared" si="428"/>
        <v>0</v>
      </c>
    </row>
    <row r="602" spans="1:49">
      <c r="A602" s="401"/>
      <c r="L602" s="317">
        <f t="shared" si="426"/>
        <v>0</v>
      </c>
      <c r="M602" s="317"/>
      <c r="X602" s="401">
        <f t="shared" si="427"/>
        <v>0</v>
      </c>
      <c r="AM602" s="317">
        <f t="shared" si="428"/>
        <v>0</v>
      </c>
    </row>
    <row r="603" spans="1:49" ht="15.75" thickBot="1">
      <c r="A603" s="404"/>
      <c r="B603" s="237"/>
      <c r="C603" s="21"/>
      <c r="D603" s="21"/>
      <c r="E603" s="21"/>
      <c r="F603" s="21"/>
      <c r="G603" s="21"/>
      <c r="H603" s="21"/>
      <c r="I603" s="237"/>
      <c r="J603" s="237"/>
      <c r="K603" s="237"/>
      <c r="L603" s="318">
        <f t="shared" si="426"/>
        <v>0</v>
      </c>
      <c r="M603" s="318"/>
      <c r="N603" s="237"/>
      <c r="O603" s="21"/>
      <c r="P603" s="21"/>
      <c r="Q603" s="21"/>
      <c r="R603" s="21"/>
      <c r="S603" s="21"/>
      <c r="T603" s="21"/>
      <c r="U603" s="237"/>
      <c r="V603" s="237"/>
      <c r="W603" s="237"/>
      <c r="X603" s="404">
        <f t="shared" si="427"/>
        <v>0</v>
      </c>
      <c r="Y603" s="237"/>
      <c r="Z603" s="394"/>
      <c r="AA603" s="21"/>
      <c r="AB603" s="21"/>
      <c r="AC603" s="21"/>
      <c r="AD603" s="21"/>
      <c r="AE603" s="21"/>
      <c r="AF603" s="21"/>
      <c r="AG603" s="237"/>
      <c r="AH603" s="237"/>
      <c r="AI603" s="237"/>
      <c r="AJ603" s="237"/>
      <c r="AK603" s="237"/>
      <c r="AL603" s="237"/>
      <c r="AM603" s="318">
        <f t="shared" si="428"/>
        <v>0</v>
      </c>
      <c r="AN603" s="21"/>
      <c r="AO603" s="21"/>
      <c r="AP603" s="21"/>
      <c r="AQ603" s="21"/>
      <c r="AR603" s="23"/>
      <c r="AS603" s="21"/>
      <c r="AT603" s="21"/>
      <c r="AU603" s="237"/>
      <c r="AV603" s="237"/>
      <c r="AW603" s="21"/>
    </row>
    <row r="604" spans="1:49">
      <c r="A604" s="401"/>
      <c r="L604" s="317">
        <f t="shared" si="426"/>
        <v>0</v>
      </c>
      <c r="M604" s="317"/>
      <c r="X604" s="401">
        <f t="shared" si="427"/>
        <v>0</v>
      </c>
      <c r="AM604" s="317">
        <f t="shared" si="428"/>
        <v>0</v>
      </c>
    </row>
    <row r="605" spans="1:49">
      <c r="A605" s="401"/>
      <c r="L605" s="317">
        <f t="shared" si="426"/>
        <v>0</v>
      </c>
      <c r="M605" s="317"/>
      <c r="X605" s="401">
        <f t="shared" si="427"/>
        <v>0</v>
      </c>
      <c r="AM605" s="317">
        <f t="shared" si="428"/>
        <v>0</v>
      </c>
    </row>
    <row r="606" spans="1:49">
      <c r="A606" s="401"/>
      <c r="L606" s="317">
        <f t="shared" si="426"/>
        <v>0</v>
      </c>
      <c r="M606" s="317"/>
      <c r="X606" s="401">
        <f t="shared" si="427"/>
        <v>0</v>
      </c>
      <c r="AM606" s="317">
        <f t="shared" si="428"/>
        <v>0</v>
      </c>
    </row>
    <row r="607" spans="1:49">
      <c r="A607" s="401"/>
      <c r="L607" s="317">
        <f t="shared" si="426"/>
        <v>0</v>
      </c>
      <c r="M607" s="317"/>
      <c r="X607" s="401">
        <f t="shared" si="427"/>
        <v>0</v>
      </c>
      <c r="AM607" s="317">
        <f t="shared" si="428"/>
        <v>0</v>
      </c>
    </row>
    <row r="608" spans="1:49">
      <c r="A608" s="401"/>
      <c r="L608" s="317">
        <f t="shared" si="426"/>
        <v>0</v>
      </c>
      <c r="M608" s="317"/>
      <c r="X608" s="401">
        <f t="shared" si="427"/>
        <v>0</v>
      </c>
      <c r="AM608" s="317">
        <f t="shared" si="428"/>
        <v>0</v>
      </c>
    </row>
    <row r="609" spans="1:49">
      <c r="A609" s="401"/>
      <c r="L609" s="317">
        <f t="shared" si="426"/>
        <v>0</v>
      </c>
      <c r="M609" s="317"/>
      <c r="X609" s="401">
        <f t="shared" si="427"/>
        <v>0</v>
      </c>
      <c r="AM609" s="317">
        <f t="shared" si="428"/>
        <v>0</v>
      </c>
    </row>
    <row r="610" spans="1:49">
      <c r="A610" s="401"/>
      <c r="L610" s="317">
        <f t="shared" si="426"/>
        <v>0</v>
      </c>
      <c r="M610" s="317"/>
      <c r="X610" s="401">
        <f t="shared" si="427"/>
        <v>0</v>
      </c>
      <c r="AM610" s="317">
        <f t="shared" si="428"/>
        <v>0</v>
      </c>
    </row>
    <row r="611" spans="1:49">
      <c r="A611" s="401"/>
      <c r="L611" s="317">
        <f t="shared" si="426"/>
        <v>0</v>
      </c>
      <c r="M611" s="317"/>
      <c r="X611" s="401">
        <f t="shared" si="427"/>
        <v>0</v>
      </c>
      <c r="AM611" s="317">
        <f t="shared" si="428"/>
        <v>0</v>
      </c>
    </row>
    <row r="612" spans="1:49">
      <c r="A612" s="401"/>
      <c r="L612" s="317">
        <f t="shared" si="426"/>
        <v>0</v>
      </c>
      <c r="M612" s="317"/>
      <c r="X612" s="401">
        <f t="shared" si="427"/>
        <v>0</v>
      </c>
      <c r="AM612" s="317">
        <f t="shared" si="428"/>
        <v>0</v>
      </c>
    </row>
    <row r="613" spans="1:49">
      <c r="A613" s="401"/>
      <c r="L613" s="317">
        <f t="shared" si="426"/>
        <v>0</v>
      </c>
      <c r="M613" s="317"/>
      <c r="X613" s="401">
        <f t="shared" si="427"/>
        <v>0</v>
      </c>
      <c r="AM613" s="317">
        <f t="shared" si="428"/>
        <v>0</v>
      </c>
    </row>
    <row r="614" spans="1:49">
      <c r="A614" s="401"/>
      <c r="L614" s="317">
        <f t="shared" si="426"/>
        <v>0</v>
      </c>
      <c r="M614" s="317"/>
      <c r="X614" s="401">
        <f t="shared" si="427"/>
        <v>0</v>
      </c>
      <c r="AM614" s="317">
        <f t="shared" si="428"/>
        <v>0</v>
      </c>
    </row>
    <row r="615" spans="1:49" ht="15.75" thickBot="1">
      <c r="A615" s="404"/>
      <c r="B615" s="237"/>
      <c r="C615" s="21"/>
      <c r="D615" s="21"/>
      <c r="E615" s="21"/>
      <c r="F615" s="21"/>
      <c r="G615" s="21"/>
      <c r="H615" s="21"/>
      <c r="I615" s="237"/>
      <c r="J615" s="237"/>
      <c r="K615" s="237"/>
      <c r="L615" s="318">
        <f t="shared" si="426"/>
        <v>0</v>
      </c>
      <c r="M615" s="318"/>
      <c r="N615" s="237"/>
      <c r="O615" s="21"/>
      <c r="P615" s="21"/>
      <c r="Q615" s="21"/>
      <c r="R615" s="21"/>
      <c r="S615" s="21"/>
      <c r="T615" s="21"/>
      <c r="U615" s="237"/>
      <c r="V615" s="237"/>
      <c r="W615" s="237"/>
      <c r="X615" s="404">
        <f t="shared" si="427"/>
        <v>0</v>
      </c>
      <c r="Y615" s="237"/>
      <c r="Z615" s="394"/>
      <c r="AA615" s="21"/>
      <c r="AB615" s="21"/>
      <c r="AC615" s="21"/>
      <c r="AD615" s="21"/>
      <c r="AE615" s="21"/>
      <c r="AF615" s="21"/>
      <c r="AG615" s="237"/>
      <c r="AH615" s="237"/>
      <c r="AI615" s="237"/>
      <c r="AJ615" s="237"/>
      <c r="AK615" s="237"/>
      <c r="AL615" s="237"/>
      <c r="AM615" s="318">
        <f t="shared" si="428"/>
        <v>0</v>
      </c>
      <c r="AN615" s="21"/>
      <c r="AO615" s="21"/>
      <c r="AP615" s="21"/>
      <c r="AQ615" s="21"/>
      <c r="AR615" s="23"/>
      <c r="AS615" s="21"/>
      <c r="AT615" s="21"/>
      <c r="AU615" s="237"/>
      <c r="AV615" s="237"/>
      <c r="AW615" s="21"/>
    </row>
    <row r="616" spans="1:49">
      <c r="A616" s="401"/>
      <c r="L616" s="317">
        <f t="shared" si="426"/>
        <v>0</v>
      </c>
      <c r="M616" s="317"/>
      <c r="X616" s="401">
        <f t="shared" si="427"/>
        <v>0</v>
      </c>
      <c r="AM616" s="317">
        <f t="shared" si="428"/>
        <v>0</v>
      </c>
    </row>
    <row r="617" spans="1:49">
      <c r="A617" s="401"/>
      <c r="L617" s="317">
        <f t="shared" si="426"/>
        <v>0</v>
      </c>
      <c r="M617" s="317"/>
      <c r="X617" s="401">
        <f t="shared" si="427"/>
        <v>0</v>
      </c>
      <c r="AM617" s="317">
        <f t="shared" si="428"/>
        <v>0</v>
      </c>
    </row>
    <row r="618" spans="1:49">
      <c r="A618" s="401"/>
      <c r="L618" s="317">
        <f t="shared" si="426"/>
        <v>0</v>
      </c>
      <c r="M618" s="317"/>
      <c r="X618" s="401">
        <f t="shared" si="427"/>
        <v>0</v>
      </c>
      <c r="AM618" s="317">
        <f t="shared" si="428"/>
        <v>0</v>
      </c>
    </row>
    <row r="619" spans="1:49">
      <c r="A619" s="401"/>
      <c r="L619" s="317">
        <f t="shared" si="426"/>
        <v>0</v>
      </c>
      <c r="M619" s="317"/>
      <c r="X619" s="401">
        <f t="shared" si="427"/>
        <v>0</v>
      </c>
      <c r="AM619" s="317">
        <f t="shared" si="428"/>
        <v>0</v>
      </c>
    </row>
    <row r="620" spans="1:49">
      <c r="A620" s="401"/>
      <c r="L620" s="317">
        <f t="shared" si="426"/>
        <v>0</v>
      </c>
      <c r="M620" s="317"/>
      <c r="X620" s="401">
        <f t="shared" si="427"/>
        <v>0</v>
      </c>
      <c r="AM620" s="317">
        <f t="shared" si="428"/>
        <v>0</v>
      </c>
    </row>
    <row r="621" spans="1:49">
      <c r="A621" s="401"/>
      <c r="L621" s="317">
        <f t="shared" si="426"/>
        <v>0</v>
      </c>
      <c r="M621" s="317"/>
      <c r="X621" s="401">
        <f t="shared" si="427"/>
        <v>0</v>
      </c>
      <c r="AM621" s="317">
        <f t="shared" si="428"/>
        <v>0</v>
      </c>
    </row>
    <row r="622" spans="1:49">
      <c r="A622" s="401"/>
      <c r="L622" s="317">
        <f t="shared" si="426"/>
        <v>0</v>
      </c>
      <c r="M622" s="317"/>
      <c r="X622" s="401">
        <f t="shared" si="427"/>
        <v>0</v>
      </c>
      <c r="AM622" s="317">
        <f t="shared" si="428"/>
        <v>0</v>
      </c>
    </row>
    <row r="623" spans="1:49">
      <c r="A623" s="401"/>
      <c r="L623" s="317">
        <f t="shared" si="426"/>
        <v>0</v>
      </c>
      <c r="M623" s="317"/>
      <c r="X623" s="401">
        <f t="shared" si="427"/>
        <v>0</v>
      </c>
      <c r="AM623" s="317">
        <f t="shared" si="428"/>
        <v>0</v>
      </c>
    </row>
    <row r="624" spans="1:49">
      <c r="A624" s="401"/>
      <c r="L624" s="317">
        <f t="shared" ref="L624:L687" si="429">IF(MOD(M624,12)=0,M624/12,L623)</f>
        <v>0</v>
      </c>
      <c r="M624" s="317"/>
      <c r="X624" s="401">
        <f t="shared" si="427"/>
        <v>0</v>
      </c>
      <c r="AM624" s="317">
        <f t="shared" si="428"/>
        <v>0</v>
      </c>
    </row>
    <row r="625" spans="1:49">
      <c r="A625" s="401"/>
      <c r="L625" s="317">
        <f t="shared" si="429"/>
        <v>0</v>
      </c>
      <c r="M625" s="317"/>
      <c r="X625" s="401">
        <f t="shared" si="427"/>
        <v>0</v>
      </c>
      <c r="AM625" s="317">
        <f t="shared" si="428"/>
        <v>0</v>
      </c>
    </row>
    <row r="626" spans="1:49">
      <c r="A626" s="401"/>
      <c r="L626" s="317">
        <f t="shared" si="429"/>
        <v>0</v>
      </c>
      <c r="M626" s="317"/>
      <c r="X626" s="401">
        <f t="shared" si="427"/>
        <v>0</v>
      </c>
      <c r="AM626" s="317">
        <f t="shared" si="428"/>
        <v>0</v>
      </c>
    </row>
    <row r="627" spans="1:49" ht="15.75" thickBot="1">
      <c r="A627" s="404"/>
      <c r="B627" s="237"/>
      <c r="C627" s="21"/>
      <c r="D627" s="21"/>
      <c r="E627" s="21"/>
      <c r="F627" s="21"/>
      <c r="G627" s="21"/>
      <c r="H627" s="21"/>
      <c r="I627" s="237"/>
      <c r="J627" s="237"/>
      <c r="K627" s="237"/>
      <c r="L627" s="318">
        <f t="shared" si="429"/>
        <v>0</v>
      </c>
      <c r="M627" s="318"/>
      <c r="N627" s="237"/>
      <c r="O627" s="21"/>
      <c r="P627" s="21"/>
      <c r="Q627" s="21"/>
      <c r="R627" s="21"/>
      <c r="S627" s="21"/>
      <c r="T627" s="21"/>
      <c r="U627" s="237"/>
      <c r="V627" s="237"/>
      <c r="W627" s="237"/>
      <c r="X627" s="404">
        <f t="shared" si="427"/>
        <v>0</v>
      </c>
      <c r="Y627" s="237"/>
      <c r="Z627" s="394"/>
      <c r="AA627" s="21"/>
      <c r="AB627" s="21"/>
      <c r="AC627" s="21"/>
      <c r="AD627" s="21"/>
      <c r="AE627" s="21"/>
      <c r="AF627" s="21"/>
      <c r="AG627" s="237"/>
      <c r="AH627" s="237"/>
      <c r="AI627" s="237"/>
      <c r="AJ627" s="237"/>
      <c r="AK627" s="237"/>
      <c r="AL627" s="237"/>
      <c r="AM627" s="318">
        <f t="shared" si="428"/>
        <v>0</v>
      </c>
      <c r="AN627" s="21"/>
      <c r="AO627" s="21"/>
      <c r="AP627" s="21"/>
      <c r="AQ627" s="21"/>
      <c r="AR627" s="23"/>
      <c r="AS627" s="21"/>
      <c r="AT627" s="21"/>
      <c r="AU627" s="237"/>
      <c r="AV627" s="237"/>
      <c r="AW627" s="21"/>
    </row>
    <row r="628" spans="1:49">
      <c r="A628" s="401"/>
      <c r="L628" s="317">
        <f t="shared" si="429"/>
        <v>0</v>
      </c>
      <c r="M628" s="317"/>
      <c r="X628" s="401">
        <f t="shared" si="427"/>
        <v>0</v>
      </c>
      <c r="AM628" s="317">
        <f t="shared" si="428"/>
        <v>0</v>
      </c>
    </row>
    <row r="629" spans="1:49">
      <c r="A629" s="401"/>
      <c r="L629" s="317">
        <f t="shared" si="429"/>
        <v>0</v>
      </c>
      <c r="M629" s="317"/>
      <c r="X629" s="401">
        <f t="shared" si="427"/>
        <v>0</v>
      </c>
      <c r="AM629" s="317">
        <f t="shared" si="428"/>
        <v>0</v>
      </c>
    </row>
    <row r="630" spans="1:49">
      <c r="A630" s="401"/>
      <c r="L630" s="317">
        <f t="shared" si="429"/>
        <v>0</v>
      </c>
      <c r="M630" s="317"/>
      <c r="X630" s="401">
        <f t="shared" si="427"/>
        <v>0</v>
      </c>
      <c r="AM630" s="317">
        <f t="shared" si="428"/>
        <v>0</v>
      </c>
    </row>
    <row r="631" spans="1:49">
      <c r="A631" s="401"/>
      <c r="L631" s="317">
        <f t="shared" si="429"/>
        <v>0</v>
      </c>
      <c r="M631" s="317"/>
      <c r="X631" s="401">
        <f t="shared" si="427"/>
        <v>0</v>
      </c>
      <c r="AM631" s="317">
        <f t="shared" si="428"/>
        <v>0</v>
      </c>
    </row>
    <row r="632" spans="1:49">
      <c r="A632" s="401"/>
      <c r="L632" s="317">
        <f t="shared" si="429"/>
        <v>0</v>
      </c>
      <c r="M632" s="317"/>
      <c r="X632" s="401">
        <f t="shared" si="427"/>
        <v>0</v>
      </c>
      <c r="AM632" s="317">
        <f t="shared" si="428"/>
        <v>0</v>
      </c>
    </row>
    <row r="633" spans="1:49">
      <c r="A633" s="401"/>
      <c r="L633" s="317">
        <f t="shared" si="429"/>
        <v>0</v>
      </c>
      <c r="M633" s="317"/>
      <c r="X633" s="401">
        <f t="shared" si="427"/>
        <v>0</v>
      </c>
      <c r="AM633" s="317">
        <f t="shared" si="428"/>
        <v>0</v>
      </c>
    </row>
    <row r="634" spans="1:49">
      <c r="A634" s="401"/>
      <c r="L634" s="317">
        <f t="shared" si="429"/>
        <v>0</v>
      </c>
      <c r="M634" s="317"/>
      <c r="X634" s="401">
        <f t="shared" si="427"/>
        <v>0</v>
      </c>
      <c r="AM634" s="317">
        <f t="shared" si="428"/>
        <v>0</v>
      </c>
    </row>
    <row r="635" spans="1:49">
      <c r="A635" s="401"/>
      <c r="L635" s="317">
        <f t="shared" si="429"/>
        <v>0</v>
      </c>
      <c r="M635" s="317"/>
      <c r="X635" s="401">
        <f t="shared" si="427"/>
        <v>0</v>
      </c>
      <c r="AM635" s="317">
        <f t="shared" si="428"/>
        <v>0</v>
      </c>
    </row>
    <row r="636" spans="1:49">
      <c r="A636" s="401"/>
      <c r="L636" s="317">
        <f t="shared" si="429"/>
        <v>0</v>
      </c>
      <c r="M636" s="317"/>
      <c r="X636" s="401">
        <f t="shared" si="427"/>
        <v>0</v>
      </c>
      <c r="AM636" s="317">
        <f t="shared" si="428"/>
        <v>0</v>
      </c>
    </row>
    <row r="637" spans="1:49">
      <c r="A637" s="401"/>
      <c r="L637" s="317">
        <f t="shared" si="429"/>
        <v>0</v>
      </c>
      <c r="M637" s="317"/>
      <c r="X637" s="401">
        <f t="shared" si="427"/>
        <v>0</v>
      </c>
      <c r="AM637" s="317">
        <f t="shared" si="428"/>
        <v>0</v>
      </c>
    </row>
    <row r="638" spans="1:49">
      <c r="A638" s="401"/>
      <c r="L638" s="317">
        <f t="shared" si="429"/>
        <v>0</v>
      </c>
      <c r="M638" s="317"/>
      <c r="X638" s="401">
        <f t="shared" si="427"/>
        <v>0</v>
      </c>
      <c r="AM638" s="317">
        <f t="shared" si="428"/>
        <v>0</v>
      </c>
    </row>
    <row r="639" spans="1:49" ht="15.75" thickBot="1">
      <c r="A639" s="404"/>
      <c r="B639" s="237"/>
      <c r="C639" s="21"/>
      <c r="D639" s="21"/>
      <c r="E639" s="21"/>
      <c r="F639" s="21"/>
      <c r="G639" s="21"/>
      <c r="H639" s="21"/>
      <c r="I639" s="237"/>
      <c r="J639" s="237"/>
      <c r="K639" s="237"/>
      <c r="L639" s="318">
        <f t="shared" si="429"/>
        <v>0</v>
      </c>
      <c r="M639" s="318"/>
      <c r="N639" s="237"/>
      <c r="O639" s="21"/>
      <c r="P639" s="21"/>
      <c r="Q639" s="21"/>
      <c r="R639" s="21"/>
      <c r="S639" s="21"/>
      <c r="T639" s="21"/>
      <c r="U639" s="237"/>
      <c r="V639" s="237"/>
      <c r="W639" s="237"/>
      <c r="X639" s="404">
        <f t="shared" si="427"/>
        <v>0</v>
      </c>
      <c r="Y639" s="237"/>
      <c r="Z639" s="394"/>
      <c r="AA639" s="21"/>
      <c r="AB639" s="21"/>
      <c r="AC639" s="21"/>
      <c r="AD639" s="21"/>
      <c r="AE639" s="21"/>
      <c r="AF639" s="21"/>
      <c r="AG639" s="237"/>
      <c r="AH639" s="237"/>
      <c r="AI639" s="237"/>
      <c r="AJ639" s="237"/>
      <c r="AK639" s="237"/>
      <c r="AL639" s="237"/>
      <c r="AM639" s="318">
        <f t="shared" si="428"/>
        <v>0</v>
      </c>
      <c r="AN639" s="21"/>
      <c r="AO639" s="21"/>
      <c r="AP639" s="21"/>
      <c r="AQ639" s="21"/>
      <c r="AR639" s="23"/>
      <c r="AS639" s="21"/>
      <c r="AT639" s="21"/>
      <c r="AU639" s="237"/>
      <c r="AV639" s="237"/>
      <c r="AW639" s="21"/>
    </row>
    <row r="640" spans="1:49">
      <c r="A640" s="401"/>
      <c r="L640" s="317">
        <f t="shared" si="429"/>
        <v>0</v>
      </c>
      <c r="M640" s="317"/>
      <c r="X640" s="401">
        <f t="shared" si="427"/>
        <v>0</v>
      </c>
      <c r="AM640" s="317">
        <f t="shared" si="428"/>
        <v>0</v>
      </c>
    </row>
    <row r="641" spans="1:49">
      <c r="A641" s="401"/>
      <c r="L641" s="317">
        <f t="shared" si="429"/>
        <v>0</v>
      </c>
      <c r="M641" s="317"/>
      <c r="X641" s="401">
        <f t="shared" si="427"/>
        <v>0</v>
      </c>
      <c r="AM641" s="317">
        <f t="shared" si="428"/>
        <v>0</v>
      </c>
    </row>
    <row r="642" spans="1:49">
      <c r="A642" s="401"/>
      <c r="L642" s="317">
        <f t="shared" si="429"/>
        <v>0</v>
      </c>
      <c r="M642" s="317"/>
      <c r="X642" s="401">
        <f t="shared" si="427"/>
        <v>0</v>
      </c>
      <c r="AM642" s="317">
        <f t="shared" si="428"/>
        <v>0</v>
      </c>
    </row>
    <row r="643" spans="1:49">
      <c r="A643" s="401"/>
      <c r="L643" s="317">
        <f t="shared" si="429"/>
        <v>0</v>
      </c>
      <c r="M643" s="317"/>
      <c r="X643" s="401">
        <f t="shared" si="427"/>
        <v>0</v>
      </c>
      <c r="AM643" s="317">
        <f t="shared" si="428"/>
        <v>0</v>
      </c>
    </row>
    <row r="644" spans="1:49">
      <c r="A644" s="401"/>
      <c r="L644" s="317">
        <f t="shared" si="429"/>
        <v>0</v>
      </c>
      <c r="M644" s="317"/>
      <c r="X644" s="401">
        <f t="shared" si="427"/>
        <v>0</v>
      </c>
      <c r="AM644" s="317">
        <f t="shared" si="428"/>
        <v>0</v>
      </c>
    </row>
    <row r="645" spans="1:49">
      <c r="A645" s="401"/>
      <c r="L645" s="317">
        <f t="shared" si="429"/>
        <v>0</v>
      </c>
      <c r="M645" s="317"/>
      <c r="X645" s="401">
        <f t="shared" si="427"/>
        <v>0</v>
      </c>
      <c r="AM645" s="317">
        <f t="shared" si="428"/>
        <v>0</v>
      </c>
    </row>
    <row r="646" spans="1:49">
      <c r="A646" s="401"/>
      <c r="L646" s="317">
        <f t="shared" si="429"/>
        <v>0</v>
      </c>
      <c r="M646" s="317"/>
      <c r="X646" s="401">
        <f t="shared" si="427"/>
        <v>0</v>
      </c>
      <c r="AM646" s="317">
        <f t="shared" si="428"/>
        <v>0</v>
      </c>
    </row>
    <row r="647" spans="1:49">
      <c r="A647" s="401"/>
      <c r="L647" s="317">
        <f t="shared" si="429"/>
        <v>0</v>
      </c>
      <c r="M647" s="317"/>
      <c r="X647" s="401">
        <f t="shared" si="427"/>
        <v>0</v>
      </c>
      <c r="AM647" s="317">
        <f t="shared" si="428"/>
        <v>0</v>
      </c>
    </row>
    <row r="648" spans="1:49">
      <c r="A648" s="401"/>
      <c r="L648" s="317">
        <f t="shared" si="429"/>
        <v>0</v>
      </c>
      <c r="M648" s="317"/>
      <c r="X648" s="401">
        <f t="shared" si="427"/>
        <v>0</v>
      </c>
      <c r="AM648" s="317">
        <f t="shared" si="428"/>
        <v>0</v>
      </c>
    </row>
    <row r="649" spans="1:49">
      <c r="A649" s="401"/>
      <c r="L649" s="317">
        <f t="shared" si="429"/>
        <v>0</v>
      </c>
      <c r="M649" s="317"/>
      <c r="X649" s="401">
        <f t="shared" si="427"/>
        <v>0</v>
      </c>
      <c r="AM649" s="317">
        <f t="shared" si="428"/>
        <v>0</v>
      </c>
    </row>
    <row r="650" spans="1:49">
      <c r="A650" s="401"/>
      <c r="L650" s="317">
        <f t="shared" si="429"/>
        <v>0</v>
      </c>
      <c r="M650" s="317"/>
      <c r="X650" s="401">
        <f t="shared" si="427"/>
        <v>0</v>
      </c>
      <c r="AM650" s="317">
        <f t="shared" si="428"/>
        <v>0</v>
      </c>
    </row>
    <row r="651" spans="1:49" ht="15.75" thickBot="1">
      <c r="A651" s="404"/>
      <c r="B651" s="237"/>
      <c r="C651" s="21"/>
      <c r="D651" s="21"/>
      <c r="E651" s="21"/>
      <c r="F651" s="21"/>
      <c r="G651" s="21"/>
      <c r="H651" s="21"/>
      <c r="I651" s="237"/>
      <c r="J651" s="237"/>
      <c r="K651" s="237"/>
      <c r="L651" s="318">
        <f t="shared" si="429"/>
        <v>0</v>
      </c>
      <c r="M651" s="318"/>
      <c r="N651" s="237"/>
      <c r="O651" s="21"/>
      <c r="P651" s="21"/>
      <c r="Q651" s="21"/>
      <c r="R651" s="21"/>
      <c r="S651" s="21"/>
      <c r="T651" s="21"/>
      <c r="U651" s="237"/>
      <c r="V651" s="237"/>
      <c r="W651" s="237"/>
      <c r="X651" s="404">
        <f t="shared" si="427"/>
        <v>0</v>
      </c>
      <c r="Y651" s="237"/>
      <c r="Z651" s="394"/>
      <c r="AA651" s="21"/>
      <c r="AB651" s="21"/>
      <c r="AC651" s="21"/>
      <c r="AD651" s="21"/>
      <c r="AE651" s="21"/>
      <c r="AF651" s="21"/>
      <c r="AG651" s="237"/>
      <c r="AH651" s="237"/>
      <c r="AI651" s="237"/>
      <c r="AJ651" s="237"/>
      <c r="AK651" s="237"/>
      <c r="AL651" s="237"/>
      <c r="AM651" s="318">
        <f t="shared" si="428"/>
        <v>0</v>
      </c>
      <c r="AN651" s="21"/>
      <c r="AO651" s="21"/>
      <c r="AP651" s="21"/>
      <c r="AQ651" s="21"/>
      <c r="AR651" s="23"/>
      <c r="AS651" s="21"/>
      <c r="AT651" s="21"/>
      <c r="AU651" s="237"/>
      <c r="AV651" s="237"/>
      <c r="AW651" s="21"/>
    </row>
    <row r="652" spans="1:49">
      <c r="A652" s="401"/>
      <c r="L652" s="317">
        <f t="shared" si="429"/>
        <v>0</v>
      </c>
      <c r="M652" s="317"/>
      <c r="X652" s="401">
        <f t="shared" si="427"/>
        <v>0</v>
      </c>
      <c r="AM652" s="317">
        <f t="shared" si="428"/>
        <v>0</v>
      </c>
    </row>
    <row r="653" spans="1:49">
      <c r="A653" s="401"/>
      <c r="L653" s="317">
        <f t="shared" si="429"/>
        <v>0</v>
      </c>
      <c r="M653" s="317"/>
      <c r="X653" s="401">
        <f t="shared" si="427"/>
        <v>0</v>
      </c>
      <c r="AM653" s="317">
        <f t="shared" si="428"/>
        <v>0</v>
      </c>
    </row>
    <row r="654" spans="1:49">
      <c r="A654" s="401"/>
      <c r="L654" s="317">
        <f t="shared" si="429"/>
        <v>0</v>
      </c>
      <c r="M654" s="317"/>
      <c r="X654" s="401">
        <f t="shared" si="427"/>
        <v>0</v>
      </c>
      <c r="AM654" s="317">
        <f t="shared" si="428"/>
        <v>0</v>
      </c>
    </row>
    <row r="655" spans="1:49">
      <c r="A655" s="401"/>
      <c r="L655" s="317">
        <f t="shared" si="429"/>
        <v>0</v>
      </c>
      <c r="M655" s="317"/>
      <c r="X655" s="401">
        <f t="shared" si="427"/>
        <v>0</v>
      </c>
      <c r="AM655" s="317">
        <f t="shared" si="428"/>
        <v>0</v>
      </c>
    </row>
    <row r="656" spans="1:49">
      <c r="A656" s="401"/>
      <c r="L656" s="317">
        <f t="shared" si="429"/>
        <v>0</v>
      </c>
      <c r="M656" s="317"/>
      <c r="X656" s="401">
        <f t="shared" si="427"/>
        <v>0</v>
      </c>
      <c r="AM656" s="317">
        <f t="shared" si="428"/>
        <v>0</v>
      </c>
    </row>
    <row r="657" spans="1:49">
      <c r="A657" s="401"/>
      <c r="L657" s="317">
        <f t="shared" si="429"/>
        <v>0</v>
      </c>
      <c r="M657" s="317"/>
      <c r="X657" s="401">
        <f t="shared" ref="X657:X720" si="430">+A657</f>
        <v>0</v>
      </c>
      <c r="AM657" s="317">
        <f t="shared" ref="AM657:AM720" si="431">+L657</f>
        <v>0</v>
      </c>
    </row>
    <row r="658" spans="1:49">
      <c r="A658" s="401"/>
      <c r="L658" s="317">
        <f t="shared" si="429"/>
        <v>0</v>
      </c>
      <c r="M658" s="317"/>
      <c r="X658" s="401">
        <f t="shared" si="430"/>
        <v>0</v>
      </c>
      <c r="AM658" s="317">
        <f t="shared" si="431"/>
        <v>0</v>
      </c>
    </row>
    <row r="659" spans="1:49">
      <c r="A659" s="401"/>
      <c r="L659" s="317">
        <f t="shared" si="429"/>
        <v>0</v>
      </c>
      <c r="M659" s="317"/>
      <c r="X659" s="401">
        <f t="shared" si="430"/>
        <v>0</v>
      </c>
      <c r="AM659" s="317">
        <f t="shared" si="431"/>
        <v>0</v>
      </c>
    </row>
    <row r="660" spans="1:49">
      <c r="A660" s="401"/>
      <c r="L660" s="317">
        <f t="shared" si="429"/>
        <v>0</v>
      </c>
      <c r="M660" s="317"/>
      <c r="X660" s="401">
        <f t="shared" si="430"/>
        <v>0</v>
      </c>
      <c r="AM660" s="317">
        <f t="shared" si="431"/>
        <v>0</v>
      </c>
    </row>
    <row r="661" spans="1:49">
      <c r="A661" s="401"/>
      <c r="L661" s="317">
        <f t="shared" si="429"/>
        <v>0</v>
      </c>
      <c r="M661" s="317"/>
      <c r="X661" s="401">
        <f t="shared" si="430"/>
        <v>0</v>
      </c>
      <c r="AM661" s="317">
        <f t="shared" si="431"/>
        <v>0</v>
      </c>
    </row>
    <row r="662" spans="1:49">
      <c r="A662" s="401"/>
      <c r="L662" s="317">
        <f t="shared" si="429"/>
        <v>0</v>
      </c>
      <c r="M662" s="317"/>
      <c r="X662" s="401">
        <f t="shared" si="430"/>
        <v>0</v>
      </c>
      <c r="AM662" s="317">
        <f t="shared" si="431"/>
        <v>0</v>
      </c>
    </row>
    <row r="663" spans="1:49" ht="15.75" thickBot="1">
      <c r="A663" s="404"/>
      <c r="B663" s="237"/>
      <c r="C663" s="21"/>
      <c r="D663" s="21"/>
      <c r="E663" s="21"/>
      <c r="F663" s="21"/>
      <c r="G663" s="21"/>
      <c r="H663" s="21"/>
      <c r="I663" s="237"/>
      <c r="J663" s="237"/>
      <c r="K663" s="237"/>
      <c r="L663" s="318">
        <f t="shared" si="429"/>
        <v>0</v>
      </c>
      <c r="M663" s="318"/>
      <c r="N663" s="237"/>
      <c r="O663" s="21"/>
      <c r="P663" s="21"/>
      <c r="Q663" s="21"/>
      <c r="R663" s="21"/>
      <c r="S663" s="21"/>
      <c r="T663" s="21"/>
      <c r="U663" s="237"/>
      <c r="V663" s="237"/>
      <c r="W663" s="237"/>
      <c r="X663" s="404">
        <f t="shared" si="430"/>
        <v>0</v>
      </c>
      <c r="Y663" s="237"/>
      <c r="Z663" s="394"/>
      <c r="AA663" s="21"/>
      <c r="AB663" s="21"/>
      <c r="AC663" s="21"/>
      <c r="AD663" s="21"/>
      <c r="AE663" s="21"/>
      <c r="AF663" s="21"/>
      <c r="AG663" s="237"/>
      <c r="AH663" s="237"/>
      <c r="AI663" s="237"/>
      <c r="AJ663" s="237"/>
      <c r="AK663" s="237"/>
      <c r="AL663" s="237"/>
      <c r="AM663" s="318">
        <f t="shared" si="431"/>
        <v>0</v>
      </c>
      <c r="AN663" s="21"/>
      <c r="AO663" s="21"/>
      <c r="AP663" s="21"/>
      <c r="AQ663" s="21"/>
      <c r="AR663" s="23"/>
      <c r="AS663" s="21"/>
      <c r="AT663" s="21"/>
      <c r="AU663" s="237"/>
      <c r="AV663" s="237"/>
      <c r="AW663" s="21"/>
    </row>
    <row r="664" spans="1:49">
      <c r="A664" s="401"/>
      <c r="L664" s="317">
        <f t="shared" si="429"/>
        <v>0</v>
      </c>
      <c r="M664" s="317"/>
      <c r="X664" s="401">
        <f t="shared" si="430"/>
        <v>0</v>
      </c>
      <c r="AM664" s="317">
        <f t="shared" si="431"/>
        <v>0</v>
      </c>
    </row>
    <row r="665" spans="1:49">
      <c r="A665" s="401"/>
      <c r="L665" s="317">
        <f t="shared" si="429"/>
        <v>0</v>
      </c>
      <c r="M665" s="317"/>
      <c r="X665" s="401">
        <f t="shared" si="430"/>
        <v>0</v>
      </c>
      <c r="AM665" s="317">
        <f t="shared" si="431"/>
        <v>0</v>
      </c>
    </row>
    <row r="666" spans="1:49">
      <c r="A666" s="401"/>
      <c r="L666" s="317">
        <f t="shared" si="429"/>
        <v>0</v>
      </c>
      <c r="M666" s="317"/>
      <c r="X666" s="401">
        <f t="shared" si="430"/>
        <v>0</v>
      </c>
      <c r="AM666" s="317">
        <f t="shared" si="431"/>
        <v>0</v>
      </c>
    </row>
    <row r="667" spans="1:49">
      <c r="A667" s="401"/>
      <c r="L667" s="317">
        <f t="shared" si="429"/>
        <v>0</v>
      </c>
      <c r="M667" s="317"/>
      <c r="X667" s="401">
        <f t="shared" si="430"/>
        <v>0</v>
      </c>
      <c r="AM667" s="317">
        <f t="shared" si="431"/>
        <v>0</v>
      </c>
    </row>
    <row r="668" spans="1:49">
      <c r="A668" s="401"/>
      <c r="L668" s="317">
        <f t="shared" si="429"/>
        <v>0</v>
      </c>
      <c r="M668" s="317"/>
      <c r="X668" s="401">
        <f t="shared" si="430"/>
        <v>0</v>
      </c>
      <c r="AM668" s="317">
        <f t="shared" si="431"/>
        <v>0</v>
      </c>
    </row>
    <row r="669" spans="1:49">
      <c r="A669" s="401"/>
      <c r="L669" s="317">
        <f t="shared" si="429"/>
        <v>0</v>
      </c>
      <c r="M669" s="317"/>
      <c r="X669" s="401">
        <f t="shared" si="430"/>
        <v>0</v>
      </c>
      <c r="AM669" s="317">
        <f t="shared" si="431"/>
        <v>0</v>
      </c>
    </row>
    <row r="670" spans="1:49">
      <c r="A670" s="401"/>
      <c r="L670" s="317">
        <f t="shared" si="429"/>
        <v>0</v>
      </c>
      <c r="M670" s="317"/>
      <c r="X670" s="401">
        <f t="shared" si="430"/>
        <v>0</v>
      </c>
      <c r="AM670" s="317">
        <f t="shared" si="431"/>
        <v>0</v>
      </c>
    </row>
    <row r="671" spans="1:49">
      <c r="A671" s="401"/>
      <c r="L671" s="317">
        <f t="shared" si="429"/>
        <v>0</v>
      </c>
      <c r="M671" s="317"/>
      <c r="X671" s="401">
        <f t="shared" si="430"/>
        <v>0</v>
      </c>
      <c r="AM671" s="317">
        <f t="shared" si="431"/>
        <v>0</v>
      </c>
    </row>
    <row r="672" spans="1:49">
      <c r="A672" s="401"/>
      <c r="L672" s="317">
        <f t="shared" si="429"/>
        <v>0</v>
      </c>
      <c r="M672" s="317"/>
      <c r="X672" s="401">
        <f t="shared" si="430"/>
        <v>0</v>
      </c>
      <c r="AM672" s="317">
        <f t="shared" si="431"/>
        <v>0</v>
      </c>
    </row>
    <row r="673" spans="1:49">
      <c r="A673" s="401"/>
      <c r="L673" s="317">
        <f t="shared" si="429"/>
        <v>0</v>
      </c>
      <c r="M673" s="317"/>
      <c r="X673" s="401">
        <f t="shared" si="430"/>
        <v>0</v>
      </c>
      <c r="AM673" s="317">
        <f t="shared" si="431"/>
        <v>0</v>
      </c>
    </row>
    <row r="674" spans="1:49">
      <c r="A674" s="401"/>
      <c r="L674" s="317">
        <f t="shared" si="429"/>
        <v>0</v>
      </c>
      <c r="M674" s="317"/>
      <c r="X674" s="401">
        <f t="shared" si="430"/>
        <v>0</v>
      </c>
      <c r="AM674" s="317">
        <f t="shared" si="431"/>
        <v>0</v>
      </c>
    </row>
    <row r="675" spans="1:49" ht="15.75" thickBot="1">
      <c r="A675" s="404"/>
      <c r="B675" s="237"/>
      <c r="C675" s="21"/>
      <c r="D675" s="21"/>
      <c r="E675" s="21"/>
      <c r="F675" s="21"/>
      <c r="G675" s="21"/>
      <c r="H675" s="21"/>
      <c r="I675" s="237"/>
      <c r="J675" s="237"/>
      <c r="K675" s="237"/>
      <c r="L675" s="318">
        <f t="shared" si="429"/>
        <v>0</v>
      </c>
      <c r="M675" s="318"/>
      <c r="N675" s="237"/>
      <c r="O675" s="21"/>
      <c r="P675" s="21"/>
      <c r="Q675" s="21"/>
      <c r="R675" s="21"/>
      <c r="S675" s="21"/>
      <c r="T675" s="21"/>
      <c r="U675" s="237"/>
      <c r="V675" s="237"/>
      <c r="W675" s="237"/>
      <c r="X675" s="404">
        <f t="shared" si="430"/>
        <v>0</v>
      </c>
      <c r="Y675" s="237"/>
      <c r="Z675" s="394"/>
      <c r="AA675" s="21"/>
      <c r="AB675" s="21"/>
      <c r="AC675" s="21"/>
      <c r="AD675" s="21"/>
      <c r="AE675" s="21"/>
      <c r="AF675" s="21"/>
      <c r="AG675" s="237"/>
      <c r="AH675" s="237"/>
      <c r="AI675" s="237"/>
      <c r="AJ675" s="237"/>
      <c r="AK675" s="237"/>
      <c r="AL675" s="237"/>
      <c r="AM675" s="318">
        <f t="shared" si="431"/>
        <v>0</v>
      </c>
      <c r="AN675" s="21"/>
      <c r="AO675" s="21"/>
      <c r="AP675" s="21"/>
      <c r="AQ675" s="21"/>
      <c r="AR675" s="23"/>
      <c r="AS675" s="21"/>
      <c r="AT675" s="21"/>
      <c r="AU675" s="237"/>
      <c r="AV675" s="237"/>
      <c r="AW675" s="21"/>
    </row>
    <row r="676" spans="1:49">
      <c r="A676" s="401"/>
      <c r="L676" s="317">
        <f t="shared" si="429"/>
        <v>0</v>
      </c>
      <c r="M676" s="317"/>
      <c r="X676" s="401">
        <f t="shared" si="430"/>
        <v>0</v>
      </c>
      <c r="AM676" s="317">
        <f t="shared" si="431"/>
        <v>0</v>
      </c>
    </row>
    <row r="677" spans="1:49">
      <c r="A677" s="401"/>
      <c r="L677" s="317">
        <f t="shared" si="429"/>
        <v>0</v>
      </c>
      <c r="M677" s="317"/>
      <c r="X677" s="401">
        <f t="shared" si="430"/>
        <v>0</v>
      </c>
      <c r="AM677" s="317">
        <f t="shared" si="431"/>
        <v>0</v>
      </c>
    </row>
    <row r="678" spans="1:49">
      <c r="A678" s="401"/>
      <c r="L678" s="317">
        <f t="shared" si="429"/>
        <v>0</v>
      </c>
      <c r="M678" s="317"/>
      <c r="X678" s="401">
        <f t="shared" si="430"/>
        <v>0</v>
      </c>
      <c r="AM678" s="317">
        <f t="shared" si="431"/>
        <v>0</v>
      </c>
    </row>
    <row r="679" spans="1:49">
      <c r="A679" s="401"/>
      <c r="L679" s="317">
        <f t="shared" si="429"/>
        <v>0</v>
      </c>
      <c r="M679" s="317"/>
      <c r="X679" s="401">
        <f t="shared" si="430"/>
        <v>0</v>
      </c>
      <c r="AM679" s="317">
        <f t="shared" si="431"/>
        <v>0</v>
      </c>
    </row>
    <row r="680" spans="1:49">
      <c r="A680" s="401"/>
      <c r="L680" s="317">
        <f t="shared" si="429"/>
        <v>0</v>
      </c>
      <c r="M680" s="317"/>
      <c r="X680" s="401">
        <f t="shared" si="430"/>
        <v>0</v>
      </c>
      <c r="AM680" s="317">
        <f t="shared" si="431"/>
        <v>0</v>
      </c>
    </row>
    <row r="681" spans="1:49">
      <c r="A681" s="401"/>
      <c r="L681" s="317">
        <f t="shared" si="429"/>
        <v>0</v>
      </c>
      <c r="M681" s="317"/>
      <c r="X681" s="401">
        <f t="shared" si="430"/>
        <v>0</v>
      </c>
      <c r="AM681" s="317">
        <f t="shared" si="431"/>
        <v>0</v>
      </c>
    </row>
    <row r="682" spans="1:49">
      <c r="A682" s="401"/>
      <c r="L682" s="317">
        <f t="shared" si="429"/>
        <v>0</v>
      </c>
      <c r="M682" s="317"/>
      <c r="X682" s="401">
        <f t="shared" si="430"/>
        <v>0</v>
      </c>
      <c r="AM682" s="317">
        <f t="shared" si="431"/>
        <v>0</v>
      </c>
    </row>
    <row r="683" spans="1:49">
      <c r="A683" s="401"/>
      <c r="L683" s="317">
        <f t="shared" si="429"/>
        <v>0</v>
      </c>
      <c r="M683" s="317"/>
      <c r="X683" s="401">
        <f t="shared" si="430"/>
        <v>0</v>
      </c>
      <c r="AM683" s="317">
        <f t="shared" si="431"/>
        <v>0</v>
      </c>
    </row>
    <row r="684" spans="1:49">
      <c r="A684" s="401"/>
      <c r="L684" s="317">
        <f t="shared" si="429"/>
        <v>0</v>
      </c>
      <c r="M684" s="317"/>
      <c r="X684" s="401">
        <f t="shared" si="430"/>
        <v>0</v>
      </c>
      <c r="AM684" s="317">
        <f t="shared" si="431"/>
        <v>0</v>
      </c>
    </row>
    <row r="685" spans="1:49">
      <c r="A685" s="401"/>
      <c r="L685" s="317">
        <f t="shared" si="429"/>
        <v>0</v>
      </c>
      <c r="M685" s="317"/>
      <c r="X685" s="401">
        <f t="shared" si="430"/>
        <v>0</v>
      </c>
      <c r="AM685" s="317">
        <f t="shared" si="431"/>
        <v>0</v>
      </c>
    </row>
    <row r="686" spans="1:49">
      <c r="A686" s="401"/>
      <c r="L686" s="317">
        <f t="shared" si="429"/>
        <v>0</v>
      </c>
      <c r="M686" s="317"/>
      <c r="X686" s="401">
        <f t="shared" si="430"/>
        <v>0</v>
      </c>
      <c r="AM686" s="317">
        <f t="shared" si="431"/>
        <v>0</v>
      </c>
    </row>
    <row r="687" spans="1:49" ht="15.75" thickBot="1">
      <c r="A687" s="404"/>
      <c r="B687" s="237"/>
      <c r="C687" s="21"/>
      <c r="D687" s="21"/>
      <c r="E687" s="21"/>
      <c r="F687" s="21"/>
      <c r="G687" s="21"/>
      <c r="H687" s="21"/>
      <c r="I687" s="237"/>
      <c r="J687" s="237"/>
      <c r="K687" s="237"/>
      <c r="L687" s="318">
        <f t="shared" si="429"/>
        <v>0</v>
      </c>
      <c r="M687" s="318"/>
      <c r="N687" s="237"/>
      <c r="O687" s="21"/>
      <c r="P687" s="21"/>
      <c r="Q687" s="21"/>
      <c r="R687" s="21"/>
      <c r="S687" s="21"/>
      <c r="T687" s="21"/>
      <c r="U687" s="237"/>
      <c r="V687" s="237"/>
      <c r="W687" s="237"/>
      <c r="X687" s="404">
        <f t="shared" si="430"/>
        <v>0</v>
      </c>
      <c r="Y687" s="237"/>
      <c r="Z687" s="394"/>
      <c r="AA687" s="21"/>
      <c r="AB687" s="21"/>
      <c r="AC687" s="21"/>
      <c r="AD687" s="21"/>
      <c r="AE687" s="21"/>
      <c r="AF687" s="21"/>
      <c r="AG687" s="237"/>
      <c r="AH687" s="237"/>
      <c r="AI687" s="237"/>
      <c r="AJ687" s="237"/>
      <c r="AK687" s="237"/>
      <c r="AL687" s="237"/>
      <c r="AM687" s="318">
        <f t="shared" si="431"/>
        <v>0</v>
      </c>
      <c r="AN687" s="21"/>
      <c r="AO687" s="21"/>
      <c r="AP687" s="21"/>
      <c r="AQ687" s="21"/>
      <c r="AR687" s="23"/>
      <c r="AS687" s="21"/>
      <c r="AT687" s="21"/>
      <c r="AU687" s="237"/>
      <c r="AV687" s="237"/>
      <c r="AW687" s="21"/>
    </row>
    <row r="688" spans="1:49">
      <c r="A688" s="401"/>
      <c r="L688" s="317">
        <f t="shared" ref="L688:L751" si="432">IF(MOD(M688,12)=0,M688/12,L687)</f>
        <v>0</v>
      </c>
      <c r="M688" s="317"/>
      <c r="X688" s="401">
        <f t="shared" si="430"/>
        <v>0</v>
      </c>
      <c r="AM688" s="317">
        <f t="shared" si="431"/>
        <v>0</v>
      </c>
    </row>
    <row r="689" spans="1:49">
      <c r="A689" s="401"/>
      <c r="L689" s="317">
        <f t="shared" si="432"/>
        <v>0</v>
      </c>
      <c r="M689" s="317"/>
      <c r="X689" s="401">
        <f t="shared" si="430"/>
        <v>0</v>
      </c>
      <c r="AM689" s="317">
        <f t="shared" si="431"/>
        <v>0</v>
      </c>
    </row>
    <row r="690" spans="1:49">
      <c r="A690" s="401"/>
      <c r="L690" s="317">
        <f t="shared" si="432"/>
        <v>0</v>
      </c>
      <c r="M690" s="317"/>
      <c r="X690" s="401">
        <f t="shared" si="430"/>
        <v>0</v>
      </c>
      <c r="AM690" s="317">
        <f t="shared" si="431"/>
        <v>0</v>
      </c>
    </row>
    <row r="691" spans="1:49">
      <c r="A691" s="401"/>
      <c r="L691" s="317">
        <f t="shared" si="432"/>
        <v>0</v>
      </c>
      <c r="M691" s="317"/>
      <c r="X691" s="401">
        <f t="shared" si="430"/>
        <v>0</v>
      </c>
      <c r="AM691" s="317">
        <f t="shared" si="431"/>
        <v>0</v>
      </c>
    </row>
    <row r="692" spans="1:49">
      <c r="A692" s="401"/>
      <c r="L692" s="317">
        <f t="shared" si="432"/>
        <v>0</v>
      </c>
      <c r="M692" s="317"/>
      <c r="X692" s="401">
        <f t="shared" si="430"/>
        <v>0</v>
      </c>
      <c r="AM692" s="317">
        <f t="shared" si="431"/>
        <v>0</v>
      </c>
    </row>
    <row r="693" spans="1:49">
      <c r="A693" s="401"/>
      <c r="L693" s="317">
        <f t="shared" si="432"/>
        <v>0</v>
      </c>
      <c r="M693" s="317"/>
      <c r="X693" s="401">
        <f t="shared" si="430"/>
        <v>0</v>
      </c>
      <c r="AM693" s="317">
        <f t="shared" si="431"/>
        <v>0</v>
      </c>
    </row>
    <row r="694" spans="1:49">
      <c r="A694" s="401"/>
      <c r="L694" s="317">
        <f t="shared" si="432"/>
        <v>0</v>
      </c>
      <c r="M694" s="317"/>
      <c r="X694" s="401">
        <f t="shared" si="430"/>
        <v>0</v>
      </c>
      <c r="AM694" s="317">
        <f t="shared" si="431"/>
        <v>0</v>
      </c>
    </row>
    <row r="695" spans="1:49">
      <c r="A695" s="401"/>
      <c r="L695" s="317">
        <f t="shared" si="432"/>
        <v>0</v>
      </c>
      <c r="M695" s="317"/>
      <c r="X695" s="401">
        <f t="shared" si="430"/>
        <v>0</v>
      </c>
      <c r="AM695" s="317">
        <f t="shared" si="431"/>
        <v>0</v>
      </c>
    </row>
    <row r="696" spans="1:49">
      <c r="A696" s="401"/>
      <c r="L696" s="317">
        <f t="shared" si="432"/>
        <v>0</v>
      </c>
      <c r="M696" s="317"/>
      <c r="X696" s="401">
        <f t="shared" si="430"/>
        <v>0</v>
      </c>
      <c r="AM696" s="317">
        <f t="shared" si="431"/>
        <v>0</v>
      </c>
    </row>
    <row r="697" spans="1:49">
      <c r="A697" s="401"/>
      <c r="L697" s="317">
        <f t="shared" si="432"/>
        <v>0</v>
      </c>
      <c r="M697" s="317"/>
      <c r="X697" s="401">
        <f t="shared" si="430"/>
        <v>0</v>
      </c>
      <c r="AM697" s="317">
        <f t="shared" si="431"/>
        <v>0</v>
      </c>
    </row>
    <row r="698" spans="1:49">
      <c r="A698" s="401"/>
      <c r="L698" s="317">
        <f t="shared" si="432"/>
        <v>0</v>
      </c>
      <c r="M698" s="317"/>
      <c r="X698" s="401">
        <f t="shared" si="430"/>
        <v>0</v>
      </c>
      <c r="AM698" s="317">
        <f t="shared" si="431"/>
        <v>0</v>
      </c>
    </row>
    <row r="699" spans="1:49" ht="15.75" thickBot="1">
      <c r="A699" s="404"/>
      <c r="B699" s="237"/>
      <c r="C699" s="21"/>
      <c r="D699" s="21"/>
      <c r="E699" s="21"/>
      <c r="F699" s="21"/>
      <c r="G699" s="21"/>
      <c r="H699" s="21"/>
      <c r="I699" s="237"/>
      <c r="J699" s="237"/>
      <c r="K699" s="237"/>
      <c r="L699" s="318">
        <f t="shared" si="432"/>
        <v>0</v>
      </c>
      <c r="M699" s="318"/>
      <c r="N699" s="237"/>
      <c r="O699" s="21"/>
      <c r="P699" s="21"/>
      <c r="Q699" s="21"/>
      <c r="R699" s="21"/>
      <c r="S699" s="21"/>
      <c r="T699" s="21"/>
      <c r="U699" s="237"/>
      <c r="V699" s="237"/>
      <c r="W699" s="237"/>
      <c r="X699" s="404">
        <f t="shared" si="430"/>
        <v>0</v>
      </c>
      <c r="Y699" s="237"/>
      <c r="Z699" s="394"/>
      <c r="AA699" s="21"/>
      <c r="AB699" s="21"/>
      <c r="AC699" s="21"/>
      <c r="AD699" s="21"/>
      <c r="AE699" s="21"/>
      <c r="AF699" s="21"/>
      <c r="AG699" s="237"/>
      <c r="AH699" s="237"/>
      <c r="AI699" s="237"/>
      <c r="AJ699" s="237"/>
      <c r="AK699" s="237"/>
      <c r="AL699" s="237"/>
      <c r="AM699" s="318">
        <f t="shared" si="431"/>
        <v>0</v>
      </c>
      <c r="AN699" s="21"/>
      <c r="AO699" s="21"/>
      <c r="AP699" s="21"/>
      <c r="AQ699" s="21"/>
      <c r="AR699" s="23"/>
      <c r="AS699" s="21"/>
      <c r="AT699" s="21"/>
      <c r="AU699" s="237"/>
      <c r="AV699" s="237"/>
      <c r="AW699" s="21"/>
    </row>
    <row r="700" spans="1:49">
      <c r="A700" s="401"/>
      <c r="L700" s="317">
        <f t="shared" si="432"/>
        <v>0</v>
      </c>
      <c r="M700" s="317"/>
      <c r="X700" s="401">
        <f t="shared" si="430"/>
        <v>0</v>
      </c>
      <c r="AM700" s="317">
        <f t="shared" si="431"/>
        <v>0</v>
      </c>
    </row>
    <row r="701" spans="1:49">
      <c r="A701" s="401"/>
      <c r="L701" s="317">
        <f t="shared" si="432"/>
        <v>0</v>
      </c>
      <c r="M701" s="317"/>
      <c r="X701" s="401">
        <f t="shared" si="430"/>
        <v>0</v>
      </c>
      <c r="AM701" s="317">
        <f t="shared" si="431"/>
        <v>0</v>
      </c>
    </row>
    <row r="702" spans="1:49">
      <c r="A702" s="401"/>
      <c r="L702" s="317">
        <f t="shared" si="432"/>
        <v>0</v>
      </c>
      <c r="M702" s="317"/>
      <c r="X702" s="401">
        <f t="shared" si="430"/>
        <v>0</v>
      </c>
      <c r="AM702" s="317">
        <f t="shared" si="431"/>
        <v>0</v>
      </c>
    </row>
    <row r="703" spans="1:49">
      <c r="A703" s="401"/>
      <c r="L703" s="317">
        <f t="shared" si="432"/>
        <v>0</v>
      </c>
      <c r="M703" s="317"/>
      <c r="X703" s="401">
        <f t="shared" si="430"/>
        <v>0</v>
      </c>
      <c r="AM703" s="317">
        <f t="shared" si="431"/>
        <v>0</v>
      </c>
    </row>
    <row r="704" spans="1:49">
      <c r="A704" s="401"/>
      <c r="L704" s="317">
        <f t="shared" si="432"/>
        <v>0</v>
      </c>
      <c r="M704" s="317"/>
      <c r="X704" s="401">
        <f t="shared" si="430"/>
        <v>0</v>
      </c>
      <c r="AM704" s="317">
        <f t="shared" si="431"/>
        <v>0</v>
      </c>
    </row>
    <row r="705" spans="1:49">
      <c r="A705" s="401"/>
      <c r="L705" s="317">
        <f t="shared" si="432"/>
        <v>0</v>
      </c>
      <c r="M705" s="317"/>
      <c r="X705" s="401">
        <f t="shared" si="430"/>
        <v>0</v>
      </c>
      <c r="AM705" s="317">
        <f t="shared" si="431"/>
        <v>0</v>
      </c>
    </row>
    <row r="706" spans="1:49">
      <c r="A706" s="401"/>
      <c r="L706" s="317">
        <f t="shared" si="432"/>
        <v>0</v>
      </c>
      <c r="M706" s="317"/>
      <c r="X706" s="401">
        <f t="shared" si="430"/>
        <v>0</v>
      </c>
      <c r="AM706" s="317">
        <f t="shared" si="431"/>
        <v>0</v>
      </c>
    </row>
    <row r="707" spans="1:49">
      <c r="A707" s="401"/>
      <c r="L707" s="317">
        <f t="shared" si="432"/>
        <v>0</v>
      </c>
      <c r="M707" s="317"/>
      <c r="X707" s="401">
        <f t="shared" si="430"/>
        <v>0</v>
      </c>
      <c r="AM707" s="317">
        <f t="shared" si="431"/>
        <v>0</v>
      </c>
    </row>
    <row r="708" spans="1:49">
      <c r="A708" s="401"/>
      <c r="L708" s="317">
        <f t="shared" si="432"/>
        <v>0</v>
      </c>
      <c r="M708" s="317"/>
      <c r="X708" s="401">
        <f t="shared" si="430"/>
        <v>0</v>
      </c>
      <c r="AM708" s="317">
        <f t="shared" si="431"/>
        <v>0</v>
      </c>
    </row>
    <row r="709" spans="1:49">
      <c r="A709" s="401"/>
      <c r="L709" s="317">
        <f t="shared" si="432"/>
        <v>0</v>
      </c>
      <c r="M709" s="317"/>
      <c r="X709" s="401">
        <f t="shared" si="430"/>
        <v>0</v>
      </c>
      <c r="AM709" s="317">
        <f t="shared" si="431"/>
        <v>0</v>
      </c>
    </row>
    <row r="710" spans="1:49">
      <c r="A710" s="401"/>
      <c r="L710" s="317">
        <f t="shared" si="432"/>
        <v>0</v>
      </c>
      <c r="M710" s="317"/>
      <c r="X710" s="401">
        <f t="shared" si="430"/>
        <v>0</v>
      </c>
      <c r="AM710" s="317">
        <f t="shared" si="431"/>
        <v>0</v>
      </c>
    </row>
    <row r="711" spans="1:49" ht="15.75" thickBot="1">
      <c r="A711" s="404"/>
      <c r="B711" s="237"/>
      <c r="C711" s="21"/>
      <c r="D711" s="21"/>
      <c r="E711" s="21"/>
      <c r="F711" s="21"/>
      <c r="G711" s="21"/>
      <c r="H711" s="21"/>
      <c r="I711" s="237"/>
      <c r="J711" s="237"/>
      <c r="K711" s="237"/>
      <c r="L711" s="318">
        <f t="shared" si="432"/>
        <v>0</v>
      </c>
      <c r="M711" s="318"/>
      <c r="N711" s="237"/>
      <c r="O711" s="21"/>
      <c r="P711" s="21"/>
      <c r="Q711" s="21"/>
      <c r="R711" s="21"/>
      <c r="S711" s="21"/>
      <c r="T711" s="21"/>
      <c r="U711" s="237"/>
      <c r="V711" s="237"/>
      <c r="W711" s="237"/>
      <c r="X711" s="404">
        <f t="shared" si="430"/>
        <v>0</v>
      </c>
      <c r="Y711" s="237"/>
      <c r="Z711" s="394"/>
      <c r="AA711" s="21"/>
      <c r="AB711" s="21"/>
      <c r="AC711" s="21"/>
      <c r="AD711" s="21"/>
      <c r="AE711" s="21"/>
      <c r="AF711" s="21"/>
      <c r="AG711" s="237"/>
      <c r="AH711" s="237"/>
      <c r="AI711" s="237"/>
      <c r="AJ711" s="237"/>
      <c r="AK711" s="237"/>
      <c r="AL711" s="237"/>
      <c r="AM711" s="318">
        <f t="shared" si="431"/>
        <v>0</v>
      </c>
      <c r="AN711" s="21"/>
      <c r="AO711" s="21"/>
      <c r="AP711" s="21"/>
      <c r="AQ711" s="21"/>
      <c r="AR711" s="23"/>
      <c r="AS711" s="21"/>
      <c r="AT711" s="21"/>
      <c r="AU711" s="237"/>
      <c r="AV711" s="237"/>
      <c r="AW711" s="21"/>
    </row>
    <row r="712" spans="1:49">
      <c r="A712" s="401"/>
      <c r="L712" s="317">
        <f t="shared" si="432"/>
        <v>0</v>
      </c>
      <c r="M712" s="317"/>
      <c r="X712" s="401">
        <f t="shared" si="430"/>
        <v>0</v>
      </c>
      <c r="AM712" s="317">
        <f t="shared" si="431"/>
        <v>0</v>
      </c>
    </row>
    <row r="713" spans="1:49">
      <c r="A713" s="401"/>
      <c r="L713" s="317">
        <f t="shared" si="432"/>
        <v>0</v>
      </c>
      <c r="M713" s="317"/>
      <c r="X713" s="401">
        <f t="shared" si="430"/>
        <v>0</v>
      </c>
      <c r="AM713" s="317">
        <f t="shared" si="431"/>
        <v>0</v>
      </c>
    </row>
    <row r="714" spans="1:49">
      <c r="A714" s="401"/>
      <c r="L714" s="317">
        <f t="shared" si="432"/>
        <v>0</v>
      </c>
      <c r="M714" s="317"/>
      <c r="X714" s="401">
        <f t="shared" si="430"/>
        <v>0</v>
      </c>
      <c r="AM714" s="317">
        <f t="shared" si="431"/>
        <v>0</v>
      </c>
    </row>
    <row r="715" spans="1:49">
      <c r="A715" s="401"/>
      <c r="L715" s="317">
        <f t="shared" si="432"/>
        <v>0</v>
      </c>
      <c r="M715" s="317"/>
      <c r="X715" s="401">
        <f t="shared" si="430"/>
        <v>0</v>
      </c>
      <c r="AM715" s="317">
        <f t="shared" si="431"/>
        <v>0</v>
      </c>
    </row>
    <row r="716" spans="1:49">
      <c r="A716" s="401"/>
      <c r="L716" s="317">
        <f t="shared" si="432"/>
        <v>0</v>
      </c>
      <c r="M716" s="317"/>
      <c r="X716" s="401">
        <f t="shared" si="430"/>
        <v>0</v>
      </c>
      <c r="AM716" s="317">
        <f t="shared" si="431"/>
        <v>0</v>
      </c>
    </row>
    <row r="717" spans="1:49">
      <c r="A717" s="401"/>
      <c r="L717" s="317">
        <f t="shared" si="432"/>
        <v>0</v>
      </c>
      <c r="M717" s="317"/>
      <c r="X717" s="401">
        <f t="shared" si="430"/>
        <v>0</v>
      </c>
      <c r="AM717" s="317">
        <f t="shared" si="431"/>
        <v>0</v>
      </c>
    </row>
    <row r="718" spans="1:49">
      <c r="A718" s="401"/>
      <c r="L718" s="317">
        <f t="shared" si="432"/>
        <v>0</v>
      </c>
      <c r="M718" s="317"/>
      <c r="X718" s="401">
        <f t="shared" si="430"/>
        <v>0</v>
      </c>
      <c r="AM718" s="317">
        <f t="shared" si="431"/>
        <v>0</v>
      </c>
    </row>
    <row r="719" spans="1:49">
      <c r="A719" s="401"/>
      <c r="L719" s="317">
        <f t="shared" si="432"/>
        <v>0</v>
      </c>
      <c r="M719" s="317"/>
      <c r="X719" s="401">
        <f t="shared" si="430"/>
        <v>0</v>
      </c>
      <c r="AM719" s="317">
        <f t="shared" si="431"/>
        <v>0</v>
      </c>
    </row>
    <row r="720" spans="1:49">
      <c r="A720" s="401"/>
      <c r="L720" s="317">
        <f t="shared" si="432"/>
        <v>0</v>
      </c>
      <c r="M720" s="317"/>
      <c r="X720" s="401">
        <f t="shared" si="430"/>
        <v>0</v>
      </c>
      <c r="AM720" s="317">
        <f t="shared" si="431"/>
        <v>0</v>
      </c>
    </row>
    <row r="721" spans="1:49">
      <c r="A721" s="401"/>
      <c r="L721" s="317">
        <f t="shared" si="432"/>
        <v>0</v>
      </c>
      <c r="M721" s="317"/>
      <c r="X721" s="401">
        <f t="shared" ref="X721:X783" si="433">+A721</f>
        <v>0</v>
      </c>
      <c r="AM721" s="317">
        <f t="shared" ref="AM721:AM724" si="434">+L721</f>
        <v>0</v>
      </c>
    </row>
    <row r="722" spans="1:49">
      <c r="A722" s="401"/>
      <c r="L722" s="317">
        <f t="shared" si="432"/>
        <v>0</v>
      </c>
      <c r="M722" s="317"/>
      <c r="X722" s="401">
        <f t="shared" si="433"/>
        <v>0</v>
      </c>
      <c r="AM722" s="317">
        <f t="shared" si="434"/>
        <v>0</v>
      </c>
    </row>
    <row r="723" spans="1:49" ht="15.75" thickBot="1">
      <c r="A723" s="404"/>
      <c r="B723" s="237"/>
      <c r="C723" s="21"/>
      <c r="D723" s="21"/>
      <c r="E723" s="21"/>
      <c r="F723" s="21"/>
      <c r="G723" s="21"/>
      <c r="H723" s="21"/>
      <c r="I723" s="237"/>
      <c r="J723" s="237"/>
      <c r="K723" s="237"/>
      <c r="L723" s="318">
        <f t="shared" si="432"/>
        <v>0</v>
      </c>
      <c r="M723" s="318"/>
      <c r="N723" s="237"/>
      <c r="O723" s="21"/>
      <c r="P723" s="21"/>
      <c r="Q723" s="21"/>
      <c r="R723" s="21"/>
      <c r="S723" s="21"/>
      <c r="T723" s="21"/>
      <c r="U723" s="237"/>
      <c r="V723" s="237"/>
      <c r="W723" s="237"/>
      <c r="X723" s="404">
        <f t="shared" si="433"/>
        <v>0</v>
      </c>
      <c r="Y723" s="237"/>
      <c r="Z723" s="394"/>
      <c r="AA723" s="21"/>
      <c r="AB723" s="21"/>
      <c r="AC723" s="21"/>
      <c r="AD723" s="21"/>
      <c r="AE723" s="21"/>
      <c r="AF723" s="21"/>
      <c r="AG723" s="237"/>
      <c r="AH723" s="237"/>
      <c r="AI723" s="237"/>
      <c r="AJ723" s="237"/>
      <c r="AK723" s="237"/>
      <c r="AL723" s="237"/>
      <c r="AM723" s="318">
        <f t="shared" si="434"/>
        <v>0</v>
      </c>
      <c r="AN723" s="21"/>
      <c r="AO723" s="21"/>
      <c r="AP723" s="21"/>
      <c r="AQ723" s="21"/>
      <c r="AR723" s="23"/>
      <c r="AS723" s="21"/>
      <c r="AT723" s="21"/>
      <c r="AU723" s="237"/>
      <c r="AV723" s="237"/>
      <c r="AW723" s="21"/>
    </row>
    <row r="724" spans="1:49">
      <c r="A724" s="401"/>
      <c r="L724" s="317">
        <f t="shared" si="432"/>
        <v>0</v>
      </c>
      <c r="M724" s="317"/>
      <c r="X724" s="401">
        <f t="shared" si="433"/>
        <v>0</v>
      </c>
      <c r="AM724" s="317">
        <f t="shared" si="434"/>
        <v>0</v>
      </c>
    </row>
    <row r="725" spans="1:49">
      <c r="A725" s="401"/>
      <c r="L725" s="317">
        <f t="shared" si="432"/>
        <v>0</v>
      </c>
      <c r="M725" s="317"/>
      <c r="X725" s="401">
        <f t="shared" si="433"/>
        <v>0</v>
      </c>
      <c r="AM725" s="317"/>
    </row>
    <row r="726" spans="1:49">
      <c r="A726" s="401"/>
      <c r="L726" s="317">
        <f t="shared" si="432"/>
        <v>0</v>
      </c>
      <c r="M726" s="317"/>
      <c r="X726" s="401">
        <f t="shared" si="433"/>
        <v>0</v>
      </c>
      <c r="AM726" s="317"/>
    </row>
    <row r="727" spans="1:49">
      <c r="A727" s="401"/>
      <c r="L727" s="317">
        <f t="shared" si="432"/>
        <v>0</v>
      </c>
      <c r="M727" s="317"/>
      <c r="X727" s="401">
        <f t="shared" si="433"/>
        <v>0</v>
      </c>
      <c r="AM727" s="317"/>
    </row>
    <row r="728" spans="1:49">
      <c r="A728" s="401"/>
      <c r="L728" s="317">
        <f t="shared" si="432"/>
        <v>0</v>
      </c>
      <c r="M728" s="317"/>
      <c r="X728" s="401">
        <f t="shared" si="433"/>
        <v>0</v>
      </c>
      <c r="AM728" s="317"/>
    </row>
    <row r="729" spans="1:49">
      <c r="A729" s="401"/>
      <c r="L729" s="317">
        <f t="shared" si="432"/>
        <v>0</v>
      </c>
      <c r="M729" s="317"/>
      <c r="X729" s="401">
        <f t="shared" si="433"/>
        <v>0</v>
      </c>
      <c r="AM729" s="317"/>
    </row>
    <row r="730" spans="1:49">
      <c r="A730" s="401"/>
      <c r="L730" s="317">
        <f t="shared" si="432"/>
        <v>0</v>
      </c>
      <c r="M730" s="317"/>
      <c r="X730" s="401">
        <f t="shared" si="433"/>
        <v>0</v>
      </c>
      <c r="AM730" s="317"/>
    </row>
    <row r="731" spans="1:49">
      <c r="A731" s="401"/>
      <c r="L731" s="317">
        <f t="shared" si="432"/>
        <v>0</v>
      </c>
      <c r="M731" s="317"/>
      <c r="X731" s="401">
        <f t="shared" si="433"/>
        <v>0</v>
      </c>
      <c r="AM731" s="317"/>
    </row>
    <row r="732" spans="1:49">
      <c r="A732" s="401"/>
      <c r="L732" s="317">
        <f t="shared" si="432"/>
        <v>0</v>
      </c>
      <c r="M732" s="317"/>
      <c r="X732" s="401">
        <f t="shared" si="433"/>
        <v>0</v>
      </c>
      <c r="AM732" s="317"/>
    </row>
    <row r="733" spans="1:49">
      <c r="A733" s="401"/>
      <c r="L733" s="317">
        <f t="shared" si="432"/>
        <v>0</v>
      </c>
      <c r="M733" s="317"/>
      <c r="X733" s="401">
        <f t="shared" si="433"/>
        <v>0</v>
      </c>
      <c r="AM733" s="317"/>
    </row>
    <row r="734" spans="1:49">
      <c r="A734" s="401"/>
      <c r="L734" s="317">
        <f t="shared" si="432"/>
        <v>0</v>
      </c>
      <c r="M734" s="317"/>
      <c r="X734" s="401">
        <f t="shared" si="433"/>
        <v>0</v>
      </c>
      <c r="AM734" s="317"/>
    </row>
    <row r="735" spans="1:49" ht="15.75" thickBot="1">
      <c r="A735" s="404"/>
      <c r="B735" s="237"/>
      <c r="C735" s="21"/>
      <c r="D735" s="21"/>
      <c r="E735" s="21"/>
      <c r="F735" s="21"/>
      <c r="G735" s="21"/>
      <c r="H735" s="21"/>
      <c r="I735" s="237"/>
      <c r="J735" s="237"/>
      <c r="K735" s="237"/>
      <c r="L735" s="318">
        <f t="shared" si="432"/>
        <v>0</v>
      </c>
      <c r="M735" s="318"/>
      <c r="N735" s="237"/>
      <c r="O735" s="21"/>
      <c r="P735" s="21"/>
      <c r="Q735" s="21"/>
      <c r="R735" s="21"/>
      <c r="S735" s="21"/>
      <c r="T735" s="21"/>
      <c r="U735" s="237"/>
      <c r="V735" s="237"/>
      <c r="W735" s="237"/>
      <c r="X735" s="404">
        <f t="shared" si="433"/>
        <v>0</v>
      </c>
      <c r="Y735" s="237"/>
      <c r="Z735" s="394"/>
      <c r="AA735" s="21"/>
      <c r="AB735" s="21"/>
      <c r="AC735" s="21"/>
      <c r="AD735" s="21"/>
      <c r="AE735" s="21"/>
      <c r="AF735" s="21"/>
      <c r="AG735" s="237"/>
      <c r="AH735" s="237"/>
      <c r="AI735" s="237"/>
      <c r="AJ735" s="237"/>
      <c r="AK735" s="237"/>
      <c r="AL735" s="237"/>
      <c r="AM735" s="318"/>
      <c r="AN735" s="21"/>
      <c r="AO735" s="21"/>
      <c r="AP735" s="21"/>
      <c r="AQ735" s="21"/>
      <c r="AR735" s="23"/>
      <c r="AS735" s="21"/>
      <c r="AT735" s="21"/>
      <c r="AU735" s="237"/>
      <c r="AV735" s="237"/>
      <c r="AW735" s="21"/>
    </row>
    <row r="736" spans="1:49">
      <c r="A736" s="401"/>
      <c r="L736" s="317">
        <f t="shared" si="432"/>
        <v>0</v>
      </c>
      <c r="M736" s="317"/>
      <c r="X736" s="401">
        <f t="shared" si="433"/>
        <v>0</v>
      </c>
      <c r="AM736" s="317"/>
    </row>
    <row r="737" spans="1:49">
      <c r="A737" s="401"/>
      <c r="L737" s="317">
        <f t="shared" si="432"/>
        <v>0</v>
      </c>
      <c r="M737" s="317"/>
      <c r="X737" s="401">
        <f t="shared" si="433"/>
        <v>0</v>
      </c>
      <c r="AM737" s="317"/>
    </row>
    <row r="738" spans="1:49">
      <c r="A738" s="401"/>
      <c r="L738" s="317">
        <f t="shared" si="432"/>
        <v>0</v>
      </c>
      <c r="M738" s="317"/>
      <c r="X738" s="401">
        <f t="shared" si="433"/>
        <v>0</v>
      </c>
      <c r="AM738" s="317"/>
    </row>
    <row r="739" spans="1:49">
      <c r="A739" s="401"/>
      <c r="L739" s="317">
        <f t="shared" si="432"/>
        <v>0</v>
      </c>
      <c r="M739" s="317"/>
      <c r="X739" s="401">
        <f t="shared" si="433"/>
        <v>0</v>
      </c>
      <c r="AM739" s="317"/>
    </row>
    <row r="740" spans="1:49">
      <c r="A740" s="401"/>
      <c r="L740" s="317">
        <f t="shared" si="432"/>
        <v>0</v>
      </c>
      <c r="M740" s="317"/>
      <c r="X740" s="401">
        <f t="shared" si="433"/>
        <v>0</v>
      </c>
      <c r="AM740" s="317"/>
    </row>
    <row r="741" spans="1:49">
      <c r="A741" s="401"/>
      <c r="L741" s="317">
        <f t="shared" si="432"/>
        <v>0</v>
      </c>
      <c r="M741" s="317"/>
      <c r="X741" s="401">
        <f t="shared" si="433"/>
        <v>0</v>
      </c>
      <c r="AM741" s="317"/>
    </row>
    <row r="742" spans="1:49">
      <c r="A742" s="401"/>
      <c r="L742" s="317">
        <f t="shared" si="432"/>
        <v>0</v>
      </c>
      <c r="M742" s="317"/>
      <c r="X742" s="401">
        <f t="shared" si="433"/>
        <v>0</v>
      </c>
      <c r="AM742" s="317"/>
    </row>
    <row r="743" spans="1:49">
      <c r="A743" s="401"/>
      <c r="L743" s="317">
        <f t="shared" si="432"/>
        <v>0</v>
      </c>
      <c r="M743" s="317"/>
      <c r="X743" s="401">
        <f t="shared" si="433"/>
        <v>0</v>
      </c>
      <c r="AM743" s="317"/>
    </row>
    <row r="744" spans="1:49">
      <c r="A744" s="401"/>
      <c r="L744" s="317">
        <f t="shared" si="432"/>
        <v>0</v>
      </c>
      <c r="M744" s="317"/>
      <c r="X744" s="401">
        <f t="shared" si="433"/>
        <v>0</v>
      </c>
      <c r="AM744" s="317"/>
    </row>
    <row r="745" spans="1:49">
      <c r="A745" s="401"/>
      <c r="L745" s="317">
        <f t="shared" si="432"/>
        <v>0</v>
      </c>
      <c r="M745" s="317"/>
      <c r="X745" s="401">
        <f t="shared" si="433"/>
        <v>0</v>
      </c>
      <c r="AM745" s="317"/>
    </row>
    <row r="746" spans="1:49">
      <c r="A746" s="401"/>
      <c r="L746" s="317">
        <f t="shared" si="432"/>
        <v>0</v>
      </c>
      <c r="M746" s="317"/>
      <c r="X746" s="401">
        <f t="shared" si="433"/>
        <v>0</v>
      </c>
      <c r="AM746" s="317"/>
    </row>
    <row r="747" spans="1:49" ht="15.75" thickBot="1">
      <c r="A747" s="404"/>
      <c r="B747" s="237"/>
      <c r="C747" s="21"/>
      <c r="D747" s="21"/>
      <c r="E747" s="21"/>
      <c r="F747" s="21"/>
      <c r="G747" s="21"/>
      <c r="H747" s="21"/>
      <c r="I747" s="237"/>
      <c r="J747" s="237"/>
      <c r="K747" s="237"/>
      <c r="L747" s="318">
        <f t="shared" si="432"/>
        <v>0</v>
      </c>
      <c r="M747" s="318"/>
      <c r="N747" s="237"/>
      <c r="O747" s="21"/>
      <c r="P747" s="21"/>
      <c r="Q747" s="21"/>
      <c r="R747" s="21"/>
      <c r="S747" s="21"/>
      <c r="T747" s="21"/>
      <c r="U747" s="237"/>
      <c r="V747" s="237"/>
      <c r="W747" s="237"/>
      <c r="X747" s="404">
        <f t="shared" si="433"/>
        <v>0</v>
      </c>
      <c r="Y747" s="237"/>
      <c r="Z747" s="394"/>
      <c r="AA747" s="21"/>
      <c r="AB747" s="21"/>
      <c r="AC747" s="21"/>
      <c r="AD747" s="21"/>
      <c r="AE747" s="21"/>
      <c r="AF747" s="21"/>
      <c r="AG747" s="237"/>
      <c r="AH747" s="237"/>
      <c r="AI747" s="237"/>
      <c r="AJ747" s="237"/>
      <c r="AK747" s="237"/>
      <c r="AL747" s="237"/>
      <c r="AM747" s="318"/>
      <c r="AN747" s="21"/>
      <c r="AO747" s="21"/>
      <c r="AP747" s="21"/>
      <c r="AQ747" s="21"/>
      <c r="AR747" s="23"/>
      <c r="AS747" s="21"/>
      <c r="AT747" s="21"/>
      <c r="AU747" s="237"/>
      <c r="AV747" s="237"/>
      <c r="AW747" s="21"/>
    </row>
    <row r="748" spans="1:49">
      <c r="A748" s="401"/>
      <c r="L748" s="317">
        <f t="shared" si="432"/>
        <v>0</v>
      </c>
      <c r="M748" s="317"/>
      <c r="X748" s="401">
        <f t="shared" si="433"/>
        <v>0</v>
      </c>
      <c r="AM748" s="317"/>
    </row>
    <row r="749" spans="1:49">
      <c r="A749" s="401"/>
      <c r="L749" s="317">
        <f t="shared" si="432"/>
        <v>0</v>
      </c>
      <c r="M749" s="317"/>
      <c r="X749" s="401">
        <f t="shared" si="433"/>
        <v>0</v>
      </c>
      <c r="AM749" s="317"/>
    </row>
    <row r="750" spans="1:49">
      <c r="A750" s="401"/>
      <c r="L750" s="317">
        <f t="shared" si="432"/>
        <v>0</v>
      </c>
      <c r="M750" s="317"/>
      <c r="X750" s="401">
        <f t="shared" si="433"/>
        <v>0</v>
      </c>
      <c r="AM750" s="317"/>
    </row>
    <row r="751" spans="1:49">
      <c r="A751" s="401"/>
      <c r="L751" s="317">
        <f t="shared" si="432"/>
        <v>0</v>
      </c>
      <c r="M751" s="317"/>
      <c r="X751" s="401">
        <f t="shared" si="433"/>
        <v>0</v>
      </c>
      <c r="AM751" s="317"/>
    </row>
    <row r="752" spans="1:49">
      <c r="A752" s="401"/>
      <c r="L752" s="317">
        <f t="shared" ref="L752:L783" si="435">IF(MOD(M752,12)=0,M752/12,L751)</f>
        <v>0</v>
      </c>
      <c r="M752" s="317"/>
      <c r="X752" s="401">
        <f t="shared" si="433"/>
        <v>0</v>
      </c>
      <c r="AM752" s="317"/>
    </row>
    <row r="753" spans="1:49">
      <c r="A753" s="401"/>
      <c r="L753" s="317">
        <f t="shared" si="435"/>
        <v>0</v>
      </c>
      <c r="M753" s="317"/>
      <c r="X753" s="401">
        <f t="shared" si="433"/>
        <v>0</v>
      </c>
      <c r="AM753" s="317"/>
    </row>
    <row r="754" spans="1:49">
      <c r="A754" s="401"/>
      <c r="L754" s="317">
        <f t="shared" si="435"/>
        <v>0</v>
      </c>
      <c r="M754" s="317"/>
      <c r="X754" s="401">
        <f t="shared" si="433"/>
        <v>0</v>
      </c>
      <c r="AM754" s="317"/>
    </row>
    <row r="755" spans="1:49">
      <c r="A755" s="401"/>
      <c r="L755" s="317">
        <f t="shared" si="435"/>
        <v>0</v>
      </c>
      <c r="M755" s="317"/>
      <c r="X755" s="401">
        <f t="shared" si="433"/>
        <v>0</v>
      </c>
      <c r="AM755" s="317"/>
    </row>
    <row r="756" spans="1:49">
      <c r="A756" s="401"/>
      <c r="L756" s="317">
        <f t="shared" si="435"/>
        <v>0</v>
      </c>
      <c r="M756" s="317"/>
      <c r="X756" s="401">
        <f t="shared" si="433"/>
        <v>0</v>
      </c>
      <c r="AM756" s="317"/>
    </row>
    <row r="757" spans="1:49">
      <c r="A757" s="401"/>
      <c r="L757" s="317">
        <f t="shared" si="435"/>
        <v>0</v>
      </c>
      <c r="M757" s="317"/>
      <c r="X757" s="401">
        <f t="shared" si="433"/>
        <v>0</v>
      </c>
      <c r="AM757" s="317"/>
    </row>
    <row r="758" spans="1:49">
      <c r="A758" s="401"/>
      <c r="L758" s="317">
        <f t="shared" si="435"/>
        <v>0</v>
      </c>
      <c r="M758" s="317"/>
      <c r="X758" s="401">
        <f t="shared" si="433"/>
        <v>0</v>
      </c>
      <c r="AM758" s="317"/>
    </row>
    <row r="759" spans="1:49" ht="15.75" thickBot="1">
      <c r="A759" s="404"/>
      <c r="B759" s="237"/>
      <c r="C759" s="21"/>
      <c r="D759" s="21"/>
      <c r="E759" s="21"/>
      <c r="F759" s="21"/>
      <c r="G759" s="21"/>
      <c r="H759" s="21"/>
      <c r="I759" s="237"/>
      <c r="J759" s="237"/>
      <c r="K759" s="237"/>
      <c r="L759" s="318">
        <f t="shared" si="435"/>
        <v>0</v>
      </c>
      <c r="M759" s="318"/>
      <c r="N759" s="237"/>
      <c r="O759" s="21"/>
      <c r="P759" s="21"/>
      <c r="Q759" s="21"/>
      <c r="R759" s="21"/>
      <c r="S759" s="21"/>
      <c r="T759" s="21"/>
      <c r="U759" s="237"/>
      <c r="V759" s="237"/>
      <c r="W759" s="237"/>
      <c r="X759" s="404">
        <f t="shared" si="433"/>
        <v>0</v>
      </c>
      <c r="Y759" s="237"/>
      <c r="Z759" s="394"/>
      <c r="AA759" s="21"/>
      <c r="AB759" s="21"/>
      <c r="AC759" s="21"/>
      <c r="AD759" s="21"/>
      <c r="AE759" s="21"/>
      <c r="AF759" s="21"/>
      <c r="AG759" s="237"/>
      <c r="AH759" s="237"/>
      <c r="AI759" s="237"/>
      <c r="AJ759" s="237"/>
      <c r="AK759" s="237"/>
      <c r="AL759" s="237"/>
      <c r="AM759" s="318"/>
      <c r="AN759" s="21"/>
      <c r="AO759" s="21"/>
      <c r="AP759" s="21"/>
      <c r="AQ759" s="21"/>
      <c r="AR759" s="23"/>
      <c r="AS759" s="21"/>
      <c r="AT759" s="21"/>
      <c r="AU759" s="237"/>
      <c r="AV759" s="237"/>
      <c r="AW759" s="21"/>
    </row>
    <row r="760" spans="1:49">
      <c r="A760" s="401"/>
      <c r="L760" s="317">
        <f t="shared" si="435"/>
        <v>0</v>
      </c>
      <c r="M760" s="317"/>
      <c r="X760" s="401">
        <f t="shared" si="433"/>
        <v>0</v>
      </c>
      <c r="AM760" s="317"/>
    </row>
    <row r="761" spans="1:49">
      <c r="A761" s="401"/>
      <c r="L761" s="317">
        <f t="shared" si="435"/>
        <v>0</v>
      </c>
      <c r="M761" s="317"/>
      <c r="X761" s="401">
        <f t="shared" si="433"/>
        <v>0</v>
      </c>
      <c r="AM761" s="317"/>
    </row>
    <row r="762" spans="1:49">
      <c r="A762" s="401"/>
      <c r="L762" s="317">
        <f t="shared" si="435"/>
        <v>0</v>
      </c>
      <c r="M762" s="317"/>
      <c r="X762" s="401">
        <f t="shared" si="433"/>
        <v>0</v>
      </c>
      <c r="AM762" s="317"/>
    </row>
    <row r="763" spans="1:49">
      <c r="A763" s="401"/>
      <c r="L763" s="317">
        <f t="shared" si="435"/>
        <v>0</v>
      </c>
      <c r="M763" s="317"/>
      <c r="X763" s="401">
        <f t="shared" si="433"/>
        <v>0</v>
      </c>
      <c r="AM763" s="317"/>
    </row>
    <row r="764" spans="1:49">
      <c r="A764" s="401"/>
      <c r="L764" s="317">
        <f t="shared" si="435"/>
        <v>0</v>
      </c>
      <c r="M764" s="317"/>
      <c r="X764" s="401">
        <f t="shared" si="433"/>
        <v>0</v>
      </c>
      <c r="AM764" s="317"/>
    </row>
    <row r="765" spans="1:49">
      <c r="A765" s="401"/>
      <c r="L765" s="317">
        <f t="shared" si="435"/>
        <v>0</v>
      </c>
      <c r="M765" s="317"/>
      <c r="X765" s="401">
        <f t="shared" si="433"/>
        <v>0</v>
      </c>
      <c r="AM765" s="317"/>
    </row>
    <row r="766" spans="1:49">
      <c r="A766" s="401"/>
      <c r="L766" s="317">
        <f t="shared" si="435"/>
        <v>0</v>
      </c>
      <c r="M766" s="317"/>
      <c r="X766" s="401">
        <f t="shared" si="433"/>
        <v>0</v>
      </c>
      <c r="AM766" s="317"/>
    </row>
    <row r="767" spans="1:49">
      <c r="A767" s="401"/>
      <c r="L767" s="317">
        <f t="shared" si="435"/>
        <v>0</v>
      </c>
      <c r="M767" s="317"/>
      <c r="X767" s="401">
        <f t="shared" si="433"/>
        <v>0</v>
      </c>
      <c r="AM767" s="317"/>
    </row>
    <row r="768" spans="1:49">
      <c r="A768" s="401"/>
      <c r="L768" s="317">
        <f t="shared" si="435"/>
        <v>0</v>
      </c>
      <c r="M768" s="317"/>
      <c r="X768" s="401">
        <f t="shared" si="433"/>
        <v>0</v>
      </c>
      <c r="AM768" s="317"/>
    </row>
    <row r="769" spans="1:49">
      <c r="A769" s="401"/>
      <c r="L769" s="317">
        <f t="shared" si="435"/>
        <v>0</v>
      </c>
      <c r="M769" s="317"/>
      <c r="X769" s="401">
        <f t="shared" si="433"/>
        <v>0</v>
      </c>
      <c r="AM769" s="317"/>
    </row>
    <row r="770" spans="1:49">
      <c r="A770" s="401"/>
      <c r="L770" s="317">
        <f t="shared" si="435"/>
        <v>0</v>
      </c>
      <c r="M770" s="317"/>
      <c r="X770" s="401">
        <f t="shared" si="433"/>
        <v>0</v>
      </c>
      <c r="AM770" s="317"/>
    </row>
    <row r="771" spans="1:49" ht="15.75" thickBot="1">
      <c r="A771" s="404"/>
      <c r="B771" s="237"/>
      <c r="C771" s="21"/>
      <c r="D771" s="21"/>
      <c r="E771" s="21"/>
      <c r="F771" s="21"/>
      <c r="G771" s="21"/>
      <c r="H771" s="21"/>
      <c r="I771" s="237"/>
      <c r="J771" s="237"/>
      <c r="K771" s="237"/>
      <c r="L771" s="318">
        <f t="shared" si="435"/>
        <v>0</v>
      </c>
      <c r="M771" s="318"/>
      <c r="N771" s="237"/>
      <c r="O771" s="21"/>
      <c r="P771" s="21"/>
      <c r="Q771" s="21"/>
      <c r="R771" s="21"/>
      <c r="S771" s="21"/>
      <c r="T771" s="21"/>
      <c r="U771" s="237"/>
      <c r="V771" s="237"/>
      <c r="W771" s="237"/>
      <c r="X771" s="404">
        <f t="shared" si="433"/>
        <v>0</v>
      </c>
      <c r="Y771" s="237"/>
      <c r="Z771" s="394"/>
      <c r="AA771" s="21"/>
      <c r="AB771" s="21"/>
      <c r="AC771" s="21"/>
      <c r="AD771" s="21"/>
      <c r="AE771" s="21"/>
      <c r="AF771" s="21"/>
      <c r="AG771" s="237"/>
      <c r="AH771" s="237"/>
      <c r="AI771" s="237"/>
      <c r="AJ771" s="237"/>
      <c r="AK771" s="237"/>
      <c r="AL771" s="237"/>
      <c r="AM771" s="318"/>
      <c r="AN771" s="21"/>
      <c r="AO771" s="21"/>
      <c r="AP771" s="21"/>
      <c r="AQ771" s="21"/>
      <c r="AR771" s="23"/>
      <c r="AS771" s="21"/>
      <c r="AT771" s="21"/>
      <c r="AU771" s="237"/>
      <c r="AV771" s="237"/>
      <c r="AW771" s="21"/>
    </row>
    <row r="772" spans="1:49">
      <c r="A772" s="401"/>
      <c r="L772" s="317">
        <f t="shared" si="435"/>
        <v>0</v>
      </c>
      <c r="M772" s="317"/>
      <c r="X772" s="401">
        <f t="shared" si="433"/>
        <v>0</v>
      </c>
      <c r="AM772" s="317"/>
    </row>
    <row r="773" spans="1:49">
      <c r="A773" s="401"/>
      <c r="L773" s="317">
        <f t="shared" si="435"/>
        <v>0</v>
      </c>
      <c r="M773" s="317"/>
      <c r="X773" s="401">
        <f t="shared" si="433"/>
        <v>0</v>
      </c>
      <c r="AM773" s="317"/>
    </row>
    <row r="774" spans="1:49">
      <c r="A774" s="401"/>
      <c r="L774" s="317">
        <f t="shared" si="435"/>
        <v>0</v>
      </c>
      <c r="M774" s="317"/>
      <c r="X774" s="401">
        <f t="shared" si="433"/>
        <v>0</v>
      </c>
      <c r="AM774" s="317"/>
    </row>
    <row r="775" spans="1:49">
      <c r="A775" s="401"/>
      <c r="L775" s="317">
        <f t="shared" si="435"/>
        <v>0</v>
      </c>
      <c r="M775" s="317"/>
      <c r="X775" s="401">
        <f t="shared" si="433"/>
        <v>0</v>
      </c>
      <c r="AM775" s="317"/>
    </row>
    <row r="776" spans="1:49">
      <c r="A776" s="401"/>
      <c r="L776" s="317">
        <f t="shared" si="435"/>
        <v>0</v>
      </c>
      <c r="M776" s="317"/>
      <c r="X776" s="401">
        <f t="shared" si="433"/>
        <v>0</v>
      </c>
      <c r="AM776" s="317"/>
    </row>
    <row r="777" spans="1:49">
      <c r="A777" s="401"/>
      <c r="L777" s="317">
        <f t="shared" si="435"/>
        <v>0</v>
      </c>
      <c r="M777" s="317"/>
      <c r="X777" s="401">
        <f t="shared" si="433"/>
        <v>0</v>
      </c>
      <c r="AM777" s="317"/>
    </row>
    <row r="778" spans="1:49">
      <c r="A778" s="401"/>
      <c r="L778" s="317">
        <f t="shared" si="435"/>
        <v>0</v>
      </c>
      <c r="M778" s="317"/>
      <c r="X778" s="401">
        <f t="shared" si="433"/>
        <v>0</v>
      </c>
      <c r="AM778" s="317"/>
    </row>
    <row r="779" spans="1:49">
      <c r="A779" s="401"/>
      <c r="L779" s="317">
        <f t="shared" si="435"/>
        <v>0</v>
      </c>
      <c r="M779" s="317"/>
      <c r="X779" s="401">
        <f t="shared" si="433"/>
        <v>0</v>
      </c>
      <c r="AM779" s="317"/>
    </row>
    <row r="780" spans="1:49">
      <c r="A780" s="401"/>
      <c r="L780" s="317">
        <f t="shared" si="435"/>
        <v>0</v>
      </c>
      <c r="M780" s="317"/>
      <c r="X780" s="401">
        <f t="shared" si="433"/>
        <v>0</v>
      </c>
      <c r="AM780" s="317"/>
    </row>
    <row r="781" spans="1:49">
      <c r="A781" s="401"/>
      <c r="L781" s="317">
        <f t="shared" si="435"/>
        <v>0</v>
      </c>
      <c r="M781" s="317"/>
      <c r="X781" s="401">
        <f t="shared" si="433"/>
        <v>0</v>
      </c>
      <c r="AM781" s="317"/>
    </row>
    <row r="782" spans="1:49">
      <c r="A782" s="401"/>
      <c r="L782" s="317">
        <f t="shared" si="435"/>
        <v>0</v>
      </c>
      <c r="M782" s="317"/>
      <c r="X782" s="401">
        <f t="shared" si="433"/>
        <v>0</v>
      </c>
      <c r="AM782" s="317"/>
    </row>
    <row r="783" spans="1:49" ht="15.75" thickBot="1">
      <c r="A783" s="404"/>
      <c r="B783" s="237"/>
      <c r="C783" s="21"/>
      <c r="D783" s="21"/>
      <c r="E783" s="21"/>
      <c r="F783" s="21"/>
      <c r="G783" s="21"/>
      <c r="H783" s="21"/>
      <c r="I783" s="237"/>
      <c r="J783" s="237"/>
      <c r="K783" s="237"/>
      <c r="L783" s="318">
        <f t="shared" si="435"/>
        <v>0</v>
      </c>
      <c r="M783" s="318"/>
      <c r="N783" s="237"/>
      <c r="O783" s="21"/>
      <c r="P783" s="21"/>
      <c r="Q783" s="21"/>
      <c r="R783" s="21"/>
      <c r="S783" s="21"/>
      <c r="T783" s="21"/>
      <c r="U783" s="237"/>
      <c r="V783" s="237"/>
      <c r="W783" s="237"/>
      <c r="X783" s="404">
        <f t="shared" si="433"/>
        <v>0</v>
      </c>
      <c r="Y783" s="237"/>
      <c r="Z783" s="394"/>
      <c r="AA783" s="21"/>
      <c r="AB783" s="21"/>
      <c r="AC783" s="21"/>
      <c r="AD783" s="21"/>
      <c r="AE783" s="21"/>
      <c r="AF783" s="21"/>
      <c r="AG783" s="237"/>
      <c r="AH783" s="237"/>
      <c r="AI783" s="237"/>
      <c r="AJ783" s="237"/>
      <c r="AK783" s="237"/>
      <c r="AL783" s="237"/>
      <c r="AM783" s="318"/>
      <c r="AN783" s="21"/>
      <c r="AO783" s="21"/>
      <c r="AP783" s="21"/>
      <c r="AQ783" s="21"/>
      <c r="AR783" s="23"/>
      <c r="AS783" s="21"/>
      <c r="AT783" s="21"/>
      <c r="AU783" s="237"/>
      <c r="AV783" s="237"/>
      <c r="AW783" s="21"/>
    </row>
  </sheetData>
  <mergeCells count="23">
    <mergeCell ref="U5:W6"/>
    <mergeCell ref="X5:X6"/>
    <mergeCell ref="Y5:Z5"/>
    <mergeCell ref="Y6:Z6"/>
    <mergeCell ref="K2:L2"/>
    <mergeCell ref="Y2:Z2"/>
    <mergeCell ref="K3:L3"/>
    <mergeCell ref="K4:L4"/>
    <mergeCell ref="Y4:Z4"/>
    <mergeCell ref="N13:W13"/>
    <mergeCell ref="Y13:AL13"/>
    <mergeCell ref="C14:H14"/>
    <mergeCell ref="I14:J14"/>
    <mergeCell ref="U14:V14"/>
    <mergeCell ref="AA14:AF14"/>
    <mergeCell ref="AG14:AH14"/>
    <mergeCell ref="AI14:AK14"/>
    <mergeCell ref="AN14:AO14"/>
    <mergeCell ref="AP14:AQ14"/>
    <mergeCell ref="AU14:AV14"/>
    <mergeCell ref="Y7:Z7"/>
    <mergeCell ref="Y8:Z8"/>
    <mergeCell ref="Y12:Z12"/>
  </mergeCells>
  <conditionalFormatting sqref="AK16:AK544">
    <cfRule type="cellIs" dxfId="210" priority="1" operator="greaterThan">
      <formula>0</formula>
    </cfRule>
  </conditionalFormatting>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6561"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66562"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66563"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E26EB-1A81-4C77-B1EF-E14D796BA494}">
  <sheetPr codeName="Sheet2">
    <pageSetUpPr fitToPage="1"/>
  </sheetPr>
  <dimension ref="A1:AY782"/>
  <sheetViews>
    <sheetView workbookViewId="0">
      <pane ySplit="14" topLeftCell="A15" activePane="bottomLeft" state="frozen"/>
      <selection pane="bottomLeft" activeCell="C2" sqref="C2"/>
    </sheetView>
  </sheetViews>
  <sheetFormatPr defaultRowHeight="15"/>
  <cols>
    <col min="1" max="1" width="7.42578125" style="402" bestFit="1" customWidth="1"/>
    <col min="2" max="2" width="10.28515625" style="185" customWidth="1"/>
    <col min="3" max="3" width="8.85546875" style="14" bestFit="1" customWidth="1"/>
    <col min="4" max="7" width="6.5703125" style="14" bestFit="1" customWidth="1"/>
    <col min="8" max="8" width="8.140625" style="14" bestFit="1" customWidth="1"/>
    <col min="9" max="10" width="11.140625" style="185" customWidth="1"/>
    <col min="11" max="11" width="7.85546875" style="185" bestFit="1" customWidth="1"/>
    <col min="12" max="12" width="5" style="22" bestFit="1" customWidth="1"/>
    <col min="13" max="13" width="8.7109375" style="22" customWidth="1"/>
    <col min="14" max="14" width="10.28515625" style="185" customWidth="1"/>
    <col min="15" max="15" width="8.85546875" style="14" bestFit="1" customWidth="1"/>
    <col min="16" max="16" width="8.7109375" style="14" customWidth="1"/>
    <col min="17" max="17" width="8.5703125" style="14" customWidth="1"/>
    <col min="18" max="18" width="10" style="14" customWidth="1"/>
    <col min="19" max="19" width="8.28515625" style="14" customWidth="1"/>
    <col min="20" max="20" width="8.85546875" style="14" bestFit="1" customWidth="1"/>
    <col min="21" max="21" width="8.42578125" style="185" customWidth="1"/>
    <col min="22" max="22" width="7.28515625" style="185" customWidth="1"/>
    <col min="23" max="23" width="7.85546875" style="185" bestFit="1" customWidth="1"/>
    <col min="24" max="24" width="8.28515625" style="402" bestFit="1" customWidth="1"/>
    <col min="25" max="25" width="9.140625" style="185" customWidth="1"/>
    <col min="26" max="26" width="15.140625" style="393" bestFit="1" customWidth="1"/>
    <col min="27" max="30" width="9.85546875" style="14" bestFit="1" customWidth="1"/>
    <col min="31" max="31" width="8.28515625" style="14" customWidth="1"/>
    <col min="32" max="32" width="8.85546875" style="14" bestFit="1" customWidth="1"/>
    <col min="33" max="34" width="7.5703125" style="185" bestFit="1" customWidth="1"/>
    <col min="35" max="36" width="10.85546875" style="185" bestFit="1" customWidth="1"/>
    <col min="37" max="37" width="8.28515625" style="185" bestFit="1" customWidth="1"/>
    <col min="38" max="38" width="10.140625" style="185" bestFit="1" customWidth="1"/>
    <col min="39" max="39" width="5" style="22" bestFit="1" customWidth="1"/>
    <col min="40" max="43" width="10.5703125" style="14" customWidth="1"/>
    <col min="44" max="44" width="9" bestFit="1" customWidth="1"/>
    <col min="45" max="45" width="10.140625" style="14" bestFit="1" customWidth="1"/>
    <col min="46" max="46" width="11.42578125" style="14" customWidth="1"/>
    <col min="47" max="47" width="11.7109375" style="185" bestFit="1" customWidth="1"/>
    <col min="48" max="48" width="8.28515625" style="185" bestFit="1" customWidth="1"/>
    <col min="49" max="49" width="11.85546875" style="14" bestFit="1" customWidth="1"/>
    <col min="50" max="50" width="12.42578125" customWidth="1"/>
    <col min="52" max="52" width="12.7109375" customWidth="1"/>
  </cols>
  <sheetData>
    <row r="1" spans="1:51" ht="15.75" thickBot="1">
      <c r="B1" s="234" t="s">
        <v>131</v>
      </c>
      <c r="N1" s="234"/>
      <c r="O1" s="396" t="s">
        <v>132</v>
      </c>
      <c r="P1" s="13">
        <v>2.5000000000000001E-2</v>
      </c>
      <c r="Q1" s="13">
        <v>3.5000000000000003E-2</v>
      </c>
      <c r="R1" s="13">
        <v>3.2500000000000001E-2</v>
      </c>
      <c r="S1" s="13"/>
      <c r="T1" s="13"/>
      <c r="Y1" s="234"/>
      <c r="Z1" s="392"/>
      <c r="AA1" s="396"/>
      <c r="AB1" s="13"/>
      <c r="AC1" s="13"/>
      <c r="AD1" s="13"/>
      <c r="AE1" s="13"/>
      <c r="AF1" s="13"/>
      <c r="AJ1" s="405"/>
      <c r="AK1" s="13"/>
      <c r="AP1"/>
      <c r="AQ1"/>
      <c r="AR1" s="239" t="s">
        <v>133</v>
      </c>
      <c r="AS1" s="239" t="s">
        <v>134</v>
      </c>
      <c r="AT1" s="239" t="s">
        <v>135</v>
      </c>
      <c r="AU1" s="405" t="s">
        <v>136</v>
      </c>
      <c r="AV1" s="14"/>
      <c r="AW1"/>
      <c r="AX1" s="185"/>
      <c r="AY1" s="14"/>
    </row>
    <row r="2" spans="1:51" ht="15.75" thickBot="1">
      <c r="B2" s="235" t="s">
        <v>137</v>
      </c>
      <c r="C2" s="409">
        <f>+Profit!C15</f>
        <v>0</v>
      </c>
      <c r="N2" s="30" t="s">
        <v>138</v>
      </c>
      <c r="O2" s="397">
        <f>IF($AW$2=1,P2,IF($AW$2=2,Q2,IF($AW$2=3,R2)))</f>
        <v>0.1</v>
      </c>
      <c r="P2" s="398">
        <v>0.1</v>
      </c>
      <c r="Q2" s="398">
        <v>0.15</v>
      </c>
      <c r="R2" s="398">
        <v>0.2</v>
      </c>
      <c r="Y2" s="231"/>
      <c r="Z2" s="30" t="s">
        <v>138</v>
      </c>
      <c r="AA2" s="397">
        <f>IF($AW$2=1,AB2,IF($AW$2=2,AC2,IF($AW$2=3,AD2)))</f>
        <v>0.1</v>
      </c>
      <c r="AB2" s="398">
        <v>0.1</v>
      </c>
      <c r="AC2" s="398">
        <v>0.15</v>
      </c>
      <c r="AD2" s="398">
        <v>0.2</v>
      </c>
      <c r="AJ2" s="14"/>
      <c r="AK2" s="14"/>
      <c r="AP2" s="30" t="s">
        <v>139</v>
      </c>
      <c r="AQ2" s="232">
        <v>0.03</v>
      </c>
      <c r="AS2" s="185"/>
      <c r="AT2" s="185"/>
      <c r="AU2" s="14"/>
      <c r="AV2" s="14"/>
      <c r="AW2">
        <v>1</v>
      </c>
      <c r="AX2" s="185"/>
    </row>
    <row r="3" spans="1:51" ht="15.75" thickBot="1">
      <c r="B3" s="235" t="s">
        <v>140</v>
      </c>
      <c r="C3" s="372">
        <f>+Profit!B15</f>
        <v>0.10625</v>
      </c>
      <c r="N3" s="380"/>
      <c r="O3" s="303">
        <f>IF($AW$2=1,P3,IF($AW$2=2,Q3,IF($AW$2=3,R3)))</f>
        <v>656250</v>
      </c>
      <c r="P3" s="304">
        <f>+Profit!$B$4*(1+$M$4)</f>
        <v>656250</v>
      </c>
      <c r="Q3" s="305">
        <f>+P3</f>
        <v>656250</v>
      </c>
      <c r="R3" s="306">
        <f>+Q3</f>
        <v>656250</v>
      </c>
      <c r="Y3" s="770" t="s">
        <v>141</v>
      </c>
      <c r="Z3" s="771"/>
      <c r="AA3" s="303">
        <f>IF($AW$2=1,AB3,IF($AW$2=2,AC3,IF($AW$2=3,AD3)))</f>
        <v>1051725</v>
      </c>
      <c r="AB3" s="304">
        <f>+O3+X5</f>
        <v>1051725</v>
      </c>
      <c r="AC3" s="305">
        <f>+AB3</f>
        <v>1051725</v>
      </c>
      <c r="AD3" s="306">
        <f>+AC3</f>
        <v>1051725</v>
      </c>
      <c r="AJ3" s="14"/>
      <c r="AK3" s="14"/>
      <c r="AP3" s="30" t="s">
        <v>142</v>
      </c>
      <c r="AQ3"/>
      <c r="AR3" s="185">
        <f>_xlfn.XLOOKUP(5,$L:$L,$AT:$AT)</f>
        <v>401585.68999999994</v>
      </c>
      <c r="AS3" s="185">
        <f>_xlfn.XLOOKUP(10,$L:$L,$AT:$AT)</f>
        <v>797060.69</v>
      </c>
      <c r="AT3" s="185">
        <f>_xlfn.XLOOKUP(20,$L:$L,$AT:$AT)</f>
        <v>1588010.69</v>
      </c>
      <c r="AU3" s="14">
        <f>_xlfn.XLOOKUP(29,$L:$L,$AT:$AT)</f>
        <v>2299865.69</v>
      </c>
      <c r="AV3" s="14"/>
      <c r="AW3"/>
      <c r="AX3" s="185"/>
      <c r="AY3" s="14"/>
    </row>
    <row r="4" spans="1:51" ht="15.75" thickBot="1">
      <c r="B4" s="235" t="s">
        <v>143</v>
      </c>
      <c r="C4" s="408">
        <v>30</v>
      </c>
      <c r="D4" s="14">
        <f>+C4*12</f>
        <v>360</v>
      </c>
      <c r="L4" s="2" t="s">
        <v>144</v>
      </c>
      <c r="M4" s="370">
        <v>0.05</v>
      </c>
      <c r="N4" s="380"/>
      <c r="O4" s="303">
        <f>IF($AW$2=1,P4,IF($AW$2=2,Q4,IF($AW$2=3,R4)))</f>
        <v>65625</v>
      </c>
      <c r="P4" s="304">
        <f t="shared" ref="P4:R4" si="0">+$O$3*P2</f>
        <v>65625</v>
      </c>
      <c r="Q4" s="305">
        <f t="shared" si="0"/>
        <v>98437.5</v>
      </c>
      <c r="R4" s="306">
        <f t="shared" si="0"/>
        <v>131250</v>
      </c>
      <c r="W4" s="379" t="s">
        <v>145</v>
      </c>
      <c r="Y4" s="770" t="s">
        <v>138</v>
      </c>
      <c r="Z4" s="771"/>
      <c r="AA4" s="303">
        <f>IF($AW$2=1,AB4,IF($AW$2=2,AC4,IF($AW$2=3,AD4)))</f>
        <v>65625</v>
      </c>
      <c r="AB4" s="304">
        <f t="shared" ref="AB4:AD4" si="1">+$O$3*AB2</f>
        <v>65625</v>
      </c>
      <c r="AC4" s="305">
        <f t="shared" si="1"/>
        <v>98437.5</v>
      </c>
      <c r="AD4" s="306">
        <f t="shared" si="1"/>
        <v>131250</v>
      </c>
      <c r="AJ4" s="14"/>
      <c r="AK4" s="14"/>
      <c r="AP4" s="30" t="s">
        <v>146</v>
      </c>
      <c r="AQ4"/>
      <c r="AR4" s="185">
        <f>_xlfn.XLOOKUP(5,$L:$L,$AW:$AW)</f>
        <v>0</v>
      </c>
      <c r="AS4" s="185">
        <f>_xlfn.XLOOKUP(10,$L:$L,$AW:$AW)</f>
        <v>0</v>
      </c>
      <c r="AT4" s="185">
        <f>_xlfn.XLOOKUP(20,$L:$L,$AW:$AW)</f>
        <v>0</v>
      </c>
      <c r="AU4" s="14">
        <f>_xlfn.XLOOKUP(29,$L:$L,$AW:$AW)</f>
        <v>0</v>
      </c>
      <c r="AV4" s="14"/>
      <c r="AW4"/>
      <c r="AX4" s="185"/>
      <c r="AY4" s="14"/>
    </row>
    <row r="5" spans="1:51" ht="15.75" thickBot="1">
      <c r="B5" s="235" t="s">
        <v>147</v>
      </c>
      <c r="C5" s="14">
        <f>ROUND(PMT($C$3/12,$D$4,-$C$2,0), 2)</f>
        <v>0</v>
      </c>
      <c r="N5" s="380"/>
      <c r="O5" s="303">
        <f>IF($AW$2=1,P5,IF($AW$2=2,Q5,IF($AW$2=3,R5)))</f>
        <v>590625</v>
      </c>
      <c r="P5" s="304">
        <f t="shared" ref="P5:R5" si="2">+P3-P4</f>
        <v>590625</v>
      </c>
      <c r="Q5" s="305">
        <f t="shared" si="2"/>
        <v>557812.5</v>
      </c>
      <c r="R5" s="306">
        <f t="shared" si="2"/>
        <v>525000</v>
      </c>
      <c r="W5" s="2" t="s">
        <v>148</v>
      </c>
      <c r="X5" s="304">
        <f>+AI8</f>
        <v>395475</v>
      </c>
      <c r="Y5" s="772" t="s">
        <v>137</v>
      </c>
      <c r="Z5" s="773"/>
      <c r="AA5" s="303">
        <f>IF($AW$2=1,AB5,IF($AW$2=2,AC5,IF($AW$2=3,AD5)))</f>
        <v>986100</v>
      </c>
      <c r="AB5" s="304">
        <f t="shared" ref="AB5:AD5" si="3">+AB3-AB4</f>
        <v>986100</v>
      </c>
      <c r="AC5" s="305">
        <f t="shared" si="3"/>
        <v>953287.5</v>
      </c>
      <c r="AD5" s="306">
        <f t="shared" si="3"/>
        <v>920475</v>
      </c>
      <c r="AJ5" s="21"/>
      <c r="AK5" s="14"/>
      <c r="AP5" s="30" t="s">
        <v>149</v>
      </c>
      <c r="AQ5"/>
      <c r="AR5" s="237">
        <f>_xlfn.XLOOKUP(5,$L:$L,$AV:$AV)</f>
        <v>98889.599163561725</v>
      </c>
      <c r="AS5" s="237">
        <f>_xlfn.XLOOKUP(10,$L:$L,$AV:$AV)</f>
        <v>210326.72951575142</v>
      </c>
      <c r="AT5" s="237">
        <f>_xlfn.XLOOKUP(20,$L:$L,$AV:$AV)</f>
        <v>490142.05735071219</v>
      </c>
      <c r="AU5" s="21">
        <f>_xlfn.XLOOKUP(29,$L:$L,$AV:$AV)</f>
        <v>824664.4787183454</v>
      </c>
      <c r="AV5" s="14"/>
      <c r="AW5"/>
      <c r="AX5" s="185"/>
      <c r="AY5" s="14"/>
    </row>
    <row r="6" spans="1:51" ht="15.75" thickBot="1">
      <c r="N6" s="380"/>
      <c r="O6" s="372">
        <f>IF($AW$2=1,P6,IF($AW$2=2,Q6,IF($AW$2=3,R6)))</f>
        <v>0.13125000000000001</v>
      </c>
      <c r="P6" s="232">
        <f>+$C$3+P1</f>
        <v>0.13125000000000001</v>
      </c>
      <c r="Q6" s="359">
        <f>+$C$3+Q1</f>
        <v>0.14124999999999999</v>
      </c>
      <c r="R6" s="360">
        <f>+$C$3+R1</f>
        <v>0.13874999999999998</v>
      </c>
      <c r="AB6" s="232">
        <f>+$C$3+P1</f>
        <v>0.13125000000000001</v>
      </c>
      <c r="AC6" s="359">
        <f>+$C$3+Q1</f>
        <v>0.14124999999999999</v>
      </c>
      <c r="AD6" s="360">
        <f>+$C$3+R1</f>
        <v>0.13874999999999998</v>
      </c>
      <c r="AH6" s="22"/>
      <c r="AI6" s="14" t="s">
        <v>150</v>
      </c>
      <c r="AJ6" s="14" t="s">
        <v>151</v>
      </c>
      <c r="AK6" s="406"/>
      <c r="AP6" s="30" t="s">
        <v>152</v>
      </c>
      <c r="AQ6"/>
      <c r="AR6" s="238">
        <f>SUM(AR3:AR5)</f>
        <v>500475.28916356165</v>
      </c>
      <c r="AS6" s="238">
        <f>SUM(AS3:AS5)</f>
        <v>1007387.4195157513</v>
      </c>
      <c r="AT6" s="238">
        <f>SUM(AT3:AT5)</f>
        <v>2078152.7473507121</v>
      </c>
      <c r="AU6" s="406">
        <f>SUM(AU3:AU5)</f>
        <v>3124530.1687183455</v>
      </c>
      <c r="AV6" s="14"/>
      <c r="AW6"/>
      <c r="AX6" s="185"/>
      <c r="AY6" s="14"/>
    </row>
    <row r="7" spans="1:51" ht="15.75" thickBot="1">
      <c r="N7" s="380"/>
      <c r="O7" s="399">
        <v>30</v>
      </c>
      <c r="P7" s="397">
        <f>+O7*12</f>
        <v>360</v>
      </c>
      <c r="Z7" s="185"/>
      <c r="AB7" s="399">
        <v>30</v>
      </c>
      <c r="AG7" s="30" t="s">
        <v>153</v>
      </c>
      <c r="AH7"/>
      <c r="AI7" s="185">
        <f>_xlfn.XLOOKUP(12,$M:$M,AS:AS)</f>
        <v>6591.25</v>
      </c>
      <c r="AJ7" s="185">
        <f>_xlfn.XLOOKUP(12,$M:$M,$AP:$AP)</f>
        <v>9112.5300000000007</v>
      </c>
      <c r="AK7" s="14"/>
      <c r="AP7" s="185"/>
      <c r="AQ7" s="185"/>
      <c r="AR7" s="185"/>
      <c r="AU7"/>
    </row>
    <row r="8" spans="1:51" ht="15.75" thickBot="1">
      <c r="N8" s="380"/>
      <c r="O8" s="397">
        <f>ROUND(PMT($O$6/12,$P$7,-$O$5,0), 2)</f>
        <v>6591.25</v>
      </c>
      <c r="S8" s="396" t="s">
        <v>154</v>
      </c>
      <c r="T8" s="14">
        <v>134.16999999999999</v>
      </c>
      <c r="Y8" s="379" t="str">
        <f>+"Payment at "&amp;AA8</f>
        <v>Payment at 0.10625</v>
      </c>
      <c r="Z8" s="303">
        <f>ROUND(PMT($AA$8/12,$AC$8,-$AB$8,0), 2)</f>
        <v>9112.5300000000007</v>
      </c>
      <c r="AA8" s="372">
        <f>+C3</f>
        <v>0.10625</v>
      </c>
      <c r="AB8" s="303">
        <f>+AA5</f>
        <v>986100</v>
      </c>
      <c r="AC8" s="409">
        <f>+AB7*12</f>
        <v>360</v>
      </c>
      <c r="AG8" s="30" t="s">
        <v>155</v>
      </c>
      <c r="AH8"/>
      <c r="AI8" s="185">
        <f>+AI7*60</f>
        <v>395475</v>
      </c>
      <c r="AJ8" s="185">
        <f>+AJ7*60</f>
        <v>546751.80000000005</v>
      </c>
      <c r="AK8" s="406"/>
      <c r="AQ8" s="396" t="s">
        <v>156</v>
      </c>
      <c r="AR8" s="185">
        <f>-_xlfn.XLOOKUP(5,$L:$L,$K:$K)</f>
        <v>0</v>
      </c>
      <c r="AS8" s="406"/>
      <c r="AU8"/>
    </row>
    <row r="9" spans="1:51" ht="15.75" thickBot="1">
      <c r="N9" s="380"/>
      <c r="O9" s="14">
        <v>45717</v>
      </c>
      <c r="S9" s="396" t="s">
        <v>157</v>
      </c>
      <c r="T9" s="14">
        <v>188.55</v>
      </c>
      <c r="Y9" s="379" t="str">
        <f>+"Payment at "&amp;AA9</f>
        <v>Payment at 0.13125</v>
      </c>
      <c r="Z9" s="303">
        <f>ROUND(PMT($AA$9/12,$AC$9,-$AB$9,0), 2)</f>
        <v>2810.15</v>
      </c>
      <c r="AA9" s="372">
        <f>IF($AW$2=1,AB6,IF($AW$2=2,AC6,IF($AW$2=3,AD6)))</f>
        <v>0.13125000000000001</v>
      </c>
      <c r="AB9" s="303">
        <v>247099</v>
      </c>
      <c r="AC9" s="409">
        <f>+AC8-60</f>
        <v>300</v>
      </c>
      <c r="AG9" s="30" t="s">
        <v>158</v>
      </c>
      <c r="AH9"/>
      <c r="AI9" s="185">
        <f>-_xlfn.XLOOKUP(5,$L:$L,$K:$K)</f>
        <v>0</v>
      </c>
      <c r="AJ9" s="185">
        <f>-_xlfn.XLOOKUP(5,$L:$L,$K:$K)</f>
        <v>0</v>
      </c>
      <c r="AK9" s="14"/>
      <c r="AQ9" s="396" t="s">
        <v>159</v>
      </c>
      <c r="AR9" s="237">
        <f>_xlfn.XLOOKUP(5,$L:$L,$W:$W)</f>
        <v>579321.19000000018</v>
      </c>
    </row>
    <row r="10" spans="1:51" ht="15" customHeight="1" thickBot="1">
      <c r="AB10" s="303">
        <f>_xlfn.XLOOKUP(60,$M:$M,AL:AL)</f>
        <v>963716.55999999982</v>
      </c>
      <c r="AG10" s="30" t="s">
        <v>160</v>
      </c>
      <c r="AH10"/>
      <c r="AI10" s="237">
        <f>_xlfn.XLOOKUP(5,$L:$L,$W:$W)</f>
        <v>579321.19000000018</v>
      </c>
      <c r="AJ10" s="237">
        <f>_xlfn.XLOOKUP(5,$L:$L,$AL:$AL)</f>
        <v>963716.55999999982</v>
      </c>
      <c r="AK10" s="14"/>
      <c r="AQ10" s="396" t="s">
        <v>161</v>
      </c>
      <c r="AR10" s="361">
        <f>SUM(AR8:AR9)</f>
        <v>579321.19000000018</v>
      </c>
    </row>
    <row r="11" spans="1:51" ht="15.75" thickBot="1">
      <c r="Y11" s="747"/>
      <c r="Z11" s="748"/>
      <c r="AC11" s="396"/>
      <c r="AG11" s="30" t="s">
        <v>162</v>
      </c>
      <c r="AH11"/>
      <c r="AI11" s="361">
        <f>SUM(AI8:AI10)</f>
        <v>974796.19000000018</v>
      </c>
      <c r="AJ11" s="361">
        <f>SUM(AJ8:AJ10)</f>
        <v>1510468.3599999999</v>
      </c>
      <c r="AK11" s="14"/>
      <c r="AP11" s="361"/>
      <c r="AQ11" s="361"/>
      <c r="AR11" s="185"/>
    </row>
    <row r="12" spans="1:51" ht="15.75" thickBot="1">
      <c r="N12" s="749" t="str">
        <f>"Mortgage Fixed at "&amp; O6</f>
        <v>Mortgage Fixed at 0.13125</v>
      </c>
      <c r="O12" s="750"/>
      <c r="P12" s="750"/>
      <c r="Q12" s="750"/>
      <c r="R12" s="750"/>
      <c r="S12" s="750"/>
      <c r="T12" s="750"/>
      <c r="U12" s="750"/>
      <c r="V12" s="750"/>
      <c r="W12" s="751"/>
      <c r="Y12" s="749" t="str">
        <f>"Mortgage Reduced to "&amp;AA8&amp;"% for 1st 5 years then "&amp;AA9 &amp; "%"</f>
        <v>Mortgage Reduced to 0.10625% for 1st 5 years then 0.13125%</v>
      </c>
      <c r="Z12" s="750"/>
      <c r="AA12" s="750"/>
      <c r="AB12" s="750"/>
      <c r="AC12" s="750"/>
      <c r="AD12" s="750"/>
      <c r="AE12" s="750"/>
      <c r="AF12" s="750"/>
      <c r="AG12" s="750"/>
      <c r="AH12" s="750"/>
      <c r="AI12" s="752"/>
      <c r="AJ12" s="752"/>
      <c r="AK12" s="752"/>
      <c r="AL12" s="735"/>
    </row>
    <row r="13" spans="1:51" ht="15" customHeight="1" thickBot="1">
      <c r="C13" s="753" t="s">
        <v>163</v>
      </c>
      <c r="D13" s="754"/>
      <c r="E13" s="755"/>
      <c r="F13" s="755"/>
      <c r="G13" s="755"/>
      <c r="H13" s="756"/>
      <c r="I13" s="745" t="s">
        <v>164</v>
      </c>
      <c r="J13" s="621"/>
      <c r="N13" s="410"/>
      <c r="U13" s="757" t="s">
        <v>164</v>
      </c>
      <c r="V13" s="758"/>
      <c r="W13" s="410"/>
      <c r="Y13" s="410"/>
      <c r="AA13" s="757" t="s">
        <v>163</v>
      </c>
      <c r="AB13" s="759"/>
      <c r="AC13" s="760"/>
      <c r="AD13" s="760"/>
      <c r="AE13" s="760"/>
      <c r="AF13" s="605"/>
      <c r="AG13" s="757" t="s">
        <v>164</v>
      </c>
      <c r="AH13" s="758"/>
      <c r="AI13" s="757" t="s">
        <v>165</v>
      </c>
      <c r="AJ13" s="759"/>
      <c r="AK13" s="758"/>
      <c r="AL13" s="410"/>
      <c r="AN13" s="745" t="s">
        <v>166</v>
      </c>
      <c r="AO13" s="621"/>
      <c r="AP13" s="745" t="s">
        <v>167</v>
      </c>
      <c r="AQ13" s="621"/>
      <c r="AT13" s="405" t="s">
        <v>164</v>
      </c>
      <c r="AU13" s="745" t="s">
        <v>168</v>
      </c>
      <c r="AV13" s="621"/>
    </row>
    <row r="14" spans="1:51" ht="15" customHeight="1" thickBot="1">
      <c r="A14" s="403" t="s">
        <v>108</v>
      </c>
      <c r="B14" s="236" t="s">
        <v>169</v>
      </c>
      <c r="C14" s="400" t="s">
        <v>170</v>
      </c>
      <c r="D14" s="407" t="s">
        <v>171</v>
      </c>
      <c r="E14" s="400" t="s">
        <v>172</v>
      </c>
      <c r="F14" s="400" t="s">
        <v>173</v>
      </c>
      <c r="G14" s="400" t="s">
        <v>174</v>
      </c>
      <c r="H14" s="400" t="s">
        <v>175</v>
      </c>
      <c r="I14" s="395" t="s">
        <v>171</v>
      </c>
      <c r="J14" s="395" t="s">
        <v>172</v>
      </c>
      <c r="K14" s="316" t="s">
        <v>176</v>
      </c>
      <c r="L14" s="307" t="s">
        <v>177</v>
      </c>
      <c r="M14" s="307" t="s">
        <v>178</v>
      </c>
      <c r="N14" s="236" t="s">
        <v>169</v>
      </c>
      <c r="O14" s="400" t="s">
        <v>170</v>
      </c>
      <c r="P14" s="400" t="s">
        <v>171</v>
      </c>
      <c r="Q14" s="400" t="s">
        <v>172</v>
      </c>
      <c r="R14" s="400" t="s">
        <v>173</v>
      </c>
      <c r="S14" s="400" t="s">
        <v>174</v>
      </c>
      <c r="T14" s="400" t="s">
        <v>179</v>
      </c>
      <c r="U14" s="395" t="s">
        <v>180</v>
      </c>
      <c r="V14" s="395" t="s">
        <v>172</v>
      </c>
      <c r="W14" s="400" t="s">
        <v>176</v>
      </c>
      <c r="X14" s="403" t="s">
        <v>108</v>
      </c>
      <c r="Y14" s="236" t="s">
        <v>169</v>
      </c>
      <c r="Z14" s="400" t="s">
        <v>181</v>
      </c>
      <c r="AA14" s="400" t="s">
        <v>170</v>
      </c>
      <c r="AB14" s="400" t="s">
        <v>171</v>
      </c>
      <c r="AC14" s="400" t="s">
        <v>172</v>
      </c>
      <c r="AD14" s="400" t="s">
        <v>173</v>
      </c>
      <c r="AE14" s="400" t="s">
        <v>174</v>
      </c>
      <c r="AF14" s="400" t="s">
        <v>175</v>
      </c>
      <c r="AG14" s="395" t="s">
        <v>171</v>
      </c>
      <c r="AH14" s="395" t="s">
        <v>172</v>
      </c>
      <c r="AI14" s="395" t="s">
        <v>182</v>
      </c>
      <c r="AJ14" s="395" t="s">
        <v>183</v>
      </c>
      <c r="AK14" s="395" t="s">
        <v>184</v>
      </c>
      <c r="AL14" s="395" t="s">
        <v>185</v>
      </c>
      <c r="AM14" s="307" t="s">
        <v>177</v>
      </c>
      <c r="AN14" s="400" t="s">
        <v>186</v>
      </c>
      <c r="AO14" s="400" t="s">
        <v>187</v>
      </c>
      <c r="AP14" s="400" t="s">
        <v>186</v>
      </c>
      <c r="AQ14" s="400" t="s">
        <v>187</v>
      </c>
      <c r="AR14" s="233" t="s">
        <v>188</v>
      </c>
      <c r="AS14" s="400" t="s">
        <v>189</v>
      </c>
      <c r="AT14" s="400" t="s">
        <v>189</v>
      </c>
      <c r="AU14" s="236" t="s">
        <v>163</v>
      </c>
      <c r="AV14" s="236" t="s">
        <v>190</v>
      </c>
    </row>
    <row r="15" spans="1:51">
      <c r="A15" s="401">
        <v>44409</v>
      </c>
      <c r="B15" s="185">
        <f>+C2</f>
        <v>0</v>
      </c>
      <c r="C15" s="14">
        <f t="shared" ref="C15:C78" si="4">IF(+$K14&lt;=0,0,$C$5)</f>
        <v>0</v>
      </c>
      <c r="D15" s="14">
        <f>+C15-E15</f>
        <v>0</v>
      </c>
      <c r="E15" s="14">
        <f t="shared" ref="E15:E78" si="5">ROUND($B15*($C$3/12), 2)</f>
        <v>0</v>
      </c>
      <c r="I15" s="185">
        <f>+C15</f>
        <v>0</v>
      </c>
      <c r="J15" s="185">
        <f>+E15</f>
        <v>0</v>
      </c>
      <c r="K15" s="185">
        <f>+B15-D15</f>
        <v>0</v>
      </c>
      <c r="L15" s="317">
        <f t="shared" ref="L15:L78" si="6">IF(MOD(M15,12)=0,M15/12,L14)</f>
        <v>0</v>
      </c>
      <c r="M15" s="317">
        <v>0</v>
      </c>
      <c r="N15" s="185">
        <f>+$O$5</f>
        <v>590625</v>
      </c>
      <c r="O15" s="185">
        <f>IF($O$9&lt;=A15,$O$8,0)</f>
        <v>0</v>
      </c>
      <c r="P15" s="185">
        <f>+O15-Q15</f>
        <v>0</v>
      </c>
      <c r="Q15" s="185">
        <f>IF($O$9&lt;=$A15,ROUND(N15*(O$6/12),2),0)</f>
        <v>0</v>
      </c>
      <c r="R15" s="185">
        <f t="shared" ref="R15:R62" si="7">IF(O15=0,0,$T$8)</f>
        <v>0</v>
      </c>
      <c r="S15" s="185">
        <f t="shared" ref="S15:S61" si="8">IF(P15=0,0,$T$9)</f>
        <v>0</v>
      </c>
      <c r="T15" s="185">
        <f t="shared" ref="T15:T57" si="9">SUM(P15:S15)</f>
        <v>0</v>
      </c>
      <c r="U15" s="185">
        <f>+P15</f>
        <v>0</v>
      </c>
      <c r="V15" s="185">
        <f>+Q15</f>
        <v>0</v>
      </c>
      <c r="W15" s="185">
        <f>+N15-P15</f>
        <v>590625</v>
      </c>
      <c r="X15" s="401">
        <f>+A15</f>
        <v>44409</v>
      </c>
      <c r="Y15" s="185">
        <f>+AA5</f>
        <v>986100</v>
      </c>
      <c r="Z15" s="393">
        <f t="shared" ref="Z15:Z78" si="10">IF(L15&gt;4,$AA$9,$AA$8)</f>
        <v>0.10625</v>
      </c>
      <c r="AA15" s="185">
        <f t="shared" ref="AA15:AA78" si="11">IF($O$9&lt;=$A15,IF(+AL14&lt;=0,0,IF(Z15=$AA$8,$Z$8,$Z$9)),0)</f>
        <v>0</v>
      </c>
      <c r="AB15" s="185">
        <f t="shared" ref="AB15:AB58" si="12">+AA15-AC15</f>
        <v>0</v>
      </c>
      <c r="AC15" s="185">
        <f t="shared" ref="AC15:AC78" si="13">IF($O$9&lt;=$A15,ROUND(Y15*(Z15/12),2),0)</f>
        <v>0</v>
      </c>
      <c r="AD15" s="185">
        <f t="shared" ref="AD15:AD59" si="14">IF(AA15=0,0,$T$8)</f>
        <v>0</v>
      </c>
      <c r="AE15" s="185">
        <f t="shared" ref="AE15:AE59" si="15">IF(AB15=0,0,$T$9)</f>
        <v>0</v>
      </c>
      <c r="AF15" s="185">
        <f t="shared" ref="AF15:AF59" si="16">SUM(AB15:AE15)</f>
        <v>0</v>
      </c>
      <c r="AG15" s="185">
        <v>0</v>
      </c>
      <c r="AH15" s="185">
        <v>0</v>
      </c>
      <c r="AI15" s="411">
        <f>SUM(AB15:AC15)-SUM(P15:Q15)</f>
        <v>0</v>
      </c>
      <c r="AJ15" s="411">
        <f t="shared" ref="AJ15:AJ78" si="17">+W15-AL15</f>
        <v>-395475</v>
      </c>
      <c r="AK15" s="411"/>
      <c r="AL15" s="185">
        <f t="shared" ref="AL15" si="18">+Y15-AB15</f>
        <v>986100</v>
      </c>
      <c r="AM15" s="317">
        <f>+L15</f>
        <v>0</v>
      </c>
      <c r="AN15" s="14">
        <f t="shared" ref="AN15:AN58" si="19">IF(O15=0,0,+O15-C15)</f>
        <v>0</v>
      </c>
      <c r="AO15" s="14">
        <f>IF(W15&lt;=0,0,+$O$5-$C$2+I15-U15+AV15)</f>
        <v>592101.5625</v>
      </c>
      <c r="AP15" s="14">
        <f t="shared" ref="AP15:AP58" si="20">IF($O15=0,0,+AA15-$C15)</f>
        <v>0</v>
      </c>
      <c r="AS15" s="14">
        <f t="shared" ref="AS15:AS78" si="21">+AN15-AR15</f>
        <v>0</v>
      </c>
      <c r="AT15" s="14">
        <f>+AS15</f>
        <v>0</v>
      </c>
      <c r="AU15" s="185">
        <f>+O5*AQ2/12</f>
        <v>1476.5625</v>
      </c>
      <c r="AV15" s="185">
        <f>+AU15</f>
        <v>1476.5625</v>
      </c>
    </row>
    <row r="16" spans="1:51">
      <c r="A16" s="401" t="str">
        <f>IF(K16&lt;=0," ",+A15+30)</f>
        <v xml:space="preserve"> </v>
      </c>
      <c r="B16" s="185">
        <f t="shared" ref="B16:B79" si="22">IF(+K15&lt;0,0,+K15)</f>
        <v>0</v>
      </c>
      <c r="C16" s="14">
        <f t="shared" si="4"/>
        <v>0</v>
      </c>
      <c r="D16" s="14">
        <f>+C16-E16</f>
        <v>0</v>
      </c>
      <c r="E16" s="14">
        <f t="shared" si="5"/>
        <v>0</v>
      </c>
      <c r="I16" s="185">
        <f>$D16+$I15</f>
        <v>0</v>
      </c>
      <c r="J16" s="185">
        <f>$E16+$J15</f>
        <v>0</v>
      </c>
      <c r="K16" s="185">
        <f>+B16-D16</f>
        <v>0</v>
      </c>
      <c r="L16" s="317">
        <f t="shared" si="6"/>
        <v>0</v>
      </c>
      <c r="M16" s="317">
        <f t="shared" ref="M16:M79" si="23">IF(N16&lt;&gt;"",IF(N16=$O$5,0,+M15+1),0)</f>
        <v>0</v>
      </c>
      <c r="N16" s="185">
        <f t="shared" ref="N16:N79" si="24">IF(+W15&lt;0,0,+W15)</f>
        <v>590625</v>
      </c>
      <c r="O16" s="185">
        <f t="shared" ref="O16:O57" si="25">IF($O$9&lt;=A16,IF(+$W15&lt;=0,0,$O$8),0)</f>
        <v>6591.25</v>
      </c>
      <c r="P16" s="185">
        <f>+O16-Q16</f>
        <v>131.28999999999996</v>
      </c>
      <c r="Q16" s="185">
        <f t="shared" ref="Q16:Q60" si="26">IF($O$9&lt;=A16,ROUND(N16*($O$6/12),2),0)</f>
        <v>6459.96</v>
      </c>
      <c r="R16" s="185">
        <f t="shared" si="7"/>
        <v>134.16999999999999</v>
      </c>
      <c r="S16" s="185">
        <f t="shared" si="8"/>
        <v>188.55</v>
      </c>
      <c r="T16" s="185">
        <f t="shared" si="9"/>
        <v>6913.97</v>
      </c>
      <c r="U16" s="185">
        <f>+P16+U15</f>
        <v>131.28999999999996</v>
      </c>
      <c r="V16" s="185">
        <f>+V15+Q16</f>
        <v>6459.96</v>
      </c>
      <c r="W16" s="185">
        <f>+N16-P16</f>
        <v>590493.71</v>
      </c>
      <c r="X16" s="401" t="str">
        <f t="shared" ref="X16:X79" si="27">+A16</f>
        <v xml:space="preserve"> </v>
      </c>
      <c r="Y16" s="185">
        <f>IF(+AL15&lt;0,0,+AL15)</f>
        <v>986100</v>
      </c>
      <c r="Z16" s="393">
        <f t="shared" si="10"/>
        <v>0.10625</v>
      </c>
      <c r="AA16" s="185">
        <f t="shared" si="11"/>
        <v>9112.5300000000007</v>
      </c>
      <c r="AB16" s="185">
        <f t="shared" si="12"/>
        <v>381.44000000000051</v>
      </c>
      <c r="AC16" s="185">
        <f t="shared" si="13"/>
        <v>8731.09</v>
      </c>
      <c r="AD16" s="185">
        <f t="shared" si="14"/>
        <v>134.16999999999999</v>
      </c>
      <c r="AE16" s="185">
        <f t="shared" si="15"/>
        <v>188.55</v>
      </c>
      <c r="AF16" s="185">
        <f t="shared" si="16"/>
        <v>9435.25</v>
      </c>
      <c r="AG16" s="185">
        <f>+AB16+AG15</f>
        <v>381.44000000000051</v>
      </c>
      <c r="AH16" s="185">
        <f>+AH15+AC16</f>
        <v>8731.09</v>
      </c>
      <c r="AI16" s="411">
        <f t="shared" ref="AI16:AI58" si="28">O16-AA16+AI15</f>
        <v>-2521.2800000000007</v>
      </c>
      <c r="AJ16" s="411">
        <f t="shared" si="17"/>
        <v>-395224.85000000009</v>
      </c>
      <c r="AK16" s="411"/>
      <c r="AL16" s="185">
        <f>+Y16-AB16</f>
        <v>985718.56</v>
      </c>
      <c r="AM16" s="317">
        <f t="shared" ref="AM16:AM79" si="29">+L16</f>
        <v>0</v>
      </c>
      <c r="AN16" s="14">
        <f t="shared" si="19"/>
        <v>6591.25</v>
      </c>
      <c r="AO16" s="14">
        <f t="shared" ref="AO16:AO44" si="30">IF(W16&lt;=0,0,+$O$5-$C$2+I16-U16)</f>
        <v>590493.71</v>
      </c>
      <c r="AP16" s="14">
        <f t="shared" si="20"/>
        <v>9112.5300000000007</v>
      </c>
      <c r="AS16" s="14">
        <f t="shared" si="21"/>
        <v>6591.25</v>
      </c>
      <c r="AT16" s="14">
        <f t="shared" ref="AT16:AT79" si="31">IF(W16&lt;=0,0,+AS16+AT15)</f>
        <v>6591.25</v>
      </c>
      <c r="AU16" s="185">
        <f t="shared" ref="AU16:AU79" si="32">IF(W16&lt;=0,0,+($O$5+AV15)*$AQ$2/12)</f>
        <v>1480.25390625</v>
      </c>
      <c r="AV16" s="185">
        <f t="shared" ref="AV16:AV79" si="33">IF(W16&lt;=0,0,+AV15+AU16)</f>
        <v>2956.81640625</v>
      </c>
    </row>
    <row r="17" spans="1:48">
      <c r="A17" s="401" t="str">
        <f t="shared" ref="A17:A61" si="34">IF(K17&lt;=0," ",+A16+30)</f>
        <v xml:space="preserve"> </v>
      </c>
      <c r="B17" s="185">
        <f t="shared" si="22"/>
        <v>0</v>
      </c>
      <c r="C17" s="14">
        <f t="shared" si="4"/>
        <v>0</v>
      </c>
      <c r="D17" s="14">
        <f t="shared" ref="D17:D80" si="35">+C17-E17</f>
        <v>0</v>
      </c>
      <c r="E17" s="14">
        <f t="shared" si="5"/>
        <v>0</v>
      </c>
      <c r="I17" s="185">
        <f t="shared" ref="I17:I31" si="36">$D17+$I16</f>
        <v>0</v>
      </c>
      <c r="J17" s="185">
        <f t="shared" ref="J17:J31" si="37">$E17+$J16</f>
        <v>0</v>
      </c>
      <c r="K17" s="185">
        <f t="shared" ref="K17:K31" si="38">+B17-D17</f>
        <v>0</v>
      </c>
      <c r="L17" s="317">
        <f t="shared" si="6"/>
        <v>0</v>
      </c>
      <c r="M17" s="317">
        <f t="shared" si="23"/>
        <v>1</v>
      </c>
      <c r="N17" s="185">
        <f t="shared" si="24"/>
        <v>590493.71</v>
      </c>
      <c r="O17" s="185">
        <f t="shared" si="25"/>
        <v>6591.25</v>
      </c>
      <c r="P17" s="185">
        <f t="shared" ref="P17:P80" si="39">+O17-Q17</f>
        <v>132.72999999999956</v>
      </c>
      <c r="Q17" s="185">
        <f t="shared" si="26"/>
        <v>6458.52</v>
      </c>
      <c r="R17" s="185">
        <f t="shared" si="7"/>
        <v>134.16999999999999</v>
      </c>
      <c r="S17" s="185">
        <f t="shared" si="8"/>
        <v>188.55</v>
      </c>
      <c r="T17" s="185">
        <f t="shared" si="9"/>
        <v>6913.97</v>
      </c>
      <c r="U17" s="185">
        <f t="shared" ref="U17:U80" si="40">+P17+U16</f>
        <v>264.01999999999953</v>
      </c>
      <c r="V17" s="185">
        <f t="shared" ref="V17:V80" si="41">+V16+Q17</f>
        <v>12918.48</v>
      </c>
      <c r="W17" s="185">
        <f t="shared" ref="W17:W61" si="42">+N17-P17</f>
        <v>590360.98</v>
      </c>
      <c r="X17" s="401" t="str">
        <f t="shared" si="27"/>
        <v xml:space="preserve"> </v>
      </c>
      <c r="Y17" s="185">
        <f t="shared" ref="Y17:Y58" si="43">IF(+AL16&lt;0,0,+AL16)</f>
        <v>985718.56</v>
      </c>
      <c r="Z17" s="393">
        <f t="shared" si="10"/>
        <v>0.10625</v>
      </c>
      <c r="AA17" s="185">
        <f t="shared" si="11"/>
        <v>9112.5300000000007</v>
      </c>
      <c r="AB17" s="185">
        <f t="shared" si="12"/>
        <v>384.81000000000131</v>
      </c>
      <c r="AC17" s="185">
        <f t="shared" si="13"/>
        <v>8727.7199999999993</v>
      </c>
      <c r="AD17" s="185">
        <f t="shared" si="14"/>
        <v>134.16999999999999</v>
      </c>
      <c r="AE17" s="185">
        <f t="shared" si="15"/>
        <v>188.55</v>
      </c>
      <c r="AF17" s="185">
        <f t="shared" si="16"/>
        <v>9435.25</v>
      </c>
      <c r="AG17" s="185">
        <f t="shared" ref="AG17:AG58" si="44">+AB17+AG16</f>
        <v>766.25000000000182</v>
      </c>
      <c r="AH17" s="185">
        <f t="shared" ref="AH17:AH58" si="45">+AH16+AC17</f>
        <v>17458.809999999998</v>
      </c>
      <c r="AI17" s="411">
        <f t="shared" si="28"/>
        <v>-5042.5600000000013</v>
      </c>
      <c r="AJ17" s="411">
        <f t="shared" si="17"/>
        <v>-394972.77</v>
      </c>
      <c r="AK17" s="411"/>
      <c r="AL17" s="185">
        <f t="shared" ref="AL17:AL58" si="46">+Y17-AB17</f>
        <v>985333.75</v>
      </c>
      <c r="AM17" s="317">
        <f t="shared" si="29"/>
        <v>0</v>
      </c>
      <c r="AN17" s="14">
        <f t="shared" si="19"/>
        <v>6591.25</v>
      </c>
      <c r="AO17" s="14">
        <f t="shared" si="30"/>
        <v>590360.98</v>
      </c>
      <c r="AP17" s="14">
        <f t="shared" si="20"/>
        <v>9112.5300000000007</v>
      </c>
      <c r="AS17" s="14">
        <f t="shared" si="21"/>
        <v>6591.25</v>
      </c>
      <c r="AT17" s="14">
        <f t="shared" si="31"/>
        <v>13182.5</v>
      </c>
      <c r="AU17" s="185">
        <f t="shared" si="32"/>
        <v>1483.954541015625</v>
      </c>
      <c r="AV17" s="185">
        <f t="shared" si="33"/>
        <v>4440.7709472656252</v>
      </c>
    </row>
    <row r="18" spans="1:48">
      <c r="A18" s="401" t="str">
        <f t="shared" si="34"/>
        <v xml:space="preserve"> </v>
      </c>
      <c r="B18" s="185">
        <f t="shared" si="22"/>
        <v>0</v>
      </c>
      <c r="C18" s="14">
        <f t="shared" si="4"/>
        <v>0</v>
      </c>
      <c r="D18" s="14">
        <f t="shared" si="35"/>
        <v>0</v>
      </c>
      <c r="E18" s="14">
        <f t="shared" si="5"/>
        <v>0</v>
      </c>
      <c r="I18" s="185">
        <f t="shared" si="36"/>
        <v>0</v>
      </c>
      <c r="J18" s="185">
        <f t="shared" si="37"/>
        <v>0</v>
      </c>
      <c r="K18" s="185">
        <f t="shared" si="38"/>
        <v>0</v>
      </c>
      <c r="L18" s="317">
        <f t="shared" si="6"/>
        <v>0</v>
      </c>
      <c r="M18" s="317">
        <f t="shared" si="23"/>
        <v>2</v>
      </c>
      <c r="N18" s="185">
        <f t="shared" si="24"/>
        <v>590360.98</v>
      </c>
      <c r="O18" s="185">
        <f t="shared" si="25"/>
        <v>6591.25</v>
      </c>
      <c r="P18" s="185">
        <f t="shared" si="39"/>
        <v>134.18000000000029</v>
      </c>
      <c r="Q18" s="185">
        <f t="shared" si="26"/>
        <v>6457.07</v>
      </c>
      <c r="R18" s="185">
        <f t="shared" si="7"/>
        <v>134.16999999999999</v>
      </c>
      <c r="S18" s="185">
        <f t="shared" si="8"/>
        <v>188.55</v>
      </c>
      <c r="T18" s="185">
        <f t="shared" si="9"/>
        <v>6913.97</v>
      </c>
      <c r="U18" s="185">
        <f t="shared" si="40"/>
        <v>398.19999999999982</v>
      </c>
      <c r="V18" s="185">
        <f t="shared" si="41"/>
        <v>19375.55</v>
      </c>
      <c r="W18" s="185">
        <f t="shared" si="42"/>
        <v>590226.79999999993</v>
      </c>
      <c r="X18" s="401" t="str">
        <f t="shared" si="27"/>
        <v xml:space="preserve"> </v>
      </c>
      <c r="Y18" s="185">
        <f t="shared" si="43"/>
        <v>985333.75</v>
      </c>
      <c r="Z18" s="393">
        <f t="shared" si="10"/>
        <v>0.10625</v>
      </c>
      <c r="AA18" s="185">
        <f t="shared" si="11"/>
        <v>9112.5300000000007</v>
      </c>
      <c r="AB18" s="185">
        <f t="shared" si="12"/>
        <v>388.22000000000116</v>
      </c>
      <c r="AC18" s="185">
        <f t="shared" si="13"/>
        <v>8724.31</v>
      </c>
      <c r="AD18" s="185">
        <f t="shared" si="14"/>
        <v>134.16999999999999</v>
      </c>
      <c r="AE18" s="185">
        <f t="shared" si="15"/>
        <v>188.55</v>
      </c>
      <c r="AF18" s="185">
        <f t="shared" si="16"/>
        <v>9435.25</v>
      </c>
      <c r="AG18" s="185">
        <f t="shared" si="44"/>
        <v>1154.470000000003</v>
      </c>
      <c r="AH18" s="185">
        <f t="shared" si="45"/>
        <v>26183.119999999995</v>
      </c>
      <c r="AI18" s="411">
        <f t="shared" si="28"/>
        <v>-7563.840000000002</v>
      </c>
      <c r="AJ18" s="411">
        <f t="shared" si="17"/>
        <v>-394718.7300000001</v>
      </c>
      <c r="AK18" s="411"/>
      <c r="AL18" s="185">
        <f t="shared" si="46"/>
        <v>984945.53</v>
      </c>
      <c r="AM18" s="317">
        <f t="shared" si="29"/>
        <v>0</v>
      </c>
      <c r="AN18" s="14">
        <f t="shared" si="19"/>
        <v>6591.25</v>
      </c>
      <c r="AO18" s="14">
        <f t="shared" si="30"/>
        <v>590226.80000000005</v>
      </c>
      <c r="AP18" s="14">
        <f t="shared" si="20"/>
        <v>9112.5300000000007</v>
      </c>
      <c r="AS18" s="14">
        <f t="shared" si="21"/>
        <v>6591.25</v>
      </c>
      <c r="AT18" s="14">
        <f t="shared" si="31"/>
        <v>19773.75</v>
      </c>
      <c r="AU18" s="185">
        <f t="shared" si="32"/>
        <v>1487.6644273681641</v>
      </c>
      <c r="AV18" s="185">
        <f t="shared" si="33"/>
        <v>5928.4353746337893</v>
      </c>
    </row>
    <row r="19" spans="1:48">
      <c r="A19" s="401" t="str">
        <f t="shared" si="34"/>
        <v xml:space="preserve"> </v>
      </c>
      <c r="B19" s="185">
        <f t="shared" si="22"/>
        <v>0</v>
      </c>
      <c r="C19" s="14">
        <f t="shared" si="4"/>
        <v>0</v>
      </c>
      <c r="D19" s="14">
        <f t="shared" si="35"/>
        <v>0</v>
      </c>
      <c r="E19" s="14">
        <f t="shared" si="5"/>
        <v>0</v>
      </c>
      <c r="I19" s="185">
        <f t="shared" si="36"/>
        <v>0</v>
      </c>
      <c r="J19" s="185">
        <f t="shared" si="37"/>
        <v>0</v>
      </c>
      <c r="K19" s="185">
        <f t="shared" si="38"/>
        <v>0</v>
      </c>
      <c r="L19" s="317">
        <f t="shared" si="6"/>
        <v>0</v>
      </c>
      <c r="M19" s="317">
        <f t="shared" si="23"/>
        <v>3</v>
      </c>
      <c r="N19" s="185">
        <f t="shared" si="24"/>
        <v>590226.79999999993</v>
      </c>
      <c r="O19" s="185">
        <f t="shared" si="25"/>
        <v>6591.25</v>
      </c>
      <c r="P19" s="185">
        <f t="shared" si="39"/>
        <v>135.64000000000033</v>
      </c>
      <c r="Q19" s="185">
        <f t="shared" si="26"/>
        <v>6455.61</v>
      </c>
      <c r="R19" s="185">
        <f t="shared" si="7"/>
        <v>134.16999999999999</v>
      </c>
      <c r="S19" s="185">
        <f t="shared" si="8"/>
        <v>188.55</v>
      </c>
      <c r="T19" s="185">
        <f t="shared" si="9"/>
        <v>6913.97</v>
      </c>
      <c r="U19" s="185">
        <f t="shared" si="40"/>
        <v>533.84000000000015</v>
      </c>
      <c r="V19" s="185">
        <f t="shared" si="41"/>
        <v>25831.16</v>
      </c>
      <c r="W19" s="185">
        <f t="shared" si="42"/>
        <v>590091.15999999992</v>
      </c>
      <c r="X19" s="401" t="str">
        <f t="shared" si="27"/>
        <v xml:space="preserve"> </v>
      </c>
      <c r="Y19" s="185">
        <f t="shared" si="43"/>
        <v>984945.53</v>
      </c>
      <c r="Z19" s="393">
        <f t="shared" si="10"/>
        <v>0.10625</v>
      </c>
      <c r="AA19" s="185">
        <f t="shared" si="11"/>
        <v>9112.5300000000007</v>
      </c>
      <c r="AB19" s="185">
        <f t="shared" si="12"/>
        <v>391.65999999999985</v>
      </c>
      <c r="AC19" s="185">
        <f t="shared" si="13"/>
        <v>8720.8700000000008</v>
      </c>
      <c r="AD19" s="185">
        <f t="shared" si="14"/>
        <v>134.16999999999999</v>
      </c>
      <c r="AE19" s="185">
        <f t="shared" si="15"/>
        <v>188.55</v>
      </c>
      <c r="AF19" s="185">
        <f t="shared" si="16"/>
        <v>9435.25</v>
      </c>
      <c r="AG19" s="185">
        <f t="shared" si="44"/>
        <v>1546.1300000000028</v>
      </c>
      <c r="AH19" s="185">
        <f t="shared" si="45"/>
        <v>34903.99</v>
      </c>
      <c r="AI19" s="411">
        <f t="shared" si="28"/>
        <v>-10085.120000000003</v>
      </c>
      <c r="AJ19" s="411">
        <f t="shared" si="17"/>
        <v>-394462.71000000008</v>
      </c>
      <c r="AK19" s="411"/>
      <c r="AL19" s="185">
        <f t="shared" si="46"/>
        <v>984553.87</v>
      </c>
      <c r="AM19" s="317">
        <f t="shared" si="29"/>
        <v>0</v>
      </c>
      <c r="AN19" s="14">
        <f t="shared" si="19"/>
        <v>6591.25</v>
      </c>
      <c r="AO19" s="14">
        <f t="shared" si="30"/>
        <v>590091.16</v>
      </c>
      <c r="AP19" s="14">
        <f t="shared" si="20"/>
        <v>9112.5300000000007</v>
      </c>
      <c r="AS19" s="14">
        <f t="shared" si="21"/>
        <v>6591.25</v>
      </c>
      <c r="AT19" s="14">
        <f t="shared" si="31"/>
        <v>26365</v>
      </c>
      <c r="AU19" s="185">
        <f t="shared" si="32"/>
        <v>1491.3835884365844</v>
      </c>
      <c r="AV19" s="185">
        <f t="shared" si="33"/>
        <v>7419.8189630703737</v>
      </c>
    </row>
    <row r="20" spans="1:48">
      <c r="A20" s="401" t="str">
        <f t="shared" si="34"/>
        <v xml:space="preserve"> </v>
      </c>
      <c r="B20" s="185">
        <f t="shared" si="22"/>
        <v>0</v>
      </c>
      <c r="C20" s="14">
        <f t="shared" si="4"/>
        <v>0</v>
      </c>
      <c r="D20" s="14">
        <f t="shared" si="35"/>
        <v>0</v>
      </c>
      <c r="E20" s="14">
        <f t="shared" si="5"/>
        <v>0</v>
      </c>
      <c r="I20" s="185">
        <f t="shared" si="36"/>
        <v>0</v>
      </c>
      <c r="J20" s="185">
        <f t="shared" si="37"/>
        <v>0</v>
      </c>
      <c r="K20" s="185">
        <f t="shared" si="38"/>
        <v>0</v>
      </c>
      <c r="L20" s="317">
        <f t="shared" si="6"/>
        <v>0</v>
      </c>
      <c r="M20" s="317">
        <f t="shared" si="23"/>
        <v>4</v>
      </c>
      <c r="N20" s="185">
        <f t="shared" si="24"/>
        <v>590091.15999999992</v>
      </c>
      <c r="O20" s="185">
        <f t="shared" si="25"/>
        <v>6591.25</v>
      </c>
      <c r="P20" s="185">
        <f t="shared" si="39"/>
        <v>137.13000000000011</v>
      </c>
      <c r="Q20" s="185">
        <f t="shared" si="26"/>
        <v>6454.12</v>
      </c>
      <c r="R20" s="185">
        <f t="shared" si="7"/>
        <v>134.16999999999999</v>
      </c>
      <c r="S20" s="185">
        <f t="shared" si="8"/>
        <v>188.55</v>
      </c>
      <c r="T20" s="185">
        <f t="shared" si="9"/>
        <v>6913.97</v>
      </c>
      <c r="U20" s="185">
        <f t="shared" si="40"/>
        <v>670.97000000000025</v>
      </c>
      <c r="V20" s="185">
        <f t="shared" si="41"/>
        <v>32285.279999999999</v>
      </c>
      <c r="W20" s="185">
        <f t="shared" si="42"/>
        <v>589954.02999999991</v>
      </c>
      <c r="X20" s="401" t="str">
        <f t="shared" si="27"/>
        <v xml:space="preserve"> </v>
      </c>
      <c r="Y20" s="185">
        <f t="shared" si="43"/>
        <v>984553.87</v>
      </c>
      <c r="Z20" s="393">
        <f t="shared" si="10"/>
        <v>0.10625</v>
      </c>
      <c r="AA20" s="185">
        <f t="shared" si="11"/>
        <v>9112.5300000000007</v>
      </c>
      <c r="AB20" s="185">
        <f t="shared" si="12"/>
        <v>395.13000000000102</v>
      </c>
      <c r="AC20" s="185">
        <f t="shared" si="13"/>
        <v>8717.4</v>
      </c>
      <c r="AD20" s="185">
        <f t="shared" si="14"/>
        <v>134.16999999999999</v>
      </c>
      <c r="AE20" s="185">
        <f t="shared" si="15"/>
        <v>188.55</v>
      </c>
      <c r="AF20" s="185">
        <f t="shared" si="16"/>
        <v>9435.25</v>
      </c>
      <c r="AG20" s="185">
        <f t="shared" si="44"/>
        <v>1941.2600000000039</v>
      </c>
      <c r="AH20" s="185">
        <f t="shared" si="45"/>
        <v>43621.39</v>
      </c>
      <c r="AI20" s="411">
        <f t="shared" si="28"/>
        <v>-12606.400000000003</v>
      </c>
      <c r="AJ20" s="411">
        <f t="shared" si="17"/>
        <v>-394204.71000000008</v>
      </c>
      <c r="AK20" s="411"/>
      <c r="AL20" s="185">
        <f t="shared" si="46"/>
        <v>984158.74</v>
      </c>
      <c r="AM20" s="317">
        <f t="shared" si="29"/>
        <v>0</v>
      </c>
      <c r="AN20" s="14">
        <f t="shared" si="19"/>
        <v>6591.25</v>
      </c>
      <c r="AO20" s="14">
        <f t="shared" si="30"/>
        <v>589954.03</v>
      </c>
      <c r="AP20" s="14">
        <f t="shared" si="20"/>
        <v>9112.5300000000007</v>
      </c>
      <c r="AS20" s="14">
        <f t="shared" si="21"/>
        <v>6591.25</v>
      </c>
      <c r="AT20" s="14">
        <f t="shared" si="31"/>
        <v>32956.25</v>
      </c>
      <c r="AU20" s="185">
        <f t="shared" si="32"/>
        <v>1495.1120474076761</v>
      </c>
      <c r="AV20" s="185">
        <f t="shared" si="33"/>
        <v>8914.9310104780488</v>
      </c>
    </row>
    <row r="21" spans="1:48">
      <c r="A21" s="401" t="str">
        <f t="shared" si="34"/>
        <v xml:space="preserve"> </v>
      </c>
      <c r="B21" s="185">
        <f t="shared" si="22"/>
        <v>0</v>
      </c>
      <c r="C21" s="14">
        <f t="shared" si="4"/>
        <v>0</v>
      </c>
      <c r="D21" s="14">
        <f t="shared" si="35"/>
        <v>0</v>
      </c>
      <c r="E21" s="14">
        <f t="shared" si="5"/>
        <v>0</v>
      </c>
      <c r="I21" s="185">
        <f t="shared" si="36"/>
        <v>0</v>
      </c>
      <c r="J21" s="185">
        <f t="shared" si="37"/>
        <v>0</v>
      </c>
      <c r="K21" s="185">
        <f t="shared" si="38"/>
        <v>0</v>
      </c>
      <c r="L21" s="317">
        <f t="shared" si="6"/>
        <v>0</v>
      </c>
      <c r="M21" s="317">
        <f t="shared" si="23"/>
        <v>5</v>
      </c>
      <c r="N21" s="185">
        <f t="shared" si="24"/>
        <v>589954.02999999991</v>
      </c>
      <c r="O21" s="185">
        <f t="shared" si="25"/>
        <v>6591.25</v>
      </c>
      <c r="P21" s="185">
        <f t="shared" si="39"/>
        <v>138.63000000000011</v>
      </c>
      <c r="Q21" s="185">
        <f t="shared" si="26"/>
        <v>6452.62</v>
      </c>
      <c r="R21" s="185">
        <f t="shared" si="7"/>
        <v>134.16999999999999</v>
      </c>
      <c r="S21" s="185">
        <f t="shared" si="8"/>
        <v>188.55</v>
      </c>
      <c r="T21" s="185">
        <f t="shared" si="9"/>
        <v>6913.97</v>
      </c>
      <c r="U21" s="185">
        <f t="shared" si="40"/>
        <v>809.60000000000036</v>
      </c>
      <c r="V21" s="185">
        <f t="shared" si="41"/>
        <v>38737.9</v>
      </c>
      <c r="W21" s="185">
        <f t="shared" si="42"/>
        <v>589815.39999999991</v>
      </c>
      <c r="X21" s="401" t="str">
        <f t="shared" si="27"/>
        <v xml:space="preserve"> </v>
      </c>
      <c r="Y21" s="185">
        <f t="shared" si="43"/>
        <v>984158.74</v>
      </c>
      <c r="Z21" s="393">
        <f t="shared" si="10"/>
        <v>0.10625</v>
      </c>
      <c r="AA21" s="185">
        <f t="shared" si="11"/>
        <v>9112.5300000000007</v>
      </c>
      <c r="AB21" s="185">
        <f t="shared" si="12"/>
        <v>398.6200000000008</v>
      </c>
      <c r="AC21" s="185">
        <f t="shared" si="13"/>
        <v>8713.91</v>
      </c>
      <c r="AD21" s="185">
        <f t="shared" si="14"/>
        <v>134.16999999999999</v>
      </c>
      <c r="AE21" s="185">
        <f t="shared" si="15"/>
        <v>188.55</v>
      </c>
      <c r="AF21" s="185">
        <f t="shared" si="16"/>
        <v>9435.25</v>
      </c>
      <c r="AG21" s="185">
        <f t="shared" si="44"/>
        <v>2339.8800000000047</v>
      </c>
      <c r="AH21" s="185">
        <f t="shared" si="45"/>
        <v>52335.3</v>
      </c>
      <c r="AI21" s="411">
        <f t="shared" si="28"/>
        <v>-15127.680000000004</v>
      </c>
      <c r="AJ21" s="411">
        <f t="shared" si="17"/>
        <v>-393944.72000000009</v>
      </c>
      <c r="AK21" s="411"/>
      <c r="AL21" s="185">
        <f t="shared" si="46"/>
        <v>983760.12</v>
      </c>
      <c r="AM21" s="317">
        <f t="shared" si="29"/>
        <v>0</v>
      </c>
      <c r="AN21" s="14">
        <f t="shared" si="19"/>
        <v>6591.25</v>
      </c>
      <c r="AO21" s="14">
        <f t="shared" si="30"/>
        <v>589815.4</v>
      </c>
      <c r="AP21" s="14">
        <f t="shared" si="20"/>
        <v>9112.5300000000007</v>
      </c>
      <c r="AS21" s="14">
        <f t="shared" si="21"/>
        <v>6591.25</v>
      </c>
      <c r="AT21" s="14">
        <f t="shared" si="31"/>
        <v>39547.5</v>
      </c>
      <c r="AU21" s="185">
        <f t="shared" si="32"/>
        <v>1498.8498275261952</v>
      </c>
      <c r="AV21" s="185">
        <f t="shared" si="33"/>
        <v>10413.780838004244</v>
      </c>
    </row>
    <row r="22" spans="1:48">
      <c r="A22" s="401" t="str">
        <f t="shared" si="34"/>
        <v xml:space="preserve"> </v>
      </c>
      <c r="B22" s="185">
        <f t="shared" si="22"/>
        <v>0</v>
      </c>
      <c r="C22" s="14">
        <f t="shared" si="4"/>
        <v>0</v>
      </c>
      <c r="D22" s="14">
        <f t="shared" si="35"/>
        <v>0</v>
      </c>
      <c r="E22" s="14">
        <f t="shared" si="5"/>
        <v>0</v>
      </c>
      <c r="I22" s="185">
        <f t="shared" si="36"/>
        <v>0</v>
      </c>
      <c r="J22" s="185">
        <f t="shared" si="37"/>
        <v>0</v>
      </c>
      <c r="K22" s="185">
        <f t="shared" si="38"/>
        <v>0</v>
      </c>
      <c r="L22" s="317">
        <f t="shared" si="6"/>
        <v>0</v>
      </c>
      <c r="M22" s="317">
        <f t="shared" si="23"/>
        <v>6</v>
      </c>
      <c r="N22" s="185">
        <f t="shared" si="24"/>
        <v>589815.39999999991</v>
      </c>
      <c r="O22" s="185">
        <f t="shared" si="25"/>
        <v>6591.25</v>
      </c>
      <c r="P22" s="185">
        <f t="shared" si="39"/>
        <v>140.14000000000033</v>
      </c>
      <c r="Q22" s="185">
        <f t="shared" si="26"/>
        <v>6451.11</v>
      </c>
      <c r="R22" s="185">
        <f t="shared" si="7"/>
        <v>134.16999999999999</v>
      </c>
      <c r="S22" s="185">
        <f t="shared" si="8"/>
        <v>188.55</v>
      </c>
      <c r="T22" s="185">
        <f t="shared" si="9"/>
        <v>6913.97</v>
      </c>
      <c r="U22" s="185">
        <f t="shared" si="40"/>
        <v>949.74000000000069</v>
      </c>
      <c r="V22" s="185">
        <f t="shared" si="41"/>
        <v>45189.01</v>
      </c>
      <c r="W22" s="185">
        <f t="shared" si="42"/>
        <v>589675.25999999989</v>
      </c>
      <c r="X22" s="401" t="str">
        <f t="shared" si="27"/>
        <v xml:space="preserve"> </v>
      </c>
      <c r="Y22" s="185">
        <f t="shared" si="43"/>
        <v>983760.12</v>
      </c>
      <c r="Z22" s="393">
        <f t="shared" si="10"/>
        <v>0.10625</v>
      </c>
      <c r="AA22" s="185">
        <f t="shared" si="11"/>
        <v>9112.5300000000007</v>
      </c>
      <c r="AB22" s="185">
        <f t="shared" si="12"/>
        <v>402.15000000000146</v>
      </c>
      <c r="AC22" s="185">
        <f t="shared" si="13"/>
        <v>8710.3799999999992</v>
      </c>
      <c r="AD22" s="185">
        <f t="shared" si="14"/>
        <v>134.16999999999999</v>
      </c>
      <c r="AE22" s="185">
        <f t="shared" si="15"/>
        <v>188.55</v>
      </c>
      <c r="AF22" s="185">
        <f t="shared" si="16"/>
        <v>9435.25</v>
      </c>
      <c r="AG22" s="185">
        <f t="shared" si="44"/>
        <v>2742.0300000000061</v>
      </c>
      <c r="AH22" s="185">
        <f t="shared" si="45"/>
        <v>61045.68</v>
      </c>
      <c r="AI22" s="411">
        <f t="shared" si="28"/>
        <v>-17648.960000000006</v>
      </c>
      <c r="AJ22" s="411">
        <f t="shared" si="17"/>
        <v>-393682.71000000008</v>
      </c>
      <c r="AK22" s="411"/>
      <c r="AL22" s="185">
        <f t="shared" si="46"/>
        <v>983357.97</v>
      </c>
      <c r="AM22" s="317">
        <f t="shared" si="29"/>
        <v>0</v>
      </c>
      <c r="AN22" s="14">
        <f t="shared" si="19"/>
        <v>6591.25</v>
      </c>
      <c r="AO22" s="14">
        <f t="shared" si="30"/>
        <v>589675.26</v>
      </c>
      <c r="AP22" s="14">
        <f t="shared" si="20"/>
        <v>9112.5300000000007</v>
      </c>
      <c r="AS22" s="14">
        <f t="shared" si="21"/>
        <v>6591.25</v>
      </c>
      <c r="AT22" s="14">
        <f t="shared" si="31"/>
        <v>46138.75</v>
      </c>
      <c r="AU22" s="185">
        <f t="shared" si="32"/>
        <v>1502.5969520950105</v>
      </c>
      <c r="AV22" s="185">
        <f t="shared" si="33"/>
        <v>11916.377790099255</v>
      </c>
    </row>
    <row r="23" spans="1:48">
      <c r="A23" s="401" t="str">
        <f t="shared" si="34"/>
        <v xml:space="preserve"> </v>
      </c>
      <c r="B23" s="185">
        <f t="shared" si="22"/>
        <v>0</v>
      </c>
      <c r="C23" s="14">
        <f t="shared" si="4"/>
        <v>0</v>
      </c>
      <c r="D23" s="14">
        <f t="shared" si="35"/>
        <v>0</v>
      </c>
      <c r="E23" s="14">
        <f t="shared" si="5"/>
        <v>0</v>
      </c>
      <c r="I23" s="185">
        <f t="shared" si="36"/>
        <v>0</v>
      </c>
      <c r="J23" s="185">
        <f t="shared" si="37"/>
        <v>0</v>
      </c>
      <c r="K23" s="185">
        <f t="shared" si="38"/>
        <v>0</v>
      </c>
      <c r="L23" s="317">
        <f t="shared" si="6"/>
        <v>0</v>
      </c>
      <c r="M23" s="317">
        <f t="shared" si="23"/>
        <v>7</v>
      </c>
      <c r="N23" s="185">
        <f t="shared" si="24"/>
        <v>589675.25999999989</v>
      </c>
      <c r="O23" s="185">
        <f t="shared" si="25"/>
        <v>6591.25</v>
      </c>
      <c r="P23" s="185">
        <f t="shared" si="39"/>
        <v>141.68000000000029</v>
      </c>
      <c r="Q23" s="185">
        <f t="shared" si="26"/>
        <v>6449.57</v>
      </c>
      <c r="R23" s="185">
        <f t="shared" si="7"/>
        <v>134.16999999999999</v>
      </c>
      <c r="S23" s="185">
        <f t="shared" si="8"/>
        <v>188.55</v>
      </c>
      <c r="T23" s="185">
        <f t="shared" si="9"/>
        <v>6913.97</v>
      </c>
      <c r="U23" s="185">
        <f t="shared" si="40"/>
        <v>1091.420000000001</v>
      </c>
      <c r="V23" s="185">
        <f t="shared" si="41"/>
        <v>51638.58</v>
      </c>
      <c r="W23" s="185">
        <f t="shared" si="42"/>
        <v>589533.57999999984</v>
      </c>
      <c r="X23" s="401" t="str">
        <f t="shared" si="27"/>
        <v xml:space="preserve"> </v>
      </c>
      <c r="Y23" s="185">
        <f t="shared" si="43"/>
        <v>983357.97</v>
      </c>
      <c r="Z23" s="393">
        <f t="shared" si="10"/>
        <v>0.10625</v>
      </c>
      <c r="AA23" s="185">
        <f t="shared" si="11"/>
        <v>9112.5300000000007</v>
      </c>
      <c r="AB23" s="185">
        <f t="shared" si="12"/>
        <v>405.71000000000095</v>
      </c>
      <c r="AC23" s="185">
        <f t="shared" si="13"/>
        <v>8706.82</v>
      </c>
      <c r="AD23" s="185">
        <f t="shared" si="14"/>
        <v>134.16999999999999</v>
      </c>
      <c r="AE23" s="185">
        <f t="shared" si="15"/>
        <v>188.55</v>
      </c>
      <c r="AF23" s="185">
        <f t="shared" si="16"/>
        <v>9435.25</v>
      </c>
      <c r="AG23" s="185">
        <f t="shared" si="44"/>
        <v>3147.7400000000071</v>
      </c>
      <c r="AH23" s="185">
        <f t="shared" si="45"/>
        <v>69752.5</v>
      </c>
      <c r="AI23" s="411">
        <f t="shared" si="28"/>
        <v>-20170.240000000005</v>
      </c>
      <c r="AJ23" s="411">
        <f t="shared" si="17"/>
        <v>-393418.68000000017</v>
      </c>
      <c r="AK23" s="411"/>
      <c r="AL23" s="185">
        <f t="shared" si="46"/>
        <v>982952.26</v>
      </c>
      <c r="AM23" s="317">
        <f t="shared" si="29"/>
        <v>0</v>
      </c>
      <c r="AN23" s="14">
        <f t="shared" si="19"/>
        <v>6591.25</v>
      </c>
      <c r="AO23" s="14">
        <f t="shared" si="30"/>
        <v>589533.57999999996</v>
      </c>
      <c r="AP23" s="14">
        <f t="shared" si="20"/>
        <v>9112.5300000000007</v>
      </c>
      <c r="AS23" s="14">
        <f t="shared" si="21"/>
        <v>6591.25</v>
      </c>
      <c r="AT23" s="14">
        <f t="shared" si="31"/>
        <v>52730</v>
      </c>
      <c r="AU23" s="185">
        <f t="shared" si="32"/>
        <v>1506.3534444752479</v>
      </c>
      <c r="AV23" s="185">
        <f t="shared" si="33"/>
        <v>13422.731234574503</v>
      </c>
    </row>
    <row r="24" spans="1:48">
      <c r="A24" s="401" t="str">
        <f t="shared" si="34"/>
        <v xml:space="preserve"> </v>
      </c>
      <c r="B24" s="185">
        <f t="shared" si="22"/>
        <v>0</v>
      </c>
      <c r="C24" s="14">
        <f t="shared" si="4"/>
        <v>0</v>
      </c>
      <c r="D24" s="14">
        <f t="shared" si="35"/>
        <v>0</v>
      </c>
      <c r="E24" s="14">
        <f t="shared" si="5"/>
        <v>0</v>
      </c>
      <c r="I24" s="185">
        <f t="shared" si="36"/>
        <v>0</v>
      </c>
      <c r="J24" s="185">
        <f t="shared" si="37"/>
        <v>0</v>
      </c>
      <c r="K24" s="185">
        <f t="shared" si="38"/>
        <v>0</v>
      </c>
      <c r="L24" s="317">
        <f t="shared" si="6"/>
        <v>0</v>
      </c>
      <c r="M24" s="317">
        <f t="shared" si="23"/>
        <v>8</v>
      </c>
      <c r="N24" s="185">
        <f t="shared" si="24"/>
        <v>589533.57999999984</v>
      </c>
      <c r="O24" s="185">
        <f t="shared" si="25"/>
        <v>6591.25</v>
      </c>
      <c r="P24" s="185">
        <f t="shared" si="39"/>
        <v>143.22999999999956</v>
      </c>
      <c r="Q24" s="185">
        <f t="shared" si="26"/>
        <v>6448.02</v>
      </c>
      <c r="R24" s="185">
        <f t="shared" si="7"/>
        <v>134.16999999999999</v>
      </c>
      <c r="S24" s="185">
        <f t="shared" si="8"/>
        <v>188.55</v>
      </c>
      <c r="T24" s="185">
        <f t="shared" si="9"/>
        <v>6913.97</v>
      </c>
      <c r="U24" s="185">
        <f t="shared" si="40"/>
        <v>1234.6500000000005</v>
      </c>
      <c r="V24" s="185">
        <f t="shared" si="41"/>
        <v>58086.600000000006</v>
      </c>
      <c r="W24" s="185">
        <f t="shared" si="42"/>
        <v>589390.34999999986</v>
      </c>
      <c r="X24" s="401" t="str">
        <f t="shared" si="27"/>
        <v xml:space="preserve"> </v>
      </c>
      <c r="Y24" s="185">
        <f t="shared" si="43"/>
        <v>982952.26</v>
      </c>
      <c r="Z24" s="393">
        <f t="shared" si="10"/>
        <v>0.10625</v>
      </c>
      <c r="AA24" s="185">
        <f t="shared" si="11"/>
        <v>9112.5300000000007</v>
      </c>
      <c r="AB24" s="185">
        <f t="shared" si="12"/>
        <v>409.31000000000131</v>
      </c>
      <c r="AC24" s="185">
        <f t="shared" si="13"/>
        <v>8703.2199999999993</v>
      </c>
      <c r="AD24" s="185">
        <f t="shared" si="14"/>
        <v>134.16999999999999</v>
      </c>
      <c r="AE24" s="185">
        <f t="shared" si="15"/>
        <v>188.55</v>
      </c>
      <c r="AF24" s="185">
        <f t="shared" si="16"/>
        <v>9435.25</v>
      </c>
      <c r="AG24" s="185">
        <f t="shared" si="44"/>
        <v>3557.0500000000084</v>
      </c>
      <c r="AH24" s="185">
        <f t="shared" si="45"/>
        <v>78455.72</v>
      </c>
      <c r="AI24" s="411">
        <f t="shared" si="28"/>
        <v>-22691.520000000004</v>
      </c>
      <c r="AJ24" s="411">
        <f t="shared" si="17"/>
        <v>-393152.60000000009</v>
      </c>
      <c r="AK24" s="411"/>
      <c r="AL24" s="185">
        <f t="shared" si="46"/>
        <v>982542.95</v>
      </c>
      <c r="AM24" s="317">
        <f t="shared" si="29"/>
        <v>0</v>
      </c>
      <c r="AN24" s="14">
        <f t="shared" si="19"/>
        <v>6591.25</v>
      </c>
      <c r="AO24" s="14">
        <f t="shared" si="30"/>
        <v>589390.35</v>
      </c>
      <c r="AP24" s="14">
        <f t="shared" si="20"/>
        <v>9112.5300000000007</v>
      </c>
      <c r="AS24" s="14">
        <f t="shared" si="21"/>
        <v>6591.25</v>
      </c>
      <c r="AT24" s="14">
        <f t="shared" si="31"/>
        <v>59321.25</v>
      </c>
      <c r="AU24" s="185">
        <f t="shared" si="32"/>
        <v>1510.1193280864361</v>
      </c>
      <c r="AV24" s="185">
        <f t="shared" si="33"/>
        <v>14932.850562660939</v>
      </c>
    </row>
    <row r="25" spans="1:48">
      <c r="A25" s="401" t="str">
        <f t="shared" si="34"/>
        <v xml:space="preserve"> </v>
      </c>
      <c r="B25" s="185">
        <f t="shared" si="22"/>
        <v>0</v>
      </c>
      <c r="C25" s="14">
        <f t="shared" si="4"/>
        <v>0</v>
      </c>
      <c r="D25" s="14">
        <f t="shared" si="35"/>
        <v>0</v>
      </c>
      <c r="E25" s="14">
        <f t="shared" si="5"/>
        <v>0</v>
      </c>
      <c r="I25" s="185">
        <f t="shared" si="36"/>
        <v>0</v>
      </c>
      <c r="J25" s="185">
        <f t="shared" si="37"/>
        <v>0</v>
      </c>
      <c r="K25" s="185">
        <f t="shared" si="38"/>
        <v>0</v>
      </c>
      <c r="L25" s="317">
        <f t="shared" si="6"/>
        <v>0</v>
      </c>
      <c r="M25" s="317">
        <f t="shared" si="23"/>
        <v>9</v>
      </c>
      <c r="N25" s="185">
        <f t="shared" si="24"/>
        <v>589390.34999999986</v>
      </c>
      <c r="O25" s="185">
        <f t="shared" si="25"/>
        <v>6591.25</v>
      </c>
      <c r="P25" s="185">
        <f t="shared" si="39"/>
        <v>144.78999999999996</v>
      </c>
      <c r="Q25" s="185">
        <f t="shared" si="26"/>
        <v>6446.46</v>
      </c>
      <c r="R25" s="185">
        <f t="shared" si="7"/>
        <v>134.16999999999999</v>
      </c>
      <c r="S25" s="185">
        <f t="shared" si="8"/>
        <v>188.55</v>
      </c>
      <c r="T25" s="185">
        <f t="shared" si="9"/>
        <v>6913.97</v>
      </c>
      <c r="U25" s="185">
        <f t="shared" si="40"/>
        <v>1379.4400000000005</v>
      </c>
      <c r="V25" s="185">
        <f t="shared" si="41"/>
        <v>64533.060000000005</v>
      </c>
      <c r="W25" s="185">
        <f t="shared" si="42"/>
        <v>589245.55999999982</v>
      </c>
      <c r="X25" s="401" t="str">
        <f t="shared" si="27"/>
        <v xml:space="preserve"> </v>
      </c>
      <c r="Y25" s="185">
        <f t="shared" si="43"/>
        <v>982542.95</v>
      </c>
      <c r="Z25" s="393">
        <f t="shared" si="10"/>
        <v>0.10625</v>
      </c>
      <c r="AA25" s="185">
        <f t="shared" si="11"/>
        <v>9112.5300000000007</v>
      </c>
      <c r="AB25" s="185">
        <f t="shared" si="12"/>
        <v>412.93000000000029</v>
      </c>
      <c r="AC25" s="185">
        <f t="shared" si="13"/>
        <v>8699.6</v>
      </c>
      <c r="AD25" s="185">
        <f t="shared" si="14"/>
        <v>134.16999999999999</v>
      </c>
      <c r="AE25" s="185">
        <f t="shared" si="15"/>
        <v>188.55</v>
      </c>
      <c r="AF25" s="185">
        <f t="shared" si="16"/>
        <v>9435.25</v>
      </c>
      <c r="AG25" s="185">
        <f t="shared" si="44"/>
        <v>3969.9800000000087</v>
      </c>
      <c r="AH25" s="185">
        <f t="shared" si="45"/>
        <v>87155.32</v>
      </c>
      <c r="AI25" s="411">
        <f t="shared" si="28"/>
        <v>-25212.800000000003</v>
      </c>
      <c r="AJ25" s="411">
        <f t="shared" si="17"/>
        <v>-392884.46000000008</v>
      </c>
      <c r="AK25" s="411"/>
      <c r="AL25" s="185">
        <f t="shared" si="46"/>
        <v>982130.0199999999</v>
      </c>
      <c r="AM25" s="317">
        <f t="shared" si="29"/>
        <v>0</v>
      </c>
      <c r="AN25" s="14">
        <f t="shared" si="19"/>
        <v>6591.25</v>
      </c>
      <c r="AO25" s="14">
        <f t="shared" si="30"/>
        <v>589245.56000000006</v>
      </c>
      <c r="AP25" s="14">
        <f t="shared" si="20"/>
        <v>9112.5300000000007</v>
      </c>
      <c r="AS25" s="14">
        <f t="shared" si="21"/>
        <v>6591.25</v>
      </c>
      <c r="AT25" s="14">
        <f t="shared" si="31"/>
        <v>65912.5</v>
      </c>
      <c r="AU25" s="185">
        <f t="shared" si="32"/>
        <v>1513.8946264066524</v>
      </c>
      <c r="AV25" s="185">
        <f t="shared" si="33"/>
        <v>16446.745189067591</v>
      </c>
    </row>
    <row r="26" spans="1:48" ht="15.75" thickBot="1">
      <c r="A26" s="404" t="str">
        <f t="shared" si="34"/>
        <v xml:space="preserve"> </v>
      </c>
      <c r="B26" s="237">
        <f t="shared" si="22"/>
        <v>0</v>
      </c>
      <c r="C26" s="21">
        <f t="shared" si="4"/>
        <v>0</v>
      </c>
      <c r="D26" s="21">
        <f t="shared" si="35"/>
        <v>0</v>
      </c>
      <c r="E26" s="21">
        <f t="shared" si="5"/>
        <v>0</v>
      </c>
      <c r="F26" s="21"/>
      <c r="G26" s="21"/>
      <c r="H26" s="21"/>
      <c r="I26" s="237">
        <f t="shared" si="36"/>
        <v>0</v>
      </c>
      <c r="J26" s="237">
        <f t="shared" si="37"/>
        <v>0</v>
      </c>
      <c r="K26" s="237">
        <f t="shared" si="38"/>
        <v>0</v>
      </c>
      <c r="L26" s="318">
        <f t="shared" si="6"/>
        <v>0</v>
      </c>
      <c r="M26" s="318">
        <f t="shared" si="23"/>
        <v>10</v>
      </c>
      <c r="N26" s="237">
        <f t="shared" si="24"/>
        <v>589245.55999999982</v>
      </c>
      <c r="O26" s="237">
        <f t="shared" si="25"/>
        <v>6591.25</v>
      </c>
      <c r="P26" s="237">
        <f t="shared" si="39"/>
        <v>146.38000000000011</v>
      </c>
      <c r="Q26" s="237">
        <f t="shared" si="26"/>
        <v>6444.87</v>
      </c>
      <c r="R26" s="237">
        <f t="shared" si="7"/>
        <v>134.16999999999999</v>
      </c>
      <c r="S26" s="237">
        <f t="shared" si="8"/>
        <v>188.55</v>
      </c>
      <c r="T26" s="237">
        <f t="shared" si="9"/>
        <v>6913.97</v>
      </c>
      <c r="U26" s="237">
        <f t="shared" si="40"/>
        <v>1525.8200000000006</v>
      </c>
      <c r="V26" s="237">
        <f t="shared" si="41"/>
        <v>70977.930000000008</v>
      </c>
      <c r="W26" s="237">
        <f t="shared" si="42"/>
        <v>589099.17999999982</v>
      </c>
      <c r="X26" s="404" t="str">
        <f t="shared" si="27"/>
        <v xml:space="preserve"> </v>
      </c>
      <c r="Y26" s="237">
        <f t="shared" si="43"/>
        <v>982130.0199999999</v>
      </c>
      <c r="Z26" s="394">
        <f t="shared" si="10"/>
        <v>0.10625</v>
      </c>
      <c r="AA26" s="237">
        <f t="shared" si="11"/>
        <v>9112.5300000000007</v>
      </c>
      <c r="AB26" s="237">
        <f t="shared" si="12"/>
        <v>416.59000000000015</v>
      </c>
      <c r="AC26" s="237">
        <f t="shared" si="13"/>
        <v>8695.94</v>
      </c>
      <c r="AD26" s="237">
        <f t="shared" si="14"/>
        <v>134.16999999999999</v>
      </c>
      <c r="AE26" s="237">
        <f t="shared" si="15"/>
        <v>188.55</v>
      </c>
      <c r="AF26" s="237">
        <f t="shared" si="16"/>
        <v>9435.25</v>
      </c>
      <c r="AG26" s="237">
        <f t="shared" si="44"/>
        <v>4386.5700000000088</v>
      </c>
      <c r="AH26" s="237">
        <f t="shared" si="45"/>
        <v>95851.260000000009</v>
      </c>
      <c r="AI26" s="412">
        <f t="shared" si="28"/>
        <v>-27734.080000000002</v>
      </c>
      <c r="AJ26" s="412">
        <f t="shared" si="17"/>
        <v>-392614.25000000012</v>
      </c>
      <c r="AK26" s="412"/>
      <c r="AL26" s="237">
        <f t="shared" si="46"/>
        <v>981713.42999999993</v>
      </c>
      <c r="AM26" s="318">
        <f t="shared" si="29"/>
        <v>0</v>
      </c>
      <c r="AN26" s="21">
        <f t="shared" si="19"/>
        <v>6591.25</v>
      </c>
      <c r="AO26" s="21">
        <f t="shared" si="30"/>
        <v>589099.18000000005</v>
      </c>
      <c r="AP26" s="21">
        <f t="shared" si="20"/>
        <v>9112.5300000000007</v>
      </c>
      <c r="AQ26" s="21"/>
      <c r="AR26" s="23"/>
      <c r="AS26" s="21">
        <f t="shared" si="21"/>
        <v>6591.25</v>
      </c>
      <c r="AT26" s="21">
        <f t="shared" si="31"/>
        <v>72503.75</v>
      </c>
      <c r="AU26" s="237">
        <f t="shared" si="32"/>
        <v>1517.679362972669</v>
      </c>
      <c r="AV26" s="185">
        <f t="shared" si="33"/>
        <v>17964.424552040262</v>
      </c>
    </row>
    <row r="27" spans="1:48">
      <c r="A27" s="401" t="str">
        <f t="shared" si="34"/>
        <v xml:space="preserve"> </v>
      </c>
      <c r="B27" s="185">
        <f t="shared" si="22"/>
        <v>0</v>
      </c>
      <c r="C27" s="14">
        <f t="shared" si="4"/>
        <v>0</v>
      </c>
      <c r="D27" s="14">
        <f t="shared" si="35"/>
        <v>0</v>
      </c>
      <c r="E27" s="14">
        <f t="shared" si="5"/>
        <v>0</v>
      </c>
      <c r="I27" s="185">
        <f t="shared" si="36"/>
        <v>0</v>
      </c>
      <c r="J27" s="185">
        <f t="shared" si="37"/>
        <v>0</v>
      </c>
      <c r="K27" s="185">
        <f t="shared" si="38"/>
        <v>0</v>
      </c>
      <c r="L27" s="317">
        <f t="shared" si="6"/>
        <v>0</v>
      </c>
      <c r="M27" s="317">
        <f t="shared" si="23"/>
        <v>11</v>
      </c>
      <c r="N27" s="185">
        <f t="shared" si="24"/>
        <v>589099.17999999982</v>
      </c>
      <c r="O27" s="185">
        <f t="shared" si="25"/>
        <v>6591.25</v>
      </c>
      <c r="P27" s="185">
        <f t="shared" si="39"/>
        <v>147.97999999999956</v>
      </c>
      <c r="Q27" s="185">
        <f t="shared" si="26"/>
        <v>6443.27</v>
      </c>
      <c r="R27" s="185">
        <f t="shared" si="7"/>
        <v>134.16999999999999</v>
      </c>
      <c r="S27" s="185">
        <f t="shared" si="8"/>
        <v>188.55</v>
      </c>
      <c r="T27" s="185">
        <f t="shared" si="9"/>
        <v>6913.97</v>
      </c>
      <c r="U27" s="185">
        <f t="shared" si="40"/>
        <v>1673.8000000000002</v>
      </c>
      <c r="V27" s="185">
        <f t="shared" si="41"/>
        <v>77421.200000000012</v>
      </c>
      <c r="W27" s="185">
        <f t="shared" si="42"/>
        <v>588951.19999999984</v>
      </c>
      <c r="X27" s="401" t="str">
        <f t="shared" si="27"/>
        <v xml:space="preserve"> </v>
      </c>
      <c r="Y27" s="185">
        <f t="shared" si="43"/>
        <v>981713.42999999993</v>
      </c>
      <c r="Z27" s="393">
        <f t="shared" si="10"/>
        <v>0.10625</v>
      </c>
      <c r="AA27" s="185">
        <f t="shared" si="11"/>
        <v>9112.5300000000007</v>
      </c>
      <c r="AB27" s="185">
        <f t="shared" si="12"/>
        <v>420.28000000000065</v>
      </c>
      <c r="AC27" s="185">
        <f t="shared" si="13"/>
        <v>8692.25</v>
      </c>
      <c r="AD27" s="185">
        <f t="shared" si="14"/>
        <v>134.16999999999999</v>
      </c>
      <c r="AE27" s="185">
        <f t="shared" si="15"/>
        <v>188.55</v>
      </c>
      <c r="AF27" s="185">
        <f t="shared" si="16"/>
        <v>9435.25</v>
      </c>
      <c r="AG27" s="185">
        <f t="shared" si="44"/>
        <v>4806.8500000000095</v>
      </c>
      <c r="AH27" s="185">
        <f t="shared" si="45"/>
        <v>104543.51000000001</v>
      </c>
      <c r="AI27" s="411">
        <f t="shared" si="28"/>
        <v>-30255.360000000001</v>
      </c>
      <c r="AJ27" s="411">
        <f t="shared" si="17"/>
        <v>-392341.95000000007</v>
      </c>
      <c r="AK27" s="411"/>
      <c r="AL27" s="185">
        <f t="shared" si="46"/>
        <v>981293.14999999991</v>
      </c>
      <c r="AM27" s="317">
        <f t="shared" si="29"/>
        <v>0</v>
      </c>
      <c r="AN27" s="14">
        <f t="shared" si="19"/>
        <v>6591.25</v>
      </c>
      <c r="AO27" s="14">
        <f t="shared" si="30"/>
        <v>588951.19999999995</v>
      </c>
      <c r="AP27" s="14">
        <f t="shared" si="20"/>
        <v>9112.5300000000007</v>
      </c>
      <c r="AS27" s="14">
        <f t="shared" si="21"/>
        <v>6591.25</v>
      </c>
      <c r="AT27" s="14">
        <f t="shared" si="31"/>
        <v>79095</v>
      </c>
      <c r="AU27" s="185">
        <f t="shared" si="32"/>
        <v>1521.4735613801006</v>
      </c>
      <c r="AV27" s="185">
        <f t="shared" si="33"/>
        <v>19485.898113420364</v>
      </c>
    </row>
    <row r="28" spans="1:48">
      <c r="A28" s="401" t="str">
        <f t="shared" si="34"/>
        <v xml:space="preserve"> </v>
      </c>
      <c r="B28" s="185">
        <f t="shared" si="22"/>
        <v>0</v>
      </c>
      <c r="C28" s="14">
        <f t="shared" si="4"/>
        <v>0</v>
      </c>
      <c r="D28" s="14">
        <f t="shared" si="35"/>
        <v>0</v>
      </c>
      <c r="E28" s="14">
        <f t="shared" si="5"/>
        <v>0</v>
      </c>
      <c r="I28" s="185">
        <f t="shared" si="36"/>
        <v>0</v>
      </c>
      <c r="J28" s="185">
        <f t="shared" si="37"/>
        <v>0</v>
      </c>
      <c r="K28" s="185">
        <f t="shared" si="38"/>
        <v>0</v>
      </c>
      <c r="L28" s="317">
        <f t="shared" si="6"/>
        <v>1</v>
      </c>
      <c r="M28" s="317">
        <f t="shared" si="23"/>
        <v>12</v>
      </c>
      <c r="N28" s="185">
        <f t="shared" si="24"/>
        <v>588951.19999999984</v>
      </c>
      <c r="O28" s="185">
        <f t="shared" si="25"/>
        <v>6591.25</v>
      </c>
      <c r="P28" s="185">
        <f t="shared" si="39"/>
        <v>149.60000000000036</v>
      </c>
      <c r="Q28" s="185">
        <f t="shared" si="26"/>
        <v>6441.65</v>
      </c>
      <c r="R28" s="185">
        <f t="shared" si="7"/>
        <v>134.16999999999999</v>
      </c>
      <c r="S28" s="185">
        <f t="shared" si="8"/>
        <v>188.55</v>
      </c>
      <c r="T28" s="185">
        <f t="shared" si="9"/>
        <v>6913.97</v>
      </c>
      <c r="U28" s="185">
        <f t="shared" si="40"/>
        <v>1823.4000000000005</v>
      </c>
      <c r="V28" s="185">
        <f t="shared" si="41"/>
        <v>83862.850000000006</v>
      </c>
      <c r="W28" s="185">
        <f t="shared" si="42"/>
        <v>588801.59999999986</v>
      </c>
      <c r="X28" s="401" t="str">
        <f t="shared" si="27"/>
        <v xml:space="preserve"> </v>
      </c>
      <c r="Y28" s="185">
        <f t="shared" si="43"/>
        <v>981293.14999999991</v>
      </c>
      <c r="Z28" s="393">
        <f t="shared" si="10"/>
        <v>0.10625</v>
      </c>
      <c r="AA28" s="185">
        <f t="shared" si="11"/>
        <v>9112.5300000000007</v>
      </c>
      <c r="AB28" s="185">
        <f t="shared" si="12"/>
        <v>424</v>
      </c>
      <c r="AC28" s="185">
        <f t="shared" si="13"/>
        <v>8688.5300000000007</v>
      </c>
      <c r="AD28" s="185">
        <f t="shared" si="14"/>
        <v>134.16999999999999</v>
      </c>
      <c r="AE28" s="185">
        <f t="shared" si="15"/>
        <v>188.55</v>
      </c>
      <c r="AF28" s="185">
        <f t="shared" si="16"/>
        <v>9435.25</v>
      </c>
      <c r="AG28" s="185">
        <f t="shared" si="44"/>
        <v>5230.8500000000095</v>
      </c>
      <c r="AH28" s="185">
        <f t="shared" si="45"/>
        <v>113232.04000000001</v>
      </c>
      <c r="AI28" s="411">
        <f t="shared" si="28"/>
        <v>-32776.639999999999</v>
      </c>
      <c r="AJ28" s="411">
        <f t="shared" si="17"/>
        <v>-392067.55000000005</v>
      </c>
      <c r="AK28" s="411"/>
      <c r="AL28" s="185">
        <f t="shared" si="46"/>
        <v>980869.14999999991</v>
      </c>
      <c r="AM28" s="317">
        <f t="shared" si="29"/>
        <v>1</v>
      </c>
      <c r="AN28" s="14">
        <f t="shared" si="19"/>
        <v>6591.25</v>
      </c>
      <c r="AO28" s="14">
        <f t="shared" si="30"/>
        <v>588801.6</v>
      </c>
      <c r="AP28" s="14">
        <f t="shared" si="20"/>
        <v>9112.5300000000007</v>
      </c>
      <c r="AS28" s="14">
        <f t="shared" si="21"/>
        <v>6591.25</v>
      </c>
      <c r="AT28" s="14">
        <f t="shared" si="31"/>
        <v>85686.25</v>
      </c>
      <c r="AU28" s="185">
        <f t="shared" si="32"/>
        <v>1525.2772452835509</v>
      </c>
      <c r="AV28" s="185">
        <f t="shared" si="33"/>
        <v>21011.175358703917</v>
      </c>
    </row>
    <row r="29" spans="1:48">
      <c r="A29" s="401" t="str">
        <f t="shared" si="34"/>
        <v xml:space="preserve"> </v>
      </c>
      <c r="B29" s="185">
        <f t="shared" si="22"/>
        <v>0</v>
      </c>
      <c r="C29" s="14">
        <f t="shared" si="4"/>
        <v>0</v>
      </c>
      <c r="D29" s="14">
        <f t="shared" si="35"/>
        <v>0</v>
      </c>
      <c r="E29" s="14">
        <f t="shared" si="5"/>
        <v>0</v>
      </c>
      <c r="I29" s="185">
        <f t="shared" si="36"/>
        <v>0</v>
      </c>
      <c r="J29" s="185">
        <f t="shared" si="37"/>
        <v>0</v>
      </c>
      <c r="K29" s="185">
        <f t="shared" si="38"/>
        <v>0</v>
      </c>
      <c r="L29" s="317">
        <f t="shared" si="6"/>
        <v>1</v>
      </c>
      <c r="M29" s="317">
        <f t="shared" si="23"/>
        <v>13</v>
      </c>
      <c r="N29" s="185">
        <f t="shared" si="24"/>
        <v>588801.59999999986</v>
      </c>
      <c r="O29" s="185">
        <f t="shared" si="25"/>
        <v>6591.25</v>
      </c>
      <c r="P29" s="185">
        <f t="shared" si="39"/>
        <v>151.22999999999956</v>
      </c>
      <c r="Q29" s="185">
        <f t="shared" si="26"/>
        <v>6440.02</v>
      </c>
      <c r="R29" s="185">
        <f t="shared" si="7"/>
        <v>134.16999999999999</v>
      </c>
      <c r="S29" s="185">
        <f t="shared" si="8"/>
        <v>188.55</v>
      </c>
      <c r="T29" s="185">
        <f t="shared" si="9"/>
        <v>6913.97</v>
      </c>
      <c r="U29" s="185">
        <f t="shared" si="40"/>
        <v>1974.63</v>
      </c>
      <c r="V29" s="185">
        <f t="shared" si="41"/>
        <v>90302.87000000001</v>
      </c>
      <c r="W29" s="185">
        <f t="shared" si="42"/>
        <v>588650.36999999988</v>
      </c>
      <c r="X29" s="401" t="str">
        <f t="shared" si="27"/>
        <v xml:space="preserve"> </v>
      </c>
      <c r="Y29" s="185">
        <f t="shared" si="43"/>
        <v>980869.14999999991</v>
      </c>
      <c r="Z29" s="393">
        <f t="shared" si="10"/>
        <v>0.10625</v>
      </c>
      <c r="AA29" s="185">
        <f t="shared" si="11"/>
        <v>9112.5300000000007</v>
      </c>
      <c r="AB29" s="185">
        <f t="shared" si="12"/>
        <v>427.75</v>
      </c>
      <c r="AC29" s="185">
        <f t="shared" si="13"/>
        <v>8684.7800000000007</v>
      </c>
      <c r="AD29" s="185">
        <f t="shared" si="14"/>
        <v>134.16999999999999</v>
      </c>
      <c r="AE29" s="185">
        <f t="shared" si="15"/>
        <v>188.55</v>
      </c>
      <c r="AF29" s="185">
        <f t="shared" si="16"/>
        <v>9435.25</v>
      </c>
      <c r="AG29" s="185">
        <f t="shared" si="44"/>
        <v>5658.6000000000095</v>
      </c>
      <c r="AH29" s="185">
        <f t="shared" si="45"/>
        <v>121916.82</v>
      </c>
      <c r="AI29" s="411">
        <f t="shared" si="28"/>
        <v>-35297.919999999998</v>
      </c>
      <c r="AJ29" s="411">
        <f t="shared" si="17"/>
        <v>-391791.03</v>
      </c>
      <c r="AK29" s="411"/>
      <c r="AL29" s="185">
        <f t="shared" si="46"/>
        <v>980441.39999999991</v>
      </c>
      <c r="AM29" s="317">
        <f t="shared" si="29"/>
        <v>1</v>
      </c>
      <c r="AN29" s="14">
        <f t="shared" si="19"/>
        <v>6591.25</v>
      </c>
      <c r="AO29" s="14">
        <f t="shared" si="30"/>
        <v>588650.37</v>
      </c>
      <c r="AP29" s="14">
        <f t="shared" si="20"/>
        <v>9112.5300000000007</v>
      </c>
      <c r="AS29" s="14">
        <f t="shared" si="21"/>
        <v>6591.25</v>
      </c>
      <c r="AT29" s="14">
        <f t="shared" si="31"/>
        <v>92277.5</v>
      </c>
      <c r="AU29" s="185">
        <f t="shared" si="32"/>
        <v>1529.0904383967597</v>
      </c>
      <c r="AV29" s="185">
        <f t="shared" si="33"/>
        <v>22540.265797100677</v>
      </c>
    </row>
    <row r="30" spans="1:48">
      <c r="A30" s="401" t="str">
        <f t="shared" si="34"/>
        <v xml:space="preserve"> </v>
      </c>
      <c r="B30" s="185">
        <f t="shared" si="22"/>
        <v>0</v>
      </c>
      <c r="C30" s="14">
        <f t="shared" si="4"/>
        <v>0</v>
      </c>
      <c r="D30" s="14">
        <f t="shared" si="35"/>
        <v>0</v>
      </c>
      <c r="E30" s="14">
        <f t="shared" si="5"/>
        <v>0</v>
      </c>
      <c r="I30" s="185">
        <f t="shared" si="36"/>
        <v>0</v>
      </c>
      <c r="J30" s="185">
        <f t="shared" si="37"/>
        <v>0</v>
      </c>
      <c r="K30" s="185">
        <f t="shared" si="38"/>
        <v>0</v>
      </c>
      <c r="L30" s="317">
        <f t="shared" si="6"/>
        <v>1</v>
      </c>
      <c r="M30" s="317">
        <f t="shared" si="23"/>
        <v>14</v>
      </c>
      <c r="N30" s="185">
        <f t="shared" si="24"/>
        <v>588650.36999999988</v>
      </c>
      <c r="O30" s="185">
        <f t="shared" si="25"/>
        <v>6591.25</v>
      </c>
      <c r="P30" s="185">
        <f t="shared" si="39"/>
        <v>152.89000000000033</v>
      </c>
      <c r="Q30" s="185">
        <f t="shared" si="26"/>
        <v>6438.36</v>
      </c>
      <c r="R30" s="185">
        <f t="shared" si="7"/>
        <v>134.16999999999999</v>
      </c>
      <c r="S30" s="185">
        <f t="shared" si="8"/>
        <v>188.55</v>
      </c>
      <c r="T30" s="185">
        <f t="shared" si="9"/>
        <v>6913.97</v>
      </c>
      <c r="U30" s="185">
        <f t="shared" si="40"/>
        <v>2127.5200000000004</v>
      </c>
      <c r="V30" s="185">
        <f t="shared" si="41"/>
        <v>96741.23000000001</v>
      </c>
      <c r="W30" s="185">
        <f t="shared" si="42"/>
        <v>588497.47999999986</v>
      </c>
      <c r="X30" s="401" t="str">
        <f t="shared" si="27"/>
        <v xml:space="preserve"> </v>
      </c>
      <c r="Y30" s="185">
        <f t="shared" si="43"/>
        <v>980441.39999999991</v>
      </c>
      <c r="Z30" s="393">
        <f t="shared" si="10"/>
        <v>0.10625</v>
      </c>
      <c r="AA30" s="185">
        <f t="shared" si="11"/>
        <v>9112.5300000000007</v>
      </c>
      <c r="AB30" s="185">
        <f t="shared" si="12"/>
        <v>431.54000000000087</v>
      </c>
      <c r="AC30" s="185">
        <f t="shared" si="13"/>
        <v>8680.99</v>
      </c>
      <c r="AD30" s="185">
        <f t="shared" si="14"/>
        <v>134.16999999999999</v>
      </c>
      <c r="AE30" s="185">
        <f t="shared" si="15"/>
        <v>188.55</v>
      </c>
      <c r="AF30" s="185">
        <f t="shared" si="16"/>
        <v>9435.25</v>
      </c>
      <c r="AG30" s="185">
        <f t="shared" si="44"/>
        <v>6090.1400000000103</v>
      </c>
      <c r="AH30" s="185">
        <f t="shared" si="45"/>
        <v>130597.81000000001</v>
      </c>
      <c r="AI30" s="411">
        <f t="shared" si="28"/>
        <v>-37819.199999999997</v>
      </c>
      <c r="AJ30" s="411">
        <f t="shared" si="17"/>
        <v>-391512.38</v>
      </c>
      <c r="AK30" s="411"/>
      <c r="AL30" s="185">
        <f t="shared" si="46"/>
        <v>980009.85999999987</v>
      </c>
      <c r="AM30" s="317">
        <f t="shared" si="29"/>
        <v>1</v>
      </c>
      <c r="AN30" s="14">
        <f t="shared" si="19"/>
        <v>6591.25</v>
      </c>
      <c r="AO30" s="14">
        <f t="shared" si="30"/>
        <v>588497.48</v>
      </c>
      <c r="AP30" s="14">
        <f t="shared" si="20"/>
        <v>9112.5300000000007</v>
      </c>
      <c r="AS30" s="14">
        <f t="shared" si="21"/>
        <v>6591.25</v>
      </c>
      <c r="AT30" s="14">
        <f t="shared" si="31"/>
        <v>98868.75</v>
      </c>
      <c r="AU30" s="185">
        <f t="shared" si="32"/>
        <v>1532.9131644927518</v>
      </c>
      <c r="AV30" s="185">
        <f t="shared" si="33"/>
        <v>24073.178961593429</v>
      </c>
    </row>
    <row r="31" spans="1:48">
      <c r="A31" s="401" t="str">
        <f t="shared" si="34"/>
        <v xml:space="preserve"> </v>
      </c>
      <c r="B31" s="185">
        <f t="shared" si="22"/>
        <v>0</v>
      </c>
      <c r="C31" s="14">
        <f t="shared" si="4"/>
        <v>0</v>
      </c>
      <c r="D31" s="14">
        <f t="shared" si="35"/>
        <v>0</v>
      </c>
      <c r="E31" s="14">
        <f t="shared" si="5"/>
        <v>0</v>
      </c>
      <c r="I31" s="185">
        <f t="shared" si="36"/>
        <v>0</v>
      </c>
      <c r="J31" s="185">
        <f t="shared" si="37"/>
        <v>0</v>
      </c>
      <c r="K31" s="185">
        <f t="shared" si="38"/>
        <v>0</v>
      </c>
      <c r="L31" s="317">
        <f t="shared" si="6"/>
        <v>1</v>
      </c>
      <c r="M31" s="317">
        <f t="shared" si="23"/>
        <v>15</v>
      </c>
      <c r="N31" s="185">
        <f t="shared" si="24"/>
        <v>588497.47999999986</v>
      </c>
      <c r="O31" s="185">
        <f t="shared" si="25"/>
        <v>6591.25</v>
      </c>
      <c r="P31" s="185">
        <f t="shared" si="39"/>
        <v>154.5600000000004</v>
      </c>
      <c r="Q31" s="185">
        <f t="shared" si="26"/>
        <v>6436.69</v>
      </c>
      <c r="R31" s="185">
        <f t="shared" si="7"/>
        <v>134.16999999999999</v>
      </c>
      <c r="S31" s="185">
        <f t="shared" si="8"/>
        <v>188.55</v>
      </c>
      <c r="T31" s="185">
        <f t="shared" si="9"/>
        <v>6913.97</v>
      </c>
      <c r="U31" s="185">
        <f t="shared" si="40"/>
        <v>2282.0800000000008</v>
      </c>
      <c r="V31" s="185">
        <f t="shared" si="41"/>
        <v>103177.92000000001</v>
      </c>
      <c r="W31" s="185">
        <f t="shared" si="42"/>
        <v>588342.91999999981</v>
      </c>
      <c r="X31" s="401" t="str">
        <f t="shared" si="27"/>
        <v xml:space="preserve"> </v>
      </c>
      <c r="Y31" s="185">
        <f t="shared" si="43"/>
        <v>980009.85999999987</v>
      </c>
      <c r="Z31" s="393">
        <f t="shared" si="10"/>
        <v>0.10625</v>
      </c>
      <c r="AA31" s="185">
        <f t="shared" si="11"/>
        <v>9112.5300000000007</v>
      </c>
      <c r="AB31" s="185">
        <f t="shared" si="12"/>
        <v>435.36000000000058</v>
      </c>
      <c r="AC31" s="185">
        <f t="shared" si="13"/>
        <v>8677.17</v>
      </c>
      <c r="AD31" s="185">
        <f t="shared" si="14"/>
        <v>134.16999999999999</v>
      </c>
      <c r="AE31" s="185">
        <f t="shared" si="15"/>
        <v>188.55</v>
      </c>
      <c r="AF31" s="185">
        <f t="shared" si="16"/>
        <v>9435.25</v>
      </c>
      <c r="AG31" s="185">
        <f t="shared" si="44"/>
        <v>6525.5000000000109</v>
      </c>
      <c r="AH31" s="185">
        <f t="shared" si="45"/>
        <v>139274.98000000001</v>
      </c>
      <c r="AI31" s="411">
        <f t="shared" si="28"/>
        <v>-40340.479999999996</v>
      </c>
      <c r="AJ31" s="411">
        <f t="shared" si="17"/>
        <v>-391231.58000000007</v>
      </c>
      <c r="AK31" s="411"/>
      <c r="AL31" s="185">
        <f t="shared" si="46"/>
        <v>979574.49999999988</v>
      </c>
      <c r="AM31" s="317">
        <f t="shared" si="29"/>
        <v>1</v>
      </c>
      <c r="AN31" s="14">
        <f t="shared" si="19"/>
        <v>6591.25</v>
      </c>
      <c r="AO31" s="14">
        <f t="shared" si="30"/>
        <v>588342.92000000004</v>
      </c>
      <c r="AP31" s="14">
        <f t="shared" si="20"/>
        <v>9112.5300000000007</v>
      </c>
      <c r="AS31" s="14">
        <f t="shared" si="21"/>
        <v>6591.25</v>
      </c>
      <c r="AT31" s="14">
        <f t="shared" si="31"/>
        <v>105460</v>
      </c>
      <c r="AU31" s="185">
        <f t="shared" si="32"/>
        <v>1536.7454474039835</v>
      </c>
      <c r="AV31" s="185">
        <f t="shared" si="33"/>
        <v>25609.924408997413</v>
      </c>
    </row>
    <row r="32" spans="1:48">
      <c r="A32" s="401" t="str">
        <f t="shared" si="34"/>
        <v xml:space="preserve"> </v>
      </c>
      <c r="B32" s="185">
        <f t="shared" si="22"/>
        <v>0</v>
      </c>
      <c r="C32" s="14">
        <f t="shared" si="4"/>
        <v>0</v>
      </c>
      <c r="D32" s="14">
        <f t="shared" si="35"/>
        <v>0</v>
      </c>
      <c r="E32" s="14">
        <f t="shared" si="5"/>
        <v>0</v>
      </c>
      <c r="I32" s="185">
        <f t="shared" ref="I32:I61" si="47">$D32+$I31</f>
        <v>0</v>
      </c>
      <c r="J32" s="185">
        <f t="shared" ref="J32:J61" si="48">$E32+$J31</f>
        <v>0</v>
      </c>
      <c r="K32" s="185">
        <f t="shared" ref="K32:K61" si="49">+B32-D32</f>
        <v>0</v>
      </c>
      <c r="L32" s="317">
        <f t="shared" si="6"/>
        <v>1</v>
      </c>
      <c r="M32" s="317">
        <f t="shared" si="23"/>
        <v>16</v>
      </c>
      <c r="N32" s="185">
        <f t="shared" si="24"/>
        <v>588342.91999999981</v>
      </c>
      <c r="O32" s="185">
        <f t="shared" si="25"/>
        <v>6591.25</v>
      </c>
      <c r="P32" s="185">
        <f t="shared" si="39"/>
        <v>156.25</v>
      </c>
      <c r="Q32" s="185">
        <f t="shared" si="26"/>
        <v>6435</v>
      </c>
      <c r="R32" s="185">
        <f t="shared" si="7"/>
        <v>134.16999999999999</v>
      </c>
      <c r="S32" s="185">
        <f t="shared" si="8"/>
        <v>188.55</v>
      </c>
      <c r="T32" s="185">
        <f t="shared" si="9"/>
        <v>6913.97</v>
      </c>
      <c r="U32" s="185">
        <f t="shared" si="40"/>
        <v>2438.3300000000008</v>
      </c>
      <c r="V32" s="185">
        <f t="shared" si="41"/>
        <v>109612.92000000001</v>
      </c>
      <c r="W32" s="185">
        <f t="shared" si="42"/>
        <v>588186.66999999981</v>
      </c>
      <c r="X32" s="401" t="str">
        <f t="shared" si="27"/>
        <v xml:space="preserve"> </v>
      </c>
      <c r="Y32" s="185">
        <f t="shared" si="43"/>
        <v>979574.49999999988</v>
      </c>
      <c r="Z32" s="393">
        <f t="shared" si="10"/>
        <v>0.10625</v>
      </c>
      <c r="AA32" s="185">
        <f t="shared" si="11"/>
        <v>9112.5300000000007</v>
      </c>
      <c r="AB32" s="185">
        <f t="shared" si="12"/>
        <v>439.21000000000095</v>
      </c>
      <c r="AC32" s="185">
        <f t="shared" si="13"/>
        <v>8673.32</v>
      </c>
      <c r="AD32" s="185">
        <f t="shared" si="14"/>
        <v>134.16999999999999</v>
      </c>
      <c r="AE32" s="185">
        <f t="shared" si="15"/>
        <v>188.55</v>
      </c>
      <c r="AF32" s="185">
        <f t="shared" si="16"/>
        <v>9435.25</v>
      </c>
      <c r="AG32" s="185">
        <f t="shared" si="44"/>
        <v>6964.7100000000119</v>
      </c>
      <c r="AH32" s="185">
        <f t="shared" si="45"/>
        <v>147948.30000000002</v>
      </c>
      <c r="AI32" s="411">
        <f t="shared" si="28"/>
        <v>-42861.759999999995</v>
      </c>
      <c r="AJ32" s="411">
        <f t="shared" si="17"/>
        <v>-390948.62000000011</v>
      </c>
      <c r="AK32" s="411"/>
      <c r="AL32" s="185">
        <f t="shared" si="46"/>
        <v>979135.28999999992</v>
      </c>
      <c r="AM32" s="317">
        <f t="shared" si="29"/>
        <v>1</v>
      </c>
      <c r="AN32" s="14">
        <f t="shared" si="19"/>
        <v>6591.25</v>
      </c>
      <c r="AO32" s="14">
        <f t="shared" si="30"/>
        <v>588186.67000000004</v>
      </c>
      <c r="AP32" s="14">
        <f t="shared" si="20"/>
        <v>9112.5300000000007</v>
      </c>
      <c r="AS32" s="14">
        <f t="shared" si="21"/>
        <v>6591.25</v>
      </c>
      <c r="AT32" s="14">
        <f t="shared" si="31"/>
        <v>112051.25</v>
      </c>
      <c r="AU32" s="185">
        <f t="shared" si="32"/>
        <v>1540.5873110224936</v>
      </c>
      <c r="AV32" s="185">
        <f t="shared" si="33"/>
        <v>27150.511720019906</v>
      </c>
    </row>
    <row r="33" spans="1:48">
      <c r="A33" s="401" t="str">
        <f t="shared" si="34"/>
        <v xml:space="preserve"> </v>
      </c>
      <c r="B33" s="185">
        <f t="shared" si="22"/>
        <v>0</v>
      </c>
      <c r="C33" s="14">
        <f t="shared" si="4"/>
        <v>0</v>
      </c>
      <c r="D33" s="14">
        <f t="shared" si="35"/>
        <v>0</v>
      </c>
      <c r="E33" s="14">
        <f t="shared" si="5"/>
        <v>0</v>
      </c>
      <c r="I33" s="185">
        <f t="shared" si="47"/>
        <v>0</v>
      </c>
      <c r="J33" s="185">
        <f t="shared" si="48"/>
        <v>0</v>
      </c>
      <c r="K33" s="185">
        <f t="shared" si="49"/>
        <v>0</v>
      </c>
      <c r="L33" s="317">
        <f t="shared" si="6"/>
        <v>1</v>
      </c>
      <c r="M33" s="317">
        <f t="shared" si="23"/>
        <v>17</v>
      </c>
      <c r="N33" s="185">
        <f t="shared" si="24"/>
        <v>588186.66999999981</v>
      </c>
      <c r="O33" s="185">
        <f t="shared" si="25"/>
        <v>6591.25</v>
      </c>
      <c r="P33" s="185">
        <f t="shared" si="39"/>
        <v>157.96000000000004</v>
      </c>
      <c r="Q33" s="185">
        <f t="shared" si="26"/>
        <v>6433.29</v>
      </c>
      <c r="R33" s="185">
        <f t="shared" si="7"/>
        <v>134.16999999999999</v>
      </c>
      <c r="S33" s="185">
        <f t="shared" si="8"/>
        <v>188.55</v>
      </c>
      <c r="T33" s="185">
        <f t="shared" si="9"/>
        <v>6913.97</v>
      </c>
      <c r="U33" s="185">
        <f t="shared" si="40"/>
        <v>2596.2900000000009</v>
      </c>
      <c r="V33" s="185">
        <f t="shared" si="41"/>
        <v>116046.21</v>
      </c>
      <c r="W33" s="185">
        <f t="shared" si="42"/>
        <v>588028.70999999985</v>
      </c>
      <c r="X33" s="401" t="str">
        <f t="shared" si="27"/>
        <v xml:space="preserve"> </v>
      </c>
      <c r="Y33" s="185">
        <f t="shared" si="43"/>
        <v>979135.28999999992</v>
      </c>
      <c r="Z33" s="393">
        <f t="shared" si="10"/>
        <v>0.10625</v>
      </c>
      <c r="AA33" s="185">
        <f t="shared" si="11"/>
        <v>9112.5300000000007</v>
      </c>
      <c r="AB33" s="185">
        <f t="shared" si="12"/>
        <v>443.10000000000036</v>
      </c>
      <c r="AC33" s="185">
        <f t="shared" si="13"/>
        <v>8669.43</v>
      </c>
      <c r="AD33" s="185">
        <f t="shared" si="14"/>
        <v>134.16999999999999</v>
      </c>
      <c r="AE33" s="185">
        <f t="shared" si="15"/>
        <v>188.55</v>
      </c>
      <c r="AF33" s="185">
        <f t="shared" si="16"/>
        <v>9435.25</v>
      </c>
      <c r="AG33" s="185">
        <f t="shared" si="44"/>
        <v>7407.8100000000122</v>
      </c>
      <c r="AH33" s="185">
        <f t="shared" si="45"/>
        <v>156617.73000000001</v>
      </c>
      <c r="AI33" s="411">
        <f t="shared" si="28"/>
        <v>-45383.039999999994</v>
      </c>
      <c r="AJ33" s="411">
        <f t="shared" si="17"/>
        <v>-390663.4800000001</v>
      </c>
      <c r="AK33" s="411"/>
      <c r="AL33" s="185">
        <f t="shared" si="46"/>
        <v>978692.19</v>
      </c>
      <c r="AM33" s="317">
        <f t="shared" si="29"/>
        <v>1</v>
      </c>
      <c r="AN33" s="14">
        <f t="shared" si="19"/>
        <v>6591.25</v>
      </c>
      <c r="AO33" s="14">
        <f t="shared" si="30"/>
        <v>588028.71</v>
      </c>
      <c r="AP33" s="14">
        <f t="shared" si="20"/>
        <v>9112.5300000000007</v>
      </c>
      <c r="AS33" s="14">
        <f t="shared" si="21"/>
        <v>6591.25</v>
      </c>
      <c r="AT33" s="14">
        <f t="shared" si="31"/>
        <v>118642.5</v>
      </c>
      <c r="AU33" s="185">
        <f t="shared" si="32"/>
        <v>1544.4387793000496</v>
      </c>
      <c r="AV33" s="185">
        <f t="shared" si="33"/>
        <v>28694.950499319955</v>
      </c>
    </row>
    <row r="34" spans="1:48">
      <c r="A34" s="401" t="str">
        <f t="shared" si="34"/>
        <v xml:space="preserve"> </v>
      </c>
      <c r="B34" s="185">
        <f t="shared" si="22"/>
        <v>0</v>
      </c>
      <c r="C34" s="14">
        <f t="shared" si="4"/>
        <v>0</v>
      </c>
      <c r="D34" s="14">
        <f t="shared" si="35"/>
        <v>0</v>
      </c>
      <c r="E34" s="14">
        <f t="shared" si="5"/>
        <v>0</v>
      </c>
      <c r="I34" s="185">
        <f t="shared" si="47"/>
        <v>0</v>
      </c>
      <c r="J34" s="185">
        <f t="shared" si="48"/>
        <v>0</v>
      </c>
      <c r="K34" s="185">
        <f t="shared" si="49"/>
        <v>0</v>
      </c>
      <c r="L34" s="317">
        <f t="shared" si="6"/>
        <v>1</v>
      </c>
      <c r="M34" s="317">
        <f t="shared" si="23"/>
        <v>18</v>
      </c>
      <c r="N34" s="185">
        <f t="shared" si="24"/>
        <v>588028.70999999985</v>
      </c>
      <c r="O34" s="185">
        <f t="shared" si="25"/>
        <v>6591.25</v>
      </c>
      <c r="P34" s="185">
        <f t="shared" si="39"/>
        <v>159.6899999999996</v>
      </c>
      <c r="Q34" s="185">
        <f t="shared" si="26"/>
        <v>6431.56</v>
      </c>
      <c r="R34" s="185">
        <f t="shared" si="7"/>
        <v>134.16999999999999</v>
      </c>
      <c r="S34" s="185">
        <f t="shared" si="8"/>
        <v>188.55</v>
      </c>
      <c r="T34" s="185">
        <f t="shared" si="9"/>
        <v>6913.97</v>
      </c>
      <c r="U34" s="185">
        <f t="shared" si="40"/>
        <v>2755.9800000000005</v>
      </c>
      <c r="V34" s="185">
        <f t="shared" si="41"/>
        <v>122477.77</v>
      </c>
      <c r="W34" s="185">
        <f t="shared" si="42"/>
        <v>587869.0199999999</v>
      </c>
      <c r="X34" s="401" t="str">
        <f t="shared" si="27"/>
        <v xml:space="preserve"> </v>
      </c>
      <c r="Y34" s="185">
        <f t="shared" si="43"/>
        <v>978692.19</v>
      </c>
      <c r="Z34" s="393">
        <f t="shared" si="10"/>
        <v>0.10625</v>
      </c>
      <c r="AA34" s="185">
        <f t="shared" si="11"/>
        <v>9112.5300000000007</v>
      </c>
      <c r="AB34" s="185">
        <f t="shared" si="12"/>
        <v>447.03000000000065</v>
      </c>
      <c r="AC34" s="185">
        <f t="shared" si="13"/>
        <v>8665.5</v>
      </c>
      <c r="AD34" s="185">
        <f t="shared" si="14"/>
        <v>134.16999999999999</v>
      </c>
      <c r="AE34" s="185">
        <f t="shared" si="15"/>
        <v>188.55</v>
      </c>
      <c r="AF34" s="185">
        <f t="shared" si="16"/>
        <v>9435.25</v>
      </c>
      <c r="AG34" s="185">
        <f t="shared" si="44"/>
        <v>7854.8400000000129</v>
      </c>
      <c r="AH34" s="185">
        <f t="shared" si="45"/>
        <v>165283.23000000001</v>
      </c>
      <c r="AI34" s="411">
        <f t="shared" si="28"/>
        <v>-47904.319999999992</v>
      </c>
      <c r="AJ34" s="411">
        <f t="shared" si="17"/>
        <v>-390376.14</v>
      </c>
      <c r="AK34" s="411"/>
      <c r="AL34" s="185">
        <f t="shared" si="46"/>
        <v>978245.15999999992</v>
      </c>
      <c r="AM34" s="317">
        <f t="shared" si="29"/>
        <v>1</v>
      </c>
      <c r="AN34" s="14">
        <f t="shared" si="19"/>
        <v>6591.25</v>
      </c>
      <c r="AO34" s="14">
        <f t="shared" si="30"/>
        <v>587869.02</v>
      </c>
      <c r="AP34" s="14">
        <f t="shared" si="20"/>
        <v>9112.5300000000007</v>
      </c>
      <c r="AS34" s="14">
        <f t="shared" si="21"/>
        <v>6591.25</v>
      </c>
      <c r="AT34" s="14">
        <f t="shared" si="31"/>
        <v>125233.75</v>
      </c>
      <c r="AU34" s="185">
        <f t="shared" si="32"/>
        <v>1548.2998762482996</v>
      </c>
      <c r="AV34" s="185">
        <f t="shared" si="33"/>
        <v>30243.250375568256</v>
      </c>
    </row>
    <row r="35" spans="1:48">
      <c r="A35" s="401" t="str">
        <f t="shared" si="34"/>
        <v xml:space="preserve"> </v>
      </c>
      <c r="B35" s="185">
        <f t="shared" si="22"/>
        <v>0</v>
      </c>
      <c r="C35" s="14">
        <f t="shared" si="4"/>
        <v>0</v>
      </c>
      <c r="D35" s="14">
        <f t="shared" si="35"/>
        <v>0</v>
      </c>
      <c r="E35" s="14">
        <f t="shared" si="5"/>
        <v>0</v>
      </c>
      <c r="I35" s="185">
        <f t="shared" si="47"/>
        <v>0</v>
      </c>
      <c r="J35" s="185">
        <f t="shared" si="48"/>
        <v>0</v>
      </c>
      <c r="K35" s="185">
        <f t="shared" si="49"/>
        <v>0</v>
      </c>
      <c r="L35" s="317">
        <f t="shared" si="6"/>
        <v>1</v>
      </c>
      <c r="M35" s="317">
        <f t="shared" si="23"/>
        <v>19</v>
      </c>
      <c r="N35" s="185">
        <f t="shared" si="24"/>
        <v>587869.0199999999</v>
      </c>
      <c r="O35" s="185">
        <f t="shared" si="25"/>
        <v>6591.25</v>
      </c>
      <c r="P35" s="185">
        <f t="shared" si="39"/>
        <v>161.43000000000029</v>
      </c>
      <c r="Q35" s="185">
        <f t="shared" si="26"/>
        <v>6429.82</v>
      </c>
      <c r="R35" s="185">
        <f t="shared" si="7"/>
        <v>134.16999999999999</v>
      </c>
      <c r="S35" s="185">
        <f t="shared" si="8"/>
        <v>188.55</v>
      </c>
      <c r="T35" s="185">
        <f t="shared" si="9"/>
        <v>6913.97</v>
      </c>
      <c r="U35" s="185">
        <f t="shared" si="40"/>
        <v>2917.4100000000008</v>
      </c>
      <c r="V35" s="185">
        <f t="shared" si="41"/>
        <v>128907.59</v>
      </c>
      <c r="W35" s="185">
        <f t="shared" si="42"/>
        <v>587707.58999999985</v>
      </c>
      <c r="X35" s="401" t="str">
        <f t="shared" si="27"/>
        <v xml:space="preserve"> </v>
      </c>
      <c r="Y35" s="185">
        <f t="shared" si="43"/>
        <v>978245.15999999992</v>
      </c>
      <c r="Z35" s="393">
        <f t="shared" si="10"/>
        <v>0.10625</v>
      </c>
      <c r="AA35" s="185">
        <f t="shared" si="11"/>
        <v>9112.5300000000007</v>
      </c>
      <c r="AB35" s="185">
        <f t="shared" si="12"/>
        <v>450.98000000000138</v>
      </c>
      <c r="AC35" s="185">
        <f t="shared" si="13"/>
        <v>8661.5499999999993</v>
      </c>
      <c r="AD35" s="185">
        <f t="shared" si="14"/>
        <v>134.16999999999999</v>
      </c>
      <c r="AE35" s="185">
        <f t="shared" si="15"/>
        <v>188.55</v>
      </c>
      <c r="AF35" s="185">
        <f t="shared" si="16"/>
        <v>9435.25</v>
      </c>
      <c r="AG35" s="185">
        <f t="shared" si="44"/>
        <v>8305.8200000000143</v>
      </c>
      <c r="AH35" s="185">
        <f t="shared" si="45"/>
        <v>173944.78</v>
      </c>
      <c r="AI35" s="411">
        <f t="shared" si="28"/>
        <v>-50425.599999999991</v>
      </c>
      <c r="AJ35" s="411">
        <f t="shared" si="17"/>
        <v>-390086.59000000008</v>
      </c>
      <c r="AK35" s="411"/>
      <c r="AL35" s="185">
        <f t="shared" si="46"/>
        <v>977794.17999999993</v>
      </c>
      <c r="AM35" s="317">
        <f t="shared" si="29"/>
        <v>1</v>
      </c>
      <c r="AN35" s="14">
        <f t="shared" si="19"/>
        <v>6591.25</v>
      </c>
      <c r="AO35" s="14">
        <f t="shared" si="30"/>
        <v>587707.59</v>
      </c>
      <c r="AP35" s="14">
        <f t="shared" si="20"/>
        <v>9112.5300000000007</v>
      </c>
      <c r="AS35" s="14">
        <f t="shared" si="21"/>
        <v>6591.25</v>
      </c>
      <c r="AT35" s="14">
        <f t="shared" si="31"/>
        <v>131825</v>
      </c>
      <c r="AU35" s="185">
        <f t="shared" si="32"/>
        <v>1552.1706259389205</v>
      </c>
      <c r="AV35" s="185">
        <f t="shared" si="33"/>
        <v>31795.421001507177</v>
      </c>
    </row>
    <row r="36" spans="1:48">
      <c r="A36" s="401" t="str">
        <f t="shared" si="34"/>
        <v xml:space="preserve"> </v>
      </c>
      <c r="B36" s="185">
        <f t="shared" si="22"/>
        <v>0</v>
      </c>
      <c r="C36" s="14">
        <f t="shared" si="4"/>
        <v>0</v>
      </c>
      <c r="D36" s="14">
        <f t="shared" si="35"/>
        <v>0</v>
      </c>
      <c r="E36" s="14">
        <f t="shared" si="5"/>
        <v>0</v>
      </c>
      <c r="I36" s="185">
        <f t="shared" si="47"/>
        <v>0</v>
      </c>
      <c r="J36" s="185">
        <f t="shared" si="48"/>
        <v>0</v>
      </c>
      <c r="K36" s="185">
        <f t="shared" si="49"/>
        <v>0</v>
      </c>
      <c r="L36" s="317">
        <f t="shared" si="6"/>
        <v>1</v>
      </c>
      <c r="M36" s="317">
        <f t="shared" si="23"/>
        <v>20</v>
      </c>
      <c r="N36" s="185">
        <f t="shared" si="24"/>
        <v>587707.58999999985</v>
      </c>
      <c r="O36" s="185">
        <f t="shared" si="25"/>
        <v>6591.25</v>
      </c>
      <c r="P36" s="185">
        <f t="shared" si="39"/>
        <v>163.19999999999982</v>
      </c>
      <c r="Q36" s="185">
        <f t="shared" si="26"/>
        <v>6428.05</v>
      </c>
      <c r="R36" s="185">
        <f t="shared" si="7"/>
        <v>134.16999999999999</v>
      </c>
      <c r="S36" s="185">
        <f t="shared" si="8"/>
        <v>188.55</v>
      </c>
      <c r="T36" s="185">
        <f t="shared" si="9"/>
        <v>6913.97</v>
      </c>
      <c r="U36" s="185">
        <f t="shared" si="40"/>
        <v>3080.6100000000006</v>
      </c>
      <c r="V36" s="185">
        <f t="shared" si="41"/>
        <v>135335.63999999998</v>
      </c>
      <c r="W36" s="185">
        <f t="shared" si="42"/>
        <v>587544.3899999999</v>
      </c>
      <c r="X36" s="401" t="str">
        <f t="shared" si="27"/>
        <v xml:space="preserve"> </v>
      </c>
      <c r="Y36" s="185">
        <f t="shared" si="43"/>
        <v>977794.17999999993</v>
      </c>
      <c r="Z36" s="393">
        <f t="shared" si="10"/>
        <v>0.10625</v>
      </c>
      <c r="AA36" s="185">
        <f t="shared" si="11"/>
        <v>9112.5300000000007</v>
      </c>
      <c r="AB36" s="185">
        <f t="shared" si="12"/>
        <v>454.98000000000138</v>
      </c>
      <c r="AC36" s="185">
        <f t="shared" si="13"/>
        <v>8657.5499999999993</v>
      </c>
      <c r="AD36" s="185">
        <f t="shared" si="14"/>
        <v>134.16999999999999</v>
      </c>
      <c r="AE36" s="185">
        <f t="shared" si="15"/>
        <v>188.55</v>
      </c>
      <c r="AF36" s="185">
        <f t="shared" si="16"/>
        <v>9435.25</v>
      </c>
      <c r="AG36" s="185">
        <f t="shared" si="44"/>
        <v>8760.8000000000156</v>
      </c>
      <c r="AH36" s="185">
        <f t="shared" si="45"/>
        <v>182602.33</v>
      </c>
      <c r="AI36" s="411">
        <f t="shared" si="28"/>
        <v>-52946.87999999999</v>
      </c>
      <c r="AJ36" s="411">
        <f t="shared" si="17"/>
        <v>-389794.81000000006</v>
      </c>
      <c r="AK36" s="411"/>
      <c r="AL36" s="185">
        <f t="shared" si="46"/>
        <v>977339.2</v>
      </c>
      <c r="AM36" s="317">
        <f t="shared" si="29"/>
        <v>1</v>
      </c>
      <c r="AN36" s="14">
        <f t="shared" si="19"/>
        <v>6591.25</v>
      </c>
      <c r="AO36" s="14">
        <f t="shared" si="30"/>
        <v>587544.39</v>
      </c>
      <c r="AP36" s="14">
        <f t="shared" si="20"/>
        <v>9112.5300000000007</v>
      </c>
      <c r="AS36" s="14">
        <f t="shared" si="21"/>
        <v>6591.25</v>
      </c>
      <c r="AT36" s="14">
        <f t="shared" si="31"/>
        <v>138416.25</v>
      </c>
      <c r="AU36" s="185">
        <f t="shared" si="32"/>
        <v>1556.051052503768</v>
      </c>
      <c r="AV36" s="185">
        <f t="shared" si="33"/>
        <v>33351.472054010941</v>
      </c>
    </row>
    <row r="37" spans="1:48">
      <c r="A37" s="401" t="str">
        <f t="shared" si="34"/>
        <v xml:space="preserve"> </v>
      </c>
      <c r="B37" s="185">
        <f t="shared" si="22"/>
        <v>0</v>
      </c>
      <c r="C37" s="14">
        <f t="shared" si="4"/>
        <v>0</v>
      </c>
      <c r="D37" s="14">
        <f t="shared" si="35"/>
        <v>0</v>
      </c>
      <c r="E37" s="14">
        <f t="shared" si="5"/>
        <v>0</v>
      </c>
      <c r="I37" s="185">
        <f t="shared" si="47"/>
        <v>0</v>
      </c>
      <c r="J37" s="185">
        <f t="shared" si="48"/>
        <v>0</v>
      </c>
      <c r="K37" s="185">
        <f t="shared" si="49"/>
        <v>0</v>
      </c>
      <c r="L37" s="317">
        <f t="shared" si="6"/>
        <v>1</v>
      </c>
      <c r="M37" s="317">
        <f t="shared" si="23"/>
        <v>21</v>
      </c>
      <c r="N37" s="185">
        <f t="shared" si="24"/>
        <v>587544.3899999999</v>
      </c>
      <c r="O37" s="185">
        <f t="shared" si="25"/>
        <v>6591.25</v>
      </c>
      <c r="P37" s="185">
        <f t="shared" si="39"/>
        <v>164.97999999999956</v>
      </c>
      <c r="Q37" s="185">
        <f t="shared" si="26"/>
        <v>6426.27</v>
      </c>
      <c r="R37" s="185">
        <f t="shared" si="7"/>
        <v>134.16999999999999</v>
      </c>
      <c r="S37" s="185">
        <f t="shared" si="8"/>
        <v>188.55</v>
      </c>
      <c r="T37" s="185">
        <f t="shared" si="9"/>
        <v>6913.97</v>
      </c>
      <c r="U37" s="185">
        <f t="shared" si="40"/>
        <v>3245.59</v>
      </c>
      <c r="V37" s="185">
        <f t="shared" si="41"/>
        <v>141761.90999999997</v>
      </c>
      <c r="W37" s="185">
        <f t="shared" si="42"/>
        <v>587379.40999999992</v>
      </c>
      <c r="X37" s="401" t="str">
        <f t="shared" si="27"/>
        <v xml:space="preserve"> </v>
      </c>
      <c r="Y37" s="185">
        <f t="shared" si="43"/>
        <v>977339.2</v>
      </c>
      <c r="Z37" s="393">
        <f t="shared" si="10"/>
        <v>0.10625</v>
      </c>
      <c r="AA37" s="185">
        <f t="shared" si="11"/>
        <v>9112.5300000000007</v>
      </c>
      <c r="AB37" s="185">
        <f t="shared" si="12"/>
        <v>459.01000000000022</v>
      </c>
      <c r="AC37" s="185">
        <f t="shared" si="13"/>
        <v>8653.52</v>
      </c>
      <c r="AD37" s="185">
        <f t="shared" si="14"/>
        <v>134.16999999999999</v>
      </c>
      <c r="AE37" s="185">
        <f t="shared" si="15"/>
        <v>188.55</v>
      </c>
      <c r="AF37" s="185">
        <f t="shared" si="16"/>
        <v>9435.25</v>
      </c>
      <c r="AG37" s="185">
        <f t="shared" si="44"/>
        <v>9219.8100000000159</v>
      </c>
      <c r="AH37" s="185">
        <f t="shared" si="45"/>
        <v>191255.84999999998</v>
      </c>
      <c r="AI37" s="411">
        <f t="shared" si="28"/>
        <v>-55468.159999999989</v>
      </c>
      <c r="AJ37" s="411">
        <f t="shared" si="17"/>
        <v>-389500.78</v>
      </c>
      <c r="AK37" s="411"/>
      <c r="AL37" s="185">
        <f t="shared" si="46"/>
        <v>976880.19</v>
      </c>
      <c r="AM37" s="317">
        <f t="shared" si="29"/>
        <v>1</v>
      </c>
      <c r="AN37" s="14">
        <f t="shared" si="19"/>
        <v>6591.25</v>
      </c>
      <c r="AO37" s="14">
        <f t="shared" si="30"/>
        <v>587379.41</v>
      </c>
      <c r="AP37" s="14">
        <f t="shared" si="20"/>
        <v>9112.5300000000007</v>
      </c>
      <c r="AS37" s="14">
        <f t="shared" si="21"/>
        <v>6591.25</v>
      </c>
      <c r="AT37" s="14">
        <f t="shared" si="31"/>
        <v>145007.5</v>
      </c>
      <c r="AU37" s="185">
        <f t="shared" si="32"/>
        <v>1559.9411801350273</v>
      </c>
      <c r="AV37" s="185">
        <f t="shared" si="33"/>
        <v>34911.41323414597</v>
      </c>
    </row>
    <row r="38" spans="1:48" ht="15.75" thickBot="1">
      <c r="A38" s="404" t="str">
        <f t="shared" si="34"/>
        <v xml:space="preserve"> </v>
      </c>
      <c r="B38" s="237">
        <f t="shared" si="22"/>
        <v>0</v>
      </c>
      <c r="C38" s="21">
        <f t="shared" si="4"/>
        <v>0</v>
      </c>
      <c r="D38" s="21">
        <f t="shared" si="35"/>
        <v>0</v>
      </c>
      <c r="E38" s="21">
        <f t="shared" si="5"/>
        <v>0</v>
      </c>
      <c r="F38" s="21"/>
      <c r="G38" s="21"/>
      <c r="H38" s="21"/>
      <c r="I38" s="237">
        <f t="shared" si="47"/>
        <v>0</v>
      </c>
      <c r="J38" s="237">
        <f t="shared" si="48"/>
        <v>0</v>
      </c>
      <c r="K38" s="237">
        <f t="shared" si="49"/>
        <v>0</v>
      </c>
      <c r="L38" s="318">
        <f t="shared" si="6"/>
        <v>1</v>
      </c>
      <c r="M38" s="318">
        <f t="shared" si="23"/>
        <v>22</v>
      </c>
      <c r="N38" s="237">
        <f t="shared" si="24"/>
        <v>587379.40999999992</v>
      </c>
      <c r="O38" s="237">
        <f t="shared" si="25"/>
        <v>6591.25</v>
      </c>
      <c r="P38" s="237">
        <f t="shared" si="39"/>
        <v>166.78999999999996</v>
      </c>
      <c r="Q38" s="237">
        <f t="shared" si="26"/>
        <v>6424.46</v>
      </c>
      <c r="R38" s="237">
        <f t="shared" si="7"/>
        <v>134.16999999999999</v>
      </c>
      <c r="S38" s="237">
        <f t="shared" si="8"/>
        <v>188.55</v>
      </c>
      <c r="T38" s="237">
        <f t="shared" si="9"/>
        <v>6913.97</v>
      </c>
      <c r="U38" s="237">
        <f t="shared" si="40"/>
        <v>3412.38</v>
      </c>
      <c r="V38" s="237">
        <f t="shared" si="41"/>
        <v>148186.36999999997</v>
      </c>
      <c r="W38" s="237">
        <f t="shared" si="42"/>
        <v>587212.61999999988</v>
      </c>
      <c r="X38" s="404" t="str">
        <f t="shared" si="27"/>
        <v xml:space="preserve"> </v>
      </c>
      <c r="Y38" s="237">
        <f t="shared" si="43"/>
        <v>976880.19</v>
      </c>
      <c r="Z38" s="394">
        <f t="shared" si="10"/>
        <v>0.10625</v>
      </c>
      <c r="AA38" s="237">
        <f t="shared" si="11"/>
        <v>9112.5300000000007</v>
      </c>
      <c r="AB38" s="237">
        <f t="shared" si="12"/>
        <v>463.07000000000153</v>
      </c>
      <c r="AC38" s="237">
        <f t="shared" si="13"/>
        <v>8649.4599999999991</v>
      </c>
      <c r="AD38" s="237">
        <f t="shared" si="14"/>
        <v>134.16999999999999</v>
      </c>
      <c r="AE38" s="237">
        <f t="shared" si="15"/>
        <v>188.55</v>
      </c>
      <c r="AF38" s="237">
        <f t="shared" si="16"/>
        <v>9435.25</v>
      </c>
      <c r="AG38" s="237">
        <f t="shared" si="44"/>
        <v>9682.8800000000174</v>
      </c>
      <c r="AH38" s="237">
        <f t="shared" si="45"/>
        <v>199905.30999999997</v>
      </c>
      <c r="AI38" s="412">
        <f t="shared" si="28"/>
        <v>-57989.439999999988</v>
      </c>
      <c r="AJ38" s="412">
        <f t="shared" si="17"/>
        <v>-389204.50000000012</v>
      </c>
      <c r="AK38" s="412"/>
      <c r="AL38" s="237">
        <f t="shared" si="46"/>
        <v>976417.12</v>
      </c>
      <c r="AM38" s="318">
        <f t="shared" si="29"/>
        <v>1</v>
      </c>
      <c r="AN38" s="21">
        <f t="shared" si="19"/>
        <v>6591.25</v>
      </c>
      <c r="AO38" s="21">
        <f t="shared" si="30"/>
        <v>587212.62</v>
      </c>
      <c r="AP38" s="21">
        <f t="shared" si="20"/>
        <v>9112.5300000000007</v>
      </c>
      <c r="AQ38" s="21"/>
      <c r="AR38" s="23"/>
      <c r="AS38" s="21">
        <f t="shared" si="21"/>
        <v>6591.25</v>
      </c>
      <c r="AT38" s="21">
        <f t="shared" si="31"/>
        <v>151598.75</v>
      </c>
      <c r="AU38" s="237">
        <f t="shared" si="32"/>
        <v>1563.8410330853649</v>
      </c>
      <c r="AV38" s="237">
        <f t="shared" si="33"/>
        <v>36475.254267231336</v>
      </c>
    </row>
    <row r="39" spans="1:48">
      <c r="A39" s="401" t="str">
        <f t="shared" si="34"/>
        <v xml:space="preserve"> </v>
      </c>
      <c r="B39" s="185">
        <f t="shared" si="22"/>
        <v>0</v>
      </c>
      <c r="C39" s="14">
        <f t="shared" si="4"/>
        <v>0</v>
      </c>
      <c r="D39" s="14">
        <f t="shared" si="35"/>
        <v>0</v>
      </c>
      <c r="E39" s="14">
        <f t="shared" si="5"/>
        <v>0</v>
      </c>
      <c r="I39" s="185">
        <f t="shared" si="47"/>
        <v>0</v>
      </c>
      <c r="J39" s="185">
        <f t="shared" si="48"/>
        <v>0</v>
      </c>
      <c r="K39" s="185">
        <f t="shared" si="49"/>
        <v>0</v>
      </c>
      <c r="L39" s="317">
        <f t="shared" si="6"/>
        <v>1</v>
      </c>
      <c r="M39" s="317">
        <f t="shared" si="23"/>
        <v>23</v>
      </c>
      <c r="N39" s="185">
        <f t="shared" si="24"/>
        <v>587212.61999999988</v>
      </c>
      <c r="O39" s="185">
        <f t="shared" si="25"/>
        <v>6591.25</v>
      </c>
      <c r="P39" s="185">
        <f t="shared" si="39"/>
        <v>168.60999999999967</v>
      </c>
      <c r="Q39" s="185">
        <f t="shared" si="26"/>
        <v>6422.64</v>
      </c>
      <c r="R39" s="185">
        <f t="shared" si="7"/>
        <v>134.16999999999999</v>
      </c>
      <c r="S39" s="185">
        <f t="shared" si="8"/>
        <v>188.55</v>
      </c>
      <c r="T39" s="185">
        <f t="shared" si="9"/>
        <v>6913.97</v>
      </c>
      <c r="U39" s="185">
        <f t="shared" si="40"/>
        <v>3580.99</v>
      </c>
      <c r="V39" s="185">
        <f t="shared" si="41"/>
        <v>154609.00999999998</v>
      </c>
      <c r="W39" s="185">
        <f t="shared" si="42"/>
        <v>587044.00999999989</v>
      </c>
      <c r="X39" s="401" t="str">
        <f t="shared" si="27"/>
        <v xml:space="preserve"> </v>
      </c>
      <c r="Y39" s="185">
        <f t="shared" si="43"/>
        <v>976417.12</v>
      </c>
      <c r="Z39" s="393">
        <f t="shared" si="10"/>
        <v>0.10625</v>
      </c>
      <c r="AA39" s="185">
        <f t="shared" si="11"/>
        <v>9112.5300000000007</v>
      </c>
      <c r="AB39" s="185">
        <f t="shared" si="12"/>
        <v>467.17000000000007</v>
      </c>
      <c r="AC39" s="185">
        <f t="shared" si="13"/>
        <v>8645.36</v>
      </c>
      <c r="AD39" s="185">
        <f t="shared" si="14"/>
        <v>134.16999999999999</v>
      </c>
      <c r="AE39" s="185">
        <f t="shared" si="15"/>
        <v>188.55</v>
      </c>
      <c r="AF39" s="185">
        <f t="shared" si="16"/>
        <v>9435.25</v>
      </c>
      <c r="AG39" s="185">
        <f t="shared" si="44"/>
        <v>10150.050000000017</v>
      </c>
      <c r="AH39" s="185">
        <f t="shared" si="45"/>
        <v>208550.66999999998</v>
      </c>
      <c r="AI39" s="411">
        <f t="shared" si="28"/>
        <v>-60510.719999999987</v>
      </c>
      <c r="AJ39" s="411">
        <f t="shared" si="17"/>
        <v>-388905.94000000006</v>
      </c>
      <c r="AK39" s="411"/>
      <c r="AL39" s="185">
        <f t="shared" si="46"/>
        <v>975949.95</v>
      </c>
      <c r="AM39" s="317">
        <f t="shared" si="29"/>
        <v>1</v>
      </c>
      <c r="AN39" s="14">
        <f t="shared" si="19"/>
        <v>6591.25</v>
      </c>
      <c r="AO39" s="14">
        <f t="shared" si="30"/>
        <v>587044.01</v>
      </c>
      <c r="AP39" s="14">
        <f t="shared" si="20"/>
        <v>9112.5300000000007</v>
      </c>
      <c r="AS39" s="14">
        <f t="shared" si="21"/>
        <v>6591.25</v>
      </c>
      <c r="AT39" s="14">
        <f t="shared" si="31"/>
        <v>158190</v>
      </c>
      <c r="AU39" s="185">
        <f t="shared" si="32"/>
        <v>1567.7506356680781</v>
      </c>
      <c r="AV39" s="185">
        <f t="shared" si="33"/>
        <v>38043.004902899411</v>
      </c>
    </row>
    <row r="40" spans="1:48">
      <c r="A40" s="401" t="str">
        <f t="shared" si="34"/>
        <v xml:space="preserve"> </v>
      </c>
      <c r="B40" s="185">
        <f t="shared" si="22"/>
        <v>0</v>
      </c>
      <c r="C40" s="14">
        <f t="shared" si="4"/>
        <v>0</v>
      </c>
      <c r="D40" s="14">
        <f t="shared" si="35"/>
        <v>0</v>
      </c>
      <c r="E40" s="14">
        <f t="shared" si="5"/>
        <v>0</v>
      </c>
      <c r="I40" s="185">
        <f t="shared" si="47"/>
        <v>0</v>
      </c>
      <c r="J40" s="185">
        <f t="shared" si="48"/>
        <v>0</v>
      </c>
      <c r="K40" s="185">
        <f t="shared" si="49"/>
        <v>0</v>
      </c>
      <c r="L40" s="317">
        <f t="shared" si="6"/>
        <v>2</v>
      </c>
      <c r="M40" s="317">
        <f t="shared" si="23"/>
        <v>24</v>
      </c>
      <c r="N40" s="185">
        <f t="shared" si="24"/>
        <v>587044.00999999989</v>
      </c>
      <c r="O40" s="185">
        <f t="shared" si="25"/>
        <v>6591.25</v>
      </c>
      <c r="P40" s="185">
        <f t="shared" si="39"/>
        <v>170.46000000000004</v>
      </c>
      <c r="Q40" s="185">
        <f t="shared" si="26"/>
        <v>6420.79</v>
      </c>
      <c r="R40" s="185">
        <f t="shared" si="7"/>
        <v>134.16999999999999</v>
      </c>
      <c r="S40" s="185">
        <f t="shared" si="8"/>
        <v>188.55</v>
      </c>
      <c r="T40" s="185">
        <f t="shared" si="9"/>
        <v>6913.97</v>
      </c>
      <c r="U40" s="185">
        <f t="shared" si="40"/>
        <v>3751.45</v>
      </c>
      <c r="V40" s="185">
        <f t="shared" si="41"/>
        <v>161029.79999999999</v>
      </c>
      <c r="W40" s="185">
        <f t="shared" si="42"/>
        <v>586873.54999999993</v>
      </c>
      <c r="X40" s="401" t="str">
        <f t="shared" si="27"/>
        <v xml:space="preserve"> </v>
      </c>
      <c r="Y40" s="185">
        <f t="shared" si="43"/>
        <v>975949.95</v>
      </c>
      <c r="Z40" s="393">
        <f t="shared" si="10"/>
        <v>0.10625</v>
      </c>
      <c r="AA40" s="185">
        <f t="shared" si="11"/>
        <v>9112.5300000000007</v>
      </c>
      <c r="AB40" s="185">
        <f t="shared" si="12"/>
        <v>471.31000000000131</v>
      </c>
      <c r="AC40" s="185">
        <f t="shared" si="13"/>
        <v>8641.2199999999993</v>
      </c>
      <c r="AD40" s="185">
        <f t="shared" si="14"/>
        <v>134.16999999999999</v>
      </c>
      <c r="AE40" s="185">
        <f t="shared" si="15"/>
        <v>188.55</v>
      </c>
      <c r="AF40" s="185">
        <f t="shared" si="16"/>
        <v>9435.25</v>
      </c>
      <c r="AG40" s="185">
        <f t="shared" si="44"/>
        <v>10621.360000000019</v>
      </c>
      <c r="AH40" s="185">
        <f t="shared" si="45"/>
        <v>217191.88999999998</v>
      </c>
      <c r="AI40" s="411">
        <f t="shared" si="28"/>
        <v>-63031.999999999985</v>
      </c>
      <c r="AJ40" s="411">
        <f t="shared" si="17"/>
        <v>-388605.08999999997</v>
      </c>
      <c r="AK40" s="411"/>
      <c r="AL40" s="185">
        <f t="shared" si="46"/>
        <v>975478.6399999999</v>
      </c>
      <c r="AM40" s="317">
        <f t="shared" si="29"/>
        <v>2</v>
      </c>
      <c r="AN40" s="14">
        <f t="shared" si="19"/>
        <v>6591.25</v>
      </c>
      <c r="AO40" s="14">
        <f t="shared" si="30"/>
        <v>586873.55000000005</v>
      </c>
      <c r="AP40" s="14">
        <f t="shared" si="20"/>
        <v>9112.5300000000007</v>
      </c>
      <c r="AS40" s="14">
        <f t="shared" si="21"/>
        <v>6591.25</v>
      </c>
      <c r="AT40" s="14">
        <f t="shared" si="31"/>
        <v>164781.25</v>
      </c>
      <c r="AU40" s="185">
        <f t="shared" si="32"/>
        <v>1571.6700122572483</v>
      </c>
      <c r="AV40" s="185">
        <f t="shared" si="33"/>
        <v>39614.674915156662</v>
      </c>
    </row>
    <row r="41" spans="1:48">
      <c r="A41" s="401" t="str">
        <f t="shared" si="34"/>
        <v xml:space="preserve"> </v>
      </c>
      <c r="B41" s="185">
        <f t="shared" si="22"/>
        <v>0</v>
      </c>
      <c r="C41" s="14">
        <f t="shared" si="4"/>
        <v>0</v>
      </c>
      <c r="D41" s="14">
        <f t="shared" si="35"/>
        <v>0</v>
      </c>
      <c r="E41" s="14">
        <f t="shared" si="5"/>
        <v>0</v>
      </c>
      <c r="I41" s="185">
        <f t="shared" si="47"/>
        <v>0</v>
      </c>
      <c r="J41" s="185">
        <f t="shared" si="48"/>
        <v>0</v>
      </c>
      <c r="K41" s="185">
        <f t="shared" si="49"/>
        <v>0</v>
      </c>
      <c r="L41" s="317">
        <f t="shared" si="6"/>
        <v>2</v>
      </c>
      <c r="M41" s="317">
        <f t="shared" si="23"/>
        <v>25</v>
      </c>
      <c r="N41" s="185">
        <f t="shared" si="24"/>
        <v>586873.54999999993</v>
      </c>
      <c r="O41" s="185">
        <f t="shared" si="25"/>
        <v>6591.25</v>
      </c>
      <c r="P41" s="185">
        <f t="shared" si="39"/>
        <v>172.31999999999971</v>
      </c>
      <c r="Q41" s="185">
        <f t="shared" si="26"/>
        <v>6418.93</v>
      </c>
      <c r="R41" s="185">
        <f t="shared" si="7"/>
        <v>134.16999999999999</v>
      </c>
      <c r="S41" s="185">
        <f t="shared" si="8"/>
        <v>188.55</v>
      </c>
      <c r="T41" s="185">
        <f t="shared" si="9"/>
        <v>6913.97</v>
      </c>
      <c r="U41" s="185">
        <f t="shared" si="40"/>
        <v>3923.7699999999995</v>
      </c>
      <c r="V41" s="185">
        <f t="shared" si="41"/>
        <v>167448.72999999998</v>
      </c>
      <c r="W41" s="185">
        <f t="shared" si="42"/>
        <v>586701.23</v>
      </c>
      <c r="X41" s="401" t="str">
        <f t="shared" si="27"/>
        <v xml:space="preserve"> </v>
      </c>
      <c r="Y41" s="185">
        <f t="shared" si="43"/>
        <v>975478.6399999999</v>
      </c>
      <c r="Z41" s="393">
        <f t="shared" si="10"/>
        <v>0.10625</v>
      </c>
      <c r="AA41" s="185">
        <f t="shared" si="11"/>
        <v>9112.5300000000007</v>
      </c>
      <c r="AB41" s="185">
        <f t="shared" si="12"/>
        <v>475.48000000000138</v>
      </c>
      <c r="AC41" s="185">
        <f t="shared" si="13"/>
        <v>8637.0499999999993</v>
      </c>
      <c r="AD41" s="185">
        <f t="shared" si="14"/>
        <v>134.16999999999999</v>
      </c>
      <c r="AE41" s="185">
        <f t="shared" si="15"/>
        <v>188.55</v>
      </c>
      <c r="AF41" s="185">
        <f t="shared" si="16"/>
        <v>9435.25</v>
      </c>
      <c r="AG41" s="185">
        <f t="shared" si="44"/>
        <v>11096.84000000002</v>
      </c>
      <c r="AH41" s="185">
        <f t="shared" si="45"/>
        <v>225828.93999999997</v>
      </c>
      <c r="AI41" s="411">
        <f t="shared" si="28"/>
        <v>-65553.279999999984</v>
      </c>
      <c r="AJ41" s="411">
        <f t="shared" si="17"/>
        <v>-388301.92999999993</v>
      </c>
      <c r="AK41" s="411"/>
      <c r="AL41" s="185">
        <f t="shared" si="46"/>
        <v>975003.15999999992</v>
      </c>
      <c r="AM41" s="317">
        <f t="shared" si="29"/>
        <v>2</v>
      </c>
      <c r="AN41" s="14">
        <f t="shared" si="19"/>
        <v>6591.25</v>
      </c>
      <c r="AO41" s="14">
        <f t="shared" si="30"/>
        <v>586701.23</v>
      </c>
      <c r="AP41" s="14">
        <f t="shared" si="20"/>
        <v>9112.5300000000007</v>
      </c>
      <c r="AS41" s="14">
        <f t="shared" si="21"/>
        <v>6591.25</v>
      </c>
      <c r="AT41" s="14">
        <f t="shared" si="31"/>
        <v>171372.5</v>
      </c>
      <c r="AU41" s="185">
        <f t="shared" si="32"/>
        <v>1575.5991872878915</v>
      </c>
      <c r="AV41" s="185">
        <f t="shared" si="33"/>
        <v>41190.274102444557</v>
      </c>
    </row>
    <row r="42" spans="1:48">
      <c r="A42" s="401" t="str">
        <f t="shared" si="34"/>
        <v xml:space="preserve"> </v>
      </c>
      <c r="B42" s="185">
        <f t="shared" si="22"/>
        <v>0</v>
      </c>
      <c r="C42" s="14">
        <f t="shared" si="4"/>
        <v>0</v>
      </c>
      <c r="D42" s="14">
        <f t="shared" si="35"/>
        <v>0</v>
      </c>
      <c r="E42" s="14">
        <f t="shared" si="5"/>
        <v>0</v>
      </c>
      <c r="I42" s="185">
        <f t="shared" si="47"/>
        <v>0</v>
      </c>
      <c r="J42" s="185">
        <f t="shared" si="48"/>
        <v>0</v>
      </c>
      <c r="K42" s="185">
        <f t="shared" si="49"/>
        <v>0</v>
      </c>
      <c r="L42" s="317">
        <f t="shared" si="6"/>
        <v>2</v>
      </c>
      <c r="M42" s="317">
        <f t="shared" si="23"/>
        <v>26</v>
      </c>
      <c r="N42" s="185">
        <f t="shared" si="24"/>
        <v>586701.23</v>
      </c>
      <c r="O42" s="185">
        <f t="shared" si="25"/>
        <v>6591.25</v>
      </c>
      <c r="P42" s="185">
        <f t="shared" si="39"/>
        <v>174.21000000000004</v>
      </c>
      <c r="Q42" s="185">
        <f t="shared" si="26"/>
        <v>6417.04</v>
      </c>
      <c r="R42" s="185">
        <f t="shared" si="7"/>
        <v>134.16999999999999</v>
      </c>
      <c r="S42" s="185">
        <f t="shared" si="8"/>
        <v>188.55</v>
      </c>
      <c r="T42" s="185">
        <f t="shared" si="9"/>
        <v>6913.97</v>
      </c>
      <c r="U42" s="185">
        <f t="shared" si="40"/>
        <v>4097.9799999999996</v>
      </c>
      <c r="V42" s="185">
        <f t="shared" si="41"/>
        <v>173865.77</v>
      </c>
      <c r="W42" s="185">
        <f t="shared" si="42"/>
        <v>586527.02</v>
      </c>
      <c r="X42" s="401" t="str">
        <f t="shared" si="27"/>
        <v xml:space="preserve"> </v>
      </c>
      <c r="Y42" s="185">
        <f t="shared" si="43"/>
        <v>975003.15999999992</v>
      </c>
      <c r="Z42" s="393">
        <f t="shared" si="10"/>
        <v>0.10625</v>
      </c>
      <c r="AA42" s="185">
        <f t="shared" si="11"/>
        <v>9112.5300000000007</v>
      </c>
      <c r="AB42" s="185">
        <f t="shared" si="12"/>
        <v>479.69000000000051</v>
      </c>
      <c r="AC42" s="185">
        <f t="shared" si="13"/>
        <v>8632.84</v>
      </c>
      <c r="AD42" s="185">
        <f t="shared" si="14"/>
        <v>134.16999999999999</v>
      </c>
      <c r="AE42" s="185">
        <f t="shared" si="15"/>
        <v>188.55</v>
      </c>
      <c r="AF42" s="185">
        <f t="shared" si="16"/>
        <v>9435.25</v>
      </c>
      <c r="AG42" s="185">
        <f t="shared" si="44"/>
        <v>11576.530000000021</v>
      </c>
      <c r="AH42" s="185">
        <f t="shared" si="45"/>
        <v>234461.77999999997</v>
      </c>
      <c r="AI42" s="411">
        <f t="shared" si="28"/>
        <v>-68074.559999999983</v>
      </c>
      <c r="AJ42" s="411">
        <f t="shared" si="17"/>
        <v>-387996.44999999995</v>
      </c>
      <c r="AK42" s="411"/>
      <c r="AL42" s="185">
        <f t="shared" si="46"/>
        <v>974523.47</v>
      </c>
      <c r="AM42" s="317">
        <f t="shared" si="29"/>
        <v>2</v>
      </c>
      <c r="AN42" s="14">
        <f t="shared" si="19"/>
        <v>6591.25</v>
      </c>
      <c r="AO42" s="14">
        <f t="shared" si="30"/>
        <v>586527.02</v>
      </c>
      <c r="AP42" s="14">
        <f t="shared" si="20"/>
        <v>9112.5300000000007</v>
      </c>
      <c r="AS42" s="14">
        <f t="shared" si="21"/>
        <v>6591.25</v>
      </c>
      <c r="AT42" s="14">
        <f t="shared" si="31"/>
        <v>177963.75</v>
      </c>
      <c r="AU42" s="185">
        <f t="shared" si="32"/>
        <v>1579.5381852561113</v>
      </c>
      <c r="AV42" s="185">
        <f t="shared" si="33"/>
        <v>42769.812287700668</v>
      </c>
    </row>
    <row r="43" spans="1:48">
      <c r="A43" s="401" t="str">
        <f t="shared" si="34"/>
        <v xml:space="preserve"> </v>
      </c>
      <c r="B43" s="185">
        <f t="shared" si="22"/>
        <v>0</v>
      </c>
      <c r="C43" s="14">
        <f t="shared" si="4"/>
        <v>0</v>
      </c>
      <c r="D43" s="14">
        <f t="shared" si="35"/>
        <v>0</v>
      </c>
      <c r="E43" s="14">
        <f t="shared" si="5"/>
        <v>0</v>
      </c>
      <c r="I43" s="185">
        <f t="shared" si="47"/>
        <v>0</v>
      </c>
      <c r="J43" s="185">
        <f t="shared" si="48"/>
        <v>0</v>
      </c>
      <c r="K43" s="185">
        <f t="shared" si="49"/>
        <v>0</v>
      </c>
      <c r="L43" s="317">
        <f t="shared" si="6"/>
        <v>2</v>
      </c>
      <c r="M43" s="317">
        <f t="shared" si="23"/>
        <v>27</v>
      </c>
      <c r="N43" s="185">
        <f t="shared" si="24"/>
        <v>586527.02</v>
      </c>
      <c r="O43" s="185">
        <f t="shared" si="25"/>
        <v>6591.25</v>
      </c>
      <c r="P43" s="185">
        <f t="shared" si="39"/>
        <v>176.10999999999967</v>
      </c>
      <c r="Q43" s="185">
        <f t="shared" si="26"/>
        <v>6415.14</v>
      </c>
      <c r="R43" s="185">
        <f t="shared" si="7"/>
        <v>134.16999999999999</v>
      </c>
      <c r="S43" s="185">
        <f t="shared" si="8"/>
        <v>188.55</v>
      </c>
      <c r="T43" s="185">
        <f t="shared" si="9"/>
        <v>6913.97</v>
      </c>
      <c r="U43" s="185">
        <f t="shared" si="40"/>
        <v>4274.0899999999992</v>
      </c>
      <c r="V43" s="185">
        <f t="shared" si="41"/>
        <v>180280.91</v>
      </c>
      <c r="W43" s="185">
        <f t="shared" si="42"/>
        <v>586350.91</v>
      </c>
      <c r="X43" s="401" t="str">
        <f t="shared" si="27"/>
        <v xml:space="preserve"> </v>
      </c>
      <c r="Y43" s="185">
        <f t="shared" si="43"/>
        <v>974523.47</v>
      </c>
      <c r="Z43" s="393">
        <f t="shared" si="10"/>
        <v>0.10625</v>
      </c>
      <c r="AA43" s="185">
        <f t="shared" si="11"/>
        <v>9112.5300000000007</v>
      </c>
      <c r="AB43" s="185">
        <f t="shared" si="12"/>
        <v>483.94000000000051</v>
      </c>
      <c r="AC43" s="185">
        <f t="shared" si="13"/>
        <v>8628.59</v>
      </c>
      <c r="AD43" s="185">
        <f t="shared" si="14"/>
        <v>134.16999999999999</v>
      </c>
      <c r="AE43" s="185">
        <f t="shared" si="15"/>
        <v>188.55</v>
      </c>
      <c r="AF43" s="185">
        <f t="shared" si="16"/>
        <v>9435.25</v>
      </c>
      <c r="AG43" s="185">
        <f t="shared" si="44"/>
        <v>12060.470000000021</v>
      </c>
      <c r="AH43" s="185">
        <f t="shared" si="45"/>
        <v>243090.36999999997</v>
      </c>
      <c r="AI43" s="411">
        <f t="shared" si="28"/>
        <v>-70595.839999999982</v>
      </c>
      <c r="AJ43" s="411">
        <f t="shared" si="17"/>
        <v>-387688.62</v>
      </c>
      <c r="AK43" s="411"/>
      <c r="AL43" s="185">
        <f t="shared" si="46"/>
        <v>974039.53</v>
      </c>
      <c r="AM43" s="317">
        <f t="shared" si="29"/>
        <v>2</v>
      </c>
      <c r="AN43" s="14">
        <f t="shared" si="19"/>
        <v>6591.25</v>
      </c>
      <c r="AO43" s="14">
        <f t="shared" si="30"/>
        <v>586350.91</v>
      </c>
      <c r="AP43" s="14">
        <f t="shared" si="20"/>
        <v>9112.5300000000007</v>
      </c>
      <c r="AS43" s="14">
        <f t="shared" si="21"/>
        <v>6591.25</v>
      </c>
      <c r="AT43" s="14">
        <f t="shared" si="31"/>
        <v>184555</v>
      </c>
      <c r="AU43" s="185">
        <f t="shared" si="32"/>
        <v>1583.4870307192516</v>
      </c>
      <c r="AV43" s="185">
        <f t="shared" si="33"/>
        <v>44353.299318419922</v>
      </c>
    </row>
    <row r="44" spans="1:48">
      <c r="A44" s="401" t="str">
        <f t="shared" si="34"/>
        <v xml:space="preserve"> </v>
      </c>
      <c r="B44" s="185">
        <f t="shared" si="22"/>
        <v>0</v>
      </c>
      <c r="C44" s="14">
        <f t="shared" si="4"/>
        <v>0</v>
      </c>
      <c r="D44" s="14">
        <f t="shared" si="35"/>
        <v>0</v>
      </c>
      <c r="E44" s="14">
        <f t="shared" si="5"/>
        <v>0</v>
      </c>
      <c r="I44" s="185">
        <f t="shared" si="47"/>
        <v>0</v>
      </c>
      <c r="J44" s="185">
        <f t="shared" si="48"/>
        <v>0</v>
      </c>
      <c r="K44" s="185">
        <f t="shared" si="49"/>
        <v>0</v>
      </c>
      <c r="L44" s="317">
        <f t="shared" si="6"/>
        <v>2</v>
      </c>
      <c r="M44" s="317">
        <f t="shared" si="23"/>
        <v>28</v>
      </c>
      <c r="N44" s="185">
        <f t="shared" si="24"/>
        <v>586350.91</v>
      </c>
      <c r="O44" s="185">
        <f t="shared" si="25"/>
        <v>6591.25</v>
      </c>
      <c r="P44" s="185">
        <f t="shared" si="39"/>
        <v>178.03999999999996</v>
      </c>
      <c r="Q44" s="185">
        <f t="shared" si="26"/>
        <v>6413.21</v>
      </c>
      <c r="R44" s="185">
        <f t="shared" si="7"/>
        <v>134.16999999999999</v>
      </c>
      <c r="S44" s="185">
        <f t="shared" si="8"/>
        <v>188.55</v>
      </c>
      <c r="T44" s="185">
        <f t="shared" si="9"/>
        <v>6913.97</v>
      </c>
      <c r="U44" s="185">
        <f t="shared" si="40"/>
        <v>4452.1299999999992</v>
      </c>
      <c r="V44" s="185">
        <f t="shared" si="41"/>
        <v>186694.12</v>
      </c>
      <c r="W44" s="185">
        <f t="shared" si="42"/>
        <v>586172.87</v>
      </c>
      <c r="X44" s="401" t="str">
        <f t="shared" si="27"/>
        <v xml:space="preserve"> </v>
      </c>
      <c r="Y44" s="185">
        <f t="shared" si="43"/>
        <v>974039.53</v>
      </c>
      <c r="Z44" s="393">
        <f t="shared" si="10"/>
        <v>0.10625</v>
      </c>
      <c r="AA44" s="185">
        <f t="shared" si="11"/>
        <v>9112.5300000000007</v>
      </c>
      <c r="AB44" s="185">
        <f t="shared" si="12"/>
        <v>488.22000000000116</v>
      </c>
      <c r="AC44" s="185">
        <f t="shared" si="13"/>
        <v>8624.31</v>
      </c>
      <c r="AD44" s="185">
        <f t="shared" si="14"/>
        <v>134.16999999999999</v>
      </c>
      <c r="AE44" s="185">
        <f t="shared" si="15"/>
        <v>188.55</v>
      </c>
      <c r="AF44" s="185">
        <f t="shared" si="16"/>
        <v>9435.25</v>
      </c>
      <c r="AG44" s="185">
        <f t="shared" si="44"/>
        <v>12548.690000000022</v>
      </c>
      <c r="AH44" s="185">
        <f t="shared" si="45"/>
        <v>251714.67999999996</v>
      </c>
      <c r="AI44" s="411">
        <f t="shared" si="28"/>
        <v>-73117.119999999981</v>
      </c>
      <c r="AJ44" s="411">
        <f t="shared" si="17"/>
        <v>-387378.44000000006</v>
      </c>
      <c r="AK44" s="411"/>
      <c r="AL44" s="185">
        <f t="shared" si="46"/>
        <v>973551.31</v>
      </c>
      <c r="AM44" s="317">
        <f t="shared" si="29"/>
        <v>2</v>
      </c>
      <c r="AN44" s="14">
        <f t="shared" si="19"/>
        <v>6591.25</v>
      </c>
      <c r="AO44" s="14">
        <f t="shared" si="30"/>
        <v>586172.87</v>
      </c>
      <c r="AP44" s="14">
        <f t="shared" si="20"/>
        <v>9112.5300000000007</v>
      </c>
      <c r="AS44" s="14">
        <f t="shared" si="21"/>
        <v>6591.25</v>
      </c>
      <c r="AT44" s="14">
        <f t="shared" si="31"/>
        <v>191146.25</v>
      </c>
      <c r="AU44" s="185">
        <f t="shared" si="32"/>
        <v>1587.4457482960497</v>
      </c>
      <c r="AV44" s="185">
        <f t="shared" si="33"/>
        <v>45940.745066715972</v>
      </c>
    </row>
    <row r="45" spans="1:48">
      <c r="A45" s="401" t="str">
        <f t="shared" si="34"/>
        <v xml:space="preserve"> </v>
      </c>
      <c r="B45" s="185">
        <f t="shared" si="22"/>
        <v>0</v>
      </c>
      <c r="C45" s="14">
        <f t="shared" si="4"/>
        <v>0</v>
      </c>
      <c r="D45" s="14">
        <f t="shared" si="35"/>
        <v>0</v>
      </c>
      <c r="E45" s="14">
        <f t="shared" si="5"/>
        <v>0</v>
      </c>
      <c r="I45" s="185">
        <f t="shared" si="47"/>
        <v>0</v>
      </c>
      <c r="J45" s="185">
        <f t="shared" si="48"/>
        <v>0</v>
      </c>
      <c r="K45" s="185">
        <f t="shared" si="49"/>
        <v>0</v>
      </c>
      <c r="L45" s="317">
        <f t="shared" si="6"/>
        <v>2</v>
      </c>
      <c r="M45" s="317">
        <f t="shared" si="23"/>
        <v>29</v>
      </c>
      <c r="N45" s="185">
        <f t="shared" si="24"/>
        <v>586172.87</v>
      </c>
      <c r="O45" s="185">
        <f t="shared" si="25"/>
        <v>6591.25</v>
      </c>
      <c r="P45" s="185">
        <f t="shared" si="39"/>
        <v>179.97999999999956</v>
      </c>
      <c r="Q45" s="185">
        <f t="shared" si="26"/>
        <v>6411.27</v>
      </c>
      <c r="R45" s="185">
        <f t="shared" si="7"/>
        <v>134.16999999999999</v>
      </c>
      <c r="S45" s="185">
        <f t="shared" si="8"/>
        <v>188.55</v>
      </c>
      <c r="T45" s="185">
        <f t="shared" si="9"/>
        <v>6913.97</v>
      </c>
      <c r="U45" s="185">
        <f t="shared" si="40"/>
        <v>4632.1099999999988</v>
      </c>
      <c r="V45" s="185">
        <f t="shared" si="41"/>
        <v>193105.38999999998</v>
      </c>
      <c r="W45" s="185">
        <f t="shared" si="42"/>
        <v>585992.89</v>
      </c>
      <c r="X45" s="401" t="str">
        <f t="shared" si="27"/>
        <v xml:space="preserve"> </v>
      </c>
      <c r="Y45" s="185">
        <f t="shared" si="43"/>
        <v>973551.31</v>
      </c>
      <c r="Z45" s="393">
        <f t="shared" si="10"/>
        <v>0.10625</v>
      </c>
      <c r="AA45" s="185">
        <f t="shared" si="11"/>
        <v>9112.5300000000007</v>
      </c>
      <c r="AB45" s="185">
        <f t="shared" si="12"/>
        <v>492.54000000000087</v>
      </c>
      <c r="AC45" s="185">
        <f t="shared" si="13"/>
        <v>8619.99</v>
      </c>
      <c r="AD45" s="185">
        <f t="shared" si="14"/>
        <v>134.16999999999999</v>
      </c>
      <c r="AE45" s="185">
        <f t="shared" si="15"/>
        <v>188.55</v>
      </c>
      <c r="AF45" s="185">
        <f t="shared" si="16"/>
        <v>9435.25</v>
      </c>
      <c r="AG45" s="185">
        <f t="shared" si="44"/>
        <v>13041.230000000023</v>
      </c>
      <c r="AH45" s="185">
        <f t="shared" si="45"/>
        <v>260334.66999999995</v>
      </c>
      <c r="AI45" s="411">
        <f t="shared" si="28"/>
        <v>-75638.39999999998</v>
      </c>
      <c r="AJ45" s="411">
        <f t="shared" si="17"/>
        <v>-387065.88</v>
      </c>
      <c r="AK45" s="411"/>
      <c r="AL45" s="185">
        <f t="shared" si="46"/>
        <v>973058.77</v>
      </c>
      <c r="AM45" s="317">
        <f t="shared" si="29"/>
        <v>2</v>
      </c>
      <c r="AN45" s="14">
        <f t="shared" si="19"/>
        <v>6591.25</v>
      </c>
      <c r="AO45" s="14">
        <f t="shared" ref="AO45:AO108" si="50">IF(W45&lt;=0,0,+$AA$5-$C$2+I45-U45)</f>
        <v>981467.89</v>
      </c>
      <c r="AP45" s="14">
        <f t="shared" si="20"/>
        <v>9112.5300000000007</v>
      </c>
      <c r="AS45" s="14">
        <f t="shared" si="21"/>
        <v>6591.25</v>
      </c>
      <c r="AT45" s="14">
        <f t="shared" si="31"/>
        <v>197737.5</v>
      </c>
      <c r="AU45" s="185">
        <f t="shared" si="32"/>
        <v>1591.4143626667899</v>
      </c>
      <c r="AV45" s="185">
        <f t="shared" si="33"/>
        <v>47532.159429382758</v>
      </c>
    </row>
    <row r="46" spans="1:48">
      <c r="A46" s="401" t="str">
        <f t="shared" si="34"/>
        <v xml:space="preserve"> </v>
      </c>
      <c r="B46" s="185">
        <f t="shared" si="22"/>
        <v>0</v>
      </c>
      <c r="C46" s="14">
        <f t="shared" si="4"/>
        <v>0</v>
      </c>
      <c r="D46" s="14">
        <f t="shared" si="35"/>
        <v>0</v>
      </c>
      <c r="E46" s="14">
        <f t="shared" si="5"/>
        <v>0</v>
      </c>
      <c r="I46" s="185">
        <f t="shared" si="47"/>
        <v>0</v>
      </c>
      <c r="J46" s="185">
        <f t="shared" si="48"/>
        <v>0</v>
      </c>
      <c r="K46" s="185">
        <f t="shared" si="49"/>
        <v>0</v>
      </c>
      <c r="L46" s="317">
        <f t="shared" si="6"/>
        <v>2</v>
      </c>
      <c r="M46" s="317">
        <f t="shared" si="23"/>
        <v>30</v>
      </c>
      <c r="N46" s="185">
        <f t="shared" si="24"/>
        <v>585992.89</v>
      </c>
      <c r="O46" s="185">
        <f t="shared" si="25"/>
        <v>6591.25</v>
      </c>
      <c r="P46" s="185">
        <f t="shared" si="39"/>
        <v>181.94999999999982</v>
      </c>
      <c r="Q46" s="185">
        <f t="shared" si="26"/>
        <v>6409.3</v>
      </c>
      <c r="R46" s="185">
        <f t="shared" si="7"/>
        <v>134.16999999999999</v>
      </c>
      <c r="S46" s="185">
        <f t="shared" si="8"/>
        <v>188.55</v>
      </c>
      <c r="T46" s="185">
        <f t="shared" si="9"/>
        <v>6913.97</v>
      </c>
      <c r="U46" s="185">
        <f t="shared" si="40"/>
        <v>4814.0599999999986</v>
      </c>
      <c r="V46" s="185">
        <f t="shared" si="41"/>
        <v>199514.68999999997</v>
      </c>
      <c r="W46" s="185">
        <f t="shared" si="42"/>
        <v>585810.94000000006</v>
      </c>
      <c r="X46" s="401" t="str">
        <f t="shared" si="27"/>
        <v xml:space="preserve"> </v>
      </c>
      <c r="Y46" s="185">
        <f t="shared" si="43"/>
        <v>973058.77</v>
      </c>
      <c r="Z46" s="393">
        <f t="shared" si="10"/>
        <v>0.10625</v>
      </c>
      <c r="AA46" s="185">
        <f t="shared" si="11"/>
        <v>9112.5300000000007</v>
      </c>
      <c r="AB46" s="185">
        <f t="shared" si="12"/>
        <v>496.90999999999985</v>
      </c>
      <c r="AC46" s="185">
        <f t="shared" si="13"/>
        <v>8615.6200000000008</v>
      </c>
      <c r="AD46" s="185">
        <f t="shared" si="14"/>
        <v>134.16999999999999</v>
      </c>
      <c r="AE46" s="185">
        <f t="shared" si="15"/>
        <v>188.55</v>
      </c>
      <c r="AF46" s="185">
        <f t="shared" si="16"/>
        <v>9435.25</v>
      </c>
      <c r="AG46" s="185">
        <f t="shared" si="44"/>
        <v>13538.140000000023</v>
      </c>
      <c r="AH46" s="185">
        <f t="shared" si="45"/>
        <v>268950.28999999998</v>
      </c>
      <c r="AI46" s="411">
        <f t="shared" si="28"/>
        <v>-78159.679999999978</v>
      </c>
      <c r="AJ46" s="411">
        <f t="shared" si="17"/>
        <v>-386750.91999999993</v>
      </c>
      <c r="AK46" s="411"/>
      <c r="AL46" s="185">
        <f t="shared" si="46"/>
        <v>972561.86</v>
      </c>
      <c r="AM46" s="317">
        <f t="shared" si="29"/>
        <v>2</v>
      </c>
      <c r="AN46" s="14">
        <f t="shared" si="19"/>
        <v>6591.25</v>
      </c>
      <c r="AO46" s="14">
        <f t="shared" si="50"/>
        <v>981285.94</v>
      </c>
      <c r="AP46" s="14">
        <f t="shared" si="20"/>
        <v>9112.5300000000007</v>
      </c>
      <c r="AS46" s="14">
        <f t="shared" si="21"/>
        <v>6591.25</v>
      </c>
      <c r="AT46" s="14">
        <f t="shared" si="31"/>
        <v>204328.75</v>
      </c>
      <c r="AU46" s="185">
        <f t="shared" si="32"/>
        <v>1595.3928985734567</v>
      </c>
      <c r="AV46" s="185">
        <f t="shared" si="33"/>
        <v>49127.552327956219</v>
      </c>
    </row>
    <row r="47" spans="1:48">
      <c r="A47" s="401" t="str">
        <f t="shared" si="34"/>
        <v xml:space="preserve"> </v>
      </c>
      <c r="B47" s="185">
        <f t="shared" si="22"/>
        <v>0</v>
      </c>
      <c r="C47" s="14">
        <f t="shared" si="4"/>
        <v>0</v>
      </c>
      <c r="D47" s="14">
        <f t="shared" si="35"/>
        <v>0</v>
      </c>
      <c r="E47" s="14">
        <f t="shared" si="5"/>
        <v>0</v>
      </c>
      <c r="I47" s="185">
        <f t="shared" si="47"/>
        <v>0</v>
      </c>
      <c r="J47" s="185">
        <f t="shared" si="48"/>
        <v>0</v>
      </c>
      <c r="K47" s="185">
        <f t="shared" si="49"/>
        <v>0</v>
      </c>
      <c r="L47" s="317">
        <f t="shared" si="6"/>
        <v>2</v>
      </c>
      <c r="M47" s="317">
        <f t="shared" si="23"/>
        <v>31</v>
      </c>
      <c r="N47" s="185">
        <f t="shared" si="24"/>
        <v>585810.94000000006</v>
      </c>
      <c r="O47" s="185">
        <f t="shared" si="25"/>
        <v>6591.25</v>
      </c>
      <c r="P47" s="185">
        <f t="shared" si="39"/>
        <v>183.9399999999996</v>
      </c>
      <c r="Q47" s="185">
        <f t="shared" si="26"/>
        <v>6407.31</v>
      </c>
      <c r="R47" s="185">
        <f t="shared" si="7"/>
        <v>134.16999999999999</v>
      </c>
      <c r="S47" s="185">
        <f t="shared" si="8"/>
        <v>188.55</v>
      </c>
      <c r="T47" s="185">
        <f t="shared" si="9"/>
        <v>6913.97</v>
      </c>
      <c r="U47" s="185">
        <f t="shared" si="40"/>
        <v>4997.9999999999982</v>
      </c>
      <c r="V47" s="185">
        <f t="shared" si="41"/>
        <v>205921.99999999997</v>
      </c>
      <c r="W47" s="185">
        <f t="shared" si="42"/>
        <v>585627.00000000012</v>
      </c>
      <c r="X47" s="401" t="str">
        <f t="shared" si="27"/>
        <v xml:space="preserve"> </v>
      </c>
      <c r="Y47" s="185">
        <f t="shared" si="43"/>
        <v>972561.86</v>
      </c>
      <c r="Z47" s="393">
        <f t="shared" si="10"/>
        <v>0.10625</v>
      </c>
      <c r="AA47" s="185">
        <f t="shared" si="11"/>
        <v>9112.5300000000007</v>
      </c>
      <c r="AB47" s="185">
        <f t="shared" si="12"/>
        <v>501.31000000000131</v>
      </c>
      <c r="AC47" s="185">
        <f t="shared" si="13"/>
        <v>8611.2199999999993</v>
      </c>
      <c r="AD47" s="185">
        <f t="shared" si="14"/>
        <v>134.16999999999999</v>
      </c>
      <c r="AE47" s="185">
        <f t="shared" si="15"/>
        <v>188.55</v>
      </c>
      <c r="AF47" s="185">
        <f t="shared" si="16"/>
        <v>9435.25</v>
      </c>
      <c r="AG47" s="185">
        <f t="shared" si="44"/>
        <v>14039.450000000024</v>
      </c>
      <c r="AH47" s="185">
        <f t="shared" si="45"/>
        <v>277561.50999999995</v>
      </c>
      <c r="AI47" s="411">
        <f t="shared" si="28"/>
        <v>-80680.959999999977</v>
      </c>
      <c r="AJ47" s="411">
        <f t="shared" si="17"/>
        <v>-386433.54999999981</v>
      </c>
      <c r="AK47" s="411"/>
      <c r="AL47" s="185">
        <f t="shared" si="46"/>
        <v>972060.54999999993</v>
      </c>
      <c r="AM47" s="317">
        <f t="shared" si="29"/>
        <v>2</v>
      </c>
      <c r="AN47" s="14">
        <f t="shared" si="19"/>
        <v>6591.25</v>
      </c>
      <c r="AO47" s="14">
        <f t="shared" si="50"/>
        <v>981102</v>
      </c>
      <c r="AP47" s="14">
        <f t="shared" si="20"/>
        <v>9112.5300000000007</v>
      </c>
      <c r="AS47" s="14">
        <f t="shared" si="21"/>
        <v>6591.25</v>
      </c>
      <c r="AT47" s="14">
        <f t="shared" si="31"/>
        <v>210920</v>
      </c>
      <c r="AU47" s="185">
        <f t="shared" si="32"/>
        <v>1599.3813808198904</v>
      </c>
      <c r="AV47" s="185">
        <f t="shared" si="33"/>
        <v>50726.933708776109</v>
      </c>
    </row>
    <row r="48" spans="1:48">
      <c r="A48" s="401" t="str">
        <f t="shared" si="34"/>
        <v xml:space="preserve"> </v>
      </c>
      <c r="B48" s="185">
        <f t="shared" si="22"/>
        <v>0</v>
      </c>
      <c r="C48" s="14">
        <f t="shared" si="4"/>
        <v>0</v>
      </c>
      <c r="D48" s="14">
        <f t="shared" si="35"/>
        <v>0</v>
      </c>
      <c r="E48" s="14">
        <f t="shared" si="5"/>
        <v>0</v>
      </c>
      <c r="I48" s="185">
        <f t="shared" si="47"/>
        <v>0</v>
      </c>
      <c r="J48" s="185">
        <f t="shared" si="48"/>
        <v>0</v>
      </c>
      <c r="K48" s="185">
        <f t="shared" si="49"/>
        <v>0</v>
      </c>
      <c r="L48" s="317">
        <f t="shared" si="6"/>
        <v>2</v>
      </c>
      <c r="M48" s="317">
        <f t="shared" si="23"/>
        <v>32</v>
      </c>
      <c r="N48" s="185">
        <f t="shared" si="24"/>
        <v>585627.00000000012</v>
      </c>
      <c r="O48" s="185">
        <f t="shared" si="25"/>
        <v>6591.25</v>
      </c>
      <c r="P48" s="185">
        <f t="shared" si="39"/>
        <v>185.94999999999982</v>
      </c>
      <c r="Q48" s="185">
        <f t="shared" si="26"/>
        <v>6405.3</v>
      </c>
      <c r="R48" s="185">
        <f t="shared" si="7"/>
        <v>134.16999999999999</v>
      </c>
      <c r="S48" s="185">
        <f t="shared" si="8"/>
        <v>188.55</v>
      </c>
      <c r="T48" s="185">
        <f t="shared" si="9"/>
        <v>6913.97</v>
      </c>
      <c r="U48" s="185">
        <f t="shared" si="40"/>
        <v>5183.949999999998</v>
      </c>
      <c r="V48" s="185">
        <f t="shared" si="41"/>
        <v>212327.29999999996</v>
      </c>
      <c r="W48" s="185">
        <f t="shared" si="42"/>
        <v>585441.05000000016</v>
      </c>
      <c r="X48" s="401" t="str">
        <f t="shared" si="27"/>
        <v xml:space="preserve"> </v>
      </c>
      <c r="Y48" s="185">
        <f t="shared" si="43"/>
        <v>972060.54999999993</v>
      </c>
      <c r="Z48" s="393">
        <f t="shared" si="10"/>
        <v>0.10625</v>
      </c>
      <c r="AA48" s="185">
        <f t="shared" si="11"/>
        <v>9112.5300000000007</v>
      </c>
      <c r="AB48" s="185">
        <f t="shared" si="12"/>
        <v>505.73999999999978</v>
      </c>
      <c r="AC48" s="185">
        <f t="shared" si="13"/>
        <v>8606.7900000000009</v>
      </c>
      <c r="AD48" s="185">
        <f t="shared" si="14"/>
        <v>134.16999999999999</v>
      </c>
      <c r="AE48" s="185">
        <f t="shared" si="15"/>
        <v>188.55</v>
      </c>
      <c r="AF48" s="185">
        <f t="shared" si="16"/>
        <v>9435.25</v>
      </c>
      <c r="AG48" s="185">
        <f t="shared" si="44"/>
        <v>14545.190000000024</v>
      </c>
      <c r="AH48" s="185">
        <f t="shared" si="45"/>
        <v>286168.29999999993</v>
      </c>
      <c r="AI48" s="411">
        <f t="shared" si="28"/>
        <v>-83202.239999999976</v>
      </c>
      <c r="AJ48" s="411">
        <f t="shared" si="17"/>
        <v>-386113.75999999978</v>
      </c>
      <c r="AK48" s="411"/>
      <c r="AL48" s="185">
        <f t="shared" si="46"/>
        <v>971554.80999999994</v>
      </c>
      <c r="AM48" s="317">
        <f t="shared" si="29"/>
        <v>2</v>
      </c>
      <c r="AN48" s="14">
        <f t="shared" si="19"/>
        <v>6591.25</v>
      </c>
      <c r="AO48" s="14">
        <f t="shared" si="50"/>
        <v>980916.05</v>
      </c>
      <c r="AP48" s="14">
        <f t="shared" si="20"/>
        <v>9112.5300000000007</v>
      </c>
      <c r="AS48" s="14">
        <f t="shared" si="21"/>
        <v>6591.25</v>
      </c>
      <c r="AT48" s="14">
        <f t="shared" si="31"/>
        <v>217511.25</v>
      </c>
      <c r="AU48" s="185">
        <f t="shared" si="32"/>
        <v>1603.3798342719404</v>
      </c>
      <c r="AV48" s="185">
        <f t="shared" si="33"/>
        <v>52330.313543048047</v>
      </c>
    </row>
    <row r="49" spans="1:50">
      <c r="A49" s="401" t="str">
        <f t="shared" si="34"/>
        <v xml:space="preserve"> </v>
      </c>
      <c r="B49" s="185">
        <f t="shared" si="22"/>
        <v>0</v>
      </c>
      <c r="C49" s="14">
        <f t="shared" si="4"/>
        <v>0</v>
      </c>
      <c r="D49" s="14">
        <f t="shared" si="35"/>
        <v>0</v>
      </c>
      <c r="E49" s="14">
        <f t="shared" si="5"/>
        <v>0</v>
      </c>
      <c r="I49" s="185">
        <f t="shared" si="47"/>
        <v>0</v>
      </c>
      <c r="J49" s="185">
        <f t="shared" si="48"/>
        <v>0</v>
      </c>
      <c r="K49" s="185">
        <f t="shared" si="49"/>
        <v>0</v>
      </c>
      <c r="L49" s="317">
        <f t="shared" si="6"/>
        <v>2</v>
      </c>
      <c r="M49" s="317">
        <f t="shared" si="23"/>
        <v>33</v>
      </c>
      <c r="N49" s="185">
        <f t="shared" si="24"/>
        <v>585441.05000000016</v>
      </c>
      <c r="O49" s="185">
        <f t="shared" si="25"/>
        <v>6591.25</v>
      </c>
      <c r="P49" s="185">
        <f t="shared" si="39"/>
        <v>187.98999999999978</v>
      </c>
      <c r="Q49" s="185">
        <f t="shared" si="26"/>
        <v>6403.26</v>
      </c>
      <c r="R49" s="185">
        <f t="shared" si="7"/>
        <v>134.16999999999999</v>
      </c>
      <c r="S49" s="185">
        <f t="shared" si="8"/>
        <v>188.55</v>
      </c>
      <c r="T49" s="185">
        <f t="shared" si="9"/>
        <v>6913.97</v>
      </c>
      <c r="U49" s="185">
        <f t="shared" si="40"/>
        <v>5371.9399999999978</v>
      </c>
      <c r="V49" s="185">
        <f t="shared" si="41"/>
        <v>218730.55999999997</v>
      </c>
      <c r="W49" s="185">
        <f t="shared" si="42"/>
        <v>585253.06000000017</v>
      </c>
      <c r="X49" s="401" t="str">
        <f t="shared" si="27"/>
        <v xml:space="preserve"> </v>
      </c>
      <c r="Y49" s="185">
        <f t="shared" si="43"/>
        <v>971554.80999999994</v>
      </c>
      <c r="Z49" s="393">
        <f t="shared" si="10"/>
        <v>0.10625</v>
      </c>
      <c r="AA49" s="185">
        <f t="shared" si="11"/>
        <v>9112.5300000000007</v>
      </c>
      <c r="AB49" s="185">
        <f t="shared" si="12"/>
        <v>510.22000000000116</v>
      </c>
      <c r="AC49" s="185">
        <f t="shared" si="13"/>
        <v>8602.31</v>
      </c>
      <c r="AD49" s="185">
        <f t="shared" si="14"/>
        <v>134.16999999999999</v>
      </c>
      <c r="AE49" s="185">
        <f t="shared" si="15"/>
        <v>188.55</v>
      </c>
      <c r="AF49" s="185">
        <f t="shared" si="16"/>
        <v>9435.25</v>
      </c>
      <c r="AG49" s="185">
        <f t="shared" si="44"/>
        <v>15055.410000000025</v>
      </c>
      <c r="AH49" s="185">
        <f t="shared" si="45"/>
        <v>294770.60999999993</v>
      </c>
      <c r="AI49" s="411">
        <f t="shared" si="28"/>
        <v>-85723.519999999975</v>
      </c>
      <c r="AJ49" s="411">
        <f t="shared" si="17"/>
        <v>-385791.5299999998</v>
      </c>
      <c r="AK49" s="411"/>
      <c r="AL49" s="185">
        <f t="shared" si="46"/>
        <v>971044.59</v>
      </c>
      <c r="AM49" s="317">
        <f t="shared" si="29"/>
        <v>2</v>
      </c>
      <c r="AN49" s="14">
        <f t="shared" si="19"/>
        <v>6591.25</v>
      </c>
      <c r="AO49" s="14">
        <f t="shared" si="50"/>
        <v>980728.06</v>
      </c>
      <c r="AP49" s="14">
        <f t="shared" si="20"/>
        <v>9112.5300000000007</v>
      </c>
      <c r="AS49" s="14">
        <f t="shared" si="21"/>
        <v>6591.25</v>
      </c>
      <c r="AT49" s="14">
        <f t="shared" si="31"/>
        <v>224102.5</v>
      </c>
      <c r="AU49" s="185">
        <f t="shared" si="32"/>
        <v>1607.3882838576199</v>
      </c>
      <c r="AV49" s="185">
        <f t="shared" si="33"/>
        <v>53937.701826905664</v>
      </c>
    </row>
    <row r="50" spans="1:50" ht="15.75" thickBot="1">
      <c r="A50" s="404" t="str">
        <f t="shared" si="34"/>
        <v xml:space="preserve"> </v>
      </c>
      <c r="B50" s="237">
        <f t="shared" si="22"/>
        <v>0</v>
      </c>
      <c r="C50" s="21">
        <f t="shared" si="4"/>
        <v>0</v>
      </c>
      <c r="D50" s="21">
        <f t="shared" si="35"/>
        <v>0</v>
      </c>
      <c r="E50" s="21">
        <f t="shared" si="5"/>
        <v>0</v>
      </c>
      <c r="F50" s="21"/>
      <c r="G50" s="21"/>
      <c r="H50" s="21"/>
      <c r="I50" s="237">
        <f t="shared" si="47"/>
        <v>0</v>
      </c>
      <c r="J50" s="237">
        <f t="shared" si="48"/>
        <v>0</v>
      </c>
      <c r="K50" s="237">
        <f t="shared" si="49"/>
        <v>0</v>
      </c>
      <c r="L50" s="318">
        <f t="shared" si="6"/>
        <v>2</v>
      </c>
      <c r="M50" s="318">
        <f t="shared" si="23"/>
        <v>34</v>
      </c>
      <c r="N50" s="237">
        <f t="shared" si="24"/>
        <v>585253.06000000017</v>
      </c>
      <c r="O50" s="237">
        <f t="shared" si="25"/>
        <v>6591.25</v>
      </c>
      <c r="P50" s="237">
        <f t="shared" si="39"/>
        <v>190.03999999999996</v>
      </c>
      <c r="Q50" s="237">
        <f t="shared" si="26"/>
        <v>6401.21</v>
      </c>
      <c r="R50" s="237">
        <f t="shared" si="7"/>
        <v>134.16999999999999</v>
      </c>
      <c r="S50" s="237">
        <f t="shared" si="8"/>
        <v>188.55</v>
      </c>
      <c r="T50" s="237">
        <f t="shared" si="9"/>
        <v>6913.97</v>
      </c>
      <c r="U50" s="237">
        <f t="shared" si="40"/>
        <v>5561.9799999999977</v>
      </c>
      <c r="V50" s="237">
        <f t="shared" si="41"/>
        <v>225131.76999999996</v>
      </c>
      <c r="W50" s="237">
        <f t="shared" si="42"/>
        <v>585063.02000000014</v>
      </c>
      <c r="X50" s="404" t="str">
        <f t="shared" si="27"/>
        <v xml:space="preserve"> </v>
      </c>
      <c r="Y50" s="237">
        <f t="shared" si="43"/>
        <v>971044.59</v>
      </c>
      <c r="Z50" s="394">
        <f t="shared" si="10"/>
        <v>0.10625</v>
      </c>
      <c r="AA50" s="237">
        <f t="shared" si="11"/>
        <v>9112.5300000000007</v>
      </c>
      <c r="AB50" s="237">
        <f t="shared" si="12"/>
        <v>514.73999999999978</v>
      </c>
      <c r="AC50" s="237">
        <f t="shared" si="13"/>
        <v>8597.7900000000009</v>
      </c>
      <c r="AD50" s="237">
        <f t="shared" si="14"/>
        <v>134.16999999999999</v>
      </c>
      <c r="AE50" s="237">
        <f t="shared" si="15"/>
        <v>188.55</v>
      </c>
      <c r="AF50" s="237">
        <f t="shared" si="16"/>
        <v>9435.25</v>
      </c>
      <c r="AG50" s="237">
        <f t="shared" si="44"/>
        <v>15570.150000000025</v>
      </c>
      <c r="AH50" s="237">
        <f t="shared" si="45"/>
        <v>303368.39999999991</v>
      </c>
      <c r="AI50" s="412">
        <f t="shared" si="28"/>
        <v>-88244.799999999974</v>
      </c>
      <c r="AJ50" s="412">
        <f t="shared" si="17"/>
        <v>-385466.82999999984</v>
      </c>
      <c r="AK50" s="412"/>
      <c r="AL50" s="237">
        <f t="shared" si="46"/>
        <v>970529.85</v>
      </c>
      <c r="AM50" s="318">
        <f t="shared" si="29"/>
        <v>2</v>
      </c>
      <c r="AN50" s="21">
        <f t="shared" si="19"/>
        <v>6591.25</v>
      </c>
      <c r="AO50" s="21">
        <f t="shared" si="50"/>
        <v>980538.02</v>
      </c>
      <c r="AP50" s="21">
        <f t="shared" si="20"/>
        <v>9112.5300000000007</v>
      </c>
      <c r="AQ50" s="21"/>
      <c r="AR50" s="23"/>
      <c r="AS50" s="21">
        <f t="shared" si="21"/>
        <v>6591.25</v>
      </c>
      <c r="AT50" s="21">
        <f t="shared" si="31"/>
        <v>230693.75</v>
      </c>
      <c r="AU50" s="237">
        <f t="shared" si="32"/>
        <v>1611.4067545672642</v>
      </c>
      <c r="AV50" s="237">
        <f t="shared" si="33"/>
        <v>55549.10858147293</v>
      </c>
    </row>
    <row r="51" spans="1:50">
      <c r="A51" s="401" t="str">
        <f t="shared" si="34"/>
        <v xml:space="preserve"> </v>
      </c>
      <c r="B51" s="185">
        <f t="shared" si="22"/>
        <v>0</v>
      </c>
      <c r="C51" s="14">
        <f t="shared" si="4"/>
        <v>0</v>
      </c>
      <c r="D51" s="14">
        <f t="shared" si="35"/>
        <v>0</v>
      </c>
      <c r="E51" s="14">
        <f t="shared" si="5"/>
        <v>0</v>
      </c>
      <c r="I51" s="185">
        <f t="shared" si="47"/>
        <v>0</v>
      </c>
      <c r="J51" s="185">
        <f t="shared" si="48"/>
        <v>0</v>
      </c>
      <c r="K51" s="185">
        <f t="shared" si="49"/>
        <v>0</v>
      </c>
      <c r="L51" s="317">
        <f t="shared" si="6"/>
        <v>2</v>
      </c>
      <c r="M51" s="317">
        <f t="shared" si="23"/>
        <v>35</v>
      </c>
      <c r="N51" s="185">
        <f t="shared" si="24"/>
        <v>585063.02000000014</v>
      </c>
      <c r="O51" s="185">
        <f t="shared" si="25"/>
        <v>6591.25</v>
      </c>
      <c r="P51" s="185">
        <f t="shared" si="39"/>
        <v>192.11999999999989</v>
      </c>
      <c r="Q51" s="185">
        <f t="shared" si="26"/>
        <v>6399.13</v>
      </c>
      <c r="R51" s="185">
        <f t="shared" si="7"/>
        <v>134.16999999999999</v>
      </c>
      <c r="S51" s="185">
        <f t="shared" si="8"/>
        <v>188.55</v>
      </c>
      <c r="T51" s="185">
        <f t="shared" si="9"/>
        <v>6913.97</v>
      </c>
      <c r="U51" s="185">
        <f t="shared" si="40"/>
        <v>5754.0999999999976</v>
      </c>
      <c r="V51" s="185">
        <f t="shared" si="41"/>
        <v>231530.89999999997</v>
      </c>
      <c r="W51" s="185">
        <f t="shared" si="42"/>
        <v>584870.90000000014</v>
      </c>
      <c r="X51" s="401" t="str">
        <f t="shared" si="27"/>
        <v xml:space="preserve"> </v>
      </c>
      <c r="Y51" s="185">
        <f t="shared" si="43"/>
        <v>970529.85</v>
      </c>
      <c r="Z51" s="393">
        <f t="shared" si="10"/>
        <v>0.10625</v>
      </c>
      <c r="AA51" s="185">
        <f t="shared" si="11"/>
        <v>9112.5300000000007</v>
      </c>
      <c r="AB51" s="185">
        <f t="shared" si="12"/>
        <v>519.30000000000109</v>
      </c>
      <c r="AC51" s="185">
        <f t="shared" si="13"/>
        <v>8593.23</v>
      </c>
      <c r="AD51" s="185">
        <f t="shared" si="14"/>
        <v>134.16999999999999</v>
      </c>
      <c r="AE51" s="185">
        <f t="shared" si="15"/>
        <v>188.55</v>
      </c>
      <c r="AF51" s="185">
        <f t="shared" si="16"/>
        <v>9435.25</v>
      </c>
      <c r="AG51" s="185">
        <f t="shared" si="44"/>
        <v>16089.450000000026</v>
      </c>
      <c r="AH51" s="185">
        <f t="shared" si="45"/>
        <v>311961.62999999989</v>
      </c>
      <c r="AI51" s="411">
        <f t="shared" si="28"/>
        <v>-90766.079999999973</v>
      </c>
      <c r="AJ51" s="411">
        <f t="shared" si="17"/>
        <v>-385139.64999999979</v>
      </c>
      <c r="AK51" s="411"/>
      <c r="AL51" s="185">
        <f t="shared" si="46"/>
        <v>970010.54999999993</v>
      </c>
      <c r="AM51" s="317">
        <f t="shared" si="29"/>
        <v>2</v>
      </c>
      <c r="AN51" s="14">
        <f t="shared" si="19"/>
        <v>6591.25</v>
      </c>
      <c r="AO51" s="14">
        <f t="shared" si="50"/>
        <v>980345.9</v>
      </c>
      <c r="AP51" s="14">
        <f t="shared" si="20"/>
        <v>9112.5300000000007</v>
      </c>
      <c r="AS51" s="14">
        <f t="shared" si="21"/>
        <v>6591.25</v>
      </c>
      <c r="AT51" s="14">
        <f t="shared" si="31"/>
        <v>237285</v>
      </c>
      <c r="AU51" s="185">
        <f t="shared" si="32"/>
        <v>1615.4352714536819</v>
      </c>
      <c r="AV51" s="185">
        <f t="shared" si="33"/>
        <v>57164.54385292661</v>
      </c>
    </row>
    <row r="52" spans="1:50">
      <c r="A52" s="401" t="str">
        <f t="shared" si="34"/>
        <v xml:space="preserve"> </v>
      </c>
      <c r="B52" s="185">
        <f t="shared" si="22"/>
        <v>0</v>
      </c>
      <c r="C52" s="14">
        <f t="shared" si="4"/>
        <v>0</v>
      </c>
      <c r="D52" s="14">
        <f t="shared" si="35"/>
        <v>0</v>
      </c>
      <c r="E52" s="14">
        <f t="shared" si="5"/>
        <v>0</v>
      </c>
      <c r="I52" s="185">
        <f t="shared" si="47"/>
        <v>0</v>
      </c>
      <c r="J52" s="185">
        <f t="shared" si="48"/>
        <v>0</v>
      </c>
      <c r="K52" s="185">
        <f t="shared" si="49"/>
        <v>0</v>
      </c>
      <c r="L52" s="317">
        <f t="shared" si="6"/>
        <v>3</v>
      </c>
      <c r="M52" s="317">
        <f t="shared" si="23"/>
        <v>36</v>
      </c>
      <c r="N52" s="185">
        <f t="shared" si="24"/>
        <v>584870.90000000014</v>
      </c>
      <c r="O52" s="185">
        <f t="shared" si="25"/>
        <v>6591.25</v>
      </c>
      <c r="P52" s="185">
        <f t="shared" si="39"/>
        <v>194.22000000000025</v>
      </c>
      <c r="Q52" s="185">
        <f t="shared" si="26"/>
        <v>6397.03</v>
      </c>
      <c r="R52" s="185">
        <f t="shared" si="7"/>
        <v>134.16999999999999</v>
      </c>
      <c r="S52" s="185">
        <f t="shared" si="8"/>
        <v>188.55</v>
      </c>
      <c r="T52" s="185">
        <f t="shared" si="9"/>
        <v>6913.97</v>
      </c>
      <c r="U52" s="185">
        <f t="shared" si="40"/>
        <v>5948.3199999999979</v>
      </c>
      <c r="V52" s="185">
        <f t="shared" si="41"/>
        <v>237927.92999999996</v>
      </c>
      <c r="W52" s="185">
        <f t="shared" si="42"/>
        <v>584676.68000000017</v>
      </c>
      <c r="X52" s="401" t="str">
        <f t="shared" si="27"/>
        <v xml:space="preserve"> </v>
      </c>
      <c r="Y52" s="185">
        <f t="shared" si="43"/>
        <v>970010.54999999993</v>
      </c>
      <c r="Z52" s="393">
        <f t="shared" si="10"/>
        <v>0.10625</v>
      </c>
      <c r="AA52" s="185">
        <f t="shared" si="11"/>
        <v>9112.5300000000007</v>
      </c>
      <c r="AB52" s="185">
        <f t="shared" si="12"/>
        <v>523.89000000000124</v>
      </c>
      <c r="AC52" s="185">
        <f t="shared" si="13"/>
        <v>8588.64</v>
      </c>
      <c r="AD52" s="185">
        <f t="shared" si="14"/>
        <v>134.16999999999999</v>
      </c>
      <c r="AE52" s="185">
        <f t="shared" si="15"/>
        <v>188.55</v>
      </c>
      <c r="AF52" s="185">
        <f t="shared" si="16"/>
        <v>9435.25</v>
      </c>
      <c r="AG52" s="185">
        <f t="shared" si="44"/>
        <v>16613.340000000026</v>
      </c>
      <c r="AH52" s="185">
        <f t="shared" si="45"/>
        <v>320550.2699999999</v>
      </c>
      <c r="AI52" s="411">
        <f t="shared" si="28"/>
        <v>-93287.359999999971</v>
      </c>
      <c r="AJ52" s="411">
        <f t="shared" si="17"/>
        <v>-384809.97999999975</v>
      </c>
      <c r="AK52" s="411"/>
      <c r="AL52" s="185">
        <f t="shared" si="46"/>
        <v>969486.65999999992</v>
      </c>
      <c r="AM52" s="317">
        <f t="shared" si="29"/>
        <v>3</v>
      </c>
      <c r="AN52" s="14">
        <f t="shared" si="19"/>
        <v>6591.25</v>
      </c>
      <c r="AO52" s="14">
        <f t="shared" si="50"/>
        <v>980151.68</v>
      </c>
      <c r="AP52" s="14">
        <f t="shared" si="20"/>
        <v>9112.5300000000007</v>
      </c>
      <c r="AS52" s="14">
        <f t="shared" si="21"/>
        <v>6591.25</v>
      </c>
      <c r="AT52" s="14">
        <f t="shared" si="31"/>
        <v>243876.25</v>
      </c>
      <c r="AU52" s="185">
        <f t="shared" si="32"/>
        <v>1619.4738596323166</v>
      </c>
      <c r="AV52" s="185">
        <f t="shared" si="33"/>
        <v>58784.017712558925</v>
      </c>
    </row>
    <row r="53" spans="1:50">
      <c r="A53" s="401" t="str">
        <f t="shared" si="34"/>
        <v xml:space="preserve"> </v>
      </c>
      <c r="B53" s="185">
        <f t="shared" si="22"/>
        <v>0</v>
      </c>
      <c r="C53" s="14">
        <f t="shared" si="4"/>
        <v>0</v>
      </c>
      <c r="D53" s="14">
        <f t="shared" si="35"/>
        <v>0</v>
      </c>
      <c r="E53" s="14">
        <f t="shared" si="5"/>
        <v>0</v>
      </c>
      <c r="I53" s="185">
        <f t="shared" si="47"/>
        <v>0</v>
      </c>
      <c r="J53" s="185">
        <f t="shared" si="48"/>
        <v>0</v>
      </c>
      <c r="K53" s="185">
        <f t="shared" si="49"/>
        <v>0</v>
      </c>
      <c r="L53" s="317">
        <f t="shared" si="6"/>
        <v>3</v>
      </c>
      <c r="M53" s="317">
        <f t="shared" si="23"/>
        <v>37</v>
      </c>
      <c r="N53" s="185">
        <f t="shared" si="24"/>
        <v>584676.68000000017</v>
      </c>
      <c r="O53" s="185">
        <f t="shared" si="25"/>
        <v>6591.25</v>
      </c>
      <c r="P53" s="185">
        <f t="shared" si="39"/>
        <v>196.35000000000036</v>
      </c>
      <c r="Q53" s="185">
        <f t="shared" si="26"/>
        <v>6394.9</v>
      </c>
      <c r="R53" s="185">
        <f t="shared" si="7"/>
        <v>134.16999999999999</v>
      </c>
      <c r="S53" s="185">
        <f t="shared" si="8"/>
        <v>188.55</v>
      </c>
      <c r="T53" s="185">
        <f t="shared" si="9"/>
        <v>6913.97</v>
      </c>
      <c r="U53" s="185">
        <f t="shared" si="40"/>
        <v>6144.6699999999983</v>
      </c>
      <c r="V53" s="185">
        <f t="shared" si="41"/>
        <v>244322.82999999996</v>
      </c>
      <c r="W53" s="185">
        <f t="shared" si="42"/>
        <v>584480.33000000019</v>
      </c>
      <c r="X53" s="401" t="str">
        <f t="shared" si="27"/>
        <v xml:space="preserve"> </v>
      </c>
      <c r="Y53" s="185">
        <f t="shared" si="43"/>
        <v>969486.65999999992</v>
      </c>
      <c r="Z53" s="393">
        <f t="shared" si="10"/>
        <v>0.10625</v>
      </c>
      <c r="AA53" s="185">
        <f t="shared" si="11"/>
        <v>9112.5300000000007</v>
      </c>
      <c r="AB53" s="185">
        <f t="shared" si="12"/>
        <v>528.53000000000065</v>
      </c>
      <c r="AC53" s="185">
        <f t="shared" si="13"/>
        <v>8584</v>
      </c>
      <c r="AD53" s="185">
        <f t="shared" si="14"/>
        <v>134.16999999999999</v>
      </c>
      <c r="AE53" s="185">
        <f t="shared" si="15"/>
        <v>188.55</v>
      </c>
      <c r="AF53" s="185">
        <f t="shared" si="16"/>
        <v>9435.25</v>
      </c>
      <c r="AG53" s="185">
        <f t="shared" si="44"/>
        <v>17141.870000000024</v>
      </c>
      <c r="AH53" s="185">
        <f t="shared" si="45"/>
        <v>329134.2699999999</v>
      </c>
      <c r="AI53" s="411">
        <f t="shared" si="28"/>
        <v>-95808.63999999997</v>
      </c>
      <c r="AJ53" s="411">
        <f t="shared" si="17"/>
        <v>-384477.7999999997</v>
      </c>
      <c r="AK53" s="411"/>
      <c r="AL53" s="185">
        <f t="shared" si="46"/>
        <v>968958.12999999989</v>
      </c>
      <c r="AM53" s="317">
        <f t="shared" si="29"/>
        <v>3</v>
      </c>
      <c r="AN53" s="14">
        <f t="shared" si="19"/>
        <v>6591.25</v>
      </c>
      <c r="AO53" s="14">
        <f t="shared" si="50"/>
        <v>979955.33</v>
      </c>
      <c r="AP53" s="14">
        <f t="shared" si="20"/>
        <v>9112.5300000000007</v>
      </c>
      <c r="AS53" s="14">
        <f t="shared" si="21"/>
        <v>6591.25</v>
      </c>
      <c r="AT53" s="14">
        <f t="shared" si="31"/>
        <v>250467.5</v>
      </c>
      <c r="AU53" s="185">
        <f t="shared" si="32"/>
        <v>1623.5225442813974</v>
      </c>
      <c r="AV53" s="185">
        <f t="shared" si="33"/>
        <v>60407.540256840322</v>
      </c>
    </row>
    <row r="54" spans="1:50">
      <c r="A54" s="401" t="str">
        <f t="shared" si="34"/>
        <v xml:space="preserve"> </v>
      </c>
      <c r="B54" s="185">
        <f t="shared" si="22"/>
        <v>0</v>
      </c>
      <c r="C54" s="14">
        <f t="shared" si="4"/>
        <v>0</v>
      </c>
      <c r="D54" s="14">
        <f t="shared" si="35"/>
        <v>0</v>
      </c>
      <c r="E54" s="14">
        <f t="shared" si="5"/>
        <v>0</v>
      </c>
      <c r="I54" s="185">
        <f t="shared" si="47"/>
        <v>0</v>
      </c>
      <c r="J54" s="185">
        <f t="shared" si="48"/>
        <v>0</v>
      </c>
      <c r="K54" s="185">
        <f t="shared" si="49"/>
        <v>0</v>
      </c>
      <c r="L54" s="317">
        <f t="shared" si="6"/>
        <v>3</v>
      </c>
      <c r="M54" s="317">
        <f t="shared" si="23"/>
        <v>38</v>
      </c>
      <c r="N54" s="185">
        <f t="shared" si="24"/>
        <v>584480.33000000019</v>
      </c>
      <c r="O54" s="185">
        <f t="shared" si="25"/>
        <v>6591.25</v>
      </c>
      <c r="P54" s="185">
        <f t="shared" si="39"/>
        <v>198.5</v>
      </c>
      <c r="Q54" s="185">
        <f t="shared" si="26"/>
        <v>6392.75</v>
      </c>
      <c r="R54" s="185">
        <f t="shared" si="7"/>
        <v>134.16999999999999</v>
      </c>
      <c r="S54" s="185">
        <f t="shared" si="8"/>
        <v>188.55</v>
      </c>
      <c r="T54" s="185">
        <f t="shared" si="9"/>
        <v>6913.97</v>
      </c>
      <c r="U54" s="185">
        <f t="shared" si="40"/>
        <v>6343.1699999999983</v>
      </c>
      <c r="V54" s="185">
        <f t="shared" si="41"/>
        <v>250715.57999999996</v>
      </c>
      <c r="W54" s="185">
        <f t="shared" si="42"/>
        <v>584281.83000000019</v>
      </c>
      <c r="X54" s="401" t="str">
        <f t="shared" si="27"/>
        <v xml:space="preserve"> </v>
      </c>
      <c r="Y54" s="185">
        <f t="shared" si="43"/>
        <v>968958.12999999989</v>
      </c>
      <c r="Z54" s="393">
        <f t="shared" si="10"/>
        <v>0.10625</v>
      </c>
      <c r="AA54" s="185">
        <f t="shared" si="11"/>
        <v>9112.5300000000007</v>
      </c>
      <c r="AB54" s="185">
        <f t="shared" si="12"/>
        <v>533.21000000000095</v>
      </c>
      <c r="AC54" s="185">
        <f t="shared" si="13"/>
        <v>8579.32</v>
      </c>
      <c r="AD54" s="185">
        <f t="shared" si="14"/>
        <v>134.16999999999999</v>
      </c>
      <c r="AE54" s="185">
        <f t="shared" si="15"/>
        <v>188.55</v>
      </c>
      <c r="AF54" s="185">
        <f t="shared" si="16"/>
        <v>9435.25</v>
      </c>
      <c r="AG54" s="185">
        <f t="shared" si="44"/>
        <v>17675.080000000024</v>
      </c>
      <c r="AH54" s="185">
        <f t="shared" si="45"/>
        <v>337713.58999999991</v>
      </c>
      <c r="AI54" s="411">
        <f t="shared" si="28"/>
        <v>-98329.919999999969</v>
      </c>
      <c r="AJ54" s="411">
        <f t="shared" si="17"/>
        <v>-384143.08999999973</v>
      </c>
      <c r="AK54" s="411"/>
      <c r="AL54" s="185">
        <f t="shared" si="46"/>
        <v>968424.91999999993</v>
      </c>
      <c r="AM54" s="317">
        <f t="shared" si="29"/>
        <v>3</v>
      </c>
      <c r="AN54" s="14">
        <f t="shared" si="19"/>
        <v>6591.25</v>
      </c>
      <c r="AO54" s="14">
        <f t="shared" si="50"/>
        <v>979756.83</v>
      </c>
      <c r="AP54" s="14">
        <f t="shared" si="20"/>
        <v>9112.5300000000007</v>
      </c>
      <c r="AS54" s="14">
        <f t="shared" si="21"/>
        <v>6591.25</v>
      </c>
      <c r="AT54" s="14">
        <f t="shared" si="31"/>
        <v>257058.75</v>
      </c>
      <c r="AU54" s="185">
        <f t="shared" si="32"/>
        <v>1627.5813506421007</v>
      </c>
      <c r="AV54" s="185">
        <f t="shared" si="33"/>
        <v>62035.121607482426</v>
      </c>
    </row>
    <row r="55" spans="1:50">
      <c r="A55" s="401" t="str">
        <f t="shared" si="34"/>
        <v xml:space="preserve"> </v>
      </c>
      <c r="B55" s="185">
        <f t="shared" si="22"/>
        <v>0</v>
      </c>
      <c r="C55" s="14">
        <f t="shared" si="4"/>
        <v>0</v>
      </c>
      <c r="D55" s="14">
        <f t="shared" si="35"/>
        <v>0</v>
      </c>
      <c r="E55" s="14">
        <f t="shared" si="5"/>
        <v>0</v>
      </c>
      <c r="I55" s="185">
        <f t="shared" si="47"/>
        <v>0</v>
      </c>
      <c r="J55" s="185">
        <f t="shared" si="48"/>
        <v>0</v>
      </c>
      <c r="K55" s="185">
        <f t="shared" si="49"/>
        <v>0</v>
      </c>
      <c r="L55" s="317">
        <f t="shared" si="6"/>
        <v>3</v>
      </c>
      <c r="M55" s="317">
        <f t="shared" si="23"/>
        <v>39</v>
      </c>
      <c r="N55" s="185">
        <f t="shared" si="24"/>
        <v>584281.83000000019</v>
      </c>
      <c r="O55" s="185">
        <f t="shared" si="25"/>
        <v>6591.25</v>
      </c>
      <c r="P55" s="185">
        <f t="shared" si="39"/>
        <v>200.67000000000007</v>
      </c>
      <c r="Q55" s="185">
        <f t="shared" si="26"/>
        <v>6390.58</v>
      </c>
      <c r="R55" s="185">
        <f t="shared" si="7"/>
        <v>134.16999999999999</v>
      </c>
      <c r="S55" s="185">
        <f t="shared" si="8"/>
        <v>188.55</v>
      </c>
      <c r="T55" s="185">
        <f t="shared" si="9"/>
        <v>6913.97</v>
      </c>
      <c r="U55" s="185">
        <f t="shared" si="40"/>
        <v>6543.8399999999983</v>
      </c>
      <c r="V55" s="185">
        <f t="shared" si="41"/>
        <v>257106.15999999995</v>
      </c>
      <c r="W55" s="185">
        <f t="shared" si="42"/>
        <v>584081.16000000015</v>
      </c>
      <c r="X55" s="401" t="str">
        <f t="shared" si="27"/>
        <v xml:space="preserve"> </v>
      </c>
      <c r="Y55" s="185">
        <f t="shared" si="43"/>
        <v>968424.91999999993</v>
      </c>
      <c r="Z55" s="393">
        <f t="shared" si="10"/>
        <v>0.10625</v>
      </c>
      <c r="AA55" s="185">
        <f t="shared" si="11"/>
        <v>9112.5300000000007</v>
      </c>
      <c r="AB55" s="185">
        <f t="shared" si="12"/>
        <v>537.93000000000029</v>
      </c>
      <c r="AC55" s="185">
        <f t="shared" si="13"/>
        <v>8574.6</v>
      </c>
      <c r="AD55" s="185">
        <f t="shared" si="14"/>
        <v>134.16999999999999</v>
      </c>
      <c r="AE55" s="185">
        <f t="shared" si="15"/>
        <v>188.55</v>
      </c>
      <c r="AF55" s="185">
        <f t="shared" si="16"/>
        <v>9435.25</v>
      </c>
      <c r="AG55" s="185">
        <f t="shared" si="44"/>
        <v>18213.010000000024</v>
      </c>
      <c r="AH55" s="185">
        <f t="shared" si="45"/>
        <v>346288.18999999989</v>
      </c>
      <c r="AI55" s="411">
        <f t="shared" si="28"/>
        <v>-100851.19999999997</v>
      </c>
      <c r="AJ55" s="411">
        <f t="shared" si="17"/>
        <v>-383805.82999999973</v>
      </c>
      <c r="AK55" s="411"/>
      <c r="AL55" s="185">
        <f t="shared" si="46"/>
        <v>967886.98999999987</v>
      </c>
      <c r="AM55" s="317">
        <f t="shared" si="29"/>
        <v>3</v>
      </c>
      <c r="AN55" s="14">
        <f t="shared" si="19"/>
        <v>6591.25</v>
      </c>
      <c r="AO55" s="14">
        <f t="shared" si="50"/>
        <v>979556.16</v>
      </c>
      <c r="AP55" s="14">
        <f t="shared" si="20"/>
        <v>9112.5300000000007</v>
      </c>
      <c r="AS55" s="14">
        <f t="shared" si="21"/>
        <v>6591.25</v>
      </c>
      <c r="AT55" s="14">
        <f t="shared" si="31"/>
        <v>263650</v>
      </c>
      <c r="AU55" s="185">
        <f t="shared" si="32"/>
        <v>1631.650304018706</v>
      </c>
      <c r="AV55" s="185">
        <f t="shared" si="33"/>
        <v>63666.771911501135</v>
      </c>
    </row>
    <row r="56" spans="1:50">
      <c r="A56" s="401" t="str">
        <f t="shared" si="34"/>
        <v xml:space="preserve"> </v>
      </c>
      <c r="B56" s="185">
        <f t="shared" si="22"/>
        <v>0</v>
      </c>
      <c r="C56" s="14">
        <f t="shared" si="4"/>
        <v>0</v>
      </c>
      <c r="D56" s="14">
        <f t="shared" si="35"/>
        <v>0</v>
      </c>
      <c r="E56" s="14">
        <f t="shared" si="5"/>
        <v>0</v>
      </c>
      <c r="I56" s="185">
        <f t="shared" si="47"/>
        <v>0</v>
      </c>
      <c r="J56" s="185">
        <f t="shared" si="48"/>
        <v>0</v>
      </c>
      <c r="K56" s="185">
        <f t="shared" si="49"/>
        <v>0</v>
      </c>
      <c r="L56" s="317">
        <f t="shared" si="6"/>
        <v>3</v>
      </c>
      <c r="M56" s="317">
        <f t="shared" si="23"/>
        <v>40</v>
      </c>
      <c r="N56" s="185">
        <f t="shared" si="24"/>
        <v>584081.16000000015</v>
      </c>
      <c r="O56" s="185">
        <f t="shared" si="25"/>
        <v>6591.25</v>
      </c>
      <c r="P56" s="185">
        <f t="shared" si="39"/>
        <v>202.85999999999967</v>
      </c>
      <c r="Q56" s="185">
        <f t="shared" si="26"/>
        <v>6388.39</v>
      </c>
      <c r="R56" s="185">
        <f t="shared" si="7"/>
        <v>134.16999999999999</v>
      </c>
      <c r="S56" s="185">
        <f t="shared" si="8"/>
        <v>188.55</v>
      </c>
      <c r="T56" s="185">
        <f t="shared" si="9"/>
        <v>6913.97</v>
      </c>
      <c r="U56" s="185">
        <f t="shared" si="40"/>
        <v>6746.699999999998</v>
      </c>
      <c r="V56" s="185">
        <f t="shared" si="41"/>
        <v>263494.54999999993</v>
      </c>
      <c r="W56" s="185">
        <f t="shared" si="42"/>
        <v>583878.30000000016</v>
      </c>
      <c r="X56" s="401" t="str">
        <f t="shared" si="27"/>
        <v xml:space="preserve"> </v>
      </c>
      <c r="Y56" s="185">
        <f t="shared" si="43"/>
        <v>967886.98999999987</v>
      </c>
      <c r="Z56" s="393">
        <f t="shared" si="10"/>
        <v>0.10625</v>
      </c>
      <c r="AA56" s="185">
        <f t="shared" si="11"/>
        <v>9112.5300000000007</v>
      </c>
      <c r="AB56" s="185">
        <f t="shared" si="12"/>
        <v>542.70000000000073</v>
      </c>
      <c r="AC56" s="185">
        <f t="shared" si="13"/>
        <v>8569.83</v>
      </c>
      <c r="AD56" s="185">
        <f t="shared" si="14"/>
        <v>134.16999999999999</v>
      </c>
      <c r="AE56" s="185">
        <f t="shared" si="15"/>
        <v>188.55</v>
      </c>
      <c r="AF56" s="185">
        <f t="shared" si="16"/>
        <v>9435.25</v>
      </c>
      <c r="AG56" s="185">
        <f t="shared" si="44"/>
        <v>18755.710000000025</v>
      </c>
      <c r="AH56" s="185">
        <f t="shared" si="45"/>
        <v>354858.0199999999</v>
      </c>
      <c r="AI56" s="411">
        <f t="shared" si="28"/>
        <v>-103372.47999999997</v>
      </c>
      <c r="AJ56" s="411">
        <f t="shared" si="17"/>
        <v>-383465.98999999976</v>
      </c>
      <c r="AK56" s="411"/>
      <c r="AL56" s="185">
        <f t="shared" si="46"/>
        <v>967344.28999999992</v>
      </c>
      <c r="AM56" s="317">
        <f t="shared" si="29"/>
        <v>3</v>
      </c>
      <c r="AN56" s="14">
        <f t="shared" si="19"/>
        <v>6591.25</v>
      </c>
      <c r="AO56" s="14">
        <f t="shared" si="50"/>
        <v>979353.3</v>
      </c>
      <c r="AP56" s="14">
        <f t="shared" si="20"/>
        <v>9112.5300000000007</v>
      </c>
      <c r="AS56" s="14">
        <f t="shared" si="21"/>
        <v>6591.25</v>
      </c>
      <c r="AT56" s="14">
        <f t="shared" si="31"/>
        <v>270241.25</v>
      </c>
      <c r="AU56" s="185">
        <f t="shared" si="32"/>
        <v>1635.729429778753</v>
      </c>
      <c r="AV56" s="185">
        <f t="shared" si="33"/>
        <v>65302.501341279887</v>
      </c>
    </row>
    <row r="57" spans="1:50">
      <c r="A57" s="401" t="str">
        <f t="shared" si="34"/>
        <v xml:space="preserve"> </v>
      </c>
      <c r="B57" s="185">
        <f t="shared" si="22"/>
        <v>0</v>
      </c>
      <c r="C57" s="14">
        <f t="shared" si="4"/>
        <v>0</v>
      </c>
      <c r="D57" s="14">
        <f t="shared" si="35"/>
        <v>0</v>
      </c>
      <c r="E57" s="14">
        <f t="shared" si="5"/>
        <v>0</v>
      </c>
      <c r="F57" s="14">
        <f>IF(C57=0,0,$T$8)</f>
        <v>0</v>
      </c>
      <c r="G57" s="14">
        <f>IF(D57=0,0,$T$9)</f>
        <v>0</v>
      </c>
      <c r="H57" s="14">
        <f>SUM(D57:G57)</f>
        <v>0</v>
      </c>
      <c r="I57" s="185">
        <f t="shared" si="47"/>
        <v>0</v>
      </c>
      <c r="J57" s="185">
        <f t="shared" si="48"/>
        <v>0</v>
      </c>
      <c r="K57" s="185">
        <f t="shared" si="49"/>
        <v>0</v>
      </c>
      <c r="L57" s="317">
        <f t="shared" si="6"/>
        <v>3</v>
      </c>
      <c r="M57" s="317">
        <f t="shared" si="23"/>
        <v>41</v>
      </c>
      <c r="N57" s="185">
        <f t="shared" si="24"/>
        <v>583878.30000000016</v>
      </c>
      <c r="O57" s="185">
        <f t="shared" si="25"/>
        <v>6591.25</v>
      </c>
      <c r="P57" s="185">
        <f t="shared" si="39"/>
        <v>205.07999999999993</v>
      </c>
      <c r="Q57" s="185">
        <f t="shared" si="26"/>
        <v>6386.17</v>
      </c>
      <c r="R57" s="185">
        <f t="shared" si="7"/>
        <v>134.16999999999999</v>
      </c>
      <c r="S57" s="185">
        <f t="shared" si="8"/>
        <v>188.55</v>
      </c>
      <c r="T57" s="185">
        <f t="shared" si="9"/>
        <v>6913.97</v>
      </c>
      <c r="U57" s="185">
        <f t="shared" si="40"/>
        <v>6951.7799999999979</v>
      </c>
      <c r="V57" s="185">
        <f t="shared" si="41"/>
        <v>269880.71999999991</v>
      </c>
      <c r="W57" s="185">
        <f t="shared" si="42"/>
        <v>583673.2200000002</v>
      </c>
      <c r="X57" s="401" t="str">
        <f t="shared" si="27"/>
        <v xml:space="preserve"> </v>
      </c>
      <c r="Y57" s="185">
        <f t="shared" si="43"/>
        <v>967344.28999999992</v>
      </c>
      <c r="Z57" s="393">
        <f t="shared" si="10"/>
        <v>0.10625</v>
      </c>
      <c r="AA57" s="185">
        <f t="shared" si="11"/>
        <v>9112.5300000000007</v>
      </c>
      <c r="AB57" s="185">
        <f t="shared" si="12"/>
        <v>547.5</v>
      </c>
      <c r="AC57" s="185">
        <f t="shared" si="13"/>
        <v>8565.0300000000007</v>
      </c>
      <c r="AD57" s="185">
        <f t="shared" si="14"/>
        <v>134.16999999999999</v>
      </c>
      <c r="AE57" s="185">
        <f t="shared" si="15"/>
        <v>188.55</v>
      </c>
      <c r="AF57" s="185">
        <f t="shared" si="16"/>
        <v>9435.25</v>
      </c>
      <c r="AG57" s="185">
        <f t="shared" si="44"/>
        <v>19303.210000000025</v>
      </c>
      <c r="AH57" s="185">
        <f t="shared" si="45"/>
        <v>363423.04999999993</v>
      </c>
      <c r="AI57" s="411">
        <f t="shared" si="28"/>
        <v>-105893.75999999997</v>
      </c>
      <c r="AJ57" s="411">
        <f t="shared" si="17"/>
        <v>-383123.56999999972</v>
      </c>
      <c r="AK57" s="411"/>
      <c r="AL57" s="185">
        <f t="shared" si="46"/>
        <v>966796.78999999992</v>
      </c>
      <c r="AM57" s="317">
        <f t="shared" si="29"/>
        <v>3</v>
      </c>
      <c r="AN57" s="14">
        <f t="shared" si="19"/>
        <v>6591.25</v>
      </c>
      <c r="AO57" s="14">
        <f t="shared" si="50"/>
        <v>979148.22</v>
      </c>
      <c r="AP57" s="14">
        <f t="shared" si="20"/>
        <v>9112.5300000000007</v>
      </c>
      <c r="AS57" s="14">
        <f t="shared" si="21"/>
        <v>6591.25</v>
      </c>
      <c r="AT57" s="14">
        <f t="shared" si="31"/>
        <v>276832.5</v>
      </c>
      <c r="AU57" s="185">
        <f t="shared" si="32"/>
        <v>1639.8187533531993</v>
      </c>
      <c r="AV57" s="185">
        <f t="shared" si="33"/>
        <v>66942.320094633091</v>
      </c>
    </row>
    <row r="58" spans="1:50">
      <c r="A58" s="401" t="str">
        <f t="shared" si="34"/>
        <v xml:space="preserve"> </v>
      </c>
      <c r="B58" s="185">
        <f t="shared" si="22"/>
        <v>0</v>
      </c>
      <c r="C58" s="14">
        <f t="shared" si="4"/>
        <v>0</v>
      </c>
      <c r="D58" s="14">
        <f t="shared" si="35"/>
        <v>0</v>
      </c>
      <c r="E58" s="14">
        <f t="shared" si="5"/>
        <v>0</v>
      </c>
      <c r="F58" s="14">
        <f t="shared" ref="F58:F122" si="51">+F57</f>
        <v>0</v>
      </c>
      <c r="G58" s="14">
        <f t="shared" ref="G58:G121" si="52">+G57</f>
        <v>0</v>
      </c>
      <c r="H58" s="14">
        <f t="shared" ref="H58" si="53">+H57</f>
        <v>0</v>
      </c>
      <c r="I58" s="185">
        <f t="shared" si="47"/>
        <v>0</v>
      </c>
      <c r="J58" s="185">
        <f t="shared" si="48"/>
        <v>0</v>
      </c>
      <c r="K58" s="185">
        <f t="shared" si="49"/>
        <v>0</v>
      </c>
      <c r="L58" s="317">
        <f t="shared" si="6"/>
        <v>3</v>
      </c>
      <c r="M58" s="317">
        <f t="shared" si="23"/>
        <v>42</v>
      </c>
      <c r="N58" s="185">
        <f t="shared" si="24"/>
        <v>583673.2200000002</v>
      </c>
      <c r="O58" s="185">
        <f>IF($O$9&lt;=$A58,IF(+$W57&lt;=0,0,$O$8),0)</f>
        <v>6591.25</v>
      </c>
      <c r="P58" s="185">
        <f t="shared" si="39"/>
        <v>207.31999999999971</v>
      </c>
      <c r="Q58" s="185">
        <f t="shared" si="26"/>
        <v>6383.93</v>
      </c>
      <c r="R58" s="185">
        <f t="shared" si="7"/>
        <v>134.16999999999999</v>
      </c>
      <c r="S58" s="185">
        <f t="shared" si="8"/>
        <v>188.55</v>
      </c>
      <c r="T58" s="185">
        <f>SUM(P58:S58)</f>
        <v>6913.97</v>
      </c>
      <c r="U58" s="185">
        <f t="shared" si="40"/>
        <v>7159.0999999999976</v>
      </c>
      <c r="V58" s="185">
        <f t="shared" si="41"/>
        <v>276264.64999999991</v>
      </c>
      <c r="W58" s="185">
        <f t="shared" si="42"/>
        <v>583465.90000000026</v>
      </c>
      <c r="X58" s="401" t="str">
        <f t="shared" si="27"/>
        <v xml:space="preserve"> </v>
      </c>
      <c r="Y58" s="185">
        <f t="shared" si="43"/>
        <v>966796.78999999992</v>
      </c>
      <c r="Z58" s="393">
        <f t="shared" si="10"/>
        <v>0.10625</v>
      </c>
      <c r="AA58" s="185">
        <f t="shared" si="11"/>
        <v>9112.5300000000007</v>
      </c>
      <c r="AB58" s="185">
        <f t="shared" si="12"/>
        <v>552.35000000000036</v>
      </c>
      <c r="AC58" s="185">
        <f t="shared" si="13"/>
        <v>8560.18</v>
      </c>
      <c r="AD58" s="185">
        <f t="shared" si="14"/>
        <v>134.16999999999999</v>
      </c>
      <c r="AE58" s="185">
        <f t="shared" si="15"/>
        <v>188.55</v>
      </c>
      <c r="AF58" s="185">
        <f t="shared" si="16"/>
        <v>9435.25</v>
      </c>
      <c r="AG58" s="185">
        <f t="shared" si="44"/>
        <v>19855.560000000027</v>
      </c>
      <c r="AH58" s="185">
        <f t="shared" si="45"/>
        <v>371983.22999999992</v>
      </c>
      <c r="AI58" s="411">
        <f t="shared" si="28"/>
        <v>-108415.03999999996</v>
      </c>
      <c r="AJ58" s="411">
        <f t="shared" si="17"/>
        <v>-382778.53999999969</v>
      </c>
      <c r="AK58" s="411"/>
      <c r="AL58" s="185">
        <f t="shared" si="46"/>
        <v>966244.44</v>
      </c>
      <c r="AM58" s="317">
        <f t="shared" si="29"/>
        <v>3</v>
      </c>
      <c r="AN58" s="14">
        <f t="shared" si="19"/>
        <v>6591.25</v>
      </c>
      <c r="AO58" s="14">
        <f t="shared" si="50"/>
        <v>978940.9</v>
      </c>
      <c r="AP58" s="14">
        <f t="shared" si="20"/>
        <v>9112.5300000000007</v>
      </c>
      <c r="AS58" s="14">
        <f t="shared" si="21"/>
        <v>6591.25</v>
      </c>
      <c r="AT58" s="14">
        <f t="shared" si="31"/>
        <v>283423.75</v>
      </c>
      <c r="AU58" s="185">
        <f t="shared" si="32"/>
        <v>1643.9183002365828</v>
      </c>
      <c r="AV58" s="185">
        <f t="shared" si="33"/>
        <v>68586.238394869681</v>
      </c>
    </row>
    <row r="59" spans="1:50">
      <c r="A59" s="401" t="str">
        <f t="shared" si="34"/>
        <v xml:space="preserve"> </v>
      </c>
      <c r="B59" s="185">
        <f t="shared" si="22"/>
        <v>0</v>
      </c>
      <c r="C59" s="14">
        <f t="shared" si="4"/>
        <v>0</v>
      </c>
      <c r="D59" s="14">
        <f t="shared" si="35"/>
        <v>0</v>
      </c>
      <c r="E59" s="14">
        <f t="shared" si="5"/>
        <v>0</v>
      </c>
      <c r="F59" s="14">
        <f t="shared" si="51"/>
        <v>0</v>
      </c>
      <c r="G59" s="14">
        <f t="shared" si="52"/>
        <v>0</v>
      </c>
      <c r="H59" s="14">
        <f t="shared" ref="H59:H121" si="54">SUM(D59:G59)</f>
        <v>0</v>
      </c>
      <c r="I59" s="185">
        <f t="shared" si="47"/>
        <v>0</v>
      </c>
      <c r="J59" s="185">
        <f t="shared" si="48"/>
        <v>0</v>
      </c>
      <c r="K59" s="185">
        <f t="shared" si="49"/>
        <v>0</v>
      </c>
      <c r="L59" s="317">
        <f t="shared" si="6"/>
        <v>3</v>
      </c>
      <c r="M59" s="317">
        <f t="shared" si="23"/>
        <v>43</v>
      </c>
      <c r="N59" s="185">
        <f t="shared" si="24"/>
        <v>583465.90000000026</v>
      </c>
      <c r="O59" s="185">
        <f>IF($O$9&lt;=A59,IF(+$W58&lt;=0,0,$O$8),0)</f>
        <v>6591.25</v>
      </c>
      <c r="P59" s="185">
        <f t="shared" si="39"/>
        <v>209.59000000000015</v>
      </c>
      <c r="Q59" s="185">
        <f t="shared" si="26"/>
        <v>6381.66</v>
      </c>
      <c r="R59" s="185">
        <f t="shared" si="7"/>
        <v>134.16999999999999</v>
      </c>
      <c r="S59" s="185">
        <f t="shared" si="8"/>
        <v>188.55</v>
      </c>
      <c r="T59" s="185">
        <f t="shared" ref="T59" si="55">SUM(P59:S59)</f>
        <v>6913.97</v>
      </c>
      <c r="U59" s="185">
        <f t="shared" si="40"/>
        <v>7368.6899999999978</v>
      </c>
      <c r="V59" s="185">
        <f t="shared" si="41"/>
        <v>282646.30999999988</v>
      </c>
      <c r="W59" s="185">
        <f t="shared" si="42"/>
        <v>583256.31000000029</v>
      </c>
      <c r="X59" s="401" t="str">
        <f t="shared" si="27"/>
        <v xml:space="preserve"> </v>
      </c>
      <c r="Y59" s="185">
        <f>IF(+AL58&lt;0,0,+AL58)</f>
        <v>966244.44</v>
      </c>
      <c r="Z59" s="393">
        <f t="shared" si="10"/>
        <v>0.10625</v>
      </c>
      <c r="AA59" s="185">
        <f t="shared" si="11"/>
        <v>9112.5300000000007</v>
      </c>
      <c r="AB59" s="185">
        <f t="shared" ref="AB59:AB60" si="56">+AA59-AC59</f>
        <v>557.23999999999978</v>
      </c>
      <c r="AC59" s="185">
        <f t="shared" si="13"/>
        <v>8555.2900000000009</v>
      </c>
      <c r="AD59" s="185">
        <f t="shared" si="14"/>
        <v>134.16999999999999</v>
      </c>
      <c r="AE59" s="185">
        <f t="shared" si="15"/>
        <v>188.55</v>
      </c>
      <c r="AF59" s="185">
        <f t="shared" si="16"/>
        <v>9435.25</v>
      </c>
      <c r="AG59" s="185">
        <f t="shared" ref="AG59" si="57">+AB59+AG58</f>
        <v>20412.800000000025</v>
      </c>
      <c r="AH59" s="185">
        <f t="shared" ref="AH59" si="58">+AH58+AC59</f>
        <v>380538.5199999999</v>
      </c>
      <c r="AI59" s="411">
        <f>O59-AA59+AI58</f>
        <v>-110936.31999999996</v>
      </c>
      <c r="AJ59" s="411">
        <f t="shared" si="17"/>
        <v>-382430.88999999966</v>
      </c>
      <c r="AK59" s="411">
        <f>SUM(AI59:AJ59)</f>
        <v>-493367.20999999961</v>
      </c>
      <c r="AL59" s="185">
        <f>+Y59-AB59</f>
        <v>965687.2</v>
      </c>
      <c r="AM59" s="317">
        <f t="shared" si="29"/>
        <v>3</v>
      </c>
      <c r="AN59" s="14">
        <f>IF($O59=0,0,+$O59-$C59)</f>
        <v>6591.25</v>
      </c>
      <c r="AO59" s="14">
        <f t="shared" si="50"/>
        <v>978731.31</v>
      </c>
      <c r="AP59" s="14">
        <f>IF($O59=0,0,+AA59-$C59)</f>
        <v>9112.5300000000007</v>
      </c>
      <c r="AR59">
        <v>120.14</v>
      </c>
      <c r="AS59" s="14">
        <f t="shared" si="21"/>
        <v>6471.11</v>
      </c>
      <c r="AT59" s="14">
        <f t="shared" si="31"/>
        <v>289894.86</v>
      </c>
      <c r="AU59" s="185">
        <f t="shared" si="32"/>
        <v>1648.0280959871743</v>
      </c>
      <c r="AV59" s="185">
        <f t="shared" si="33"/>
        <v>70234.266490856855</v>
      </c>
      <c r="AX59" s="373"/>
    </row>
    <row r="60" spans="1:50">
      <c r="A60" s="401" t="str">
        <f t="shared" si="34"/>
        <v xml:space="preserve"> </v>
      </c>
      <c r="B60" s="185">
        <f t="shared" si="22"/>
        <v>0</v>
      </c>
      <c r="C60" s="14">
        <f t="shared" si="4"/>
        <v>0</v>
      </c>
      <c r="D60" s="14">
        <f t="shared" si="35"/>
        <v>0</v>
      </c>
      <c r="E60" s="14">
        <f t="shared" si="5"/>
        <v>0</v>
      </c>
      <c r="F60" s="14">
        <f t="shared" si="51"/>
        <v>0</v>
      </c>
      <c r="G60" s="14">
        <f t="shared" si="52"/>
        <v>0</v>
      </c>
      <c r="H60" s="14">
        <f t="shared" si="54"/>
        <v>0</v>
      </c>
      <c r="I60" s="185">
        <f t="shared" si="47"/>
        <v>0</v>
      </c>
      <c r="J60" s="185">
        <f t="shared" si="48"/>
        <v>0</v>
      </c>
      <c r="K60" s="185">
        <f t="shared" si="49"/>
        <v>0</v>
      </c>
      <c r="L60" s="317">
        <f t="shared" si="6"/>
        <v>3</v>
      </c>
      <c r="M60" s="317">
        <f t="shared" si="23"/>
        <v>44</v>
      </c>
      <c r="N60" s="185">
        <f t="shared" si="24"/>
        <v>583256.31000000029</v>
      </c>
      <c r="O60" s="185">
        <f>IF($O$9&lt;=A60,IF(+$W59&lt;=0,0,$O$8),0)</f>
        <v>6591.25</v>
      </c>
      <c r="P60" s="185">
        <f t="shared" si="39"/>
        <v>211.88000000000011</v>
      </c>
      <c r="Q60" s="185">
        <f t="shared" si="26"/>
        <v>6379.37</v>
      </c>
      <c r="R60" s="185">
        <f t="shared" si="7"/>
        <v>134.16999999999999</v>
      </c>
      <c r="S60" s="185">
        <f t="shared" si="8"/>
        <v>188.55</v>
      </c>
      <c r="T60" s="185">
        <f t="shared" ref="T60:T122" si="59">SUM(P60:S60)</f>
        <v>6913.97</v>
      </c>
      <c r="U60" s="185">
        <f t="shared" si="40"/>
        <v>7580.5699999999979</v>
      </c>
      <c r="V60" s="185">
        <f t="shared" si="41"/>
        <v>289025.67999999988</v>
      </c>
      <c r="W60" s="185">
        <f t="shared" si="42"/>
        <v>583044.43000000028</v>
      </c>
      <c r="X60" s="401" t="str">
        <f t="shared" si="27"/>
        <v xml:space="preserve"> </v>
      </c>
      <c r="Y60" s="185">
        <f>IF(+AL59&lt;0,0,+AL59)</f>
        <v>965687.2</v>
      </c>
      <c r="Z60" s="393">
        <f t="shared" si="10"/>
        <v>0.10625</v>
      </c>
      <c r="AA60" s="185">
        <f t="shared" si="11"/>
        <v>9112.5300000000007</v>
      </c>
      <c r="AB60" s="185">
        <f t="shared" si="56"/>
        <v>562.17000000000007</v>
      </c>
      <c r="AC60" s="185">
        <f t="shared" si="13"/>
        <v>8550.36</v>
      </c>
      <c r="AD60" s="185">
        <f t="shared" ref="AD60:AE61" si="60">+AD59</f>
        <v>134.16999999999999</v>
      </c>
      <c r="AE60" s="185">
        <f t="shared" si="60"/>
        <v>188.55</v>
      </c>
      <c r="AF60" s="185">
        <f t="shared" ref="AF60:AF61" si="61">SUM(AB60:AE60)</f>
        <v>9435.25</v>
      </c>
      <c r="AG60" s="185">
        <f t="shared" ref="AG60:AG61" si="62">+AB60+AG59</f>
        <v>20974.970000000023</v>
      </c>
      <c r="AH60" s="185">
        <f t="shared" ref="AH60:AH61" si="63">+AH59+AC60</f>
        <v>389088.87999999989</v>
      </c>
      <c r="AI60" s="411">
        <f t="shared" ref="AI60:AI123" si="64">O60-AA60+AI59</f>
        <v>-113457.59999999996</v>
      </c>
      <c r="AJ60" s="411">
        <f t="shared" si="17"/>
        <v>-382080.59999999963</v>
      </c>
      <c r="AK60" s="411">
        <f t="shared" ref="AK60:AK123" si="65">SUM(AI60:AJ60)</f>
        <v>-495538.1999999996</v>
      </c>
      <c r="AL60" s="185">
        <f>+Y60-AB60</f>
        <v>965125.02999999991</v>
      </c>
      <c r="AM60" s="317">
        <f t="shared" si="29"/>
        <v>3</v>
      </c>
      <c r="AN60" s="14">
        <f t="shared" ref="AN60:AN123" si="66">IF(O60=0,0,+O60-C60)</f>
        <v>6591.25</v>
      </c>
      <c r="AO60" s="14">
        <f t="shared" si="50"/>
        <v>978519.43</v>
      </c>
      <c r="AP60" s="14">
        <f t="shared" ref="AP60:AP123" si="67">IF($O60=0,0,+AA60-$C60)</f>
        <v>9112.5300000000007</v>
      </c>
      <c r="AR60">
        <v>120.14</v>
      </c>
      <c r="AS60" s="14">
        <f t="shared" si="21"/>
        <v>6471.11</v>
      </c>
      <c r="AT60" s="14">
        <f t="shared" si="31"/>
        <v>296365.96999999997</v>
      </c>
      <c r="AU60" s="185">
        <f t="shared" si="32"/>
        <v>1652.1481662271419</v>
      </c>
      <c r="AV60" s="185">
        <f t="shared" si="33"/>
        <v>71886.414657083995</v>
      </c>
    </row>
    <row r="61" spans="1:50">
      <c r="A61" s="401" t="str">
        <f t="shared" si="34"/>
        <v xml:space="preserve"> </v>
      </c>
      <c r="B61" s="185">
        <f t="shared" si="22"/>
        <v>0</v>
      </c>
      <c r="C61" s="14">
        <f t="shared" si="4"/>
        <v>0</v>
      </c>
      <c r="D61" s="14">
        <f t="shared" si="35"/>
        <v>0</v>
      </c>
      <c r="E61" s="14">
        <f t="shared" si="5"/>
        <v>0</v>
      </c>
      <c r="F61" s="14">
        <f t="shared" si="51"/>
        <v>0</v>
      </c>
      <c r="G61" s="14">
        <f t="shared" si="52"/>
        <v>0</v>
      </c>
      <c r="H61" s="14">
        <f t="shared" si="54"/>
        <v>0</v>
      </c>
      <c r="I61" s="185">
        <f t="shared" si="47"/>
        <v>0</v>
      </c>
      <c r="J61" s="185">
        <f t="shared" si="48"/>
        <v>0</v>
      </c>
      <c r="K61" s="185">
        <f t="shared" si="49"/>
        <v>0</v>
      </c>
      <c r="L61" s="317">
        <f t="shared" si="6"/>
        <v>3</v>
      </c>
      <c r="M61" s="317">
        <f t="shared" si="23"/>
        <v>45</v>
      </c>
      <c r="N61" s="185">
        <f t="shared" si="24"/>
        <v>583044.43000000028</v>
      </c>
      <c r="O61" s="185">
        <f>IF($O9&lt;=$A61,IF(+W60&lt;=0,0,O$8),0)</f>
        <v>6591.25</v>
      </c>
      <c r="P61" s="185">
        <f t="shared" si="39"/>
        <v>214.19999999999982</v>
      </c>
      <c r="Q61" s="185">
        <f>IF($O$9&lt;=$A61,ROUND(N61*(O$6/12),2),0)</f>
        <v>6377.05</v>
      </c>
      <c r="R61" s="185">
        <f t="shared" si="7"/>
        <v>134.16999999999999</v>
      </c>
      <c r="S61" s="185">
        <f t="shared" si="8"/>
        <v>188.55</v>
      </c>
      <c r="T61" s="185">
        <f t="shared" si="59"/>
        <v>6913.97</v>
      </c>
      <c r="U61" s="185">
        <f t="shared" si="40"/>
        <v>7794.7699999999977</v>
      </c>
      <c r="V61" s="185">
        <f t="shared" si="41"/>
        <v>295402.72999999986</v>
      </c>
      <c r="W61" s="185">
        <f t="shared" si="42"/>
        <v>582830.23000000033</v>
      </c>
      <c r="X61" s="401" t="str">
        <f t="shared" si="27"/>
        <v xml:space="preserve"> </v>
      </c>
      <c r="Y61" s="185">
        <f>IF(+AL60&lt;0,0,+AL60)</f>
        <v>965125.02999999991</v>
      </c>
      <c r="Z61" s="393">
        <f t="shared" si="10"/>
        <v>0.10625</v>
      </c>
      <c r="AA61" s="185">
        <f t="shared" si="11"/>
        <v>9112.5300000000007</v>
      </c>
      <c r="AB61" s="185">
        <f t="shared" ref="AB61" si="68">+AA61-AC61</f>
        <v>567.15000000000146</v>
      </c>
      <c r="AC61" s="185">
        <f t="shared" si="13"/>
        <v>8545.3799999999992</v>
      </c>
      <c r="AD61" s="185">
        <f t="shared" si="60"/>
        <v>134.16999999999999</v>
      </c>
      <c r="AE61" s="185">
        <f t="shared" si="60"/>
        <v>188.55</v>
      </c>
      <c r="AF61" s="185">
        <f t="shared" si="61"/>
        <v>9435.25</v>
      </c>
      <c r="AG61" s="185">
        <f t="shared" si="62"/>
        <v>21542.120000000024</v>
      </c>
      <c r="AH61" s="185">
        <f t="shared" si="63"/>
        <v>397634.25999999989</v>
      </c>
      <c r="AI61" s="411">
        <f t="shared" si="64"/>
        <v>-115978.87999999996</v>
      </c>
      <c r="AJ61" s="411">
        <f t="shared" si="17"/>
        <v>-381727.64999999956</v>
      </c>
      <c r="AK61" s="411">
        <f t="shared" si="65"/>
        <v>-497706.5299999995</v>
      </c>
      <c r="AL61" s="185">
        <f>+Y61-AB61</f>
        <v>964557.87999999989</v>
      </c>
      <c r="AM61" s="317">
        <f t="shared" si="29"/>
        <v>3</v>
      </c>
      <c r="AN61" s="14">
        <f>IF(O61=0,0,+O61-C61)</f>
        <v>6591.25</v>
      </c>
      <c r="AO61" s="14">
        <f t="shared" si="50"/>
        <v>978305.23</v>
      </c>
      <c r="AP61" s="14">
        <f t="shared" si="67"/>
        <v>9112.5300000000007</v>
      </c>
      <c r="AR61">
        <v>120.14</v>
      </c>
      <c r="AS61" s="14">
        <f t="shared" si="21"/>
        <v>6471.11</v>
      </c>
      <c r="AT61" s="14">
        <f t="shared" si="31"/>
        <v>302837.07999999996</v>
      </c>
      <c r="AU61" s="185">
        <f t="shared" si="32"/>
        <v>1656.2785366427099</v>
      </c>
      <c r="AV61" s="185">
        <f t="shared" si="33"/>
        <v>73542.693193726707</v>
      </c>
    </row>
    <row r="62" spans="1:50" ht="15.75" thickBot="1">
      <c r="A62" s="404" t="str">
        <f t="shared" ref="A62:A125" si="69">IF(K62&lt;=0," ",+A61+30)</f>
        <v xml:space="preserve"> </v>
      </c>
      <c r="B62" s="237">
        <f t="shared" si="22"/>
        <v>0</v>
      </c>
      <c r="C62" s="21">
        <f t="shared" si="4"/>
        <v>0</v>
      </c>
      <c r="D62" s="21">
        <f t="shared" si="35"/>
        <v>0</v>
      </c>
      <c r="E62" s="21">
        <f t="shared" si="5"/>
        <v>0</v>
      </c>
      <c r="F62" s="21">
        <f t="shared" si="51"/>
        <v>0</v>
      </c>
      <c r="G62" s="21">
        <f t="shared" si="52"/>
        <v>0</v>
      </c>
      <c r="H62" s="21">
        <f t="shared" si="54"/>
        <v>0</v>
      </c>
      <c r="I62" s="237">
        <f t="shared" ref="I62:I125" si="70">$D62+$I61</f>
        <v>0</v>
      </c>
      <c r="J62" s="237">
        <f t="shared" ref="J62:J125" si="71">$E62+$J61</f>
        <v>0</v>
      </c>
      <c r="K62" s="237">
        <f t="shared" ref="K62:K125" si="72">+B62-D62</f>
        <v>0</v>
      </c>
      <c r="L62" s="318">
        <f t="shared" si="6"/>
        <v>3</v>
      </c>
      <c r="M62" s="318">
        <f t="shared" si="23"/>
        <v>46</v>
      </c>
      <c r="N62" s="237">
        <f t="shared" si="24"/>
        <v>582830.23000000033</v>
      </c>
      <c r="O62" s="237">
        <f t="shared" ref="O62:O125" si="73">IF($O$9&lt;=A62,IF(+$W61&lt;=0,0,$O$8),0)</f>
        <v>6591.25</v>
      </c>
      <c r="P62" s="237">
        <f t="shared" si="39"/>
        <v>216.53999999999996</v>
      </c>
      <c r="Q62" s="237">
        <f t="shared" ref="Q62:Q125" si="74">IF($O$9&lt;=A62,ROUND(N62*($O$6/12),2),0)</f>
        <v>6374.71</v>
      </c>
      <c r="R62" s="237">
        <f t="shared" si="7"/>
        <v>134.16999999999999</v>
      </c>
      <c r="S62" s="237">
        <f t="shared" ref="S62:S123" si="75">+S61</f>
        <v>188.55</v>
      </c>
      <c r="T62" s="237">
        <f t="shared" si="59"/>
        <v>6913.97</v>
      </c>
      <c r="U62" s="237">
        <f t="shared" si="40"/>
        <v>8011.3099999999977</v>
      </c>
      <c r="V62" s="237">
        <f t="shared" si="41"/>
        <v>301777.43999999989</v>
      </c>
      <c r="W62" s="237">
        <f t="shared" ref="W62:W125" si="76">+N62-P62</f>
        <v>582613.69000000029</v>
      </c>
      <c r="X62" s="404" t="str">
        <f t="shared" si="27"/>
        <v xml:space="preserve"> </v>
      </c>
      <c r="Y62" s="237">
        <f t="shared" ref="Y62:Y125" si="77">IF(+AL61&lt;0,0,+AL61)</f>
        <v>964557.87999999989</v>
      </c>
      <c r="Z62" s="394">
        <f t="shared" si="10"/>
        <v>0.10625</v>
      </c>
      <c r="AA62" s="237">
        <f t="shared" si="11"/>
        <v>9112.5300000000007</v>
      </c>
      <c r="AB62" s="237">
        <f t="shared" ref="AB62:AB125" si="78">+AA62-AC62</f>
        <v>572.17000000000007</v>
      </c>
      <c r="AC62" s="237">
        <f t="shared" si="13"/>
        <v>8540.36</v>
      </c>
      <c r="AD62" s="237">
        <f t="shared" ref="AD62:AE62" si="79">+AD61</f>
        <v>134.16999999999999</v>
      </c>
      <c r="AE62" s="237">
        <f t="shared" si="79"/>
        <v>188.55</v>
      </c>
      <c r="AF62" s="237">
        <f t="shared" ref="AF62:AF125" si="80">SUM(AB62:AE62)</f>
        <v>9435.25</v>
      </c>
      <c r="AG62" s="237">
        <f t="shared" ref="AG62:AG125" si="81">+AB62+AG61</f>
        <v>22114.290000000023</v>
      </c>
      <c r="AH62" s="237">
        <f t="shared" ref="AH62:AH125" si="82">+AH61+AC62</f>
        <v>406174.61999999988</v>
      </c>
      <c r="AI62" s="412">
        <f t="shared" si="64"/>
        <v>-118500.15999999996</v>
      </c>
      <c r="AJ62" s="412">
        <f t="shared" si="17"/>
        <v>-381372.01999999955</v>
      </c>
      <c r="AK62" s="412">
        <f t="shared" si="65"/>
        <v>-499872.17999999953</v>
      </c>
      <c r="AL62" s="237">
        <f t="shared" ref="AL62:AL125" si="83">+Y62-AB62</f>
        <v>963985.70999999985</v>
      </c>
      <c r="AM62" s="318">
        <f t="shared" si="29"/>
        <v>3</v>
      </c>
      <c r="AN62" s="21">
        <f t="shared" si="66"/>
        <v>6591.25</v>
      </c>
      <c r="AO62" s="21">
        <f t="shared" si="50"/>
        <v>978088.69</v>
      </c>
      <c r="AP62" s="21">
        <f t="shared" si="67"/>
        <v>9112.5300000000007</v>
      </c>
      <c r="AR62">
        <v>120.14</v>
      </c>
      <c r="AS62" s="21">
        <f t="shared" si="21"/>
        <v>6471.11</v>
      </c>
      <c r="AT62" s="21">
        <f t="shared" si="31"/>
        <v>309308.18999999994</v>
      </c>
      <c r="AU62" s="237">
        <f t="shared" si="32"/>
        <v>1660.4192329843165</v>
      </c>
      <c r="AV62" s="237">
        <f t="shared" si="33"/>
        <v>75203.112426711028</v>
      </c>
    </row>
    <row r="63" spans="1:50">
      <c r="A63" s="401" t="str">
        <f t="shared" si="69"/>
        <v xml:space="preserve"> </v>
      </c>
      <c r="B63" s="185">
        <f t="shared" si="22"/>
        <v>0</v>
      </c>
      <c r="C63" s="14">
        <f t="shared" si="4"/>
        <v>0</v>
      </c>
      <c r="D63" s="14">
        <f t="shared" si="35"/>
        <v>0</v>
      </c>
      <c r="E63" s="14">
        <f t="shared" si="5"/>
        <v>0</v>
      </c>
      <c r="F63" s="14">
        <f t="shared" si="51"/>
        <v>0</v>
      </c>
      <c r="G63" s="14">
        <f t="shared" si="52"/>
        <v>0</v>
      </c>
      <c r="H63" s="14">
        <f t="shared" si="54"/>
        <v>0</v>
      </c>
      <c r="I63" s="185">
        <f t="shared" si="70"/>
        <v>0</v>
      </c>
      <c r="J63" s="185">
        <f t="shared" si="71"/>
        <v>0</v>
      </c>
      <c r="K63" s="185">
        <f t="shared" si="72"/>
        <v>0</v>
      </c>
      <c r="L63" s="317">
        <f t="shared" si="6"/>
        <v>3</v>
      </c>
      <c r="M63" s="317">
        <f t="shared" si="23"/>
        <v>47</v>
      </c>
      <c r="N63" s="185">
        <f t="shared" si="24"/>
        <v>582613.69000000029</v>
      </c>
      <c r="O63" s="185">
        <f t="shared" si="73"/>
        <v>6591.25</v>
      </c>
      <c r="P63" s="185">
        <f t="shared" si="39"/>
        <v>218.90999999999985</v>
      </c>
      <c r="Q63" s="185">
        <f t="shared" si="74"/>
        <v>6372.34</v>
      </c>
      <c r="R63" s="185">
        <f t="shared" ref="R63:R123" si="84">+R62</f>
        <v>134.16999999999999</v>
      </c>
      <c r="S63" s="185">
        <f t="shared" si="75"/>
        <v>188.55</v>
      </c>
      <c r="T63" s="185">
        <f t="shared" si="59"/>
        <v>6913.97</v>
      </c>
      <c r="U63" s="185">
        <f t="shared" si="40"/>
        <v>8230.2199999999975</v>
      </c>
      <c r="V63" s="185">
        <f t="shared" si="41"/>
        <v>308149.77999999991</v>
      </c>
      <c r="W63" s="185">
        <f t="shared" si="76"/>
        <v>582394.78000000026</v>
      </c>
      <c r="X63" s="401" t="str">
        <f t="shared" si="27"/>
        <v xml:space="preserve"> </v>
      </c>
      <c r="Y63" s="185">
        <f t="shared" si="77"/>
        <v>963985.70999999985</v>
      </c>
      <c r="Z63" s="393">
        <f t="shared" si="10"/>
        <v>0.10625</v>
      </c>
      <c r="AA63" s="185">
        <f t="shared" si="11"/>
        <v>9112.5300000000007</v>
      </c>
      <c r="AB63" s="185">
        <f t="shared" si="78"/>
        <v>577.23999999999978</v>
      </c>
      <c r="AC63" s="185">
        <f t="shared" si="13"/>
        <v>8535.2900000000009</v>
      </c>
      <c r="AD63" s="185">
        <f t="shared" ref="AD63:AE63" si="85">+AD62</f>
        <v>134.16999999999999</v>
      </c>
      <c r="AE63" s="185">
        <f t="shared" si="85"/>
        <v>188.55</v>
      </c>
      <c r="AF63" s="185">
        <f t="shared" si="80"/>
        <v>9435.25</v>
      </c>
      <c r="AG63" s="185">
        <f t="shared" si="81"/>
        <v>22691.530000000021</v>
      </c>
      <c r="AH63" s="185">
        <f t="shared" si="82"/>
        <v>414709.90999999986</v>
      </c>
      <c r="AI63" s="411">
        <f t="shared" si="64"/>
        <v>-121021.43999999996</v>
      </c>
      <c r="AJ63" s="411">
        <f t="shared" si="17"/>
        <v>-381013.68999999959</v>
      </c>
      <c r="AK63" s="411">
        <f t="shared" si="65"/>
        <v>-502035.12999999954</v>
      </c>
      <c r="AL63" s="185">
        <f t="shared" si="83"/>
        <v>963408.46999999986</v>
      </c>
      <c r="AM63" s="317">
        <f t="shared" si="29"/>
        <v>3</v>
      </c>
      <c r="AN63" s="14">
        <f t="shared" si="66"/>
        <v>6591.25</v>
      </c>
      <c r="AO63" s="14">
        <f t="shared" si="50"/>
        <v>977869.78</v>
      </c>
      <c r="AP63" s="14">
        <f t="shared" si="67"/>
        <v>9112.5300000000007</v>
      </c>
      <c r="AS63" s="14">
        <f t="shared" si="21"/>
        <v>6591.25</v>
      </c>
      <c r="AT63" s="14">
        <f t="shared" si="31"/>
        <v>315899.43999999994</v>
      </c>
      <c r="AU63" s="185">
        <f t="shared" si="32"/>
        <v>1664.5702810667774</v>
      </c>
      <c r="AV63" s="185">
        <f t="shared" si="33"/>
        <v>76867.6827077778</v>
      </c>
    </row>
    <row r="64" spans="1:50">
      <c r="A64" s="401" t="str">
        <f t="shared" si="69"/>
        <v xml:space="preserve"> </v>
      </c>
      <c r="B64" s="185">
        <f t="shared" si="22"/>
        <v>0</v>
      </c>
      <c r="C64" s="14">
        <f t="shared" si="4"/>
        <v>0</v>
      </c>
      <c r="D64" s="14">
        <f t="shared" si="35"/>
        <v>0</v>
      </c>
      <c r="E64" s="14">
        <f t="shared" si="5"/>
        <v>0</v>
      </c>
      <c r="F64" s="14">
        <f t="shared" si="51"/>
        <v>0</v>
      </c>
      <c r="G64" s="14">
        <f t="shared" si="52"/>
        <v>0</v>
      </c>
      <c r="H64" s="14">
        <f t="shared" si="54"/>
        <v>0</v>
      </c>
      <c r="I64" s="185">
        <f t="shared" si="70"/>
        <v>0</v>
      </c>
      <c r="J64" s="185">
        <f t="shared" si="71"/>
        <v>0</v>
      </c>
      <c r="K64" s="185">
        <f t="shared" si="72"/>
        <v>0</v>
      </c>
      <c r="L64" s="317">
        <f t="shared" si="6"/>
        <v>4</v>
      </c>
      <c r="M64" s="317">
        <f t="shared" si="23"/>
        <v>48</v>
      </c>
      <c r="N64" s="185">
        <f t="shared" si="24"/>
        <v>582394.78000000026</v>
      </c>
      <c r="O64" s="185">
        <f t="shared" si="73"/>
        <v>6591.25</v>
      </c>
      <c r="P64" s="185">
        <f t="shared" si="39"/>
        <v>221.3100000000004</v>
      </c>
      <c r="Q64" s="185">
        <f t="shared" si="74"/>
        <v>6369.94</v>
      </c>
      <c r="R64" s="185">
        <f t="shared" si="84"/>
        <v>134.16999999999999</v>
      </c>
      <c r="S64" s="185">
        <f t="shared" si="75"/>
        <v>188.55</v>
      </c>
      <c r="T64" s="185">
        <f t="shared" si="59"/>
        <v>6913.97</v>
      </c>
      <c r="U64" s="185">
        <f t="shared" si="40"/>
        <v>8451.5299999999988</v>
      </c>
      <c r="V64" s="185">
        <f t="shared" si="41"/>
        <v>314519.71999999991</v>
      </c>
      <c r="W64" s="185">
        <f t="shared" si="76"/>
        <v>582173.4700000002</v>
      </c>
      <c r="X64" s="401" t="str">
        <f t="shared" si="27"/>
        <v xml:space="preserve"> </v>
      </c>
      <c r="Y64" s="185">
        <f t="shared" si="77"/>
        <v>963408.46999999986</v>
      </c>
      <c r="Z64" s="393">
        <f t="shared" si="10"/>
        <v>0.10625</v>
      </c>
      <c r="AA64" s="185">
        <f t="shared" si="11"/>
        <v>9112.5300000000007</v>
      </c>
      <c r="AB64" s="185">
        <f t="shared" si="78"/>
        <v>582.35000000000036</v>
      </c>
      <c r="AC64" s="185">
        <f t="shared" si="13"/>
        <v>8530.18</v>
      </c>
      <c r="AD64" s="185">
        <f t="shared" ref="AD64:AE64" si="86">+AD63</f>
        <v>134.16999999999999</v>
      </c>
      <c r="AE64" s="185">
        <f t="shared" si="86"/>
        <v>188.55</v>
      </c>
      <c r="AF64" s="185">
        <f t="shared" si="80"/>
        <v>9435.25</v>
      </c>
      <c r="AG64" s="185">
        <f t="shared" si="81"/>
        <v>23273.880000000019</v>
      </c>
      <c r="AH64" s="185">
        <f t="shared" si="82"/>
        <v>423240.08999999985</v>
      </c>
      <c r="AI64" s="411">
        <f t="shared" si="64"/>
        <v>-123542.71999999996</v>
      </c>
      <c r="AJ64" s="411">
        <f t="shared" si="17"/>
        <v>-380652.64999999967</v>
      </c>
      <c r="AK64" s="411">
        <f t="shared" si="65"/>
        <v>-504195.36999999965</v>
      </c>
      <c r="AL64" s="185">
        <f t="shared" si="83"/>
        <v>962826.11999999988</v>
      </c>
      <c r="AM64" s="317">
        <f t="shared" si="29"/>
        <v>4</v>
      </c>
      <c r="AN64" s="14">
        <f t="shared" si="66"/>
        <v>6591.25</v>
      </c>
      <c r="AO64" s="14">
        <f t="shared" si="50"/>
        <v>977648.47</v>
      </c>
      <c r="AP64" s="14">
        <f t="shared" si="67"/>
        <v>9112.5300000000007</v>
      </c>
      <c r="AS64" s="14">
        <f t="shared" si="21"/>
        <v>6591.25</v>
      </c>
      <c r="AT64" s="14">
        <f t="shared" si="31"/>
        <v>322490.68999999994</v>
      </c>
      <c r="AU64" s="185">
        <f t="shared" si="32"/>
        <v>1668.7317067694446</v>
      </c>
      <c r="AV64" s="185">
        <f t="shared" si="33"/>
        <v>78536.414414547238</v>
      </c>
    </row>
    <row r="65" spans="1:50">
      <c r="A65" s="401" t="str">
        <f t="shared" si="69"/>
        <v xml:space="preserve"> </v>
      </c>
      <c r="B65" s="185">
        <f t="shared" si="22"/>
        <v>0</v>
      </c>
      <c r="C65" s="14">
        <f t="shared" si="4"/>
        <v>0</v>
      </c>
      <c r="D65" s="14">
        <f t="shared" si="35"/>
        <v>0</v>
      </c>
      <c r="E65" s="14">
        <f t="shared" si="5"/>
        <v>0</v>
      </c>
      <c r="F65" s="14">
        <f t="shared" si="51"/>
        <v>0</v>
      </c>
      <c r="G65" s="14">
        <f t="shared" si="52"/>
        <v>0</v>
      </c>
      <c r="H65" s="14">
        <f t="shared" si="54"/>
        <v>0</v>
      </c>
      <c r="I65" s="185">
        <f t="shared" si="70"/>
        <v>0</v>
      </c>
      <c r="J65" s="185">
        <f t="shared" si="71"/>
        <v>0</v>
      </c>
      <c r="K65" s="185">
        <f t="shared" si="72"/>
        <v>0</v>
      </c>
      <c r="L65" s="317">
        <f t="shared" si="6"/>
        <v>4</v>
      </c>
      <c r="M65" s="317">
        <f t="shared" si="23"/>
        <v>49</v>
      </c>
      <c r="N65" s="185">
        <f t="shared" si="24"/>
        <v>582173.4700000002</v>
      </c>
      <c r="O65" s="185">
        <f t="shared" si="73"/>
        <v>6591.25</v>
      </c>
      <c r="P65" s="185">
        <f t="shared" si="39"/>
        <v>223.72999999999956</v>
      </c>
      <c r="Q65" s="185">
        <f t="shared" si="74"/>
        <v>6367.52</v>
      </c>
      <c r="R65" s="185">
        <f t="shared" si="84"/>
        <v>134.16999999999999</v>
      </c>
      <c r="S65" s="185">
        <f t="shared" si="75"/>
        <v>188.55</v>
      </c>
      <c r="T65" s="185">
        <f t="shared" si="59"/>
        <v>6913.97</v>
      </c>
      <c r="U65" s="185">
        <f t="shared" si="40"/>
        <v>8675.2599999999984</v>
      </c>
      <c r="V65" s="185">
        <f t="shared" si="41"/>
        <v>320887.23999999993</v>
      </c>
      <c r="W65" s="185">
        <f t="shared" si="76"/>
        <v>581949.74000000022</v>
      </c>
      <c r="X65" s="401" t="str">
        <f t="shared" si="27"/>
        <v xml:space="preserve"> </v>
      </c>
      <c r="Y65" s="185">
        <f t="shared" si="77"/>
        <v>962826.11999999988</v>
      </c>
      <c r="Z65" s="393">
        <f t="shared" si="10"/>
        <v>0.10625</v>
      </c>
      <c r="AA65" s="185">
        <f t="shared" si="11"/>
        <v>9112.5300000000007</v>
      </c>
      <c r="AB65" s="185">
        <f t="shared" si="78"/>
        <v>587.51000000000022</v>
      </c>
      <c r="AC65" s="185">
        <f t="shared" si="13"/>
        <v>8525.02</v>
      </c>
      <c r="AD65" s="185">
        <f t="shared" ref="AD65:AE65" si="87">+AD64</f>
        <v>134.16999999999999</v>
      </c>
      <c r="AE65" s="185">
        <f t="shared" si="87"/>
        <v>188.55</v>
      </c>
      <c r="AF65" s="185">
        <f t="shared" si="80"/>
        <v>9435.25</v>
      </c>
      <c r="AG65" s="185">
        <f t="shared" si="81"/>
        <v>23861.390000000021</v>
      </c>
      <c r="AH65" s="185">
        <f t="shared" si="82"/>
        <v>431765.10999999987</v>
      </c>
      <c r="AI65" s="411">
        <f t="shared" si="64"/>
        <v>-126063.99999999996</v>
      </c>
      <c r="AJ65" s="411">
        <f t="shared" si="17"/>
        <v>-380288.86999999965</v>
      </c>
      <c r="AK65" s="411">
        <f t="shared" si="65"/>
        <v>-506352.86999999959</v>
      </c>
      <c r="AL65" s="185">
        <f t="shared" si="83"/>
        <v>962238.60999999987</v>
      </c>
      <c r="AM65" s="317">
        <f t="shared" si="29"/>
        <v>4</v>
      </c>
      <c r="AN65" s="14">
        <f t="shared" si="66"/>
        <v>6591.25</v>
      </c>
      <c r="AO65" s="14">
        <f t="shared" si="50"/>
        <v>977424.74</v>
      </c>
      <c r="AP65" s="14">
        <f t="shared" si="67"/>
        <v>9112.5300000000007</v>
      </c>
      <c r="AS65" s="14">
        <f t="shared" si="21"/>
        <v>6591.25</v>
      </c>
      <c r="AT65" s="14">
        <f t="shared" si="31"/>
        <v>329081.93999999994</v>
      </c>
      <c r="AU65" s="185">
        <f t="shared" si="32"/>
        <v>1672.903536036368</v>
      </c>
      <c r="AV65" s="185">
        <f t="shared" si="33"/>
        <v>80209.317950583601</v>
      </c>
    </row>
    <row r="66" spans="1:50">
      <c r="A66" s="401" t="str">
        <f t="shared" si="69"/>
        <v xml:space="preserve"> </v>
      </c>
      <c r="B66" s="185">
        <f t="shared" si="22"/>
        <v>0</v>
      </c>
      <c r="C66" s="14">
        <f t="shared" si="4"/>
        <v>0</v>
      </c>
      <c r="D66" s="14">
        <f t="shared" si="35"/>
        <v>0</v>
      </c>
      <c r="E66" s="14">
        <f t="shared" si="5"/>
        <v>0</v>
      </c>
      <c r="F66" s="14">
        <f t="shared" si="51"/>
        <v>0</v>
      </c>
      <c r="G66" s="14">
        <f t="shared" si="52"/>
        <v>0</v>
      </c>
      <c r="H66" s="14">
        <f t="shared" si="54"/>
        <v>0</v>
      </c>
      <c r="I66" s="185">
        <f t="shared" si="70"/>
        <v>0</v>
      </c>
      <c r="J66" s="185">
        <f t="shared" si="71"/>
        <v>0</v>
      </c>
      <c r="K66" s="185">
        <f t="shared" si="72"/>
        <v>0</v>
      </c>
      <c r="L66" s="317">
        <f t="shared" si="6"/>
        <v>4</v>
      </c>
      <c r="M66" s="317">
        <f t="shared" si="23"/>
        <v>50</v>
      </c>
      <c r="N66" s="185">
        <f t="shared" si="24"/>
        <v>581949.74000000022</v>
      </c>
      <c r="O66" s="185">
        <f t="shared" si="73"/>
        <v>6591.25</v>
      </c>
      <c r="P66" s="185">
        <f t="shared" si="39"/>
        <v>226.17000000000007</v>
      </c>
      <c r="Q66" s="185">
        <f t="shared" si="74"/>
        <v>6365.08</v>
      </c>
      <c r="R66" s="185">
        <f t="shared" si="84"/>
        <v>134.16999999999999</v>
      </c>
      <c r="S66" s="185">
        <f t="shared" si="75"/>
        <v>188.55</v>
      </c>
      <c r="T66" s="185">
        <f t="shared" si="59"/>
        <v>6913.97</v>
      </c>
      <c r="U66" s="185">
        <f t="shared" si="40"/>
        <v>8901.4299999999985</v>
      </c>
      <c r="V66" s="185">
        <f t="shared" si="41"/>
        <v>327252.31999999995</v>
      </c>
      <c r="W66" s="185">
        <f t="shared" si="76"/>
        <v>581723.57000000018</v>
      </c>
      <c r="X66" s="401" t="str">
        <f t="shared" si="27"/>
        <v xml:space="preserve"> </v>
      </c>
      <c r="Y66" s="185">
        <f t="shared" si="77"/>
        <v>962238.60999999987</v>
      </c>
      <c r="Z66" s="393">
        <f t="shared" si="10"/>
        <v>0.10625</v>
      </c>
      <c r="AA66" s="185">
        <f t="shared" si="11"/>
        <v>9112.5300000000007</v>
      </c>
      <c r="AB66" s="185">
        <f t="shared" si="78"/>
        <v>592.71000000000095</v>
      </c>
      <c r="AC66" s="185">
        <f t="shared" si="13"/>
        <v>8519.82</v>
      </c>
      <c r="AD66" s="185">
        <f t="shared" ref="AD66:AE66" si="88">+AD65</f>
        <v>134.16999999999999</v>
      </c>
      <c r="AE66" s="185">
        <f t="shared" si="88"/>
        <v>188.55</v>
      </c>
      <c r="AF66" s="185">
        <f t="shared" si="80"/>
        <v>9435.25</v>
      </c>
      <c r="AG66" s="185">
        <f t="shared" si="81"/>
        <v>24454.10000000002</v>
      </c>
      <c r="AH66" s="185">
        <f t="shared" si="82"/>
        <v>440284.92999999988</v>
      </c>
      <c r="AI66" s="411">
        <f t="shared" si="64"/>
        <v>-128585.27999999996</v>
      </c>
      <c r="AJ66" s="411">
        <f t="shared" si="17"/>
        <v>-379922.32999999973</v>
      </c>
      <c r="AK66" s="411">
        <f t="shared" si="65"/>
        <v>-508507.60999999969</v>
      </c>
      <c r="AL66" s="185">
        <f t="shared" si="83"/>
        <v>961645.89999999991</v>
      </c>
      <c r="AM66" s="317">
        <f t="shared" si="29"/>
        <v>4</v>
      </c>
      <c r="AN66" s="14">
        <f t="shared" si="66"/>
        <v>6591.25</v>
      </c>
      <c r="AO66" s="14">
        <f t="shared" si="50"/>
        <v>977198.57</v>
      </c>
      <c r="AP66" s="14">
        <f t="shared" si="67"/>
        <v>9112.5300000000007</v>
      </c>
      <c r="AS66" s="14">
        <f t="shared" si="21"/>
        <v>6591.25</v>
      </c>
      <c r="AT66" s="14">
        <f t="shared" si="31"/>
        <v>335673.18999999994</v>
      </c>
      <c r="AU66" s="185">
        <f t="shared" si="32"/>
        <v>1677.085794876459</v>
      </c>
      <c r="AV66" s="185">
        <f t="shared" si="33"/>
        <v>81886.403745460062</v>
      </c>
    </row>
    <row r="67" spans="1:50">
      <c r="A67" s="401" t="str">
        <f t="shared" si="69"/>
        <v xml:space="preserve"> </v>
      </c>
      <c r="B67" s="185">
        <f t="shared" si="22"/>
        <v>0</v>
      </c>
      <c r="C67" s="14">
        <f t="shared" si="4"/>
        <v>0</v>
      </c>
      <c r="D67" s="14">
        <f t="shared" si="35"/>
        <v>0</v>
      </c>
      <c r="E67" s="14">
        <f t="shared" si="5"/>
        <v>0</v>
      </c>
      <c r="F67" s="14">
        <f t="shared" si="51"/>
        <v>0</v>
      </c>
      <c r="G67" s="14">
        <f t="shared" si="52"/>
        <v>0</v>
      </c>
      <c r="H67" s="14">
        <f t="shared" si="54"/>
        <v>0</v>
      </c>
      <c r="I67" s="185">
        <f t="shared" si="70"/>
        <v>0</v>
      </c>
      <c r="J67" s="185">
        <f t="shared" si="71"/>
        <v>0</v>
      </c>
      <c r="K67" s="185">
        <f t="shared" si="72"/>
        <v>0</v>
      </c>
      <c r="L67" s="317">
        <f t="shared" si="6"/>
        <v>4</v>
      </c>
      <c r="M67" s="317">
        <f t="shared" si="23"/>
        <v>51</v>
      </c>
      <c r="N67" s="185">
        <f t="shared" si="24"/>
        <v>581723.57000000018</v>
      </c>
      <c r="O67" s="185">
        <f t="shared" si="73"/>
        <v>6591.25</v>
      </c>
      <c r="P67" s="185">
        <f t="shared" si="39"/>
        <v>228.64999999999964</v>
      </c>
      <c r="Q67" s="185">
        <f t="shared" si="74"/>
        <v>6362.6</v>
      </c>
      <c r="R67" s="185">
        <f t="shared" si="84"/>
        <v>134.16999999999999</v>
      </c>
      <c r="S67" s="185">
        <f t="shared" si="75"/>
        <v>188.55</v>
      </c>
      <c r="T67" s="185">
        <f t="shared" si="59"/>
        <v>6913.97</v>
      </c>
      <c r="U67" s="185">
        <f t="shared" si="40"/>
        <v>9130.0799999999981</v>
      </c>
      <c r="V67" s="185">
        <f t="shared" si="41"/>
        <v>333614.91999999993</v>
      </c>
      <c r="W67" s="185">
        <f t="shared" si="76"/>
        <v>581494.92000000016</v>
      </c>
      <c r="X67" s="401" t="str">
        <f t="shared" si="27"/>
        <v xml:space="preserve"> </v>
      </c>
      <c r="Y67" s="185">
        <f t="shared" si="77"/>
        <v>961645.89999999991</v>
      </c>
      <c r="Z67" s="393">
        <f t="shared" si="10"/>
        <v>0.10625</v>
      </c>
      <c r="AA67" s="185">
        <f t="shared" si="11"/>
        <v>9112.5300000000007</v>
      </c>
      <c r="AB67" s="185">
        <f t="shared" si="78"/>
        <v>597.96000000000095</v>
      </c>
      <c r="AC67" s="185">
        <f t="shared" si="13"/>
        <v>8514.57</v>
      </c>
      <c r="AD67" s="185">
        <f t="shared" ref="AD67:AE67" si="89">+AD66</f>
        <v>134.16999999999999</v>
      </c>
      <c r="AE67" s="185">
        <f t="shared" si="89"/>
        <v>188.55</v>
      </c>
      <c r="AF67" s="185">
        <f t="shared" si="80"/>
        <v>9435.25</v>
      </c>
      <c r="AG67" s="185">
        <f t="shared" si="81"/>
        <v>25052.060000000019</v>
      </c>
      <c r="AH67" s="185">
        <f t="shared" si="82"/>
        <v>448799.49999999988</v>
      </c>
      <c r="AI67" s="411">
        <f t="shared" si="64"/>
        <v>-131106.55999999997</v>
      </c>
      <c r="AJ67" s="411">
        <f t="shared" si="17"/>
        <v>-379553.01999999979</v>
      </c>
      <c r="AK67" s="411">
        <f t="shared" si="65"/>
        <v>-510659.57999999973</v>
      </c>
      <c r="AL67" s="185">
        <f t="shared" si="83"/>
        <v>961047.94</v>
      </c>
      <c r="AM67" s="317">
        <f t="shared" si="29"/>
        <v>4</v>
      </c>
      <c r="AN67" s="14">
        <f t="shared" si="66"/>
        <v>6591.25</v>
      </c>
      <c r="AO67" s="14">
        <f t="shared" si="50"/>
        <v>976969.92</v>
      </c>
      <c r="AP67" s="14">
        <f t="shared" si="67"/>
        <v>9112.5300000000007</v>
      </c>
      <c r="AS67" s="14">
        <f t="shared" si="21"/>
        <v>6591.25</v>
      </c>
      <c r="AT67" s="14">
        <f t="shared" si="31"/>
        <v>342264.43999999994</v>
      </c>
      <c r="AU67" s="185">
        <f t="shared" si="32"/>
        <v>1681.2785093636503</v>
      </c>
      <c r="AV67" s="185">
        <f t="shared" si="33"/>
        <v>83567.682254823711</v>
      </c>
    </row>
    <row r="68" spans="1:50">
      <c r="A68" s="401" t="str">
        <f t="shared" si="69"/>
        <v xml:space="preserve"> </v>
      </c>
      <c r="B68" s="185">
        <f t="shared" si="22"/>
        <v>0</v>
      </c>
      <c r="C68" s="14">
        <f t="shared" si="4"/>
        <v>0</v>
      </c>
      <c r="D68" s="14">
        <f t="shared" si="35"/>
        <v>0</v>
      </c>
      <c r="E68" s="14">
        <f t="shared" si="5"/>
        <v>0</v>
      </c>
      <c r="F68" s="14">
        <f t="shared" si="51"/>
        <v>0</v>
      </c>
      <c r="G68" s="14">
        <f t="shared" si="52"/>
        <v>0</v>
      </c>
      <c r="H68" s="14">
        <f t="shared" si="54"/>
        <v>0</v>
      </c>
      <c r="I68" s="185">
        <f t="shared" si="70"/>
        <v>0</v>
      </c>
      <c r="J68" s="185">
        <f t="shared" si="71"/>
        <v>0</v>
      </c>
      <c r="K68" s="185">
        <f t="shared" si="72"/>
        <v>0</v>
      </c>
      <c r="L68" s="317">
        <f t="shared" si="6"/>
        <v>4</v>
      </c>
      <c r="M68" s="317">
        <f t="shared" si="23"/>
        <v>52</v>
      </c>
      <c r="N68" s="185">
        <f t="shared" si="24"/>
        <v>581494.92000000016</v>
      </c>
      <c r="O68" s="185">
        <f t="shared" si="73"/>
        <v>6591.25</v>
      </c>
      <c r="P68" s="185">
        <f t="shared" si="39"/>
        <v>231.14999999999964</v>
      </c>
      <c r="Q68" s="185">
        <f t="shared" si="74"/>
        <v>6360.1</v>
      </c>
      <c r="R68" s="185">
        <f t="shared" si="84"/>
        <v>134.16999999999999</v>
      </c>
      <c r="S68" s="185">
        <f t="shared" si="75"/>
        <v>188.55</v>
      </c>
      <c r="T68" s="185">
        <f t="shared" si="59"/>
        <v>6913.97</v>
      </c>
      <c r="U68" s="185">
        <f t="shared" si="40"/>
        <v>9361.2299999999977</v>
      </c>
      <c r="V68" s="185">
        <f t="shared" si="41"/>
        <v>339975.0199999999</v>
      </c>
      <c r="W68" s="185">
        <f t="shared" si="76"/>
        <v>581263.77000000014</v>
      </c>
      <c r="X68" s="401" t="str">
        <f t="shared" si="27"/>
        <v xml:space="preserve"> </v>
      </c>
      <c r="Y68" s="185">
        <f t="shared" si="77"/>
        <v>961047.94</v>
      </c>
      <c r="Z68" s="393">
        <f t="shared" si="10"/>
        <v>0.10625</v>
      </c>
      <c r="AA68" s="185">
        <f t="shared" si="11"/>
        <v>9112.5300000000007</v>
      </c>
      <c r="AB68" s="185">
        <f t="shared" si="78"/>
        <v>603.25</v>
      </c>
      <c r="AC68" s="185">
        <f t="shared" si="13"/>
        <v>8509.2800000000007</v>
      </c>
      <c r="AD68" s="185">
        <f t="shared" ref="AD68:AE68" si="90">+AD67</f>
        <v>134.16999999999999</v>
      </c>
      <c r="AE68" s="185">
        <f t="shared" si="90"/>
        <v>188.55</v>
      </c>
      <c r="AF68" s="185">
        <f t="shared" si="80"/>
        <v>9435.25</v>
      </c>
      <c r="AG68" s="185">
        <f t="shared" si="81"/>
        <v>25655.310000000019</v>
      </c>
      <c r="AH68" s="185">
        <f t="shared" si="82"/>
        <v>457308.77999999991</v>
      </c>
      <c r="AI68" s="411">
        <f t="shared" si="64"/>
        <v>-133627.83999999997</v>
      </c>
      <c r="AJ68" s="411">
        <f t="shared" si="17"/>
        <v>-379180.91999999981</v>
      </c>
      <c r="AK68" s="411">
        <f t="shared" si="65"/>
        <v>-512808.75999999978</v>
      </c>
      <c r="AL68" s="185">
        <f t="shared" si="83"/>
        <v>960444.69</v>
      </c>
      <c r="AM68" s="317">
        <f t="shared" si="29"/>
        <v>4</v>
      </c>
      <c r="AN68" s="14">
        <f t="shared" si="66"/>
        <v>6591.25</v>
      </c>
      <c r="AO68" s="14">
        <f t="shared" si="50"/>
        <v>976738.77</v>
      </c>
      <c r="AP68" s="14">
        <f t="shared" si="67"/>
        <v>9112.5300000000007</v>
      </c>
      <c r="AS68" s="14">
        <f t="shared" si="21"/>
        <v>6591.25</v>
      </c>
      <c r="AT68" s="14">
        <f t="shared" si="31"/>
        <v>348855.68999999994</v>
      </c>
      <c r="AU68" s="185">
        <f t="shared" si="32"/>
        <v>1685.4817056370593</v>
      </c>
      <c r="AV68" s="185">
        <f t="shared" si="33"/>
        <v>85253.163960460777</v>
      </c>
    </row>
    <row r="69" spans="1:50">
      <c r="A69" s="401" t="str">
        <f t="shared" si="69"/>
        <v xml:space="preserve"> </v>
      </c>
      <c r="B69" s="185">
        <f t="shared" si="22"/>
        <v>0</v>
      </c>
      <c r="C69" s="14">
        <f t="shared" si="4"/>
        <v>0</v>
      </c>
      <c r="D69" s="14">
        <f t="shared" si="35"/>
        <v>0</v>
      </c>
      <c r="E69" s="14">
        <f t="shared" si="5"/>
        <v>0</v>
      </c>
      <c r="F69" s="14">
        <f t="shared" si="51"/>
        <v>0</v>
      </c>
      <c r="G69" s="14">
        <f t="shared" si="52"/>
        <v>0</v>
      </c>
      <c r="H69" s="14">
        <f t="shared" si="54"/>
        <v>0</v>
      </c>
      <c r="I69" s="185">
        <f t="shared" si="70"/>
        <v>0</v>
      </c>
      <c r="J69" s="185">
        <f t="shared" si="71"/>
        <v>0</v>
      </c>
      <c r="K69" s="185">
        <f t="shared" si="72"/>
        <v>0</v>
      </c>
      <c r="L69" s="317">
        <f t="shared" si="6"/>
        <v>4</v>
      </c>
      <c r="M69" s="317">
        <f t="shared" si="23"/>
        <v>53</v>
      </c>
      <c r="N69" s="185">
        <f t="shared" si="24"/>
        <v>581263.77000000014</v>
      </c>
      <c r="O69" s="185">
        <f t="shared" si="73"/>
        <v>6591.25</v>
      </c>
      <c r="P69" s="185">
        <f t="shared" si="39"/>
        <v>233.68000000000029</v>
      </c>
      <c r="Q69" s="185">
        <f t="shared" si="74"/>
        <v>6357.57</v>
      </c>
      <c r="R69" s="185">
        <f t="shared" si="84"/>
        <v>134.16999999999999</v>
      </c>
      <c r="S69" s="185">
        <f t="shared" si="75"/>
        <v>188.55</v>
      </c>
      <c r="T69" s="185">
        <f t="shared" si="59"/>
        <v>6913.97</v>
      </c>
      <c r="U69" s="185">
        <f t="shared" si="40"/>
        <v>9594.909999999998</v>
      </c>
      <c r="V69" s="185">
        <f t="shared" si="41"/>
        <v>346332.58999999991</v>
      </c>
      <c r="W69" s="185">
        <f t="shared" si="76"/>
        <v>581030.09000000008</v>
      </c>
      <c r="X69" s="401" t="str">
        <f t="shared" si="27"/>
        <v xml:space="preserve"> </v>
      </c>
      <c r="Y69" s="185">
        <f t="shared" si="77"/>
        <v>960444.69</v>
      </c>
      <c r="Z69" s="393">
        <f t="shared" si="10"/>
        <v>0.10625</v>
      </c>
      <c r="AA69" s="185">
        <f t="shared" si="11"/>
        <v>9112.5300000000007</v>
      </c>
      <c r="AB69" s="185">
        <f t="shared" si="78"/>
        <v>608.59000000000015</v>
      </c>
      <c r="AC69" s="185">
        <f t="shared" si="13"/>
        <v>8503.94</v>
      </c>
      <c r="AD69" s="185">
        <f t="shared" ref="AD69:AE69" si="91">+AD68</f>
        <v>134.16999999999999</v>
      </c>
      <c r="AE69" s="185">
        <f t="shared" si="91"/>
        <v>188.55</v>
      </c>
      <c r="AF69" s="185">
        <f t="shared" si="80"/>
        <v>9435.25</v>
      </c>
      <c r="AG69" s="185">
        <f t="shared" si="81"/>
        <v>26263.90000000002</v>
      </c>
      <c r="AH69" s="185">
        <f t="shared" si="82"/>
        <v>465812.71999999991</v>
      </c>
      <c r="AI69" s="411">
        <f t="shared" si="64"/>
        <v>-136149.11999999997</v>
      </c>
      <c r="AJ69" s="411">
        <f t="shared" si="17"/>
        <v>-378806.00999999989</v>
      </c>
      <c r="AK69" s="411">
        <f t="shared" si="65"/>
        <v>-514955.12999999989</v>
      </c>
      <c r="AL69" s="185">
        <f t="shared" si="83"/>
        <v>959836.1</v>
      </c>
      <c r="AM69" s="317">
        <f t="shared" si="29"/>
        <v>4</v>
      </c>
      <c r="AN69" s="14">
        <f t="shared" si="66"/>
        <v>6591.25</v>
      </c>
      <c r="AO69" s="14">
        <f t="shared" si="50"/>
        <v>976505.09</v>
      </c>
      <c r="AP69" s="14">
        <f t="shared" si="67"/>
        <v>9112.5300000000007</v>
      </c>
      <c r="AS69" s="14">
        <f t="shared" si="21"/>
        <v>6591.25</v>
      </c>
      <c r="AT69" s="14">
        <f t="shared" si="31"/>
        <v>355446.93999999994</v>
      </c>
      <c r="AU69" s="185">
        <f t="shared" si="32"/>
        <v>1689.6954099011518</v>
      </c>
      <c r="AV69" s="185">
        <f t="shared" si="33"/>
        <v>86942.859370361926</v>
      </c>
    </row>
    <row r="70" spans="1:50">
      <c r="A70" s="401" t="str">
        <f t="shared" si="69"/>
        <v xml:space="preserve"> </v>
      </c>
      <c r="B70" s="185">
        <f t="shared" si="22"/>
        <v>0</v>
      </c>
      <c r="C70" s="14">
        <f t="shared" si="4"/>
        <v>0</v>
      </c>
      <c r="D70" s="14">
        <f t="shared" si="35"/>
        <v>0</v>
      </c>
      <c r="E70" s="14">
        <f t="shared" si="5"/>
        <v>0</v>
      </c>
      <c r="F70" s="14">
        <f t="shared" si="51"/>
        <v>0</v>
      </c>
      <c r="G70" s="14">
        <f t="shared" si="52"/>
        <v>0</v>
      </c>
      <c r="H70" s="14">
        <f t="shared" si="54"/>
        <v>0</v>
      </c>
      <c r="I70" s="185">
        <f t="shared" si="70"/>
        <v>0</v>
      </c>
      <c r="J70" s="185">
        <f t="shared" si="71"/>
        <v>0</v>
      </c>
      <c r="K70" s="185">
        <f t="shared" si="72"/>
        <v>0</v>
      </c>
      <c r="L70" s="317">
        <f t="shared" si="6"/>
        <v>4</v>
      </c>
      <c r="M70" s="317">
        <f t="shared" si="23"/>
        <v>54</v>
      </c>
      <c r="N70" s="185">
        <f t="shared" si="24"/>
        <v>581030.09000000008</v>
      </c>
      <c r="O70" s="185">
        <f t="shared" si="73"/>
        <v>6591.25</v>
      </c>
      <c r="P70" s="185">
        <f t="shared" si="39"/>
        <v>236.22999999999956</v>
      </c>
      <c r="Q70" s="185">
        <f t="shared" si="74"/>
        <v>6355.02</v>
      </c>
      <c r="R70" s="185">
        <f t="shared" si="84"/>
        <v>134.16999999999999</v>
      </c>
      <c r="S70" s="185">
        <f t="shared" si="75"/>
        <v>188.55</v>
      </c>
      <c r="T70" s="185">
        <f t="shared" si="59"/>
        <v>6913.97</v>
      </c>
      <c r="U70" s="185">
        <f t="shared" si="40"/>
        <v>9831.1399999999976</v>
      </c>
      <c r="V70" s="185">
        <f t="shared" si="41"/>
        <v>352687.60999999993</v>
      </c>
      <c r="W70" s="185">
        <f t="shared" si="76"/>
        <v>580793.8600000001</v>
      </c>
      <c r="X70" s="401" t="str">
        <f t="shared" si="27"/>
        <v xml:space="preserve"> </v>
      </c>
      <c r="Y70" s="185">
        <f t="shared" si="77"/>
        <v>959836.1</v>
      </c>
      <c r="Z70" s="393">
        <f t="shared" si="10"/>
        <v>0.10625</v>
      </c>
      <c r="AA70" s="185">
        <f t="shared" si="11"/>
        <v>9112.5300000000007</v>
      </c>
      <c r="AB70" s="185">
        <f t="shared" si="78"/>
        <v>613.98000000000138</v>
      </c>
      <c r="AC70" s="185">
        <f t="shared" si="13"/>
        <v>8498.5499999999993</v>
      </c>
      <c r="AD70" s="185">
        <f t="shared" ref="AD70:AE70" si="92">+AD69</f>
        <v>134.16999999999999</v>
      </c>
      <c r="AE70" s="185">
        <f t="shared" si="92"/>
        <v>188.55</v>
      </c>
      <c r="AF70" s="185">
        <f t="shared" si="80"/>
        <v>9435.25</v>
      </c>
      <c r="AG70" s="185">
        <f t="shared" si="81"/>
        <v>26877.880000000019</v>
      </c>
      <c r="AH70" s="185">
        <f t="shared" si="82"/>
        <v>474311.2699999999</v>
      </c>
      <c r="AI70" s="411">
        <f t="shared" si="64"/>
        <v>-138670.39999999997</v>
      </c>
      <c r="AJ70" s="411">
        <f t="shared" si="17"/>
        <v>-378428.25999999989</v>
      </c>
      <c r="AK70" s="411">
        <f t="shared" si="65"/>
        <v>-517098.65999999986</v>
      </c>
      <c r="AL70" s="185">
        <f t="shared" si="83"/>
        <v>959222.12</v>
      </c>
      <c r="AM70" s="317">
        <f t="shared" si="29"/>
        <v>4</v>
      </c>
      <c r="AN70" s="14">
        <f t="shared" si="66"/>
        <v>6591.25</v>
      </c>
      <c r="AO70" s="14">
        <f t="shared" si="50"/>
        <v>976268.86</v>
      </c>
      <c r="AP70" s="14">
        <f t="shared" si="67"/>
        <v>9112.5300000000007</v>
      </c>
      <c r="AS70" s="14">
        <f t="shared" si="21"/>
        <v>6591.25</v>
      </c>
      <c r="AT70" s="14">
        <f t="shared" si="31"/>
        <v>362038.18999999994</v>
      </c>
      <c r="AU70" s="185">
        <f t="shared" si="32"/>
        <v>1693.9196484259046</v>
      </c>
      <c r="AV70" s="185">
        <f t="shared" si="33"/>
        <v>88636.779018787827</v>
      </c>
    </row>
    <row r="71" spans="1:50">
      <c r="A71" s="401" t="str">
        <f t="shared" si="69"/>
        <v xml:space="preserve"> </v>
      </c>
      <c r="B71" s="185">
        <f t="shared" si="22"/>
        <v>0</v>
      </c>
      <c r="C71" s="14">
        <f t="shared" si="4"/>
        <v>0</v>
      </c>
      <c r="D71" s="14">
        <f t="shared" si="35"/>
        <v>0</v>
      </c>
      <c r="E71" s="14">
        <f t="shared" si="5"/>
        <v>0</v>
      </c>
      <c r="F71" s="14">
        <f t="shared" si="51"/>
        <v>0</v>
      </c>
      <c r="G71" s="14">
        <f t="shared" si="52"/>
        <v>0</v>
      </c>
      <c r="H71" s="14">
        <f t="shared" si="54"/>
        <v>0</v>
      </c>
      <c r="I71" s="185">
        <f t="shared" si="70"/>
        <v>0</v>
      </c>
      <c r="J71" s="185">
        <f t="shared" si="71"/>
        <v>0</v>
      </c>
      <c r="K71" s="185">
        <f t="shared" si="72"/>
        <v>0</v>
      </c>
      <c r="L71" s="317">
        <f t="shared" si="6"/>
        <v>4</v>
      </c>
      <c r="M71" s="317">
        <f t="shared" si="23"/>
        <v>55</v>
      </c>
      <c r="N71" s="185">
        <f t="shared" si="24"/>
        <v>580793.8600000001</v>
      </c>
      <c r="O71" s="185">
        <f t="shared" si="73"/>
        <v>6591.25</v>
      </c>
      <c r="P71" s="185">
        <f t="shared" si="39"/>
        <v>238.81999999999971</v>
      </c>
      <c r="Q71" s="185">
        <f t="shared" si="74"/>
        <v>6352.43</v>
      </c>
      <c r="R71" s="185">
        <f t="shared" si="84"/>
        <v>134.16999999999999</v>
      </c>
      <c r="S71" s="185">
        <f t="shared" si="75"/>
        <v>188.55</v>
      </c>
      <c r="T71" s="185">
        <f t="shared" si="59"/>
        <v>6913.97</v>
      </c>
      <c r="U71" s="185">
        <f t="shared" si="40"/>
        <v>10069.959999999997</v>
      </c>
      <c r="V71" s="185">
        <f t="shared" si="41"/>
        <v>359040.03999999992</v>
      </c>
      <c r="W71" s="185">
        <f t="shared" si="76"/>
        <v>580555.04000000015</v>
      </c>
      <c r="X71" s="401" t="str">
        <f t="shared" si="27"/>
        <v xml:space="preserve"> </v>
      </c>
      <c r="Y71" s="185">
        <f t="shared" si="77"/>
        <v>959222.12</v>
      </c>
      <c r="Z71" s="393">
        <f t="shared" si="10"/>
        <v>0.10625</v>
      </c>
      <c r="AA71" s="185">
        <f t="shared" si="11"/>
        <v>9112.5300000000007</v>
      </c>
      <c r="AB71" s="185">
        <f t="shared" si="78"/>
        <v>619.42000000000007</v>
      </c>
      <c r="AC71" s="185">
        <f t="shared" si="13"/>
        <v>8493.11</v>
      </c>
      <c r="AD71" s="185">
        <f t="shared" ref="AD71:AE71" si="93">+AD70</f>
        <v>134.16999999999999</v>
      </c>
      <c r="AE71" s="185">
        <f t="shared" si="93"/>
        <v>188.55</v>
      </c>
      <c r="AF71" s="185">
        <f t="shared" si="80"/>
        <v>9435.25</v>
      </c>
      <c r="AG71" s="185">
        <f t="shared" si="81"/>
        <v>27497.300000000017</v>
      </c>
      <c r="AH71" s="185">
        <f t="shared" si="82"/>
        <v>482804.37999999989</v>
      </c>
      <c r="AI71" s="411">
        <f t="shared" si="64"/>
        <v>-141191.67999999996</v>
      </c>
      <c r="AJ71" s="411">
        <f t="shared" si="17"/>
        <v>-378047.6599999998</v>
      </c>
      <c r="AK71" s="411">
        <f t="shared" si="65"/>
        <v>-519239.33999999973</v>
      </c>
      <c r="AL71" s="185">
        <f t="shared" si="83"/>
        <v>958602.7</v>
      </c>
      <c r="AM71" s="317">
        <f t="shared" si="29"/>
        <v>4</v>
      </c>
      <c r="AN71" s="14">
        <f t="shared" si="66"/>
        <v>6591.25</v>
      </c>
      <c r="AO71" s="14">
        <f t="shared" si="50"/>
        <v>976030.04</v>
      </c>
      <c r="AP71" s="14">
        <f t="shared" si="67"/>
        <v>9112.5300000000007</v>
      </c>
      <c r="AS71" s="14">
        <f t="shared" si="21"/>
        <v>6591.25</v>
      </c>
      <c r="AT71" s="14">
        <f t="shared" si="31"/>
        <v>368629.43999999994</v>
      </c>
      <c r="AU71" s="185">
        <f t="shared" si="32"/>
        <v>1698.1544475469693</v>
      </c>
      <c r="AV71" s="185">
        <f t="shared" si="33"/>
        <v>90334.933466334798</v>
      </c>
      <c r="AX71" s="373"/>
    </row>
    <row r="72" spans="1:50">
      <c r="A72" s="401" t="str">
        <f t="shared" si="69"/>
        <v xml:space="preserve"> </v>
      </c>
      <c r="B72" s="185">
        <f t="shared" si="22"/>
        <v>0</v>
      </c>
      <c r="C72" s="14">
        <f t="shared" si="4"/>
        <v>0</v>
      </c>
      <c r="D72" s="14">
        <f t="shared" si="35"/>
        <v>0</v>
      </c>
      <c r="E72" s="14">
        <f t="shared" si="5"/>
        <v>0</v>
      </c>
      <c r="F72" s="14">
        <f t="shared" si="51"/>
        <v>0</v>
      </c>
      <c r="G72" s="14">
        <f t="shared" si="52"/>
        <v>0</v>
      </c>
      <c r="H72" s="14">
        <f t="shared" si="54"/>
        <v>0</v>
      </c>
      <c r="I72" s="185">
        <f t="shared" si="70"/>
        <v>0</v>
      </c>
      <c r="J72" s="185">
        <f t="shared" si="71"/>
        <v>0</v>
      </c>
      <c r="K72" s="185">
        <f t="shared" si="72"/>
        <v>0</v>
      </c>
      <c r="L72" s="317">
        <f t="shared" si="6"/>
        <v>4</v>
      </c>
      <c r="M72" s="317">
        <f t="shared" si="23"/>
        <v>56</v>
      </c>
      <c r="N72" s="185">
        <f t="shared" si="24"/>
        <v>580555.04000000015</v>
      </c>
      <c r="O72" s="185">
        <f t="shared" si="73"/>
        <v>6591.25</v>
      </c>
      <c r="P72" s="185">
        <f t="shared" si="39"/>
        <v>241.43000000000029</v>
      </c>
      <c r="Q72" s="185">
        <f t="shared" si="74"/>
        <v>6349.82</v>
      </c>
      <c r="R72" s="185">
        <f t="shared" si="84"/>
        <v>134.16999999999999</v>
      </c>
      <c r="S72" s="185">
        <f t="shared" si="75"/>
        <v>188.55</v>
      </c>
      <c r="T72" s="185">
        <f t="shared" si="59"/>
        <v>6913.97</v>
      </c>
      <c r="U72" s="185">
        <f t="shared" si="40"/>
        <v>10311.389999999998</v>
      </c>
      <c r="V72" s="185">
        <f t="shared" si="41"/>
        <v>365389.85999999993</v>
      </c>
      <c r="W72" s="185">
        <f t="shared" si="76"/>
        <v>580313.6100000001</v>
      </c>
      <c r="X72" s="401" t="str">
        <f t="shared" si="27"/>
        <v xml:space="preserve"> </v>
      </c>
      <c r="Y72" s="185">
        <f t="shared" si="77"/>
        <v>958602.7</v>
      </c>
      <c r="Z72" s="393">
        <f t="shared" si="10"/>
        <v>0.10625</v>
      </c>
      <c r="AA72" s="185">
        <f t="shared" si="11"/>
        <v>9112.5300000000007</v>
      </c>
      <c r="AB72" s="185">
        <f t="shared" si="78"/>
        <v>624.90000000000146</v>
      </c>
      <c r="AC72" s="185">
        <f t="shared" si="13"/>
        <v>8487.6299999999992</v>
      </c>
      <c r="AD72" s="185">
        <f t="shared" ref="AD72:AE72" si="94">+AD71</f>
        <v>134.16999999999999</v>
      </c>
      <c r="AE72" s="185">
        <f t="shared" si="94"/>
        <v>188.55</v>
      </c>
      <c r="AF72" s="185">
        <f t="shared" si="80"/>
        <v>9435.25</v>
      </c>
      <c r="AG72" s="185">
        <f t="shared" si="81"/>
        <v>28122.200000000019</v>
      </c>
      <c r="AH72" s="185">
        <f t="shared" si="82"/>
        <v>491292.00999999989</v>
      </c>
      <c r="AI72" s="411">
        <f t="shared" si="64"/>
        <v>-143712.95999999996</v>
      </c>
      <c r="AJ72" s="411">
        <f t="shared" si="17"/>
        <v>-377664.18999999983</v>
      </c>
      <c r="AK72" s="411">
        <f t="shared" si="65"/>
        <v>-521377.14999999979</v>
      </c>
      <c r="AL72" s="185">
        <f t="shared" si="83"/>
        <v>957977.79999999993</v>
      </c>
      <c r="AM72" s="317">
        <f t="shared" si="29"/>
        <v>4</v>
      </c>
      <c r="AN72" s="14">
        <f t="shared" si="66"/>
        <v>6591.25</v>
      </c>
      <c r="AO72" s="14">
        <f t="shared" si="50"/>
        <v>975788.61</v>
      </c>
      <c r="AP72" s="14">
        <f t="shared" si="67"/>
        <v>9112.5300000000007</v>
      </c>
      <c r="AS72" s="14">
        <f t="shared" si="21"/>
        <v>6591.25</v>
      </c>
      <c r="AT72" s="14">
        <f t="shared" si="31"/>
        <v>375220.68999999994</v>
      </c>
      <c r="AU72" s="185">
        <f t="shared" si="32"/>
        <v>1702.3998336658369</v>
      </c>
      <c r="AV72" s="185">
        <f t="shared" si="33"/>
        <v>92037.333300000639</v>
      </c>
      <c r="AX72" s="373"/>
    </row>
    <row r="73" spans="1:50">
      <c r="A73" s="401" t="str">
        <f t="shared" si="69"/>
        <v xml:space="preserve"> </v>
      </c>
      <c r="B73" s="185">
        <f t="shared" si="22"/>
        <v>0</v>
      </c>
      <c r="C73" s="14">
        <f t="shared" si="4"/>
        <v>0</v>
      </c>
      <c r="D73" s="14">
        <f t="shared" si="35"/>
        <v>0</v>
      </c>
      <c r="E73" s="14">
        <f t="shared" si="5"/>
        <v>0</v>
      </c>
      <c r="F73" s="14">
        <f t="shared" si="51"/>
        <v>0</v>
      </c>
      <c r="G73" s="14">
        <f t="shared" si="52"/>
        <v>0</v>
      </c>
      <c r="H73" s="14">
        <f t="shared" si="54"/>
        <v>0</v>
      </c>
      <c r="I73" s="185">
        <f t="shared" si="70"/>
        <v>0</v>
      </c>
      <c r="J73" s="185">
        <f t="shared" si="71"/>
        <v>0</v>
      </c>
      <c r="K73" s="185">
        <f t="shared" si="72"/>
        <v>0</v>
      </c>
      <c r="L73" s="317">
        <f t="shared" si="6"/>
        <v>4</v>
      </c>
      <c r="M73" s="317">
        <f t="shared" si="23"/>
        <v>57</v>
      </c>
      <c r="N73" s="185">
        <f t="shared" si="24"/>
        <v>580313.6100000001</v>
      </c>
      <c r="O73" s="185">
        <f t="shared" si="73"/>
        <v>6591.25</v>
      </c>
      <c r="P73" s="185">
        <f t="shared" si="39"/>
        <v>244.06999999999971</v>
      </c>
      <c r="Q73" s="185">
        <f t="shared" si="74"/>
        <v>6347.18</v>
      </c>
      <c r="R73" s="185">
        <f t="shared" si="84"/>
        <v>134.16999999999999</v>
      </c>
      <c r="S73" s="185">
        <f t="shared" si="75"/>
        <v>188.55</v>
      </c>
      <c r="T73" s="185">
        <f t="shared" si="59"/>
        <v>6913.97</v>
      </c>
      <c r="U73" s="185">
        <f t="shared" si="40"/>
        <v>10555.459999999997</v>
      </c>
      <c r="V73" s="185">
        <f t="shared" si="41"/>
        <v>371737.03999999992</v>
      </c>
      <c r="W73" s="185">
        <f t="shared" si="76"/>
        <v>580069.54000000015</v>
      </c>
      <c r="X73" s="401" t="str">
        <f t="shared" si="27"/>
        <v xml:space="preserve"> </v>
      </c>
      <c r="Y73" s="185">
        <f t="shared" si="77"/>
        <v>957977.79999999993</v>
      </c>
      <c r="Z73" s="393">
        <f t="shared" si="10"/>
        <v>0.10625</v>
      </c>
      <c r="AA73" s="185">
        <f t="shared" si="11"/>
        <v>9112.5300000000007</v>
      </c>
      <c r="AB73" s="185">
        <f t="shared" si="78"/>
        <v>630.43000000000029</v>
      </c>
      <c r="AC73" s="185">
        <f t="shared" si="13"/>
        <v>8482.1</v>
      </c>
      <c r="AD73" s="185">
        <f t="shared" ref="AD73:AE73" si="95">+AD72</f>
        <v>134.16999999999999</v>
      </c>
      <c r="AE73" s="185">
        <f t="shared" si="95"/>
        <v>188.55</v>
      </c>
      <c r="AF73" s="185">
        <f t="shared" si="80"/>
        <v>9435.25</v>
      </c>
      <c r="AG73" s="185">
        <f t="shared" si="81"/>
        <v>28752.630000000019</v>
      </c>
      <c r="AH73" s="185">
        <f t="shared" si="82"/>
        <v>499774.10999999987</v>
      </c>
      <c r="AI73" s="411">
        <f t="shared" si="64"/>
        <v>-146234.23999999996</v>
      </c>
      <c r="AJ73" s="411">
        <f t="shared" si="17"/>
        <v>-377277.82999999973</v>
      </c>
      <c r="AK73" s="411">
        <f t="shared" si="65"/>
        <v>-523512.06999999972</v>
      </c>
      <c r="AL73" s="185">
        <f t="shared" si="83"/>
        <v>957347.36999999988</v>
      </c>
      <c r="AM73" s="317">
        <f t="shared" si="29"/>
        <v>4</v>
      </c>
      <c r="AN73" s="14">
        <f t="shared" si="66"/>
        <v>6591.25</v>
      </c>
      <c r="AO73" s="14">
        <f t="shared" si="50"/>
        <v>975544.54</v>
      </c>
      <c r="AP73" s="14">
        <f t="shared" si="67"/>
        <v>9112.5300000000007</v>
      </c>
      <c r="AS73" s="14">
        <f t="shared" si="21"/>
        <v>6591.25</v>
      </c>
      <c r="AT73" s="14">
        <f t="shared" si="31"/>
        <v>381811.93999999994</v>
      </c>
      <c r="AU73" s="185">
        <f t="shared" si="32"/>
        <v>1706.6558332500015</v>
      </c>
      <c r="AV73" s="185">
        <f t="shared" si="33"/>
        <v>93743.989133250638</v>
      </c>
    </row>
    <row r="74" spans="1:50" ht="15.75" thickBot="1">
      <c r="A74" s="404" t="str">
        <f t="shared" si="69"/>
        <v xml:space="preserve"> </v>
      </c>
      <c r="B74" s="237">
        <f t="shared" si="22"/>
        <v>0</v>
      </c>
      <c r="C74" s="21">
        <f t="shared" si="4"/>
        <v>0</v>
      </c>
      <c r="D74" s="21">
        <f t="shared" si="35"/>
        <v>0</v>
      </c>
      <c r="E74" s="21">
        <f t="shared" si="5"/>
        <v>0</v>
      </c>
      <c r="F74" s="21">
        <f t="shared" si="51"/>
        <v>0</v>
      </c>
      <c r="G74" s="21">
        <f t="shared" si="52"/>
        <v>0</v>
      </c>
      <c r="H74" s="21">
        <f t="shared" si="54"/>
        <v>0</v>
      </c>
      <c r="I74" s="237">
        <f t="shared" si="70"/>
        <v>0</v>
      </c>
      <c r="J74" s="237">
        <f t="shared" si="71"/>
        <v>0</v>
      </c>
      <c r="K74" s="237">
        <f t="shared" si="72"/>
        <v>0</v>
      </c>
      <c r="L74" s="318">
        <f t="shared" si="6"/>
        <v>4</v>
      </c>
      <c r="M74" s="318">
        <f t="shared" si="23"/>
        <v>58</v>
      </c>
      <c r="N74" s="237">
        <f t="shared" si="24"/>
        <v>580069.54000000015</v>
      </c>
      <c r="O74" s="237">
        <f t="shared" si="73"/>
        <v>6591.25</v>
      </c>
      <c r="P74" s="237">
        <f t="shared" si="39"/>
        <v>246.73999999999978</v>
      </c>
      <c r="Q74" s="237">
        <f t="shared" si="74"/>
        <v>6344.51</v>
      </c>
      <c r="R74" s="237">
        <f t="shared" si="84"/>
        <v>134.16999999999999</v>
      </c>
      <c r="S74" s="237">
        <f t="shared" si="75"/>
        <v>188.55</v>
      </c>
      <c r="T74" s="237">
        <f t="shared" si="59"/>
        <v>6913.97</v>
      </c>
      <c r="U74" s="237">
        <f t="shared" si="40"/>
        <v>10802.199999999997</v>
      </c>
      <c r="V74" s="237">
        <f t="shared" si="41"/>
        <v>378081.54999999993</v>
      </c>
      <c r="W74" s="237">
        <f t="shared" si="76"/>
        <v>579822.80000000016</v>
      </c>
      <c r="X74" s="404" t="str">
        <f t="shared" si="27"/>
        <v xml:space="preserve"> </v>
      </c>
      <c r="Y74" s="237">
        <f t="shared" si="77"/>
        <v>957347.36999999988</v>
      </c>
      <c r="Z74" s="394">
        <f t="shared" si="10"/>
        <v>0.10625</v>
      </c>
      <c r="AA74" s="237">
        <f t="shared" si="11"/>
        <v>9112.5300000000007</v>
      </c>
      <c r="AB74" s="237">
        <f t="shared" si="78"/>
        <v>636.02000000000044</v>
      </c>
      <c r="AC74" s="237">
        <f t="shared" si="13"/>
        <v>8476.51</v>
      </c>
      <c r="AD74" s="237">
        <f t="shared" ref="AD74:AE74" si="96">+AD73</f>
        <v>134.16999999999999</v>
      </c>
      <c r="AE74" s="237">
        <f t="shared" si="96"/>
        <v>188.55</v>
      </c>
      <c r="AF74" s="237">
        <f t="shared" si="80"/>
        <v>9435.25</v>
      </c>
      <c r="AG74" s="237">
        <f t="shared" si="81"/>
        <v>29388.65000000002</v>
      </c>
      <c r="AH74" s="237">
        <f t="shared" si="82"/>
        <v>508250.61999999988</v>
      </c>
      <c r="AI74" s="412">
        <f t="shared" si="64"/>
        <v>-148755.51999999996</v>
      </c>
      <c r="AJ74" s="412">
        <f t="shared" si="17"/>
        <v>-376888.5499999997</v>
      </c>
      <c r="AK74" s="412">
        <f t="shared" si="65"/>
        <v>-525644.0699999996</v>
      </c>
      <c r="AL74" s="237">
        <f t="shared" si="83"/>
        <v>956711.34999999986</v>
      </c>
      <c r="AM74" s="318">
        <f t="shared" si="29"/>
        <v>4</v>
      </c>
      <c r="AN74" s="21">
        <f t="shared" si="66"/>
        <v>6591.25</v>
      </c>
      <c r="AO74" s="21">
        <f t="shared" si="50"/>
        <v>975297.8</v>
      </c>
      <c r="AP74" s="21">
        <f t="shared" si="67"/>
        <v>9112.5300000000007</v>
      </c>
      <c r="AQ74" s="21"/>
      <c r="AR74" s="23"/>
      <c r="AS74" s="21">
        <f t="shared" si="21"/>
        <v>6591.25</v>
      </c>
      <c r="AT74" s="21">
        <f t="shared" si="31"/>
        <v>388403.18999999994</v>
      </c>
      <c r="AU74" s="237">
        <f t="shared" si="32"/>
        <v>1710.9224728331267</v>
      </c>
      <c r="AV74" s="237">
        <f t="shared" si="33"/>
        <v>95454.91160608377</v>
      </c>
    </row>
    <row r="75" spans="1:50">
      <c r="A75" s="401" t="str">
        <f t="shared" si="69"/>
        <v xml:space="preserve"> </v>
      </c>
      <c r="B75" s="185">
        <f t="shared" si="22"/>
        <v>0</v>
      </c>
      <c r="C75" s="14">
        <f t="shared" si="4"/>
        <v>0</v>
      </c>
      <c r="D75" s="14">
        <f t="shared" si="35"/>
        <v>0</v>
      </c>
      <c r="E75" s="14">
        <f t="shared" si="5"/>
        <v>0</v>
      </c>
      <c r="F75" s="14">
        <f t="shared" si="51"/>
        <v>0</v>
      </c>
      <c r="G75" s="14">
        <f t="shared" si="52"/>
        <v>0</v>
      </c>
      <c r="H75" s="14">
        <f t="shared" si="54"/>
        <v>0</v>
      </c>
      <c r="I75" s="185">
        <f t="shared" si="70"/>
        <v>0</v>
      </c>
      <c r="J75" s="185">
        <f t="shared" si="71"/>
        <v>0</v>
      </c>
      <c r="K75" s="185">
        <f t="shared" si="72"/>
        <v>0</v>
      </c>
      <c r="L75" s="317">
        <f t="shared" si="6"/>
        <v>4</v>
      </c>
      <c r="M75" s="317">
        <f t="shared" si="23"/>
        <v>59</v>
      </c>
      <c r="N75" s="185">
        <f t="shared" si="24"/>
        <v>579822.80000000016</v>
      </c>
      <c r="O75" s="185">
        <f t="shared" si="73"/>
        <v>6591.25</v>
      </c>
      <c r="P75" s="185">
        <f t="shared" si="39"/>
        <v>249.4399999999996</v>
      </c>
      <c r="Q75" s="185">
        <f t="shared" si="74"/>
        <v>6341.81</v>
      </c>
      <c r="R75" s="185">
        <f t="shared" si="84"/>
        <v>134.16999999999999</v>
      </c>
      <c r="S75" s="185">
        <f t="shared" si="75"/>
        <v>188.55</v>
      </c>
      <c r="T75" s="185">
        <f t="shared" si="59"/>
        <v>6913.97</v>
      </c>
      <c r="U75" s="185">
        <f t="shared" si="40"/>
        <v>11051.639999999996</v>
      </c>
      <c r="V75" s="185">
        <f t="shared" si="41"/>
        <v>384423.35999999993</v>
      </c>
      <c r="W75" s="185">
        <f t="shared" si="76"/>
        <v>579573.36000000022</v>
      </c>
      <c r="X75" s="401" t="str">
        <f t="shared" si="27"/>
        <v xml:space="preserve"> </v>
      </c>
      <c r="Y75" s="185">
        <f t="shared" si="77"/>
        <v>956711.34999999986</v>
      </c>
      <c r="Z75" s="393">
        <f t="shared" si="10"/>
        <v>0.10625</v>
      </c>
      <c r="AA75" s="185">
        <f t="shared" si="11"/>
        <v>9112.5300000000007</v>
      </c>
      <c r="AB75" s="185">
        <f t="shared" si="78"/>
        <v>641.65000000000146</v>
      </c>
      <c r="AC75" s="185">
        <f t="shared" si="13"/>
        <v>8470.8799999999992</v>
      </c>
      <c r="AD75" s="185">
        <f t="shared" ref="AD75:AE75" si="97">+AD74</f>
        <v>134.16999999999999</v>
      </c>
      <c r="AE75" s="185">
        <f t="shared" si="97"/>
        <v>188.55</v>
      </c>
      <c r="AF75" s="185">
        <f t="shared" si="80"/>
        <v>9435.25</v>
      </c>
      <c r="AG75" s="185">
        <f t="shared" si="81"/>
        <v>30030.300000000021</v>
      </c>
      <c r="AH75" s="185">
        <f t="shared" si="82"/>
        <v>516721.49999999988</v>
      </c>
      <c r="AI75" s="411">
        <f t="shared" si="64"/>
        <v>-151276.79999999996</v>
      </c>
      <c r="AJ75" s="411">
        <f t="shared" si="17"/>
        <v>-376496.33999999962</v>
      </c>
      <c r="AK75" s="411">
        <f t="shared" si="65"/>
        <v>-527773.13999999955</v>
      </c>
      <c r="AL75" s="185">
        <f t="shared" si="83"/>
        <v>956069.69999999984</v>
      </c>
      <c r="AM75" s="317">
        <f t="shared" si="29"/>
        <v>4</v>
      </c>
      <c r="AN75" s="14">
        <f t="shared" si="66"/>
        <v>6591.25</v>
      </c>
      <c r="AO75" s="14">
        <f t="shared" si="50"/>
        <v>975048.36</v>
      </c>
      <c r="AP75" s="14">
        <f t="shared" si="67"/>
        <v>9112.5300000000007</v>
      </c>
      <c r="AS75" s="14">
        <f t="shared" si="21"/>
        <v>6591.25</v>
      </c>
      <c r="AT75" s="14">
        <f t="shared" si="31"/>
        <v>394994.43999999994</v>
      </c>
      <c r="AU75" s="185">
        <f t="shared" si="32"/>
        <v>1715.1997790152093</v>
      </c>
      <c r="AV75" s="185">
        <f t="shared" si="33"/>
        <v>97170.111385098979</v>
      </c>
    </row>
    <row r="76" spans="1:50">
      <c r="A76" s="401" t="str">
        <f t="shared" si="69"/>
        <v xml:space="preserve"> </v>
      </c>
      <c r="B76" s="185">
        <f t="shared" si="22"/>
        <v>0</v>
      </c>
      <c r="C76" s="14">
        <f t="shared" si="4"/>
        <v>0</v>
      </c>
      <c r="D76" s="14">
        <f t="shared" si="35"/>
        <v>0</v>
      </c>
      <c r="E76" s="14">
        <f t="shared" si="5"/>
        <v>0</v>
      </c>
      <c r="F76" s="14">
        <f t="shared" si="51"/>
        <v>0</v>
      </c>
      <c r="G76" s="14">
        <f t="shared" si="52"/>
        <v>0</v>
      </c>
      <c r="H76" s="14">
        <f t="shared" si="54"/>
        <v>0</v>
      </c>
      <c r="I76" s="185">
        <f t="shared" si="70"/>
        <v>0</v>
      </c>
      <c r="J76" s="185">
        <f t="shared" si="71"/>
        <v>0</v>
      </c>
      <c r="K76" s="185">
        <f t="shared" si="72"/>
        <v>0</v>
      </c>
      <c r="L76" s="317">
        <f t="shared" si="6"/>
        <v>5</v>
      </c>
      <c r="M76" s="317">
        <f t="shared" si="23"/>
        <v>60</v>
      </c>
      <c r="N76" s="185">
        <f t="shared" si="24"/>
        <v>579573.36000000022</v>
      </c>
      <c r="O76" s="185">
        <f t="shared" si="73"/>
        <v>6591.25</v>
      </c>
      <c r="P76" s="185">
        <f t="shared" si="39"/>
        <v>252.17000000000007</v>
      </c>
      <c r="Q76" s="185">
        <f t="shared" si="74"/>
        <v>6339.08</v>
      </c>
      <c r="R76" s="185">
        <f t="shared" si="84"/>
        <v>134.16999999999999</v>
      </c>
      <c r="S76" s="185">
        <f t="shared" si="75"/>
        <v>188.55</v>
      </c>
      <c r="T76" s="185">
        <f t="shared" si="59"/>
        <v>6913.97</v>
      </c>
      <c r="U76" s="185">
        <f t="shared" si="40"/>
        <v>11303.809999999996</v>
      </c>
      <c r="V76" s="185">
        <f t="shared" si="41"/>
        <v>390762.43999999994</v>
      </c>
      <c r="W76" s="185">
        <f t="shared" si="76"/>
        <v>579321.19000000018</v>
      </c>
      <c r="X76" s="401" t="str">
        <f t="shared" si="27"/>
        <v xml:space="preserve"> </v>
      </c>
      <c r="Y76" s="185">
        <f t="shared" si="77"/>
        <v>956069.69999999984</v>
      </c>
      <c r="Z76" s="393">
        <f t="shared" si="10"/>
        <v>0.13125000000000001</v>
      </c>
      <c r="AA76" s="185">
        <f t="shared" si="11"/>
        <v>2810.15</v>
      </c>
      <c r="AB76" s="185">
        <f t="shared" si="78"/>
        <v>-7646.8600000000006</v>
      </c>
      <c r="AC76" s="185">
        <f t="shared" si="13"/>
        <v>10457.01</v>
      </c>
      <c r="AD76" s="185">
        <f t="shared" ref="AD76:AE76" si="98">+AD75</f>
        <v>134.16999999999999</v>
      </c>
      <c r="AE76" s="185">
        <f t="shared" si="98"/>
        <v>188.55</v>
      </c>
      <c r="AF76" s="185">
        <f t="shared" si="80"/>
        <v>3132.87</v>
      </c>
      <c r="AG76" s="185">
        <f t="shared" si="81"/>
        <v>22383.440000000021</v>
      </c>
      <c r="AH76" s="185">
        <f t="shared" si="82"/>
        <v>527178.50999999989</v>
      </c>
      <c r="AI76" s="411">
        <f t="shared" si="64"/>
        <v>-147495.69999999995</v>
      </c>
      <c r="AJ76" s="411">
        <f t="shared" si="17"/>
        <v>-384395.36999999965</v>
      </c>
      <c r="AK76" s="411">
        <f t="shared" si="65"/>
        <v>-531891.0699999996</v>
      </c>
      <c r="AL76" s="185">
        <f t="shared" si="83"/>
        <v>963716.55999999982</v>
      </c>
      <c r="AM76" s="317">
        <f t="shared" si="29"/>
        <v>5</v>
      </c>
      <c r="AN76" s="14">
        <f t="shared" si="66"/>
        <v>6591.25</v>
      </c>
      <c r="AO76" s="14">
        <f t="shared" si="50"/>
        <v>974796.19000000006</v>
      </c>
      <c r="AP76" s="14">
        <f t="shared" si="67"/>
        <v>2810.15</v>
      </c>
      <c r="AS76" s="14">
        <f t="shared" si="21"/>
        <v>6591.25</v>
      </c>
      <c r="AT76" s="14">
        <f t="shared" si="31"/>
        <v>401585.68999999994</v>
      </c>
      <c r="AU76" s="185">
        <f t="shared" si="32"/>
        <v>1719.4877784627477</v>
      </c>
      <c r="AV76" s="185">
        <f t="shared" si="33"/>
        <v>98889.599163561725</v>
      </c>
    </row>
    <row r="77" spans="1:50">
      <c r="A77" s="401" t="str">
        <f t="shared" si="69"/>
        <v xml:space="preserve"> </v>
      </c>
      <c r="B77" s="185">
        <f t="shared" si="22"/>
        <v>0</v>
      </c>
      <c r="C77" s="14">
        <f t="shared" si="4"/>
        <v>0</v>
      </c>
      <c r="D77" s="14">
        <f t="shared" si="35"/>
        <v>0</v>
      </c>
      <c r="E77" s="14">
        <f t="shared" si="5"/>
        <v>0</v>
      </c>
      <c r="F77" s="14">
        <f t="shared" si="51"/>
        <v>0</v>
      </c>
      <c r="G77" s="14">
        <f t="shared" si="52"/>
        <v>0</v>
      </c>
      <c r="H77" s="14">
        <f t="shared" si="54"/>
        <v>0</v>
      </c>
      <c r="I77" s="185">
        <f t="shared" si="70"/>
        <v>0</v>
      </c>
      <c r="J77" s="185">
        <f t="shared" si="71"/>
        <v>0</v>
      </c>
      <c r="K77" s="185">
        <f t="shared" si="72"/>
        <v>0</v>
      </c>
      <c r="L77" s="317">
        <f t="shared" si="6"/>
        <v>5</v>
      </c>
      <c r="M77" s="317">
        <f t="shared" si="23"/>
        <v>61</v>
      </c>
      <c r="N77" s="185">
        <f t="shared" si="24"/>
        <v>579321.19000000018</v>
      </c>
      <c r="O77" s="185">
        <f t="shared" si="73"/>
        <v>6591.25</v>
      </c>
      <c r="P77" s="185">
        <f t="shared" si="39"/>
        <v>254.92000000000007</v>
      </c>
      <c r="Q77" s="185">
        <f t="shared" si="74"/>
        <v>6336.33</v>
      </c>
      <c r="R77" s="185">
        <f t="shared" si="84"/>
        <v>134.16999999999999</v>
      </c>
      <c r="S77" s="185">
        <f t="shared" si="75"/>
        <v>188.55</v>
      </c>
      <c r="T77" s="185">
        <f t="shared" si="59"/>
        <v>6913.97</v>
      </c>
      <c r="U77" s="185">
        <f t="shared" si="40"/>
        <v>11558.729999999996</v>
      </c>
      <c r="V77" s="185">
        <f t="shared" si="41"/>
        <v>397098.76999999996</v>
      </c>
      <c r="W77" s="185">
        <f t="shared" si="76"/>
        <v>579066.27000000014</v>
      </c>
      <c r="X77" s="401" t="str">
        <f t="shared" si="27"/>
        <v xml:space="preserve"> </v>
      </c>
      <c r="Y77" s="185">
        <f t="shared" si="77"/>
        <v>963716.55999999982</v>
      </c>
      <c r="Z77" s="393">
        <f t="shared" si="10"/>
        <v>0.13125000000000001</v>
      </c>
      <c r="AA77" s="185">
        <f t="shared" si="11"/>
        <v>2810.15</v>
      </c>
      <c r="AB77" s="185">
        <f t="shared" si="78"/>
        <v>-7730.5</v>
      </c>
      <c r="AC77" s="185">
        <f t="shared" si="13"/>
        <v>10540.65</v>
      </c>
      <c r="AD77" s="185">
        <f t="shared" ref="AD77:AE77" si="99">+AD76</f>
        <v>134.16999999999999</v>
      </c>
      <c r="AE77" s="185">
        <f t="shared" si="99"/>
        <v>188.55</v>
      </c>
      <c r="AF77" s="185">
        <f t="shared" si="80"/>
        <v>3132.87</v>
      </c>
      <c r="AG77" s="185">
        <f t="shared" si="81"/>
        <v>14652.940000000021</v>
      </c>
      <c r="AH77" s="185">
        <f t="shared" si="82"/>
        <v>537719.15999999992</v>
      </c>
      <c r="AI77" s="411">
        <f t="shared" si="64"/>
        <v>-143714.59999999995</v>
      </c>
      <c r="AJ77" s="411">
        <f t="shared" si="17"/>
        <v>-392380.78999999969</v>
      </c>
      <c r="AK77" s="411">
        <f t="shared" si="65"/>
        <v>-536095.38999999966</v>
      </c>
      <c r="AL77" s="185">
        <f t="shared" si="83"/>
        <v>971447.05999999982</v>
      </c>
      <c r="AM77" s="317">
        <f t="shared" si="29"/>
        <v>5</v>
      </c>
      <c r="AN77" s="14">
        <f t="shared" si="66"/>
        <v>6591.25</v>
      </c>
      <c r="AO77" s="14">
        <f t="shared" si="50"/>
        <v>974541.27</v>
      </c>
      <c r="AP77" s="14">
        <f t="shared" si="67"/>
        <v>2810.15</v>
      </c>
      <c r="AS77" s="14">
        <f t="shared" si="21"/>
        <v>6591.25</v>
      </c>
      <c r="AT77" s="14">
        <f t="shared" si="31"/>
        <v>408176.93999999994</v>
      </c>
      <c r="AU77" s="185">
        <f t="shared" si="32"/>
        <v>1723.7864979089043</v>
      </c>
      <c r="AV77" s="185">
        <f t="shared" si="33"/>
        <v>100613.38566147063</v>
      </c>
    </row>
    <row r="78" spans="1:50">
      <c r="A78" s="401" t="str">
        <f t="shared" si="69"/>
        <v xml:space="preserve"> </v>
      </c>
      <c r="B78" s="185">
        <f t="shared" si="22"/>
        <v>0</v>
      </c>
      <c r="C78" s="14">
        <f t="shared" si="4"/>
        <v>0</v>
      </c>
      <c r="D78" s="14">
        <f t="shared" si="35"/>
        <v>0</v>
      </c>
      <c r="E78" s="14">
        <f t="shared" si="5"/>
        <v>0</v>
      </c>
      <c r="F78" s="14">
        <f t="shared" si="51"/>
        <v>0</v>
      </c>
      <c r="G78" s="14">
        <f t="shared" si="52"/>
        <v>0</v>
      </c>
      <c r="H78" s="14">
        <f t="shared" si="54"/>
        <v>0</v>
      </c>
      <c r="I78" s="185">
        <f t="shared" si="70"/>
        <v>0</v>
      </c>
      <c r="J78" s="185">
        <f t="shared" si="71"/>
        <v>0</v>
      </c>
      <c r="K78" s="185">
        <f t="shared" si="72"/>
        <v>0</v>
      </c>
      <c r="L78" s="317">
        <f t="shared" si="6"/>
        <v>5</v>
      </c>
      <c r="M78" s="317">
        <f t="shared" si="23"/>
        <v>62</v>
      </c>
      <c r="N78" s="185">
        <f t="shared" si="24"/>
        <v>579066.27000000014</v>
      </c>
      <c r="O78" s="185">
        <f t="shared" si="73"/>
        <v>6591.25</v>
      </c>
      <c r="P78" s="185">
        <f t="shared" si="39"/>
        <v>257.71000000000004</v>
      </c>
      <c r="Q78" s="185">
        <f t="shared" si="74"/>
        <v>6333.54</v>
      </c>
      <c r="R78" s="185">
        <f t="shared" si="84"/>
        <v>134.16999999999999</v>
      </c>
      <c r="S78" s="185">
        <f t="shared" si="75"/>
        <v>188.55</v>
      </c>
      <c r="T78" s="185">
        <f t="shared" si="59"/>
        <v>6913.97</v>
      </c>
      <c r="U78" s="185">
        <f t="shared" si="40"/>
        <v>11816.439999999995</v>
      </c>
      <c r="V78" s="185">
        <f t="shared" si="41"/>
        <v>403432.30999999994</v>
      </c>
      <c r="W78" s="185">
        <f t="shared" si="76"/>
        <v>578808.56000000017</v>
      </c>
      <c r="X78" s="401" t="str">
        <f t="shared" si="27"/>
        <v xml:space="preserve"> </v>
      </c>
      <c r="Y78" s="185">
        <f t="shared" si="77"/>
        <v>971447.05999999982</v>
      </c>
      <c r="Z78" s="393">
        <f t="shared" si="10"/>
        <v>0.13125000000000001</v>
      </c>
      <c r="AA78" s="185">
        <f t="shared" si="11"/>
        <v>2810.15</v>
      </c>
      <c r="AB78" s="185">
        <f t="shared" si="78"/>
        <v>-7815.0500000000011</v>
      </c>
      <c r="AC78" s="185">
        <f t="shared" si="13"/>
        <v>10625.2</v>
      </c>
      <c r="AD78" s="185">
        <f t="shared" ref="AD78:AE78" si="100">+AD77</f>
        <v>134.16999999999999</v>
      </c>
      <c r="AE78" s="185">
        <f t="shared" si="100"/>
        <v>188.55</v>
      </c>
      <c r="AF78" s="185">
        <f t="shared" si="80"/>
        <v>3132.87</v>
      </c>
      <c r="AG78" s="185">
        <f t="shared" si="81"/>
        <v>6837.8900000000194</v>
      </c>
      <c r="AH78" s="185">
        <f t="shared" si="82"/>
        <v>548344.35999999987</v>
      </c>
      <c r="AI78" s="411">
        <f t="shared" si="64"/>
        <v>-139933.49999999994</v>
      </c>
      <c r="AJ78" s="411">
        <f t="shared" si="17"/>
        <v>-400453.5499999997</v>
      </c>
      <c r="AK78" s="411">
        <f t="shared" si="65"/>
        <v>-540387.04999999958</v>
      </c>
      <c r="AL78" s="185">
        <f t="shared" si="83"/>
        <v>979262.10999999987</v>
      </c>
      <c r="AM78" s="317">
        <f t="shared" si="29"/>
        <v>5</v>
      </c>
      <c r="AN78" s="14">
        <f t="shared" si="66"/>
        <v>6591.25</v>
      </c>
      <c r="AO78" s="14">
        <f t="shared" si="50"/>
        <v>974283.56</v>
      </c>
      <c r="AP78" s="14">
        <f t="shared" si="67"/>
        <v>2810.15</v>
      </c>
      <c r="AS78" s="14">
        <f t="shared" si="21"/>
        <v>6591.25</v>
      </c>
      <c r="AT78" s="14">
        <f t="shared" si="31"/>
        <v>414768.18999999994</v>
      </c>
      <c r="AU78" s="185">
        <f t="shared" si="32"/>
        <v>1728.0959641536765</v>
      </c>
      <c r="AV78" s="185">
        <f t="shared" si="33"/>
        <v>102341.48162562431</v>
      </c>
    </row>
    <row r="79" spans="1:50">
      <c r="A79" s="401" t="str">
        <f t="shared" si="69"/>
        <v xml:space="preserve"> </v>
      </c>
      <c r="B79" s="185">
        <f t="shared" si="22"/>
        <v>0</v>
      </c>
      <c r="C79" s="14">
        <f t="shared" ref="C79:C142" si="101">IF(+$K78&lt;=0,0,$C$5)</f>
        <v>0</v>
      </c>
      <c r="D79" s="14">
        <f t="shared" si="35"/>
        <v>0</v>
      </c>
      <c r="E79" s="14">
        <f t="shared" ref="E79:E142" si="102">ROUND($B79*($C$3/12), 2)</f>
        <v>0</v>
      </c>
      <c r="F79" s="14">
        <f t="shared" si="51"/>
        <v>0</v>
      </c>
      <c r="G79" s="14">
        <f t="shared" si="52"/>
        <v>0</v>
      </c>
      <c r="H79" s="14">
        <f t="shared" si="54"/>
        <v>0</v>
      </c>
      <c r="I79" s="185">
        <f t="shared" si="70"/>
        <v>0</v>
      </c>
      <c r="J79" s="185">
        <f t="shared" si="71"/>
        <v>0</v>
      </c>
      <c r="K79" s="185">
        <f t="shared" si="72"/>
        <v>0</v>
      </c>
      <c r="L79" s="317">
        <f t="shared" ref="L79:L107" si="103">IF(MOD(M79,12)=0,M79/12,L78)</f>
        <v>5</v>
      </c>
      <c r="M79" s="317">
        <f t="shared" si="23"/>
        <v>63</v>
      </c>
      <c r="N79" s="185">
        <f t="shared" si="24"/>
        <v>578808.56000000017</v>
      </c>
      <c r="O79" s="185">
        <f t="shared" si="73"/>
        <v>6591.25</v>
      </c>
      <c r="P79" s="185">
        <f t="shared" si="39"/>
        <v>260.52999999999975</v>
      </c>
      <c r="Q79" s="185">
        <f t="shared" si="74"/>
        <v>6330.72</v>
      </c>
      <c r="R79" s="185">
        <f t="shared" si="84"/>
        <v>134.16999999999999</v>
      </c>
      <c r="S79" s="185">
        <f t="shared" si="75"/>
        <v>188.55</v>
      </c>
      <c r="T79" s="185">
        <f t="shared" si="59"/>
        <v>6913.97</v>
      </c>
      <c r="U79" s="185">
        <f t="shared" si="40"/>
        <v>12076.969999999994</v>
      </c>
      <c r="V79" s="185">
        <f t="shared" si="41"/>
        <v>409763.02999999991</v>
      </c>
      <c r="W79" s="185">
        <f t="shared" si="76"/>
        <v>578548.03000000014</v>
      </c>
      <c r="X79" s="401" t="str">
        <f t="shared" si="27"/>
        <v xml:space="preserve"> </v>
      </c>
      <c r="Y79" s="185">
        <f t="shared" si="77"/>
        <v>979262.10999999987</v>
      </c>
      <c r="Z79" s="393">
        <f t="shared" ref="Z79:Z142" si="104">IF(L79&gt;4,$AA$9,$AA$8)</f>
        <v>0.13125000000000001</v>
      </c>
      <c r="AA79" s="185">
        <f t="shared" ref="AA79:AA142" si="105">IF($O$9&lt;=$A79,IF(+AL78&lt;=0,0,IF(Z79=$AA$8,$Z$8,$Z$9)),0)</f>
        <v>2810.15</v>
      </c>
      <c r="AB79" s="185">
        <f t="shared" si="78"/>
        <v>-7900.5300000000007</v>
      </c>
      <c r="AC79" s="185">
        <f t="shared" ref="AC79:AC142" si="106">IF($O$9&lt;=$A79,ROUND(Y79*(Z79/12),2),0)</f>
        <v>10710.68</v>
      </c>
      <c r="AD79" s="185">
        <f t="shared" ref="AD79:AE79" si="107">+AD78</f>
        <v>134.16999999999999</v>
      </c>
      <c r="AE79" s="185">
        <f t="shared" si="107"/>
        <v>188.55</v>
      </c>
      <c r="AF79" s="185">
        <f t="shared" si="80"/>
        <v>3132.87</v>
      </c>
      <c r="AG79" s="185">
        <f t="shared" si="81"/>
        <v>-1062.6399999999812</v>
      </c>
      <c r="AH79" s="185">
        <f t="shared" si="82"/>
        <v>559055.03999999992</v>
      </c>
      <c r="AI79" s="411">
        <f t="shared" si="64"/>
        <v>-136152.39999999994</v>
      </c>
      <c r="AJ79" s="411">
        <f t="shared" ref="AJ79:AJ89" si="108">+W79-AL79</f>
        <v>-408614.60999999975</v>
      </c>
      <c r="AK79" s="411">
        <f t="shared" si="65"/>
        <v>-544767.00999999966</v>
      </c>
      <c r="AL79" s="185">
        <f t="shared" si="83"/>
        <v>987162.6399999999</v>
      </c>
      <c r="AM79" s="317">
        <f t="shared" si="29"/>
        <v>5</v>
      </c>
      <c r="AN79" s="14">
        <f t="shared" si="66"/>
        <v>6591.25</v>
      </c>
      <c r="AO79" s="14">
        <f t="shared" si="50"/>
        <v>974023.03</v>
      </c>
      <c r="AP79" s="14">
        <f t="shared" si="67"/>
        <v>2810.15</v>
      </c>
      <c r="AS79" s="14">
        <f t="shared" ref="AS79:AS142" si="109">+AN79-AR79</f>
        <v>6591.25</v>
      </c>
      <c r="AT79" s="14">
        <f t="shared" si="31"/>
        <v>421359.43999999994</v>
      </c>
      <c r="AU79" s="185">
        <f t="shared" si="32"/>
        <v>1732.4162040640606</v>
      </c>
      <c r="AV79" s="185">
        <f t="shared" si="33"/>
        <v>104073.89782968837</v>
      </c>
    </row>
    <row r="80" spans="1:50">
      <c r="A80" s="401" t="str">
        <f t="shared" si="69"/>
        <v xml:space="preserve"> </v>
      </c>
      <c r="B80" s="185">
        <f t="shared" ref="B80:B143" si="110">IF(+K79&lt;0,0,+K79)</f>
        <v>0</v>
      </c>
      <c r="C80" s="14">
        <f t="shared" si="101"/>
        <v>0</v>
      </c>
      <c r="D80" s="14">
        <f t="shared" si="35"/>
        <v>0</v>
      </c>
      <c r="E80" s="14">
        <f t="shared" si="102"/>
        <v>0</v>
      </c>
      <c r="F80" s="14">
        <f t="shared" si="51"/>
        <v>0</v>
      </c>
      <c r="G80" s="14">
        <f t="shared" si="52"/>
        <v>0</v>
      </c>
      <c r="H80" s="14">
        <f t="shared" si="54"/>
        <v>0</v>
      </c>
      <c r="I80" s="185">
        <f t="shared" si="70"/>
        <v>0</v>
      </c>
      <c r="J80" s="185">
        <f t="shared" si="71"/>
        <v>0</v>
      </c>
      <c r="K80" s="185">
        <f t="shared" si="72"/>
        <v>0</v>
      </c>
      <c r="L80" s="317">
        <f t="shared" si="103"/>
        <v>5</v>
      </c>
      <c r="M80" s="317">
        <f t="shared" ref="M80:M143" si="111">IF(N80&lt;&gt;"",IF(N80=$O$5,0,+M79+1),0)</f>
        <v>64</v>
      </c>
      <c r="N80" s="185">
        <f t="shared" ref="N80:N143" si="112">IF(+W79&lt;0,0,+W79)</f>
        <v>578548.03000000014</v>
      </c>
      <c r="O80" s="185">
        <f t="shared" si="73"/>
        <v>6591.25</v>
      </c>
      <c r="P80" s="185">
        <f t="shared" si="39"/>
        <v>263.38000000000011</v>
      </c>
      <c r="Q80" s="185">
        <f t="shared" si="74"/>
        <v>6327.87</v>
      </c>
      <c r="R80" s="185">
        <f t="shared" si="84"/>
        <v>134.16999999999999</v>
      </c>
      <c r="S80" s="185">
        <f t="shared" si="75"/>
        <v>188.55</v>
      </c>
      <c r="T80" s="185">
        <f t="shared" si="59"/>
        <v>6913.97</v>
      </c>
      <c r="U80" s="185">
        <f t="shared" si="40"/>
        <v>12340.349999999995</v>
      </c>
      <c r="V80" s="185">
        <f t="shared" si="41"/>
        <v>416090.89999999991</v>
      </c>
      <c r="W80" s="185">
        <f t="shared" si="76"/>
        <v>578284.65000000014</v>
      </c>
      <c r="X80" s="401" t="str">
        <f t="shared" ref="X80:X143" si="113">+A80</f>
        <v xml:space="preserve"> </v>
      </c>
      <c r="Y80" s="185">
        <f t="shared" si="77"/>
        <v>987162.6399999999</v>
      </c>
      <c r="Z80" s="393">
        <f t="shared" si="104"/>
        <v>0.13125000000000001</v>
      </c>
      <c r="AA80" s="185">
        <f t="shared" si="105"/>
        <v>2810.15</v>
      </c>
      <c r="AB80" s="185">
        <f t="shared" si="78"/>
        <v>-7986.9400000000005</v>
      </c>
      <c r="AC80" s="185">
        <f t="shared" si="106"/>
        <v>10797.09</v>
      </c>
      <c r="AD80" s="185">
        <f t="shared" ref="AD80:AE80" si="114">+AD79</f>
        <v>134.16999999999999</v>
      </c>
      <c r="AE80" s="185">
        <f t="shared" si="114"/>
        <v>188.55</v>
      </c>
      <c r="AF80" s="185">
        <f t="shared" si="80"/>
        <v>3132.87</v>
      </c>
      <c r="AG80" s="185">
        <f t="shared" si="81"/>
        <v>-9049.5799999999817</v>
      </c>
      <c r="AH80" s="185">
        <f t="shared" si="82"/>
        <v>569852.12999999989</v>
      </c>
      <c r="AI80" s="411">
        <f t="shared" si="64"/>
        <v>-132371.29999999993</v>
      </c>
      <c r="AJ80" s="411">
        <f t="shared" si="108"/>
        <v>-416864.9299999997</v>
      </c>
      <c r="AK80" s="411">
        <f t="shared" si="65"/>
        <v>-549236.22999999963</v>
      </c>
      <c r="AL80" s="185">
        <f t="shared" si="83"/>
        <v>995149.57999999984</v>
      </c>
      <c r="AM80" s="317">
        <f t="shared" ref="AM80:AM143" si="115">+L80</f>
        <v>5</v>
      </c>
      <c r="AN80" s="14">
        <f t="shared" si="66"/>
        <v>6591.25</v>
      </c>
      <c r="AO80" s="14">
        <f t="shared" si="50"/>
        <v>973759.65</v>
      </c>
      <c r="AP80" s="14">
        <f t="shared" si="67"/>
        <v>2810.15</v>
      </c>
      <c r="AS80" s="14">
        <f t="shared" si="109"/>
        <v>6591.25</v>
      </c>
      <c r="AT80" s="14">
        <f t="shared" ref="AT80:AT143" si="116">IF(W80&lt;=0,0,+AS80+AT79)</f>
        <v>427950.68999999994</v>
      </c>
      <c r="AU80" s="185">
        <f t="shared" ref="AU80:AU143" si="117">IF(W80&lt;=0,0,+($O$5+AV79)*$AQ$2/12)</f>
        <v>1736.7472445742208</v>
      </c>
      <c r="AV80" s="185">
        <f t="shared" ref="AV80:AV143" si="118">IF(W80&lt;=0,0,+AV79+AU80)</f>
        <v>105810.64507426259</v>
      </c>
    </row>
    <row r="81" spans="1:50">
      <c r="A81" s="401" t="str">
        <f t="shared" si="69"/>
        <v xml:space="preserve"> </v>
      </c>
      <c r="B81" s="185">
        <f t="shared" si="110"/>
        <v>0</v>
      </c>
      <c r="C81" s="14">
        <f t="shared" si="101"/>
        <v>0</v>
      </c>
      <c r="D81" s="14">
        <f t="shared" ref="D81:D144" si="119">+C81-E81</f>
        <v>0</v>
      </c>
      <c r="E81" s="14">
        <f t="shared" si="102"/>
        <v>0</v>
      </c>
      <c r="F81" s="14">
        <f t="shared" si="51"/>
        <v>0</v>
      </c>
      <c r="G81" s="14">
        <f t="shared" si="52"/>
        <v>0</v>
      </c>
      <c r="H81" s="14">
        <f t="shared" si="54"/>
        <v>0</v>
      </c>
      <c r="I81" s="185">
        <f t="shared" si="70"/>
        <v>0</v>
      </c>
      <c r="J81" s="185">
        <f t="shared" si="71"/>
        <v>0</v>
      </c>
      <c r="K81" s="185">
        <f t="shared" si="72"/>
        <v>0</v>
      </c>
      <c r="L81" s="317">
        <f t="shared" si="103"/>
        <v>5</v>
      </c>
      <c r="M81" s="317">
        <f t="shared" si="111"/>
        <v>65</v>
      </c>
      <c r="N81" s="185">
        <f t="shared" si="112"/>
        <v>578284.65000000014</v>
      </c>
      <c r="O81" s="185">
        <f t="shared" si="73"/>
        <v>6591.25</v>
      </c>
      <c r="P81" s="185">
        <f t="shared" ref="P81:P144" si="120">+O81-Q81</f>
        <v>266.26000000000022</v>
      </c>
      <c r="Q81" s="185">
        <f t="shared" si="74"/>
        <v>6324.99</v>
      </c>
      <c r="R81" s="185">
        <f t="shared" si="84"/>
        <v>134.16999999999999</v>
      </c>
      <c r="S81" s="185">
        <f t="shared" si="75"/>
        <v>188.55</v>
      </c>
      <c r="T81" s="185">
        <f t="shared" si="59"/>
        <v>6913.97</v>
      </c>
      <c r="U81" s="185">
        <f t="shared" ref="U81:U144" si="121">+P81+U80</f>
        <v>12606.609999999995</v>
      </c>
      <c r="V81" s="185">
        <f t="shared" ref="V81:V144" si="122">+V80+Q81</f>
        <v>422415.8899999999</v>
      </c>
      <c r="W81" s="185">
        <f t="shared" si="76"/>
        <v>578018.39000000013</v>
      </c>
      <c r="X81" s="401" t="str">
        <f t="shared" si="113"/>
        <v xml:space="preserve"> </v>
      </c>
      <c r="Y81" s="185">
        <f t="shared" si="77"/>
        <v>995149.57999999984</v>
      </c>
      <c r="Z81" s="393">
        <f t="shared" si="104"/>
        <v>0.13125000000000001</v>
      </c>
      <c r="AA81" s="185">
        <f t="shared" si="105"/>
        <v>2810.15</v>
      </c>
      <c r="AB81" s="185">
        <f t="shared" si="78"/>
        <v>-8074.3000000000011</v>
      </c>
      <c r="AC81" s="185">
        <f t="shared" si="106"/>
        <v>10884.45</v>
      </c>
      <c r="AD81" s="185">
        <f t="shared" ref="AD81:AE81" si="123">+AD80</f>
        <v>134.16999999999999</v>
      </c>
      <c r="AE81" s="185">
        <f t="shared" si="123"/>
        <v>188.55</v>
      </c>
      <c r="AF81" s="185">
        <f t="shared" si="80"/>
        <v>3132.87</v>
      </c>
      <c r="AG81" s="185">
        <f t="shared" si="81"/>
        <v>-17123.879999999983</v>
      </c>
      <c r="AH81" s="185">
        <f t="shared" si="82"/>
        <v>580736.57999999984</v>
      </c>
      <c r="AI81" s="411">
        <f t="shared" si="64"/>
        <v>-128590.19999999992</v>
      </c>
      <c r="AJ81" s="411">
        <f t="shared" si="108"/>
        <v>-425205.48999999976</v>
      </c>
      <c r="AK81" s="411">
        <f t="shared" si="65"/>
        <v>-553795.68999999971</v>
      </c>
      <c r="AL81" s="185">
        <f t="shared" si="83"/>
        <v>1003223.8799999999</v>
      </c>
      <c r="AM81" s="317">
        <f t="shared" si="115"/>
        <v>5</v>
      </c>
      <c r="AN81" s="14">
        <f t="shared" si="66"/>
        <v>6591.25</v>
      </c>
      <c r="AO81" s="14">
        <f t="shared" si="50"/>
        <v>973493.39</v>
      </c>
      <c r="AP81" s="14">
        <f t="shared" si="67"/>
        <v>2810.15</v>
      </c>
      <c r="AS81" s="14">
        <f t="shared" si="109"/>
        <v>6591.25</v>
      </c>
      <c r="AT81" s="14">
        <f t="shared" si="116"/>
        <v>434541.93999999994</v>
      </c>
      <c r="AU81" s="185">
        <f t="shared" si="117"/>
        <v>1741.0891126856566</v>
      </c>
      <c r="AV81" s="185">
        <f t="shared" si="118"/>
        <v>107551.73418694825</v>
      </c>
    </row>
    <row r="82" spans="1:50">
      <c r="A82" s="401" t="str">
        <f t="shared" si="69"/>
        <v xml:space="preserve"> </v>
      </c>
      <c r="B82" s="185">
        <f t="shared" si="110"/>
        <v>0</v>
      </c>
      <c r="C82" s="14">
        <f t="shared" si="101"/>
        <v>0</v>
      </c>
      <c r="D82" s="14">
        <f t="shared" si="119"/>
        <v>0</v>
      </c>
      <c r="E82" s="14">
        <f t="shared" si="102"/>
        <v>0</v>
      </c>
      <c r="F82" s="14">
        <f t="shared" si="51"/>
        <v>0</v>
      </c>
      <c r="G82" s="14">
        <f t="shared" si="52"/>
        <v>0</v>
      </c>
      <c r="H82" s="14">
        <f t="shared" si="54"/>
        <v>0</v>
      </c>
      <c r="I82" s="185">
        <f t="shared" si="70"/>
        <v>0</v>
      </c>
      <c r="J82" s="185">
        <f t="shared" si="71"/>
        <v>0</v>
      </c>
      <c r="K82" s="185">
        <f t="shared" si="72"/>
        <v>0</v>
      </c>
      <c r="L82" s="317">
        <f t="shared" si="103"/>
        <v>5</v>
      </c>
      <c r="M82" s="317">
        <f t="shared" si="111"/>
        <v>66</v>
      </c>
      <c r="N82" s="185">
        <f t="shared" si="112"/>
        <v>578018.39000000013</v>
      </c>
      <c r="O82" s="185">
        <f t="shared" si="73"/>
        <v>6591.25</v>
      </c>
      <c r="P82" s="185">
        <f t="shared" si="120"/>
        <v>269.17000000000007</v>
      </c>
      <c r="Q82" s="185">
        <f t="shared" si="74"/>
        <v>6322.08</v>
      </c>
      <c r="R82" s="185">
        <f t="shared" si="84"/>
        <v>134.16999999999999</v>
      </c>
      <c r="S82" s="185">
        <f t="shared" si="75"/>
        <v>188.55</v>
      </c>
      <c r="T82" s="185">
        <f t="shared" si="59"/>
        <v>6913.97</v>
      </c>
      <c r="U82" s="185">
        <f t="shared" si="121"/>
        <v>12875.779999999995</v>
      </c>
      <c r="V82" s="185">
        <f t="shared" si="122"/>
        <v>428737.96999999991</v>
      </c>
      <c r="W82" s="185">
        <f t="shared" si="76"/>
        <v>577749.22000000009</v>
      </c>
      <c r="X82" s="401" t="str">
        <f t="shared" si="113"/>
        <v xml:space="preserve"> </v>
      </c>
      <c r="Y82" s="185">
        <f t="shared" si="77"/>
        <v>1003223.8799999999</v>
      </c>
      <c r="Z82" s="393">
        <f t="shared" si="104"/>
        <v>0.13125000000000001</v>
      </c>
      <c r="AA82" s="185">
        <f t="shared" si="105"/>
        <v>2810.15</v>
      </c>
      <c r="AB82" s="185">
        <f t="shared" si="78"/>
        <v>-8162.6100000000006</v>
      </c>
      <c r="AC82" s="185">
        <f t="shared" si="106"/>
        <v>10972.76</v>
      </c>
      <c r="AD82" s="185">
        <f t="shared" ref="AD82:AE82" si="124">+AD81</f>
        <v>134.16999999999999</v>
      </c>
      <c r="AE82" s="185">
        <f t="shared" si="124"/>
        <v>188.55</v>
      </c>
      <c r="AF82" s="185">
        <f t="shared" si="80"/>
        <v>3132.87</v>
      </c>
      <c r="AG82" s="185">
        <f t="shared" si="81"/>
        <v>-25286.489999999983</v>
      </c>
      <c r="AH82" s="185">
        <f t="shared" si="82"/>
        <v>591709.33999999985</v>
      </c>
      <c r="AI82" s="411">
        <f t="shared" si="64"/>
        <v>-124809.09999999992</v>
      </c>
      <c r="AJ82" s="411">
        <f t="shared" si="108"/>
        <v>-433637.26999999979</v>
      </c>
      <c r="AK82" s="411">
        <f t="shared" si="65"/>
        <v>-558446.36999999965</v>
      </c>
      <c r="AL82" s="185">
        <f t="shared" si="83"/>
        <v>1011386.4899999999</v>
      </c>
      <c r="AM82" s="317">
        <f t="shared" si="115"/>
        <v>5</v>
      </c>
      <c r="AN82" s="14">
        <f t="shared" si="66"/>
        <v>6591.25</v>
      </c>
      <c r="AO82" s="14">
        <f t="shared" si="50"/>
        <v>973224.22</v>
      </c>
      <c r="AP82" s="14">
        <f t="shared" si="67"/>
        <v>2810.15</v>
      </c>
      <c r="AS82" s="14">
        <f t="shared" si="109"/>
        <v>6591.25</v>
      </c>
      <c r="AT82" s="14">
        <f t="shared" si="116"/>
        <v>441133.18999999994</v>
      </c>
      <c r="AU82" s="185">
        <f t="shared" si="117"/>
        <v>1745.4418354673708</v>
      </c>
      <c r="AV82" s="185">
        <f t="shared" si="118"/>
        <v>109297.17602241562</v>
      </c>
    </row>
    <row r="83" spans="1:50">
      <c r="A83" s="401" t="str">
        <f t="shared" si="69"/>
        <v xml:space="preserve"> </v>
      </c>
      <c r="B83" s="185">
        <f t="shared" si="110"/>
        <v>0</v>
      </c>
      <c r="C83" s="14">
        <f t="shared" si="101"/>
        <v>0</v>
      </c>
      <c r="D83" s="14">
        <f t="shared" si="119"/>
        <v>0</v>
      </c>
      <c r="E83" s="14">
        <f t="shared" si="102"/>
        <v>0</v>
      </c>
      <c r="F83" s="14">
        <f t="shared" si="51"/>
        <v>0</v>
      </c>
      <c r="G83" s="14">
        <f t="shared" si="52"/>
        <v>0</v>
      </c>
      <c r="H83" s="14">
        <f t="shared" si="54"/>
        <v>0</v>
      </c>
      <c r="I83" s="185">
        <f t="shared" si="70"/>
        <v>0</v>
      </c>
      <c r="J83" s="185">
        <f t="shared" si="71"/>
        <v>0</v>
      </c>
      <c r="K83" s="185">
        <f t="shared" si="72"/>
        <v>0</v>
      </c>
      <c r="L83" s="317">
        <f t="shared" si="103"/>
        <v>5</v>
      </c>
      <c r="M83" s="317">
        <f t="shared" si="111"/>
        <v>67</v>
      </c>
      <c r="N83" s="185">
        <f t="shared" si="112"/>
        <v>577749.22000000009</v>
      </c>
      <c r="O83" s="185">
        <f t="shared" si="73"/>
        <v>6591.25</v>
      </c>
      <c r="P83" s="185">
        <f t="shared" si="120"/>
        <v>272.11999999999989</v>
      </c>
      <c r="Q83" s="185">
        <f t="shared" si="74"/>
        <v>6319.13</v>
      </c>
      <c r="R83" s="185">
        <f t="shared" si="84"/>
        <v>134.16999999999999</v>
      </c>
      <c r="S83" s="185">
        <f t="shared" si="75"/>
        <v>188.55</v>
      </c>
      <c r="T83" s="185">
        <f t="shared" si="59"/>
        <v>6913.97</v>
      </c>
      <c r="U83" s="185">
        <f t="shared" si="121"/>
        <v>13147.899999999994</v>
      </c>
      <c r="V83" s="185">
        <f t="shared" si="122"/>
        <v>435057.09999999992</v>
      </c>
      <c r="W83" s="185">
        <f t="shared" si="76"/>
        <v>577477.10000000009</v>
      </c>
      <c r="X83" s="401" t="str">
        <f t="shared" si="113"/>
        <v xml:space="preserve"> </v>
      </c>
      <c r="Y83" s="185">
        <f t="shared" si="77"/>
        <v>1011386.4899999999</v>
      </c>
      <c r="Z83" s="393">
        <f t="shared" si="104"/>
        <v>0.13125000000000001</v>
      </c>
      <c r="AA83" s="185">
        <f t="shared" si="105"/>
        <v>2810.15</v>
      </c>
      <c r="AB83" s="185">
        <f t="shared" si="78"/>
        <v>-8251.8900000000012</v>
      </c>
      <c r="AC83" s="185">
        <f t="shared" si="106"/>
        <v>11062.04</v>
      </c>
      <c r="AD83" s="185">
        <f t="shared" ref="AD83:AE83" si="125">+AD82</f>
        <v>134.16999999999999</v>
      </c>
      <c r="AE83" s="185">
        <f t="shared" si="125"/>
        <v>188.55</v>
      </c>
      <c r="AF83" s="185">
        <f t="shared" si="80"/>
        <v>3132.87</v>
      </c>
      <c r="AG83" s="185">
        <f t="shared" si="81"/>
        <v>-33538.379999999983</v>
      </c>
      <c r="AH83" s="185">
        <f t="shared" si="82"/>
        <v>602771.37999999989</v>
      </c>
      <c r="AI83" s="411">
        <f t="shared" si="64"/>
        <v>-121027.99999999991</v>
      </c>
      <c r="AJ83" s="411">
        <f t="shared" si="108"/>
        <v>-442161.2799999998</v>
      </c>
      <c r="AK83" s="411">
        <f t="shared" si="65"/>
        <v>-563189.27999999968</v>
      </c>
      <c r="AL83" s="185">
        <f t="shared" si="83"/>
        <v>1019638.3799999999</v>
      </c>
      <c r="AM83" s="317">
        <f t="shared" si="115"/>
        <v>5</v>
      </c>
      <c r="AN83" s="14">
        <f t="shared" si="66"/>
        <v>6591.25</v>
      </c>
      <c r="AO83" s="14">
        <f t="shared" si="50"/>
        <v>972952.1</v>
      </c>
      <c r="AP83" s="14">
        <f t="shared" si="67"/>
        <v>2810.15</v>
      </c>
      <c r="AS83" s="14">
        <f t="shared" si="109"/>
        <v>6591.25</v>
      </c>
      <c r="AT83" s="14">
        <f t="shared" si="116"/>
        <v>447724.43999999994</v>
      </c>
      <c r="AU83" s="185">
        <f t="shared" si="117"/>
        <v>1749.8054400560388</v>
      </c>
      <c r="AV83" s="185">
        <f t="shared" si="118"/>
        <v>111046.98146247165</v>
      </c>
      <c r="AX83" s="373"/>
    </row>
    <row r="84" spans="1:50">
      <c r="A84" s="401" t="str">
        <f t="shared" si="69"/>
        <v xml:space="preserve"> </v>
      </c>
      <c r="B84" s="185">
        <f t="shared" si="110"/>
        <v>0</v>
      </c>
      <c r="C84" s="14">
        <f t="shared" si="101"/>
        <v>0</v>
      </c>
      <c r="D84" s="14">
        <f t="shared" si="119"/>
        <v>0</v>
      </c>
      <c r="E84" s="14">
        <f t="shared" si="102"/>
        <v>0</v>
      </c>
      <c r="F84" s="14">
        <f t="shared" si="51"/>
        <v>0</v>
      </c>
      <c r="G84" s="14">
        <f t="shared" si="52"/>
        <v>0</v>
      </c>
      <c r="H84" s="14">
        <f t="shared" si="54"/>
        <v>0</v>
      </c>
      <c r="I84" s="185">
        <f t="shared" si="70"/>
        <v>0</v>
      </c>
      <c r="J84" s="185">
        <f t="shared" si="71"/>
        <v>0</v>
      </c>
      <c r="K84" s="185">
        <f t="shared" si="72"/>
        <v>0</v>
      </c>
      <c r="L84" s="317">
        <f t="shared" si="103"/>
        <v>5</v>
      </c>
      <c r="M84" s="317">
        <f t="shared" si="111"/>
        <v>68</v>
      </c>
      <c r="N84" s="185">
        <f t="shared" si="112"/>
        <v>577477.10000000009</v>
      </c>
      <c r="O84" s="185">
        <f t="shared" si="73"/>
        <v>6591.25</v>
      </c>
      <c r="P84" s="185">
        <f t="shared" si="120"/>
        <v>275.09000000000015</v>
      </c>
      <c r="Q84" s="185">
        <f t="shared" si="74"/>
        <v>6316.16</v>
      </c>
      <c r="R84" s="185">
        <f t="shared" si="84"/>
        <v>134.16999999999999</v>
      </c>
      <c r="S84" s="185">
        <f t="shared" si="75"/>
        <v>188.55</v>
      </c>
      <c r="T84" s="185">
        <f t="shared" si="59"/>
        <v>6913.97</v>
      </c>
      <c r="U84" s="185">
        <f t="shared" si="121"/>
        <v>13422.989999999994</v>
      </c>
      <c r="V84" s="185">
        <f t="shared" si="122"/>
        <v>441373.25999999989</v>
      </c>
      <c r="W84" s="185">
        <f t="shared" si="76"/>
        <v>577202.01000000013</v>
      </c>
      <c r="X84" s="401" t="str">
        <f t="shared" si="113"/>
        <v xml:space="preserve"> </v>
      </c>
      <c r="Y84" s="185">
        <f t="shared" si="77"/>
        <v>1019638.3799999999</v>
      </c>
      <c r="Z84" s="393">
        <f t="shared" si="104"/>
        <v>0.13125000000000001</v>
      </c>
      <c r="AA84" s="185">
        <f t="shared" si="105"/>
        <v>2810.15</v>
      </c>
      <c r="AB84" s="185">
        <f t="shared" si="78"/>
        <v>-8342.1400000000012</v>
      </c>
      <c r="AC84" s="185">
        <f t="shared" si="106"/>
        <v>11152.29</v>
      </c>
      <c r="AD84" s="185">
        <f t="shared" ref="AD84:AE84" si="126">+AD83</f>
        <v>134.16999999999999</v>
      </c>
      <c r="AE84" s="185">
        <f t="shared" si="126"/>
        <v>188.55</v>
      </c>
      <c r="AF84" s="185">
        <f t="shared" si="80"/>
        <v>3132.87</v>
      </c>
      <c r="AG84" s="185">
        <f t="shared" si="81"/>
        <v>-41880.519999999982</v>
      </c>
      <c r="AH84" s="185">
        <f t="shared" si="82"/>
        <v>613923.66999999993</v>
      </c>
      <c r="AI84" s="411">
        <f t="shared" si="64"/>
        <v>-117246.89999999991</v>
      </c>
      <c r="AJ84" s="411">
        <f t="shared" si="108"/>
        <v>-450778.50999999978</v>
      </c>
      <c r="AK84" s="411">
        <f t="shared" si="65"/>
        <v>-568025.40999999968</v>
      </c>
      <c r="AL84" s="185">
        <f t="shared" si="83"/>
        <v>1027980.5199999999</v>
      </c>
      <c r="AM84" s="317">
        <f t="shared" si="115"/>
        <v>5</v>
      </c>
      <c r="AN84" s="14">
        <f t="shared" si="66"/>
        <v>6591.25</v>
      </c>
      <c r="AO84" s="14">
        <f t="shared" si="50"/>
        <v>972677.01</v>
      </c>
      <c r="AP84" s="14">
        <f t="shared" si="67"/>
        <v>2810.15</v>
      </c>
      <c r="AS84" s="14">
        <f t="shared" si="109"/>
        <v>6591.25</v>
      </c>
      <c r="AT84" s="14">
        <f t="shared" si="116"/>
        <v>454315.68999999994</v>
      </c>
      <c r="AU84" s="185">
        <f t="shared" si="117"/>
        <v>1754.1799536561791</v>
      </c>
      <c r="AV84" s="185">
        <f t="shared" si="118"/>
        <v>112801.16141612783</v>
      </c>
      <c r="AX84" s="373"/>
    </row>
    <row r="85" spans="1:50">
      <c r="A85" s="401" t="str">
        <f t="shared" si="69"/>
        <v xml:space="preserve"> </v>
      </c>
      <c r="B85" s="185">
        <f t="shared" si="110"/>
        <v>0</v>
      </c>
      <c r="C85" s="14">
        <f t="shared" si="101"/>
        <v>0</v>
      </c>
      <c r="D85" s="14">
        <f t="shared" si="119"/>
        <v>0</v>
      </c>
      <c r="E85" s="14">
        <f t="shared" si="102"/>
        <v>0</v>
      </c>
      <c r="F85" s="14">
        <f t="shared" si="51"/>
        <v>0</v>
      </c>
      <c r="G85" s="14">
        <f t="shared" si="52"/>
        <v>0</v>
      </c>
      <c r="H85" s="14">
        <f t="shared" si="54"/>
        <v>0</v>
      </c>
      <c r="I85" s="185">
        <f t="shared" si="70"/>
        <v>0</v>
      </c>
      <c r="J85" s="185">
        <f t="shared" si="71"/>
        <v>0</v>
      </c>
      <c r="K85" s="185">
        <f t="shared" si="72"/>
        <v>0</v>
      </c>
      <c r="L85" s="317">
        <f t="shared" si="103"/>
        <v>5</v>
      </c>
      <c r="M85" s="317">
        <f t="shared" si="111"/>
        <v>69</v>
      </c>
      <c r="N85" s="185">
        <f t="shared" si="112"/>
        <v>577202.01000000013</v>
      </c>
      <c r="O85" s="185">
        <f t="shared" si="73"/>
        <v>6591.25</v>
      </c>
      <c r="P85" s="185">
        <f t="shared" si="120"/>
        <v>278.10000000000036</v>
      </c>
      <c r="Q85" s="185">
        <f t="shared" si="74"/>
        <v>6313.15</v>
      </c>
      <c r="R85" s="185">
        <f t="shared" si="84"/>
        <v>134.16999999999999</v>
      </c>
      <c r="S85" s="185">
        <f t="shared" si="75"/>
        <v>188.55</v>
      </c>
      <c r="T85" s="185">
        <f t="shared" si="59"/>
        <v>6913.97</v>
      </c>
      <c r="U85" s="185">
        <f t="shared" si="121"/>
        <v>13701.089999999995</v>
      </c>
      <c r="V85" s="185">
        <f t="shared" si="122"/>
        <v>447686.40999999992</v>
      </c>
      <c r="W85" s="185">
        <f t="shared" si="76"/>
        <v>576923.91000000015</v>
      </c>
      <c r="X85" s="401" t="str">
        <f t="shared" si="113"/>
        <v xml:space="preserve"> </v>
      </c>
      <c r="Y85" s="185">
        <f t="shared" si="77"/>
        <v>1027980.5199999999</v>
      </c>
      <c r="Z85" s="393">
        <f t="shared" si="104"/>
        <v>0.13125000000000001</v>
      </c>
      <c r="AA85" s="185">
        <f t="shared" si="105"/>
        <v>2810.15</v>
      </c>
      <c r="AB85" s="185">
        <f t="shared" si="78"/>
        <v>-8433.3900000000012</v>
      </c>
      <c r="AC85" s="185">
        <f t="shared" si="106"/>
        <v>11243.54</v>
      </c>
      <c r="AD85" s="185">
        <f t="shared" ref="AD85:AE85" si="127">+AD84</f>
        <v>134.16999999999999</v>
      </c>
      <c r="AE85" s="185">
        <f t="shared" si="127"/>
        <v>188.55</v>
      </c>
      <c r="AF85" s="185">
        <f t="shared" si="80"/>
        <v>3132.87</v>
      </c>
      <c r="AG85" s="185">
        <f t="shared" si="81"/>
        <v>-50313.909999999982</v>
      </c>
      <c r="AH85" s="185">
        <f t="shared" si="82"/>
        <v>625167.21</v>
      </c>
      <c r="AI85" s="411">
        <f t="shared" si="64"/>
        <v>-113465.7999999999</v>
      </c>
      <c r="AJ85" s="411">
        <f t="shared" si="108"/>
        <v>-459489.99999999977</v>
      </c>
      <c r="AK85" s="411">
        <f t="shared" si="65"/>
        <v>-572955.7999999997</v>
      </c>
      <c r="AL85" s="185">
        <f t="shared" si="83"/>
        <v>1036413.9099999999</v>
      </c>
      <c r="AM85" s="317">
        <f t="shared" si="115"/>
        <v>5</v>
      </c>
      <c r="AN85" s="14">
        <f t="shared" si="66"/>
        <v>6591.25</v>
      </c>
      <c r="AO85" s="14">
        <f t="shared" si="50"/>
        <v>972398.91</v>
      </c>
      <c r="AP85" s="14">
        <f t="shared" si="67"/>
        <v>2810.15</v>
      </c>
      <c r="AS85" s="14">
        <f t="shared" si="109"/>
        <v>6591.25</v>
      </c>
      <c r="AT85" s="14">
        <f t="shared" si="116"/>
        <v>460906.93999999994</v>
      </c>
      <c r="AU85" s="185">
        <f t="shared" si="117"/>
        <v>1758.5654035403195</v>
      </c>
      <c r="AV85" s="185">
        <f t="shared" si="118"/>
        <v>114559.72681966814</v>
      </c>
    </row>
    <row r="86" spans="1:50" ht="15.75" thickBot="1">
      <c r="A86" s="404" t="str">
        <f t="shared" si="69"/>
        <v xml:space="preserve"> </v>
      </c>
      <c r="B86" s="237">
        <f t="shared" si="110"/>
        <v>0</v>
      </c>
      <c r="C86" s="21">
        <f t="shared" si="101"/>
        <v>0</v>
      </c>
      <c r="D86" s="21">
        <f t="shared" si="119"/>
        <v>0</v>
      </c>
      <c r="E86" s="21">
        <f t="shared" si="102"/>
        <v>0</v>
      </c>
      <c r="F86" s="21">
        <f t="shared" si="51"/>
        <v>0</v>
      </c>
      <c r="G86" s="21">
        <f t="shared" si="52"/>
        <v>0</v>
      </c>
      <c r="H86" s="21">
        <f t="shared" si="54"/>
        <v>0</v>
      </c>
      <c r="I86" s="237">
        <f t="shared" si="70"/>
        <v>0</v>
      </c>
      <c r="J86" s="237">
        <f t="shared" si="71"/>
        <v>0</v>
      </c>
      <c r="K86" s="237">
        <f t="shared" si="72"/>
        <v>0</v>
      </c>
      <c r="L86" s="318">
        <f t="shared" si="103"/>
        <v>5</v>
      </c>
      <c r="M86" s="318">
        <f t="shared" si="111"/>
        <v>70</v>
      </c>
      <c r="N86" s="237">
        <f t="shared" si="112"/>
        <v>576923.91000000015</v>
      </c>
      <c r="O86" s="237">
        <f t="shared" si="73"/>
        <v>6591.25</v>
      </c>
      <c r="P86" s="237">
        <f t="shared" si="120"/>
        <v>281.14000000000033</v>
      </c>
      <c r="Q86" s="237">
        <f t="shared" si="74"/>
        <v>6310.11</v>
      </c>
      <c r="R86" s="237">
        <f t="shared" si="84"/>
        <v>134.16999999999999</v>
      </c>
      <c r="S86" s="237">
        <f t="shared" si="75"/>
        <v>188.55</v>
      </c>
      <c r="T86" s="237">
        <f t="shared" si="59"/>
        <v>6913.97</v>
      </c>
      <c r="U86" s="237">
        <f t="shared" si="121"/>
        <v>13982.229999999996</v>
      </c>
      <c r="V86" s="237">
        <f t="shared" si="122"/>
        <v>453996.5199999999</v>
      </c>
      <c r="W86" s="237">
        <f t="shared" si="76"/>
        <v>576642.77000000014</v>
      </c>
      <c r="X86" s="404" t="str">
        <f t="shared" si="113"/>
        <v xml:space="preserve"> </v>
      </c>
      <c r="Y86" s="237">
        <f t="shared" si="77"/>
        <v>1036413.9099999999</v>
      </c>
      <c r="Z86" s="394">
        <f t="shared" si="104"/>
        <v>0.13125000000000001</v>
      </c>
      <c r="AA86" s="237">
        <f t="shared" si="105"/>
        <v>2810.15</v>
      </c>
      <c r="AB86" s="237">
        <f t="shared" si="78"/>
        <v>-8525.630000000001</v>
      </c>
      <c r="AC86" s="237">
        <f t="shared" si="106"/>
        <v>11335.78</v>
      </c>
      <c r="AD86" s="237">
        <f t="shared" ref="AD86:AE86" si="128">+AD85</f>
        <v>134.16999999999999</v>
      </c>
      <c r="AE86" s="237">
        <f t="shared" si="128"/>
        <v>188.55</v>
      </c>
      <c r="AF86" s="237">
        <f t="shared" si="80"/>
        <v>3132.87</v>
      </c>
      <c r="AG86" s="237">
        <f t="shared" si="81"/>
        <v>-58839.539999999979</v>
      </c>
      <c r="AH86" s="237">
        <f t="shared" si="82"/>
        <v>636502.99</v>
      </c>
      <c r="AI86" s="412">
        <f t="shared" si="64"/>
        <v>-109684.6999999999</v>
      </c>
      <c r="AJ86" s="412">
        <f t="shared" si="108"/>
        <v>-468296.76999999979</v>
      </c>
      <c r="AK86" s="412">
        <f t="shared" si="65"/>
        <v>-577981.46999999974</v>
      </c>
      <c r="AL86" s="237">
        <f t="shared" si="83"/>
        <v>1044939.5399999999</v>
      </c>
      <c r="AM86" s="318">
        <f t="shared" si="115"/>
        <v>5</v>
      </c>
      <c r="AN86" s="21">
        <f t="shared" si="66"/>
        <v>6591.25</v>
      </c>
      <c r="AO86" s="21">
        <f t="shared" si="50"/>
        <v>972117.77</v>
      </c>
      <c r="AP86" s="21">
        <f t="shared" si="67"/>
        <v>2810.15</v>
      </c>
      <c r="AQ86" s="21"/>
      <c r="AR86" s="23"/>
      <c r="AS86" s="21">
        <f t="shared" si="109"/>
        <v>6591.25</v>
      </c>
      <c r="AT86" s="21">
        <f t="shared" si="116"/>
        <v>467498.18999999994</v>
      </c>
      <c r="AU86" s="237">
        <f t="shared" si="117"/>
        <v>1762.9618170491703</v>
      </c>
      <c r="AV86" s="237">
        <f t="shared" si="118"/>
        <v>116322.68863671731</v>
      </c>
    </row>
    <row r="87" spans="1:50">
      <c r="A87" s="401" t="str">
        <f t="shared" si="69"/>
        <v xml:space="preserve"> </v>
      </c>
      <c r="B87" s="185">
        <f t="shared" si="110"/>
        <v>0</v>
      </c>
      <c r="C87" s="14">
        <f t="shared" si="101"/>
        <v>0</v>
      </c>
      <c r="D87" s="14">
        <f t="shared" si="119"/>
        <v>0</v>
      </c>
      <c r="E87" s="14">
        <f t="shared" si="102"/>
        <v>0</v>
      </c>
      <c r="F87" s="14">
        <f t="shared" si="51"/>
        <v>0</v>
      </c>
      <c r="G87" s="14">
        <f t="shared" si="52"/>
        <v>0</v>
      </c>
      <c r="H87" s="14">
        <f t="shared" si="54"/>
        <v>0</v>
      </c>
      <c r="I87" s="185">
        <f t="shared" si="70"/>
        <v>0</v>
      </c>
      <c r="J87" s="185">
        <f t="shared" si="71"/>
        <v>0</v>
      </c>
      <c r="K87" s="185">
        <f t="shared" si="72"/>
        <v>0</v>
      </c>
      <c r="L87" s="317">
        <f t="shared" si="103"/>
        <v>5</v>
      </c>
      <c r="M87" s="317">
        <f t="shared" si="111"/>
        <v>71</v>
      </c>
      <c r="N87" s="185">
        <f t="shared" si="112"/>
        <v>576642.77000000014</v>
      </c>
      <c r="O87" s="185">
        <f t="shared" si="73"/>
        <v>6591.25</v>
      </c>
      <c r="P87" s="185">
        <f t="shared" si="120"/>
        <v>284.22000000000025</v>
      </c>
      <c r="Q87" s="185">
        <f t="shared" si="74"/>
        <v>6307.03</v>
      </c>
      <c r="R87" s="185">
        <f t="shared" si="84"/>
        <v>134.16999999999999</v>
      </c>
      <c r="S87" s="185">
        <f t="shared" si="75"/>
        <v>188.55</v>
      </c>
      <c r="T87" s="185">
        <f t="shared" si="59"/>
        <v>6913.97</v>
      </c>
      <c r="U87" s="185">
        <f t="shared" si="121"/>
        <v>14266.449999999997</v>
      </c>
      <c r="V87" s="185">
        <f t="shared" si="122"/>
        <v>460303.54999999993</v>
      </c>
      <c r="W87" s="185">
        <f t="shared" si="76"/>
        <v>576358.55000000016</v>
      </c>
      <c r="X87" s="401" t="str">
        <f t="shared" si="113"/>
        <v xml:space="preserve"> </v>
      </c>
      <c r="Y87" s="185">
        <f t="shared" si="77"/>
        <v>1044939.5399999999</v>
      </c>
      <c r="Z87" s="393">
        <f t="shared" si="104"/>
        <v>0.13125000000000001</v>
      </c>
      <c r="AA87" s="185">
        <f t="shared" si="105"/>
        <v>2810.15</v>
      </c>
      <c r="AB87" s="185">
        <f t="shared" si="78"/>
        <v>-8618.880000000001</v>
      </c>
      <c r="AC87" s="185">
        <f t="shared" si="106"/>
        <v>11429.03</v>
      </c>
      <c r="AD87" s="185">
        <f t="shared" ref="AD87:AE87" si="129">+AD86</f>
        <v>134.16999999999999</v>
      </c>
      <c r="AE87" s="185">
        <f t="shared" si="129"/>
        <v>188.55</v>
      </c>
      <c r="AF87" s="185">
        <f t="shared" si="80"/>
        <v>3132.87</v>
      </c>
      <c r="AG87" s="185">
        <f t="shared" si="81"/>
        <v>-67458.419999999984</v>
      </c>
      <c r="AH87" s="185">
        <f t="shared" si="82"/>
        <v>647932.02</v>
      </c>
      <c r="AI87" s="411">
        <f t="shared" si="64"/>
        <v>-105903.59999999989</v>
      </c>
      <c r="AJ87" s="411">
        <f t="shared" si="108"/>
        <v>-477199.86999999976</v>
      </c>
      <c r="AK87" s="411">
        <f t="shared" si="65"/>
        <v>-583103.46999999962</v>
      </c>
      <c r="AL87" s="185">
        <f t="shared" si="83"/>
        <v>1053558.42</v>
      </c>
      <c r="AM87" s="317">
        <f t="shared" si="115"/>
        <v>5</v>
      </c>
      <c r="AN87" s="14">
        <f t="shared" si="66"/>
        <v>6591.25</v>
      </c>
      <c r="AO87" s="14">
        <f t="shared" si="50"/>
        <v>971833.55</v>
      </c>
      <c r="AP87" s="14">
        <f t="shared" si="67"/>
        <v>2810.15</v>
      </c>
      <c r="AS87" s="14">
        <f t="shared" si="109"/>
        <v>6591.25</v>
      </c>
      <c r="AT87" s="14">
        <f t="shared" si="116"/>
        <v>474089.43999999994</v>
      </c>
      <c r="AU87" s="185">
        <f t="shared" si="117"/>
        <v>1767.3692215917929</v>
      </c>
      <c r="AV87" s="185">
        <f t="shared" si="118"/>
        <v>118090.05785830911</v>
      </c>
    </row>
    <row r="88" spans="1:50">
      <c r="A88" s="401" t="str">
        <f t="shared" si="69"/>
        <v xml:space="preserve"> </v>
      </c>
      <c r="B88" s="185">
        <f t="shared" si="110"/>
        <v>0</v>
      </c>
      <c r="C88" s="14">
        <f t="shared" si="101"/>
        <v>0</v>
      </c>
      <c r="D88" s="14">
        <f t="shared" si="119"/>
        <v>0</v>
      </c>
      <c r="E88" s="14">
        <f t="shared" si="102"/>
        <v>0</v>
      </c>
      <c r="F88" s="14">
        <f t="shared" si="51"/>
        <v>0</v>
      </c>
      <c r="G88" s="14">
        <f t="shared" si="52"/>
        <v>0</v>
      </c>
      <c r="H88" s="14">
        <f t="shared" si="54"/>
        <v>0</v>
      </c>
      <c r="I88" s="185">
        <f t="shared" si="70"/>
        <v>0</v>
      </c>
      <c r="J88" s="185">
        <f t="shared" si="71"/>
        <v>0</v>
      </c>
      <c r="K88" s="185">
        <f t="shared" si="72"/>
        <v>0</v>
      </c>
      <c r="L88" s="317">
        <f t="shared" si="103"/>
        <v>6</v>
      </c>
      <c r="M88" s="317">
        <f t="shared" si="111"/>
        <v>72</v>
      </c>
      <c r="N88" s="185">
        <f t="shared" si="112"/>
        <v>576358.55000000016</v>
      </c>
      <c r="O88" s="185">
        <f t="shared" si="73"/>
        <v>6591.25</v>
      </c>
      <c r="P88" s="185">
        <f t="shared" si="120"/>
        <v>287.32999999999993</v>
      </c>
      <c r="Q88" s="185">
        <f t="shared" si="74"/>
        <v>6303.92</v>
      </c>
      <c r="R88" s="185">
        <f t="shared" si="84"/>
        <v>134.16999999999999</v>
      </c>
      <c r="S88" s="185">
        <f t="shared" si="75"/>
        <v>188.55</v>
      </c>
      <c r="T88" s="185">
        <f t="shared" si="59"/>
        <v>6913.97</v>
      </c>
      <c r="U88" s="185">
        <f t="shared" si="121"/>
        <v>14553.779999999997</v>
      </c>
      <c r="V88" s="185">
        <f t="shared" si="122"/>
        <v>466607.46999999991</v>
      </c>
      <c r="W88" s="185">
        <f t="shared" si="76"/>
        <v>576071.2200000002</v>
      </c>
      <c r="X88" s="401" t="str">
        <f t="shared" si="113"/>
        <v xml:space="preserve"> </v>
      </c>
      <c r="Y88" s="185">
        <f t="shared" si="77"/>
        <v>1053558.42</v>
      </c>
      <c r="Z88" s="393">
        <f t="shared" si="104"/>
        <v>0.13125000000000001</v>
      </c>
      <c r="AA88" s="185">
        <f t="shared" si="105"/>
        <v>2810.15</v>
      </c>
      <c r="AB88" s="185">
        <f t="shared" si="78"/>
        <v>-8713.15</v>
      </c>
      <c r="AC88" s="185">
        <f t="shared" si="106"/>
        <v>11523.3</v>
      </c>
      <c r="AD88" s="185">
        <f t="shared" ref="AD88:AE88" si="130">+AD87</f>
        <v>134.16999999999999</v>
      </c>
      <c r="AE88" s="185">
        <f t="shared" si="130"/>
        <v>188.55</v>
      </c>
      <c r="AF88" s="185">
        <f t="shared" si="80"/>
        <v>3132.87</v>
      </c>
      <c r="AG88" s="185">
        <f t="shared" si="81"/>
        <v>-76171.569999999978</v>
      </c>
      <c r="AH88" s="185">
        <f t="shared" si="82"/>
        <v>659455.32000000007</v>
      </c>
      <c r="AI88" s="411">
        <f t="shared" si="64"/>
        <v>-102122.49999999988</v>
      </c>
      <c r="AJ88" s="411">
        <f t="shared" si="108"/>
        <v>-486200.34999999963</v>
      </c>
      <c r="AK88" s="411">
        <f t="shared" si="65"/>
        <v>-588322.84999999951</v>
      </c>
      <c r="AL88" s="185">
        <f t="shared" si="83"/>
        <v>1062271.5699999998</v>
      </c>
      <c r="AM88" s="317">
        <f t="shared" si="115"/>
        <v>6</v>
      </c>
      <c r="AN88" s="14">
        <f t="shared" si="66"/>
        <v>6591.25</v>
      </c>
      <c r="AO88" s="14">
        <f t="shared" si="50"/>
        <v>971546.22</v>
      </c>
      <c r="AP88" s="14">
        <f t="shared" si="67"/>
        <v>2810.15</v>
      </c>
      <c r="AS88" s="14">
        <f t="shared" si="109"/>
        <v>6591.25</v>
      </c>
      <c r="AT88" s="14">
        <f t="shared" si="116"/>
        <v>480680.68999999994</v>
      </c>
      <c r="AU88" s="185">
        <f t="shared" si="117"/>
        <v>1771.7876446457728</v>
      </c>
      <c r="AV88" s="185">
        <f t="shared" si="118"/>
        <v>119861.84550295488</v>
      </c>
    </row>
    <row r="89" spans="1:50">
      <c r="A89" s="401" t="str">
        <f t="shared" si="69"/>
        <v xml:space="preserve"> </v>
      </c>
      <c r="B89" s="185">
        <f t="shared" si="110"/>
        <v>0</v>
      </c>
      <c r="C89" s="14">
        <f t="shared" si="101"/>
        <v>0</v>
      </c>
      <c r="D89" s="14">
        <f t="shared" si="119"/>
        <v>0</v>
      </c>
      <c r="E89" s="14">
        <f t="shared" si="102"/>
        <v>0</v>
      </c>
      <c r="F89" s="14">
        <f t="shared" si="51"/>
        <v>0</v>
      </c>
      <c r="G89" s="14">
        <f t="shared" si="52"/>
        <v>0</v>
      </c>
      <c r="H89" s="14">
        <f t="shared" si="54"/>
        <v>0</v>
      </c>
      <c r="I89" s="185">
        <f t="shared" si="70"/>
        <v>0</v>
      </c>
      <c r="J89" s="185">
        <f t="shared" si="71"/>
        <v>0</v>
      </c>
      <c r="K89" s="185">
        <f t="shared" si="72"/>
        <v>0</v>
      </c>
      <c r="L89" s="317">
        <f t="shared" si="103"/>
        <v>6</v>
      </c>
      <c r="M89" s="317">
        <f t="shared" si="111"/>
        <v>73</v>
      </c>
      <c r="N89" s="185">
        <f t="shared" si="112"/>
        <v>576071.2200000002</v>
      </c>
      <c r="O89" s="185">
        <f t="shared" si="73"/>
        <v>6591.25</v>
      </c>
      <c r="P89" s="185">
        <f t="shared" si="120"/>
        <v>290.47000000000025</v>
      </c>
      <c r="Q89" s="185">
        <f t="shared" si="74"/>
        <v>6300.78</v>
      </c>
      <c r="R89" s="185">
        <f t="shared" si="84"/>
        <v>134.16999999999999</v>
      </c>
      <c r="S89" s="185">
        <f t="shared" si="75"/>
        <v>188.55</v>
      </c>
      <c r="T89" s="185">
        <f t="shared" si="59"/>
        <v>6913.97</v>
      </c>
      <c r="U89" s="185">
        <f t="shared" si="121"/>
        <v>14844.249999999996</v>
      </c>
      <c r="V89" s="185">
        <f t="shared" si="122"/>
        <v>472908.24999999994</v>
      </c>
      <c r="W89" s="185">
        <f t="shared" si="76"/>
        <v>575780.75000000023</v>
      </c>
      <c r="X89" s="401" t="str">
        <f t="shared" si="113"/>
        <v xml:space="preserve"> </v>
      </c>
      <c r="Y89" s="185">
        <f t="shared" si="77"/>
        <v>1062271.5699999998</v>
      </c>
      <c r="Z89" s="393">
        <f t="shared" si="104"/>
        <v>0.13125000000000001</v>
      </c>
      <c r="AA89" s="185">
        <f t="shared" si="105"/>
        <v>2810.15</v>
      </c>
      <c r="AB89" s="185">
        <f t="shared" si="78"/>
        <v>-8808.4500000000007</v>
      </c>
      <c r="AC89" s="185">
        <f t="shared" si="106"/>
        <v>11618.6</v>
      </c>
      <c r="AD89" s="185">
        <f t="shared" ref="AD89:AE89" si="131">+AD88</f>
        <v>134.16999999999999</v>
      </c>
      <c r="AE89" s="185">
        <f t="shared" si="131"/>
        <v>188.55</v>
      </c>
      <c r="AF89" s="185">
        <f t="shared" si="80"/>
        <v>3132.87</v>
      </c>
      <c r="AG89" s="185">
        <f t="shared" si="81"/>
        <v>-84980.019999999975</v>
      </c>
      <c r="AH89" s="185">
        <f t="shared" si="82"/>
        <v>671073.92000000004</v>
      </c>
      <c r="AI89" s="411">
        <f t="shared" si="64"/>
        <v>-98341.399999999878</v>
      </c>
      <c r="AJ89" s="411">
        <f t="shared" si="108"/>
        <v>-495299.26999999955</v>
      </c>
      <c r="AK89" s="411">
        <f t="shared" si="65"/>
        <v>-593640.66999999946</v>
      </c>
      <c r="AL89" s="185">
        <f t="shared" si="83"/>
        <v>1071080.0199999998</v>
      </c>
      <c r="AM89" s="317">
        <f t="shared" si="115"/>
        <v>6</v>
      </c>
      <c r="AN89" s="14">
        <f t="shared" si="66"/>
        <v>6591.25</v>
      </c>
      <c r="AO89" s="14">
        <f t="shared" si="50"/>
        <v>971255.75</v>
      </c>
      <c r="AP89" s="14">
        <f t="shared" si="67"/>
        <v>2810.15</v>
      </c>
      <c r="AS89" s="14">
        <f t="shared" si="109"/>
        <v>6591.25</v>
      </c>
      <c r="AT89" s="14">
        <f t="shared" si="116"/>
        <v>487271.93999999994</v>
      </c>
      <c r="AU89" s="185">
        <f t="shared" si="117"/>
        <v>1776.2171137573871</v>
      </c>
      <c r="AV89" s="185">
        <f t="shared" si="118"/>
        <v>121638.06261671227</v>
      </c>
    </row>
    <row r="90" spans="1:50">
      <c r="A90" s="401" t="str">
        <f t="shared" si="69"/>
        <v xml:space="preserve"> </v>
      </c>
      <c r="B90" s="185">
        <f t="shared" si="110"/>
        <v>0</v>
      </c>
      <c r="C90" s="14">
        <f t="shared" si="101"/>
        <v>0</v>
      </c>
      <c r="D90" s="14">
        <f t="shared" si="119"/>
        <v>0</v>
      </c>
      <c r="E90" s="14">
        <f t="shared" si="102"/>
        <v>0</v>
      </c>
      <c r="F90" s="14">
        <f t="shared" si="51"/>
        <v>0</v>
      </c>
      <c r="G90" s="14">
        <f t="shared" si="52"/>
        <v>0</v>
      </c>
      <c r="H90" s="14">
        <f t="shared" si="54"/>
        <v>0</v>
      </c>
      <c r="I90" s="185">
        <f t="shared" si="70"/>
        <v>0</v>
      </c>
      <c r="J90" s="185">
        <f t="shared" si="71"/>
        <v>0</v>
      </c>
      <c r="K90" s="185">
        <f t="shared" si="72"/>
        <v>0</v>
      </c>
      <c r="L90" s="317">
        <f t="shared" si="103"/>
        <v>6</v>
      </c>
      <c r="M90" s="317">
        <f t="shared" si="111"/>
        <v>74</v>
      </c>
      <c r="N90" s="185">
        <f t="shared" si="112"/>
        <v>575780.75000000023</v>
      </c>
      <c r="O90" s="185">
        <f t="shared" si="73"/>
        <v>6591.25</v>
      </c>
      <c r="P90" s="185">
        <f t="shared" si="120"/>
        <v>293.64999999999964</v>
      </c>
      <c r="Q90" s="185">
        <f t="shared" si="74"/>
        <v>6297.6</v>
      </c>
      <c r="R90" s="185">
        <f t="shared" si="84"/>
        <v>134.16999999999999</v>
      </c>
      <c r="S90" s="185">
        <f t="shared" si="75"/>
        <v>188.55</v>
      </c>
      <c r="T90" s="185">
        <f t="shared" si="59"/>
        <v>6913.97</v>
      </c>
      <c r="U90" s="185">
        <f t="shared" si="121"/>
        <v>15137.899999999996</v>
      </c>
      <c r="V90" s="185">
        <f t="shared" si="122"/>
        <v>479205.84999999992</v>
      </c>
      <c r="W90" s="185">
        <f t="shared" si="76"/>
        <v>575487.10000000021</v>
      </c>
      <c r="X90" s="401" t="str">
        <f t="shared" si="113"/>
        <v xml:space="preserve"> </v>
      </c>
      <c r="Y90" s="185">
        <f t="shared" si="77"/>
        <v>1071080.0199999998</v>
      </c>
      <c r="Z90" s="393">
        <f t="shared" si="104"/>
        <v>0.13125000000000001</v>
      </c>
      <c r="AA90" s="185">
        <f t="shared" si="105"/>
        <v>2810.15</v>
      </c>
      <c r="AB90" s="185">
        <f t="shared" si="78"/>
        <v>-8904.7900000000009</v>
      </c>
      <c r="AC90" s="185">
        <f t="shared" si="106"/>
        <v>11714.94</v>
      </c>
      <c r="AD90" s="185">
        <f t="shared" ref="AD90:AE90" si="132">+AD89</f>
        <v>134.16999999999999</v>
      </c>
      <c r="AE90" s="185">
        <f t="shared" si="132"/>
        <v>188.55</v>
      </c>
      <c r="AF90" s="185">
        <f t="shared" si="80"/>
        <v>3132.87</v>
      </c>
      <c r="AG90" s="185">
        <f t="shared" si="81"/>
        <v>-93884.809999999969</v>
      </c>
      <c r="AH90" s="185">
        <f t="shared" si="82"/>
        <v>682788.86</v>
      </c>
      <c r="AI90" s="411">
        <f t="shared" si="64"/>
        <v>-94560.299999999872</v>
      </c>
      <c r="AJ90" s="411">
        <f>+W90-AL90</f>
        <v>-504497.70999999961</v>
      </c>
      <c r="AK90" s="411">
        <f t="shared" si="65"/>
        <v>-599058.00999999954</v>
      </c>
      <c r="AL90" s="185">
        <f t="shared" si="83"/>
        <v>1079984.8099999998</v>
      </c>
      <c r="AM90" s="317">
        <f t="shared" si="115"/>
        <v>6</v>
      </c>
      <c r="AN90" s="14">
        <f t="shared" si="66"/>
        <v>6591.25</v>
      </c>
      <c r="AO90" s="14">
        <f t="shared" si="50"/>
        <v>970962.1</v>
      </c>
      <c r="AP90" s="14">
        <f t="shared" si="67"/>
        <v>2810.15</v>
      </c>
      <c r="AS90" s="14">
        <f t="shared" si="109"/>
        <v>6591.25</v>
      </c>
      <c r="AT90" s="14">
        <f t="shared" si="116"/>
        <v>493863.18999999994</v>
      </c>
      <c r="AU90" s="185">
        <f t="shared" si="117"/>
        <v>1780.6576565417806</v>
      </c>
      <c r="AV90" s="185">
        <f t="shared" si="118"/>
        <v>123418.72027325405</v>
      </c>
    </row>
    <row r="91" spans="1:50">
      <c r="A91" s="401" t="str">
        <f t="shared" si="69"/>
        <v xml:space="preserve"> </v>
      </c>
      <c r="B91" s="185">
        <f t="shared" si="110"/>
        <v>0</v>
      </c>
      <c r="C91" s="14">
        <f t="shared" si="101"/>
        <v>0</v>
      </c>
      <c r="D91" s="14">
        <f t="shared" si="119"/>
        <v>0</v>
      </c>
      <c r="E91" s="14">
        <f t="shared" si="102"/>
        <v>0</v>
      </c>
      <c r="F91" s="14">
        <f t="shared" si="51"/>
        <v>0</v>
      </c>
      <c r="G91" s="14">
        <f t="shared" si="52"/>
        <v>0</v>
      </c>
      <c r="H91" s="14">
        <f t="shared" si="54"/>
        <v>0</v>
      </c>
      <c r="I91" s="185">
        <f t="shared" si="70"/>
        <v>0</v>
      </c>
      <c r="J91" s="185">
        <f t="shared" si="71"/>
        <v>0</v>
      </c>
      <c r="K91" s="185">
        <f t="shared" si="72"/>
        <v>0</v>
      </c>
      <c r="L91" s="317">
        <f t="shared" si="103"/>
        <v>6</v>
      </c>
      <c r="M91" s="317">
        <f t="shared" si="111"/>
        <v>75</v>
      </c>
      <c r="N91" s="185">
        <f t="shared" si="112"/>
        <v>575487.10000000021</v>
      </c>
      <c r="O91" s="185">
        <f t="shared" si="73"/>
        <v>6591.25</v>
      </c>
      <c r="P91" s="185">
        <f t="shared" si="120"/>
        <v>296.85999999999967</v>
      </c>
      <c r="Q91" s="185">
        <f t="shared" si="74"/>
        <v>6294.39</v>
      </c>
      <c r="R91" s="185">
        <f t="shared" si="84"/>
        <v>134.16999999999999</v>
      </c>
      <c r="S91" s="185">
        <f t="shared" si="75"/>
        <v>188.55</v>
      </c>
      <c r="T91" s="185">
        <f t="shared" si="59"/>
        <v>6913.97</v>
      </c>
      <c r="U91" s="185">
        <f t="shared" si="121"/>
        <v>15434.759999999995</v>
      </c>
      <c r="V91" s="185">
        <f t="shared" si="122"/>
        <v>485500.23999999993</v>
      </c>
      <c r="W91" s="185">
        <f t="shared" si="76"/>
        <v>575190.24000000022</v>
      </c>
      <c r="X91" s="401" t="str">
        <f t="shared" si="113"/>
        <v xml:space="preserve"> </v>
      </c>
      <c r="Y91" s="185">
        <f t="shared" si="77"/>
        <v>1079984.8099999998</v>
      </c>
      <c r="Z91" s="393">
        <f t="shared" si="104"/>
        <v>0.13125000000000001</v>
      </c>
      <c r="AA91" s="185">
        <f t="shared" si="105"/>
        <v>2810.15</v>
      </c>
      <c r="AB91" s="185">
        <f t="shared" si="78"/>
        <v>-9002.18</v>
      </c>
      <c r="AC91" s="185">
        <f t="shared" si="106"/>
        <v>11812.33</v>
      </c>
      <c r="AD91" s="185">
        <f t="shared" ref="AD91:AE91" si="133">+AD90</f>
        <v>134.16999999999999</v>
      </c>
      <c r="AE91" s="185">
        <f t="shared" si="133"/>
        <v>188.55</v>
      </c>
      <c r="AF91" s="185">
        <f t="shared" si="80"/>
        <v>3132.87</v>
      </c>
      <c r="AG91" s="185">
        <f t="shared" si="81"/>
        <v>-102886.98999999996</v>
      </c>
      <c r="AH91" s="185">
        <f t="shared" si="82"/>
        <v>694601.19</v>
      </c>
      <c r="AI91" s="411">
        <f t="shared" si="64"/>
        <v>-90779.199999999866</v>
      </c>
      <c r="AJ91" s="411">
        <f t="shared" ref="AJ91:AJ154" si="134">+W91-AL91</f>
        <v>-513796.74999999953</v>
      </c>
      <c r="AK91" s="411">
        <f t="shared" si="65"/>
        <v>-604575.94999999937</v>
      </c>
      <c r="AL91" s="185">
        <f t="shared" si="83"/>
        <v>1088986.9899999998</v>
      </c>
      <c r="AM91" s="317">
        <f t="shared" si="115"/>
        <v>6</v>
      </c>
      <c r="AN91" s="14">
        <f t="shared" si="66"/>
        <v>6591.25</v>
      </c>
      <c r="AO91" s="14">
        <f t="shared" si="50"/>
        <v>970665.24</v>
      </c>
      <c r="AP91" s="14">
        <f t="shared" si="67"/>
        <v>2810.15</v>
      </c>
      <c r="AS91" s="14">
        <f t="shared" si="109"/>
        <v>6591.25</v>
      </c>
      <c r="AT91" s="14">
        <f t="shared" si="116"/>
        <v>500454.43999999994</v>
      </c>
      <c r="AU91" s="185">
        <f t="shared" si="117"/>
        <v>1785.1093006831352</v>
      </c>
      <c r="AV91" s="185">
        <f t="shared" si="118"/>
        <v>125203.82957393718</v>
      </c>
    </row>
    <row r="92" spans="1:50">
      <c r="A92" s="401" t="str">
        <f t="shared" si="69"/>
        <v xml:space="preserve"> </v>
      </c>
      <c r="B92" s="185">
        <f t="shared" si="110"/>
        <v>0</v>
      </c>
      <c r="C92" s="14">
        <f t="shared" si="101"/>
        <v>0</v>
      </c>
      <c r="D92" s="14">
        <f t="shared" si="119"/>
        <v>0</v>
      </c>
      <c r="E92" s="14">
        <f t="shared" si="102"/>
        <v>0</v>
      </c>
      <c r="F92" s="14">
        <f t="shared" si="51"/>
        <v>0</v>
      </c>
      <c r="G92" s="14">
        <f t="shared" si="52"/>
        <v>0</v>
      </c>
      <c r="H92" s="14">
        <f t="shared" si="54"/>
        <v>0</v>
      </c>
      <c r="I92" s="185">
        <f t="shared" si="70"/>
        <v>0</v>
      </c>
      <c r="J92" s="185">
        <f t="shared" si="71"/>
        <v>0</v>
      </c>
      <c r="K92" s="185">
        <f t="shared" si="72"/>
        <v>0</v>
      </c>
      <c r="L92" s="317">
        <f t="shared" si="103"/>
        <v>6</v>
      </c>
      <c r="M92" s="317">
        <f t="shared" si="111"/>
        <v>76</v>
      </c>
      <c r="N92" s="185">
        <f t="shared" si="112"/>
        <v>575190.24000000022</v>
      </c>
      <c r="O92" s="185">
        <f t="shared" si="73"/>
        <v>6591.25</v>
      </c>
      <c r="P92" s="185">
        <f t="shared" si="120"/>
        <v>300.10999999999967</v>
      </c>
      <c r="Q92" s="185">
        <f t="shared" si="74"/>
        <v>6291.14</v>
      </c>
      <c r="R92" s="185">
        <f t="shared" si="84"/>
        <v>134.16999999999999</v>
      </c>
      <c r="S92" s="185">
        <f t="shared" si="75"/>
        <v>188.55</v>
      </c>
      <c r="T92" s="185">
        <f t="shared" si="59"/>
        <v>6913.97</v>
      </c>
      <c r="U92" s="185">
        <f t="shared" si="121"/>
        <v>15734.869999999995</v>
      </c>
      <c r="V92" s="185">
        <f t="shared" si="122"/>
        <v>491791.37999999995</v>
      </c>
      <c r="W92" s="185">
        <f t="shared" si="76"/>
        <v>574890.13000000024</v>
      </c>
      <c r="X92" s="401" t="str">
        <f t="shared" si="113"/>
        <v xml:space="preserve"> </v>
      </c>
      <c r="Y92" s="185">
        <f t="shared" si="77"/>
        <v>1088986.9899999998</v>
      </c>
      <c r="Z92" s="393">
        <f t="shared" si="104"/>
        <v>0.13125000000000001</v>
      </c>
      <c r="AA92" s="185">
        <f t="shared" si="105"/>
        <v>2810.15</v>
      </c>
      <c r="AB92" s="185">
        <f t="shared" si="78"/>
        <v>-9100.65</v>
      </c>
      <c r="AC92" s="185">
        <f t="shared" si="106"/>
        <v>11910.8</v>
      </c>
      <c r="AD92" s="185">
        <f t="shared" ref="AD92:AE92" si="135">+AD91</f>
        <v>134.16999999999999</v>
      </c>
      <c r="AE92" s="185">
        <f t="shared" si="135"/>
        <v>188.55</v>
      </c>
      <c r="AF92" s="185">
        <f t="shared" si="80"/>
        <v>3132.87</v>
      </c>
      <c r="AG92" s="185">
        <f t="shared" si="81"/>
        <v>-111987.63999999996</v>
      </c>
      <c r="AH92" s="185">
        <f t="shared" si="82"/>
        <v>706511.99</v>
      </c>
      <c r="AI92" s="411">
        <f t="shared" si="64"/>
        <v>-86998.09999999986</v>
      </c>
      <c r="AJ92" s="411">
        <f t="shared" si="134"/>
        <v>-523197.50999999943</v>
      </c>
      <c r="AK92" s="411">
        <f t="shared" si="65"/>
        <v>-610195.60999999929</v>
      </c>
      <c r="AL92" s="185">
        <f t="shared" si="83"/>
        <v>1098087.6399999997</v>
      </c>
      <c r="AM92" s="317">
        <f t="shared" si="115"/>
        <v>6</v>
      </c>
      <c r="AN92" s="14">
        <f t="shared" si="66"/>
        <v>6591.25</v>
      </c>
      <c r="AO92" s="14">
        <f t="shared" si="50"/>
        <v>970365.13</v>
      </c>
      <c r="AP92" s="14">
        <f t="shared" si="67"/>
        <v>2810.15</v>
      </c>
      <c r="AS92" s="14">
        <f t="shared" si="109"/>
        <v>6591.25</v>
      </c>
      <c r="AT92" s="14">
        <f t="shared" si="116"/>
        <v>507045.68999999994</v>
      </c>
      <c r="AU92" s="185">
        <f t="shared" si="117"/>
        <v>1789.5720739348428</v>
      </c>
      <c r="AV92" s="185">
        <f t="shared" si="118"/>
        <v>126993.40164787203</v>
      </c>
    </row>
    <row r="93" spans="1:50">
      <c r="A93" s="401" t="str">
        <f t="shared" si="69"/>
        <v xml:space="preserve"> </v>
      </c>
      <c r="B93" s="185">
        <f t="shared" si="110"/>
        <v>0</v>
      </c>
      <c r="C93" s="14">
        <f t="shared" si="101"/>
        <v>0</v>
      </c>
      <c r="D93" s="14">
        <f t="shared" si="119"/>
        <v>0</v>
      </c>
      <c r="E93" s="14">
        <f t="shared" si="102"/>
        <v>0</v>
      </c>
      <c r="F93" s="14">
        <f t="shared" si="51"/>
        <v>0</v>
      </c>
      <c r="G93" s="14">
        <f t="shared" si="52"/>
        <v>0</v>
      </c>
      <c r="H93" s="14">
        <f t="shared" si="54"/>
        <v>0</v>
      </c>
      <c r="I93" s="185">
        <f t="shared" si="70"/>
        <v>0</v>
      </c>
      <c r="J93" s="185">
        <f t="shared" si="71"/>
        <v>0</v>
      </c>
      <c r="K93" s="185">
        <f t="shared" si="72"/>
        <v>0</v>
      </c>
      <c r="L93" s="317">
        <f t="shared" si="103"/>
        <v>6</v>
      </c>
      <c r="M93" s="317">
        <f t="shared" si="111"/>
        <v>77</v>
      </c>
      <c r="N93" s="185">
        <f t="shared" si="112"/>
        <v>574890.13000000024</v>
      </c>
      <c r="O93" s="185">
        <f t="shared" si="73"/>
        <v>6591.25</v>
      </c>
      <c r="P93" s="185">
        <f t="shared" si="120"/>
        <v>303.39000000000033</v>
      </c>
      <c r="Q93" s="185">
        <f t="shared" si="74"/>
        <v>6287.86</v>
      </c>
      <c r="R93" s="185">
        <f t="shared" si="84"/>
        <v>134.16999999999999</v>
      </c>
      <c r="S93" s="185">
        <f t="shared" si="75"/>
        <v>188.55</v>
      </c>
      <c r="T93" s="185">
        <f t="shared" si="59"/>
        <v>6913.97</v>
      </c>
      <c r="U93" s="185">
        <f t="shared" si="121"/>
        <v>16038.259999999995</v>
      </c>
      <c r="V93" s="185">
        <f t="shared" si="122"/>
        <v>498079.23999999993</v>
      </c>
      <c r="W93" s="185">
        <f t="shared" si="76"/>
        <v>574586.74000000022</v>
      </c>
      <c r="X93" s="401" t="str">
        <f t="shared" si="113"/>
        <v xml:space="preserve"> </v>
      </c>
      <c r="Y93" s="185">
        <f t="shared" si="77"/>
        <v>1098087.6399999997</v>
      </c>
      <c r="Z93" s="393">
        <f t="shared" si="104"/>
        <v>0.13125000000000001</v>
      </c>
      <c r="AA93" s="185">
        <f t="shared" si="105"/>
        <v>2810.15</v>
      </c>
      <c r="AB93" s="185">
        <f t="shared" si="78"/>
        <v>-9200.18</v>
      </c>
      <c r="AC93" s="185">
        <f t="shared" si="106"/>
        <v>12010.33</v>
      </c>
      <c r="AD93" s="185">
        <f t="shared" ref="AD93:AE93" si="136">+AD92</f>
        <v>134.16999999999999</v>
      </c>
      <c r="AE93" s="185">
        <f t="shared" si="136"/>
        <v>188.55</v>
      </c>
      <c r="AF93" s="185">
        <f t="shared" si="80"/>
        <v>3132.87</v>
      </c>
      <c r="AG93" s="185">
        <f t="shared" si="81"/>
        <v>-121187.81999999995</v>
      </c>
      <c r="AH93" s="185">
        <f t="shared" si="82"/>
        <v>718522.32</v>
      </c>
      <c r="AI93" s="411">
        <f t="shared" si="64"/>
        <v>-83216.999999999854</v>
      </c>
      <c r="AJ93" s="411">
        <f t="shared" si="134"/>
        <v>-532701.07999999938</v>
      </c>
      <c r="AK93" s="411">
        <f t="shared" si="65"/>
        <v>-615918.07999999926</v>
      </c>
      <c r="AL93" s="185">
        <f t="shared" si="83"/>
        <v>1107287.8199999996</v>
      </c>
      <c r="AM93" s="317">
        <f t="shared" si="115"/>
        <v>6</v>
      </c>
      <c r="AN93" s="14">
        <f t="shared" si="66"/>
        <v>6591.25</v>
      </c>
      <c r="AO93" s="14">
        <f t="shared" si="50"/>
        <v>970061.74</v>
      </c>
      <c r="AP93" s="14">
        <f t="shared" si="67"/>
        <v>2810.15</v>
      </c>
      <c r="AS93" s="14">
        <f t="shared" si="109"/>
        <v>6591.25</v>
      </c>
      <c r="AT93" s="14">
        <f t="shared" si="116"/>
        <v>513636.93999999994</v>
      </c>
      <c r="AU93" s="185">
        <f t="shared" si="117"/>
        <v>1794.0460041196802</v>
      </c>
      <c r="AV93" s="185">
        <f t="shared" si="118"/>
        <v>128787.44765199171</v>
      </c>
    </row>
    <row r="94" spans="1:50">
      <c r="A94" s="401" t="str">
        <f t="shared" si="69"/>
        <v xml:space="preserve"> </v>
      </c>
      <c r="B94" s="185">
        <f t="shared" si="110"/>
        <v>0</v>
      </c>
      <c r="C94" s="14">
        <f t="shared" si="101"/>
        <v>0</v>
      </c>
      <c r="D94" s="14">
        <f t="shared" si="119"/>
        <v>0</v>
      </c>
      <c r="E94" s="14">
        <f t="shared" si="102"/>
        <v>0</v>
      </c>
      <c r="F94" s="14">
        <f t="shared" si="51"/>
        <v>0</v>
      </c>
      <c r="G94" s="14">
        <f t="shared" si="52"/>
        <v>0</v>
      </c>
      <c r="H94" s="14">
        <f t="shared" si="54"/>
        <v>0</v>
      </c>
      <c r="I94" s="185">
        <f t="shared" si="70"/>
        <v>0</v>
      </c>
      <c r="J94" s="185">
        <f t="shared" si="71"/>
        <v>0</v>
      </c>
      <c r="K94" s="185">
        <f t="shared" si="72"/>
        <v>0</v>
      </c>
      <c r="L94" s="317">
        <f t="shared" si="103"/>
        <v>6</v>
      </c>
      <c r="M94" s="317">
        <f t="shared" si="111"/>
        <v>78</v>
      </c>
      <c r="N94" s="185">
        <f t="shared" si="112"/>
        <v>574586.74000000022</v>
      </c>
      <c r="O94" s="185">
        <f t="shared" si="73"/>
        <v>6591.25</v>
      </c>
      <c r="P94" s="185">
        <f t="shared" si="120"/>
        <v>306.71000000000004</v>
      </c>
      <c r="Q94" s="185">
        <f t="shared" si="74"/>
        <v>6284.54</v>
      </c>
      <c r="R94" s="185">
        <f t="shared" si="84"/>
        <v>134.16999999999999</v>
      </c>
      <c r="S94" s="185">
        <f t="shared" si="75"/>
        <v>188.55</v>
      </c>
      <c r="T94" s="185">
        <f t="shared" si="59"/>
        <v>6913.97</v>
      </c>
      <c r="U94" s="185">
        <f t="shared" si="121"/>
        <v>16344.969999999994</v>
      </c>
      <c r="V94" s="185">
        <f t="shared" si="122"/>
        <v>504363.77999999991</v>
      </c>
      <c r="W94" s="185">
        <f t="shared" si="76"/>
        <v>574280.03000000026</v>
      </c>
      <c r="X94" s="401" t="str">
        <f t="shared" si="113"/>
        <v xml:space="preserve"> </v>
      </c>
      <c r="Y94" s="185">
        <f t="shared" si="77"/>
        <v>1107287.8199999996</v>
      </c>
      <c r="Z94" s="393">
        <f t="shared" si="104"/>
        <v>0.13125000000000001</v>
      </c>
      <c r="AA94" s="185">
        <f t="shared" si="105"/>
        <v>2810.15</v>
      </c>
      <c r="AB94" s="185">
        <f t="shared" si="78"/>
        <v>-9300.81</v>
      </c>
      <c r="AC94" s="185">
        <f t="shared" si="106"/>
        <v>12110.96</v>
      </c>
      <c r="AD94" s="185">
        <f t="shared" ref="AD94:AE94" si="137">+AD93</f>
        <v>134.16999999999999</v>
      </c>
      <c r="AE94" s="185">
        <f t="shared" si="137"/>
        <v>188.55</v>
      </c>
      <c r="AF94" s="185">
        <f t="shared" si="80"/>
        <v>3132.87</v>
      </c>
      <c r="AG94" s="185">
        <f t="shared" si="81"/>
        <v>-130488.62999999995</v>
      </c>
      <c r="AH94" s="185">
        <f t="shared" si="82"/>
        <v>730633.27999999991</v>
      </c>
      <c r="AI94" s="411">
        <f t="shared" si="64"/>
        <v>-79435.899999999849</v>
      </c>
      <c r="AJ94" s="411">
        <f t="shared" si="134"/>
        <v>-542308.59999999939</v>
      </c>
      <c r="AK94" s="411">
        <f t="shared" si="65"/>
        <v>-621744.4999999993</v>
      </c>
      <c r="AL94" s="185">
        <f t="shared" si="83"/>
        <v>1116588.6299999997</v>
      </c>
      <c r="AM94" s="317">
        <f t="shared" si="115"/>
        <v>6</v>
      </c>
      <c r="AN94" s="14">
        <f t="shared" si="66"/>
        <v>6591.25</v>
      </c>
      <c r="AO94" s="14">
        <f t="shared" si="50"/>
        <v>969755.03</v>
      </c>
      <c r="AP94" s="14">
        <f t="shared" si="67"/>
        <v>2810.15</v>
      </c>
      <c r="AS94" s="14">
        <f t="shared" si="109"/>
        <v>6591.25</v>
      </c>
      <c r="AT94" s="14">
        <f t="shared" si="116"/>
        <v>520228.18999999994</v>
      </c>
      <c r="AU94" s="185">
        <f t="shared" si="117"/>
        <v>1798.5311191299791</v>
      </c>
      <c r="AV94" s="185">
        <f t="shared" si="118"/>
        <v>130585.97877112169</v>
      </c>
    </row>
    <row r="95" spans="1:50">
      <c r="A95" s="401" t="str">
        <f t="shared" si="69"/>
        <v xml:space="preserve"> </v>
      </c>
      <c r="B95" s="185">
        <f t="shared" si="110"/>
        <v>0</v>
      </c>
      <c r="C95" s="14">
        <f t="shared" si="101"/>
        <v>0</v>
      </c>
      <c r="D95" s="14">
        <f t="shared" si="119"/>
        <v>0</v>
      </c>
      <c r="E95" s="14">
        <f t="shared" si="102"/>
        <v>0</v>
      </c>
      <c r="F95" s="14">
        <f t="shared" si="51"/>
        <v>0</v>
      </c>
      <c r="G95" s="14">
        <f t="shared" si="52"/>
        <v>0</v>
      </c>
      <c r="H95" s="14">
        <f t="shared" si="54"/>
        <v>0</v>
      </c>
      <c r="I95" s="185">
        <f t="shared" si="70"/>
        <v>0</v>
      </c>
      <c r="J95" s="185">
        <f t="shared" si="71"/>
        <v>0</v>
      </c>
      <c r="K95" s="185">
        <f t="shared" si="72"/>
        <v>0</v>
      </c>
      <c r="L95" s="317">
        <f t="shared" si="103"/>
        <v>6</v>
      </c>
      <c r="M95" s="317">
        <f t="shared" si="111"/>
        <v>79</v>
      </c>
      <c r="N95" s="185">
        <f t="shared" si="112"/>
        <v>574280.03000000026</v>
      </c>
      <c r="O95" s="185">
        <f t="shared" si="73"/>
        <v>6591.25</v>
      </c>
      <c r="P95" s="185">
        <f t="shared" si="120"/>
        <v>310.0600000000004</v>
      </c>
      <c r="Q95" s="185">
        <f t="shared" si="74"/>
        <v>6281.19</v>
      </c>
      <c r="R95" s="185">
        <f t="shared" si="84"/>
        <v>134.16999999999999</v>
      </c>
      <c r="S95" s="185">
        <f t="shared" si="75"/>
        <v>188.55</v>
      </c>
      <c r="T95" s="185">
        <f t="shared" si="59"/>
        <v>6913.97</v>
      </c>
      <c r="U95" s="185">
        <f t="shared" si="121"/>
        <v>16655.029999999995</v>
      </c>
      <c r="V95" s="185">
        <f t="shared" si="122"/>
        <v>510644.96999999991</v>
      </c>
      <c r="W95" s="185">
        <f t="shared" si="76"/>
        <v>573969.9700000002</v>
      </c>
      <c r="X95" s="401" t="str">
        <f t="shared" si="113"/>
        <v xml:space="preserve"> </v>
      </c>
      <c r="Y95" s="185">
        <f t="shared" si="77"/>
        <v>1116588.6299999997</v>
      </c>
      <c r="Z95" s="393">
        <f t="shared" si="104"/>
        <v>0.13125000000000001</v>
      </c>
      <c r="AA95" s="185">
        <f t="shared" si="105"/>
        <v>2810.15</v>
      </c>
      <c r="AB95" s="185">
        <f t="shared" si="78"/>
        <v>-9402.5400000000009</v>
      </c>
      <c r="AC95" s="185">
        <f t="shared" si="106"/>
        <v>12212.69</v>
      </c>
      <c r="AD95" s="185">
        <f t="shared" ref="AD95:AE95" si="138">+AD94</f>
        <v>134.16999999999999</v>
      </c>
      <c r="AE95" s="185">
        <f t="shared" si="138"/>
        <v>188.55</v>
      </c>
      <c r="AF95" s="185">
        <f t="shared" si="80"/>
        <v>3132.87</v>
      </c>
      <c r="AG95" s="185">
        <f t="shared" si="81"/>
        <v>-139891.16999999995</v>
      </c>
      <c r="AH95" s="185">
        <f t="shared" si="82"/>
        <v>742845.96999999986</v>
      </c>
      <c r="AI95" s="411">
        <f t="shared" si="64"/>
        <v>-75654.799999999843</v>
      </c>
      <c r="AJ95" s="411">
        <f t="shared" si="134"/>
        <v>-552021.19999999949</v>
      </c>
      <c r="AK95" s="411">
        <f t="shared" si="65"/>
        <v>-627675.9999999993</v>
      </c>
      <c r="AL95" s="185">
        <f t="shared" si="83"/>
        <v>1125991.1699999997</v>
      </c>
      <c r="AM95" s="317">
        <f t="shared" si="115"/>
        <v>6</v>
      </c>
      <c r="AN95" s="14">
        <f t="shared" si="66"/>
        <v>6591.25</v>
      </c>
      <c r="AO95" s="14">
        <f t="shared" si="50"/>
        <v>969444.97</v>
      </c>
      <c r="AP95" s="14">
        <f t="shared" si="67"/>
        <v>2810.15</v>
      </c>
      <c r="AS95" s="14">
        <f t="shared" si="109"/>
        <v>6591.25</v>
      </c>
      <c r="AT95" s="14">
        <f t="shared" si="116"/>
        <v>526819.43999999994</v>
      </c>
      <c r="AU95" s="185">
        <f t="shared" si="117"/>
        <v>1803.027446927804</v>
      </c>
      <c r="AV95" s="185">
        <f t="shared" si="118"/>
        <v>132389.0062180495</v>
      </c>
      <c r="AX95" s="373"/>
    </row>
    <row r="96" spans="1:50">
      <c r="A96" s="401" t="str">
        <f t="shared" si="69"/>
        <v xml:space="preserve"> </v>
      </c>
      <c r="B96" s="185">
        <f t="shared" si="110"/>
        <v>0</v>
      </c>
      <c r="C96" s="14">
        <f t="shared" si="101"/>
        <v>0</v>
      </c>
      <c r="D96" s="14">
        <f t="shared" si="119"/>
        <v>0</v>
      </c>
      <c r="E96" s="14">
        <f t="shared" si="102"/>
        <v>0</v>
      </c>
      <c r="F96" s="14">
        <f t="shared" si="51"/>
        <v>0</v>
      </c>
      <c r="G96" s="14">
        <f t="shared" si="52"/>
        <v>0</v>
      </c>
      <c r="H96" s="14">
        <f t="shared" si="54"/>
        <v>0</v>
      </c>
      <c r="I96" s="185">
        <f t="shared" si="70"/>
        <v>0</v>
      </c>
      <c r="J96" s="185">
        <f t="shared" si="71"/>
        <v>0</v>
      </c>
      <c r="K96" s="185">
        <f t="shared" si="72"/>
        <v>0</v>
      </c>
      <c r="L96" s="317">
        <f t="shared" si="103"/>
        <v>6</v>
      </c>
      <c r="M96" s="317">
        <f t="shared" si="111"/>
        <v>80</v>
      </c>
      <c r="N96" s="185">
        <f t="shared" si="112"/>
        <v>573969.9700000002</v>
      </c>
      <c r="O96" s="185">
        <f t="shared" si="73"/>
        <v>6591.25</v>
      </c>
      <c r="P96" s="185">
        <f t="shared" si="120"/>
        <v>313.44999999999982</v>
      </c>
      <c r="Q96" s="185">
        <f t="shared" si="74"/>
        <v>6277.8</v>
      </c>
      <c r="R96" s="185">
        <f t="shared" si="84"/>
        <v>134.16999999999999</v>
      </c>
      <c r="S96" s="185">
        <f t="shared" si="75"/>
        <v>188.55</v>
      </c>
      <c r="T96" s="185">
        <f t="shared" si="59"/>
        <v>6913.97</v>
      </c>
      <c r="U96" s="185">
        <f t="shared" si="121"/>
        <v>16968.479999999996</v>
      </c>
      <c r="V96" s="185">
        <f t="shared" si="122"/>
        <v>516922.7699999999</v>
      </c>
      <c r="W96" s="185">
        <f t="shared" si="76"/>
        <v>573656.52000000025</v>
      </c>
      <c r="X96" s="401" t="str">
        <f t="shared" si="113"/>
        <v xml:space="preserve"> </v>
      </c>
      <c r="Y96" s="185">
        <f t="shared" si="77"/>
        <v>1125991.1699999997</v>
      </c>
      <c r="Z96" s="393">
        <f t="shared" si="104"/>
        <v>0.13125000000000001</v>
      </c>
      <c r="AA96" s="185">
        <f t="shared" si="105"/>
        <v>2810.15</v>
      </c>
      <c r="AB96" s="185">
        <f t="shared" si="78"/>
        <v>-9505.380000000001</v>
      </c>
      <c r="AC96" s="185">
        <f t="shared" si="106"/>
        <v>12315.53</v>
      </c>
      <c r="AD96" s="185">
        <f t="shared" ref="AD96:AE96" si="139">+AD95</f>
        <v>134.16999999999999</v>
      </c>
      <c r="AE96" s="185">
        <f t="shared" si="139"/>
        <v>188.55</v>
      </c>
      <c r="AF96" s="185">
        <f t="shared" si="80"/>
        <v>3132.87</v>
      </c>
      <c r="AG96" s="185">
        <f t="shared" si="81"/>
        <v>-149396.54999999996</v>
      </c>
      <c r="AH96" s="185">
        <f t="shared" si="82"/>
        <v>755161.49999999988</v>
      </c>
      <c r="AI96" s="411">
        <f t="shared" si="64"/>
        <v>-71873.699999999837</v>
      </c>
      <c r="AJ96" s="411">
        <f t="shared" si="134"/>
        <v>-561840.02999999933</v>
      </c>
      <c r="AK96" s="411">
        <f t="shared" si="65"/>
        <v>-633713.72999999917</v>
      </c>
      <c r="AL96" s="185">
        <f t="shared" si="83"/>
        <v>1135496.5499999996</v>
      </c>
      <c r="AM96" s="317">
        <f t="shared" si="115"/>
        <v>6</v>
      </c>
      <c r="AN96" s="14">
        <f t="shared" si="66"/>
        <v>6591.25</v>
      </c>
      <c r="AO96" s="14">
        <f t="shared" si="50"/>
        <v>969131.52000000002</v>
      </c>
      <c r="AP96" s="14">
        <f t="shared" si="67"/>
        <v>2810.15</v>
      </c>
      <c r="AS96" s="14">
        <f t="shared" si="109"/>
        <v>6591.25</v>
      </c>
      <c r="AT96" s="14">
        <f t="shared" si="116"/>
        <v>533410.68999999994</v>
      </c>
      <c r="AU96" s="185">
        <f t="shared" si="117"/>
        <v>1807.5350155451235</v>
      </c>
      <c r="AV96" s="185">
        <f t="shared" si="118"/>
        <v>134196.54123359462</v>
      </c>
      <c r="AX96" s="373"/>
    </row>
    <row r="97" spans="1:50">
      <c r="A97" s="401" t="str">
        <f t="shared" si="69"/>
        <v xml:space="preserve"> </v>
      </c>
      <c r="B97" s="185">
        <f t="shared" si="110"/>
        <v>0</v>
      </c>
      <c r="C97" s="14">
        <f t="shared" si="101"/>
        <v>0</v>
      </c>
      <c r="D97" s="14">
        <f t="shared" si="119"/>
        <v>0</v>
      </c>
      <c r="E97" s="14">
        <f t="shared" si="102"/>
        <v>0</v>
      </c>
      <c r="F97" s="14">
        <f t="shared" si="51"/>
        <v>0</v>
      </c>
      <c r="G97" s="14">
        <f t="shared" si="52"/>
        <v>0</v>
      </c>
      <c r="H97" s="14">
        <f t="shared" si="54"/>
        <v>0</v>
      </c>
      <c r="I97" s="185">
        <f t="shared" si="70"/>
        <v>0</v>
      </c>
      <c r="J97" s="185">
        <f t="shared" si="71"/>
        <v>0</v>
      </c>
      <c r="K97" s="185">
        <f t="shared" si="72"/>
        <v>0</v>
      </c>
      <c r="L97" s="317">
        <f t="shared" si="103"/>
        <v>6</v>
      </c>
      <c r="M97" s="317">
        <f t="shared" si="111"/>
        <v>81</v>
      </c>
      <c r="N97" s="185">
        <f t="shared" si="112"/>
        <v>573656.52000000025</v>
      </c>
      <c r="O97" s="185">
        <f t="shared" si="73"/>
        <v>6591.25</v>
      </c>
      <c r="P97" s="185">
        <f t="shared" si="120"/>
        <v>316.88000000000011</v>
      </c>
      <c r="Q97" s="185">
        <f t="shared" si="74"/>
        <v>6274.37</v>
      </c>
      <c r="R97" s="185">
        <f t="shared" si="84"/>
        <v>134.16999999999999</v>
      </c>
      <c r="S97" s="185">
        <f t="shared" si="75"/>
        <v>188.55</v>
      </c>
      <c r="T97" s="185">
        <f t="shared" si="59"/>
        <v>6913.97</v>
      </c>
      <c r="U97" s="185">
        <f t="shared" si="121"/>
        <v>17285.359999999997</v>
      </c>
      <c r="V97" s="185">
        <f t="shared" si="122"/>
        <v>523197.1399999999</v>
      </c>
      <c r="W97" s="185">
        <f t="shared" si="76"/>
        <v>573339.64000000025</v>
      </c>
      <c r="X97" s="401" t="str">
        <f t="shared" si="113"/>
        <v xml:space="preserve"> </v>
      </c>
      <c r="Y97" s="185">
        <f t="shared" si="77"/>
        <v>1135496.5499999996</v>
      </c>
      <c r="Z97" s="393">
        <f t="shared" si="104"/>
        <v>0.13125000000000001</v>
      </c>
      <c r="AA97" s="185">
        <f t="shared" si="105"/>
        <v>2810.15</v>
      </c>
      <c r="AB97" s="185">
        <f t="shared" si="78"/>
        <v>-9609.34</v>
      </c>
      <c r="AC97" s="185">
        <f t="shared" si="106"/>
        <v>12419.49</v>
      </c>
      <c r="AD97" s="185">
        <f t="shared" ref="AD97:AE97" si="140">+AD96</f>
        <v>134.16999999999999</v>
      </c>
      <c r="AE97" s="185">
        <f t="shared" si="140"/>
        <v>188.55</v>
      </c>
      <c r="AF97" s="185">
        <f t="shared" si="80"/>
        <v>3132.87</v>
      </c>
      <c r="AG97" s="185">
        <f t="shared" si="81"/>
        <v>-159005.88999999996</v>
      </c>
      <c r="AH97" s="185">
        <f t="shared" si="82"/>
        <v>767580.98999999987</v>
      </c>
      <c r="AI97" s="411">
        <f t="shared" si="64"/>
        <v>-68092.599999999831</v>
      </c>
      <c r="AJ97" s="411">
        <f t="shared" si="134"/>
        <v>-571766.24999999942</v>
      </c>
      <c r="AK97" s="411">
        <f t="shared" si="65"/>
        <v>-639858.84999999928</v>
      </c>
      <c r="AL97" s="185">
        <f t="shared" si="83"/>
        <v>1145105.8899999997</v>
      </c>
      <c r="AM97" s="317">
        <f t="shared" si="115"/>
        <v>6</v>
      </c>
      <c r="AN97" s="14">
        <f t="shared" si="66"/>
        <v>6591.25</v>
      </c>
      <c r="AO97" s="14">
        <f t="shared" si="50"/>
        <v>968814.64</v>
      </c>
      <c r="AP97" s="14">
        <f t="shared" si="67"/>
        <v>2810.15</v>
      </c>
      <c r="AS97" s="14">
        <f t="shared" si="109"/>
        <v>6591.25</v>
      </c>
      <c r="AT97" s="14">
        <f t="shared" si="116"/>
        <v>540001.93999999994</v>
      </c>
      <c r="AU97" s="185">
        <f t="shared" si="117"/>
        <v>1812.0538530839865</v>
      </c>
      <c r="AV97" s="185">
        <f t="shared" si="118"/>
        <v>136008.5950866786</v>
      </c>
    </row>
    <row r="98" spans="1:50" ht="15.75" thickBot="1">
      <c r="A98" s="404" t="str">
        <f t="shared" si="69"/>
        <v xml:space="preserve"> </v>
      </c>
      <c r="B98" s="237">
        <f t="shared" si="110"/>
        <v>0</v>
      </c>
      <c r="C98" s="21">
        <f t="shared" si="101"/>
        <v>0</v>
      </c>
      <c r="D98" s="21">
        <f t="shared" si="119"/>
        <v>0</v>
      </c>
      <c r="E98" s="21">
        <f t="shared" si="102"/>
        <v>0</v>
      </c>
      <c r="F98" s="21">
        <f t="shared" si="51"/>
        <v>0</v>
      </c>
      <c r="G98" s="21">
        <f t="shared" si="52"/>
        <v>0</v>
      </c>
      <c r="H98" s="21">
        <f t="shared" si="54"/>
        <v>0</v>
      </c>
      <c r="I98" s="237">
        <f t="shared" si="70"/>
        <v>0</v>
      </c>
      <c r="J98" s="237">
        <f t="shared" si="71"/>
        <v>0</v>
      </c>
      <c r="K98" s="237">
        <f t="shared" si="72"/>
        <v>0</v>
      </c>
      <c r="L98" s="318">
        <f t="shared" si="103"/>
        <v>6</v>
      </c>
      <c r="M98" s="318">
        <f t="shared" si="111"/>
        <v>82</v>
      </c>
      <c r="N98" s="237">
        <f t="shared" si="112"/>
        <v>573339.64000000025</v>
      </c>
      <c r="O98" s="237">
        <f t="shared" si="73"/>
        <v>6591.25</v>
      </c>
      <c r="P98" s="237">
        <f t="shared" si="120"/>
        <v>320.35000000000036</v>
      </c>
      <c r="Q98" s="237">
        <f t="shared" si="74"/>
        <v>6270.9</v>
      </c>
      <c r="R98" s="237">
        <f t="shared" si="84"/>
        <v>134.16999999999999</v>
      </c>
      <c r="S98" s="237">
        <f t="shared" si="75"/>
        <v>188.55</v>
      </c>
      <c r="T98" s="237">
        <f t="shared" si="59"/>
        <v>6913.97</v>
      </c>
      <c r="U98" s="237">
        <f t="shared" si="121"/>
        <v>17605.71</v>
      </c>
      <c r="V98" s="237">
        <f t="shared" si="122"/>
        <v>529468.03999999992</v>
      </c>
      <c r="W98" s="237">
        <f t="shared" si="76"/>
        <v>573019.29000000027</v>
      </c>
      <c r="X98" s="404" t="str">
        <f t="shared" si="113"/>
        <v xml:space="preserve"> </v>
      </c>
      <c r="Y98" s="237">
        <f t="shared" si="77"/>
        <v>1145105.8899999997</v>
      </c>
      <c r="Z98" s="394">
        <f t="shared" si="104"/>
        <v>0.13125000000000001</v>
      </c>
      <c r="AA98" s="237">
        <f t="shared" si="105"/>
        <v>2810.15</v>
      </c>
      <c r="AB98" s="237">
        <f t="shared" si="78"/>
        <v>-9714.4500000000007</v>
      </c>
      <c r="AC98" s="237">
        <f t="shared" si="106"/>
        <v>12524.6</v>
      </c>
      <c r="AD98" s="237">
        <f t="shared" ref="AD98:AE98" si="141">+AD97</f>
        <v>134.16999999999999</v>
      </c>
      <c r="AE98" s="237">
        <f t="shared" si="141"/>
        <v>188.55</v>
      </c>
      <c r="AF98" s="237">
        <f t="shared" si="80"/>
        <v>3132.87</v>
      </c>
      <c r="AG98" s="237">
        <f t="shared" si="81"/>
        <v>-168720.33999999997</v>
      </c>
      <c r="AH98" s="237">
        <f t="shared" si="82"/>
        <v>780105.58999999985</v>
      </c>
      <c r="AI98" s="412">
        <f t="shared" si="64"/>
        <v>-64311.499999999833</v>
      </c>
      <c r="AJ98" s="412">
        <f t="shared" si="134"/>
        <v>-581801.04999999935</v>
      </c>
      <c r="AK98" s="412">
        <f t="shared" si="65"/>
        <v>-646112.54999999923</v>
      </c>
      <c r="AL98" s="237">
        <f t="shared" si="83"/>
        <v>1154820.3399999996</v>
      </c>
      <c r="AM98" s="318">
        <f t="shared" si="115"/>
        <v>6</v>
      </c>
      <c r="AN98" s="21">
        <f t="shared" si="66"/>
        <v>6591.25</v>
      </c>
      <c r="AO98" s="21">
        <f t="shared" si="50"/>
        <v>968494.29</v>
      </c>
      <c r="AP98" s="21">
        <f t="shared" si="67"/>
        <v>2810.15</v>
      </c>
      <c r="AQ98" s="21"/>
      <c r="AR98" s="23"/>
      <c r="AS98" s="21">
        <f t="shared" si="109"/>
        <v>6591.25</v>
      </c>
      <c r="AT98" s="21">
        <f t="shared" si="116"/>
        <v>546593.18999999994</v>
      </c>
      <c r="AU98" s="237">
        <f t="shared" si="117"/>
        <v>1816.5839877166964</v>
      </c>
      <c r="AV98" s="237">
        <f t="shared" si="118"/>
        <v>137825.1790743953</v>
      </c>
    </row>
    <row r="99" spans="1:50">
      <c r="A99" s="401" t="str">
        <f t="shared" si="69"/>
        <v xml:space="preserve"> </v>
      </c>
      <c r="B99" s="185">
        <f t="shared" si="110"/>
        <v>0</v>
      </c>
      <c r="C99" s="14">
        <f t="shared" si="101"/>
        <v>0</v>
      </c>
      <c r="D99" s="14">
        <f t="shared" si="119"/>
        <v>0</v>
      </c>
      <c r="E99" s="14">
        <f t="shared" si="102"/>
        <v>0</v>
      </c>
      <c r="F99" s="14">
        <f t="shared" si="51"/>
        <v>0</v>
      </c>
      <c r="G99" s="14">
        <f t="shared" si="52"/>
        <v>0</v>
      </c>
      <c r="H99" s="14">
        <f t="shared" si="54"/>
        <v>0</v>
      </c>
      <c r="I99" s="185">
        <f t="shared" si="70"/>
        <v>0</v>
      </c>
      <c r="J99" s="185">
        <f t="shared" si="71"/>
        <v>0</v>
      </c>
      <c r="K99" s="185">
        <f t="shared" si="72"/>
        <v>0</v>
      </c>
      <c r="L99" s="317">
        <f t="shared" si="103"/>
        <v>6</v>
      </c>
      <c r="M99" s="317">
        <f t="shared" si="111"/>
        <v>83</v>
      </c>
      <c r="N99" s="185">
        <f t="shared" si="112"/>
        <v>573019.29000000027</v>
      </c>
      <c r="O99" s="185">
        <f t="shared" si="73"/>
        <v>6591.25</v>
      </c>
      <c r="P99" s="185">
        <f t="shared" si="120"/>
        <v>323.85000000000036</v>
      </c>
      <c r="Q99" s="185">
        <f t="shared" si="74"/>
        <v>6267.4</v>
      </c>
      <c r="R99" s="185">
        <f t="shared" si="84"/>
        <v>134.16999999999999</v>
      </c>
      <c r="S99" s="185">
        <f t="shared" si="75"/>
        <v>188.55</v>
      </c>
      <c r="T99" s="185">
        <f t="shared" si="59"/>
        <v>6913.97</v>
      </c>
      <c r="U99" s="185">
        <f t="shared" si="121"/>
        <v>17929.559999999998</v>
      </c>
      <c r="V99" s="185">
        <f t="shared" si="122"/>
        <v>535735.43999999994</v>
      </c>
      <c r="W99" s="185">
        <f t="shared" si="76"/>
        <v>572695.44000000029</v>
      </c>
      <c r="X99" s="401" t="str">
        <f t="shared" si="113"/>
        <v xml:space="preserve"> </v>
      </c>
      <c r="Y99" s="185">
        <f t="shared" si="77"/>
        <v>1154820.3399999996</v>
      </c>
      <c r="Z99" s="393">
        <f t="shared" si="104"/>
        <v>0.13125000000000001</v>
      </c>
      <c r="AA99" s="185">
        <f t="shared" si="105"/>
        <v>2810.15</v>
      </c>
      <c r="AB99" s="185">
        <f t="shared" si="78"/>
        <v>-9820.7000000000007</v>
      </c>
      <c r="AC99" s="185">
        <f t="shared" si="106"/>
        <v>12630.85</v>
      </c>
      <c r="AD99" s="185">
        <f t="shared" ref="AD99:AE99" si="142">+AD98</f>
        <v>134.16999999999999</v>
      </c>
      <c r="AE99" s="185">
        <f t="shared" si="142"/>
        <v>188.55</v>
      </c>
      <c r="AF99" s="185">
        <f t="shared" si="80"/>
        <v>3132.87</v>
      </c>
      <c r="AG99" s="185">
        <f t="shared" si="81"/>
        <v>-178541.03999999998</v>
      </c>
      <c r="AH99" s="185">
        <f t="shared" si="82"/>
        <v>792736.43999999983</v>
      </c>
      <c r="AI99" s="411">
        <f t="shared" si="64"/>
        <v>-60530.399999999834</v>
      </c>
      <c r="AJ99" s="411">
        <f t="shared" si="134"/>
        <v>-591945.59999999928</v>
      </c>
      <c r="AK99" s="411">
        <f t="shared" si="65"/>
        <v>-652475.99999999907</v>
      </c>
      <c r="AL99" s="185">
        <f t="shared" si="83"/>
        <v>1164641.0399999996</v>
      </c>
      <c r="AM99" s="317">
        <f t="shared" si="115"/>
        <v>6</v>
      </c>
      <c r="AN99" s="14">
        <f t="shared" si="66"/>
        <v>6591.25</v>
      </c>
      <c r="AO99" s="14">
        <f t="shared" si="50"/>
        <v>968170.44</v>
      </c>
      <c r="AP99" s="14">
        <f t="shared" si="67"/>
        <v>2810.15</v>
      </c>
      <c r="AS99" s="14">
        <f t="shared" si="109"/>
        <v>6591.25</v>
      </c>
      <c r="AT99" s="14">
        <f t="shared" si="116"/>
        <v>553184.43999999994</v>
      </c>
      <c r="AU99" s="185">
        <f t="shared" si="117"/>
        <v>1821.1254476859883</v>
      </c>
      <c r="AV99" s="185">
        <f t="shared" si="118"/>
        <v>139646.30452208128</v>
      </c>
    </row>
    <row r="100" spans="1:50">
      <c r="A100" s="401" t="str">
        <f t="shared" si="69"/>
        <v xml:space="preserve"> </v>
      </c>
      <c r="B100" s="185">
        <f t="shared" si="110"/>
        <v>0</v>
      </c>
      <c r="C100" s="14">
        <f t="shared" si="101"/>
        <v>0</v>
      </c>
      <c r="D100" s="14">
        <f t="shared" si="119"/>
        <v>0</v>
      </c>
      <c r="E100" s="14">
        <f t="shared" si="102"/>
        <v>0</v>
      </c>
      <c r="F100" s="14">
        <f t="shared" si="51"/>
        <v>0</v>
      </c>
      <c r="G100" s="14">
        <f t="shared" si="52"/>
        <v>0</v>
      </c>
      <c r="H100" s="14">
        <f t="shared" si="54"/>
        <v>0</v>
      </c>
      <c r="I100" s="185">
        <f t="shared" si="70"/>
        <v>0</v>
      </c>
      <c r="J100" s="185">
        <f t="shared" si="71"/>
        <v>0</v>
      </c>
      <c r="K100" s="185">
        <f t="shared" si="72"/>
        <v>0</v>
      </c>
      <c r="L100" s="317">
        <f t="shared" si="103"/>
        <v>7</v>
      </c>
      <c r="M100" s="317">
        <f t="shared" si="111"/>
        <v>84</v>
      </c>
      <c r="N100" s="185">
        <f t="shared" si="112"/>
        <v>572695.44000000029</v>
      </c>
      <c r="O100" s="185">
        <f t="shared" si="73"/>
        <v>6591.25</v>
      </c>
      <c r="P100" s="185">
        <f t="shared" si="120"/>
        <v>327.39000000000033</v>
      </c>
      <c r="Q100" s="185">
        <f t="shared" si="74"/>
        <v>6263.86</v>
      </c>
      <c r="R100" s="185">
        <f t="shared" si="84"/>
        <v>134.16999999999999</v>
      </c>
      <c r="S100" s="185">
        <f t="shared" si="75"/>
        <v>188.55</v>
      </c>
      <c r="T100" s="185">
        <f t="shared" si="59"/>
        <v>6913.97</v>
      </c>
      <c r="U100" s="185">
        <f t="shared" si="121"/>
        <v>18256.949999999997</v>
      </c>
      <c r="V100" s="185">
        <f t="shared" si="122"/>
        <v>541999.29999999993</v>
      </c>
      <c r="W100" s="185">
        <f t="shared" si="76"/>
        <v>572368.05000000028</v>
      </c>
      <c r="X100" s="401" t="str">
        <f t="shared" si="113"/>
        <v xml:space="preserve"> </v>
      </c>
      <c r="Y100" s="185">
        <f t="shared" si="77"/>
        <v>1164641.0399999996</v>
      </c>
      <c r="Z100" s="393">
        <f t="shared" si="104"/>
        <v>0.13125000000000001</v>
      </c>
      <c r="AA100" s="185">
        <f t="shared" si="105"/>
        <v>2810.15</v>
      </c>
      <c r="AB100" s="185">
        <f t="shared" si="78"/>
        <v>-9928.11</v>
      </c>
      <c r="AC100" s="185">
        <f t="shared" si="106"/>
        <v>12738.26</v>
      </c>
      <c r="AD100" s="185">
        <f t="shared" ref="AD100:AE100" si="143">+AD99</f>
        <v>134.16999999999999</v>
      </c>
      <c r="AE100" s="185">
        <f t="shared" si="143"/>
        <v>188.55</v>
      </c>
      <c r="AF100" s="185">
        <f t="shared" si="80"/>
        <v>3132.87</v>
      </c>
      <c r="AG100" s="185">
        <f t="shared" si="81"/>
        <v>-188469.14999999997</v>
      </c>
      <c r="AH100" s="185">
        <f t="shared" si="82"/>
        <v>805474.69999999984</v>
      </c>
      <c r="AI100" s="411">
        <f t="shared" si="64"/>
        <v>-56749.299999999836</v>
      </c>
      <c r="AJ100" s="411">
        <f t="shared" si="134"/>
        <v>-602201.09999999939</v>
      </c>
      <c r="AK100" s="411">
        <f t="shared" si="65"/>
        <v>-658950.39999999921</v>
      </c>
      <c r="AL100" s="185">
        <f t="shared" si="83"/>
        <v>1174569.1499999997</v>
      </c>
      <c r="AM100" s="317">
        <f t="shared" si="115"/>
        <v>7</v>
      </c>
      <c r="AN100" s="14">
        <f t="shared" si="66"/>
        <v>6591.25</v>
      </c>
      <c r="AO100" s="14">
        <f t="shared" si="50"/>
        <v>967843.05</v>
      </c>
      <c r="AP100" s="14">
        <f t="shared" si="67"/>
        <v>2810.15</v>
      </c>
      <c r="AS100" s="14">
        <f t="shared" si="109"/>
        <v>6591.25</v>
      </c>
      <c r="AT100" s="14">
        <f t="shared" si="116"/>
        <v>559775.68999999994</v>
      </c>
      <c r="AU100" s="185">
        <f t="shared" si="117"/>
        <v>1825.678261305203</v>
      </c>
      <c r="AV100" s="185">
        <f t="shared" si="118"/>
        <v>141471.98278338648</v>
      </c>
    </row>
    <row r="101" spans="1:50">
      <c r="A101" s="401" t="str">
        <f t="shared" si="69"/>
        <v xml:space="preserve"> </v>
      </c>
      <c r="B101" s="185">
        <f t="shared" si="110"/>
        <v>0</v>
      </c>
      <c r="C101" s="14">
        <f t="shared" si="101"/>
        <v>0</v>
      </c>
      <c r="D101" s="14">
        <f t="shared" si="119"/>
        <v>0</v>
      </c>
      <c r="E101" s="14">
        <f t="shared" si="102"/>
        <v>0</v>
      </c>
      <c r="F101" s="14">
        <f t="shared" si="51"/>
        <v>0</v>
      </c>
      <c r="G101" s="14">
        <f t="shared" si="52"/>
        <v>0</v>
      </c>
      <c r="H101" s="14">
        <f t="shared" si="54"/>
        <v>0</v>
      </c>
      <c r="I101" s="185">
        <f t="shared" si="70"/>
        <v>0</v>
      </c>
      <c r="J101" s="185">
        <f t="shared" si="71"/>
        <v>0</v>
      </c>
      <c r="K101" s="185">
        <f t="shared" si="72"/>
        <v>0</v>
      </c>
      <c r="L101" s="317">
        <f t="shared" si="103"/>
        <v>7</v>
      </c>
      <c r="M101" s="317">
        <f t="shared" si="111"/>
        <v>85</v>
      </c>
      <c r="N101" s="185">
        <f t="shared" si="112"/>
        <v>572368.05000000028</v>
      </c>
      <c r="O101" s="185">
        <f t="shared" si="73"/>
        <v>6591.25</v>
      </c>
      <c r="P101" s="185">
        <f t="shared" si="120"/>
        <v>330.97000000000025</v>
      </c>
      <c r="Q101" s="185">
        <f t="shared" si="74"/>
        <v>6260.28</v>
      </c>
      <c r="R101" s="185">
        <f t="shared" si="84"/>
        <v>134.16999999999999</v>
      </c>
      <c r="S101" s="185">
        <f t="shared" si="75"/>
        <v>188.55</v>
      </c>
      <c r="T101" s="185">
        <f t="shared" si="59"/>
        <v>6913.97</v>
      </c>
      <c r="U101" s="185">
        <f t="shared" si="121"/>
        <v>18587.919999999998</v>
      </c>
      <c r="V101" s="185">
        <f t="shared" si="122"/>
        <v>548259.57999999996</v>
      </c>
      <c r="W101" s="185">
        <f t="shared" si="76"/>
        <v>572037.08000000031</v>
      </c>
      <c r="X101" s="401" t="str">
        <f t="shared" si="113"/>
        <v xml:space="preserve"> </v>
      </c>
      <c r="Y101" s="185">
        <f t="shared" si="77"/>
        <v>1174569.1499999997</v>
      </c>
      <c r="Z101" s="393">
        <f t="shared" si="104"/>
        <v>0.13125000000000001</v>
      </c>
      <c r="AA101" s="185">
        <f t="shared" si="105"/>
        <v>2810.15</v>
      </c>
      <c r="AB101" s="185">
        <f t="shared" si="78"/>
        <v>-10036.700000000001</v>
      </c>
      <c r="AC101" s="185">
        <f t="shared" si="106"/>
        <v>12846.85</v>
      </c>
      <c r="AD101" s="185">
        <f t="shared" ref="AD101:AE101" si="144">+AD100</f>
        <v>134.16999999999999</v>
      </c>
      <c r="AE101" s="185">
        <f t="shared" si="144"/>
        <v>188.55</v>
      </c>
      <c r="AF101" s="185">
        <f t="shared" si="80"/>
        <v>3132.87</v>
      </c>
      <c r="AG101" s="185">
        <f t="shared" si="81"/>
        <v>-198505.84999999998</v>
      </c>
      <c r="AH101" s="185">
        <f t="shared" si="82"/>
        <v>818321.54999999981</v>
      </c>
      <c r="AI101" s="411">
        <f t="shared" si="64"/>
        <v>-52968.199999999837</v>
      </c>
      <c r="AJ101" s="411">
        <f t="shared" si="134"/>
        <v>-612568.76999999932</v>
      </c>
      <c r="AK101" s="411">
        <f t="shared" si="65"/>
        <v>-665536.96999999916</v>
      </c>
      <c r="AL101" s="185">
        <f t="shared" si="83"/>
        <v>1184605.8499999996</v>
      </c>
      <c r="AM101" s="317">
        <f t="shared" si="115"/>
        <v>7</v>
      </c>
      <c r="AN101" s="14">
        <f t="shared" si="66"/>
        <v>6591.25</v>
      </c>
      <c r="AO101" s="14">
        <f t="shared" si="50"/>
        <v>967512.08</v>
      </c>
      <c r="AP101" s="14">
        <f t="shared" si="67"/>
        <v>2810.15</v>
      </c>
      <c r="AS101" s="14">
        <f t="shared" si="109"/>
        <v>6591.25</v>
      </c>
      <c r="AT101" s="14">
        <f t="shared" si="116"/>
        <v>566366.93999999994</v>
      </c>
      <c r="AU101" s="185">
        <f t="shared" si="117"/>
        <v>1830.2424569584662</v>
      </c>
      <c r="AV101" s="185">
        <f t="shared" si="118"/>
        <v>143302.22524034494</v>
      </c>
    </row>
    <row r="102" spans="1:50">
      <c r="A102" s="401" t="str">
        <f t="shared" si="69"/>
        <v xml:space="preserve"> </v>
      </c>
      <c r="B102" s="185">
        <f t="shared" si="110"/>
        <v>0</v>
      </c>
      <c r="C102" s="14">
        <f t="shared" si="101"/>
        <v>0</v>
      </c>
      <c r="D102" s="14">
        <f t="shared" si="119"/>
        <v>0</v>
      </c>
      <c r="E102" s="14">
        <f t="shared" si="102"/>
        <v>0</v>
      </c>
      <c r="F102" s="14">
        <f t="shared" si="51"/>
        <v>0</v>
      </c>
      <c r="G102" s="14">
        <f t="shared" si="52"/>
        <v>0</v>
      </c>
      <c r="H102" s="14">
        <f t="shared" si="54"/>
        <v>0</v>
      </c>
      <c r="I102" s="185">
        <f t="shared" si="70"/>
        <v>0</v>
      </c>
      <c r="J102" s="185">
        <f t="shared" si="71"/>
        <v>0</v>
      </c>
      <c r="K102" s="185">
        <f t="shared" si="72"/>
        <v>0</v>
      </c>
      <c r="L102" s="317">
        <f t="shared" si="103"/>
        <v>7</v>
      </c>
      <c r="M102" s="317">
        <f t="shared" si="111"/>
        <v>86</v>
      </c>
      <c r="N102" s="185">
        <f t="shared" si="112"/>
        <v>572037.08000000031</v>
      </c>
      <c r="O102" s="185">
        <f t="shared" si="73"/>
        <v>6591.25</v>
      </c>
      <c r="P102" s="185">
        <f t="shared" si="120"/>
        <v>334.59000000000015</v>
      </c>
      <c r="Q102" s="185">
        <f t="shared" si="74"/>
        <v>6256.66</v>
      </c>
      <c r="R102" s="185">
        <f t="shared" si="84"/>
        <v>134.16999999999999</v>
      </c>
      <c r="S102" s="185">
        <f t="shared" si="75"/>
        <v>188.55</v>
      </c>
      <c r="T102" s="185">
        <f t="shared" si="59"/>
        <v>6913.97</v>
      </c>
      <c r="U102" s="185">
        <f t="shared" si="121"/>
        <v>18922.509999999998</v>
      </c>
      <c r="V102" s="185">
        <f t="shared" si="122"/>
        <v>554516.24</v>
      </c>
      <c r="W102" s="185">
        <f t="shared" si="76"/>
        <v>571702.49000000034</v>
      </c>
      <c r="X102" s="401" t="str">
        <f t="shared" si="113"/>
        <v xml:space="preserve"> </v>
      </c>
      <c r="Y102" s="185">
        <f t="shared" si="77"/>
        <v>1184605.8499999996</v>
      </c>
      <c r="Z102" s="393">
        <f t="shared" si="104"/>
        <v>0.13125000000000001</v>
      </c>
      <c r="AA102" s="185">
        <f t="shared" si="105"/>
        <v>2810.15</v>
      </c>
      <c r="AB102" s="185">
        <f t="shared" si="78"/>
        <v>-10146.48</v>
      </c>
      <c r="AC102" s="185">
        <f t="shared" si="106"/>
        <v>12956.63</v>
      </c>
      <c r="AD102" s="185">
        <f t="shared" ref="AD102:AE102" si="145">+AD101</f>
        <v>134.16999999999999</v>
      </c>
      <c r="AE102" s="185">
        <f t="shared" si="145"/>
        <v>188.55</v>
      </c>
      <c r="AF102" s="185">
        <f t="shared" si="80"/>
        <v>3132.87</v>
      </c>
      <c r="AG102" s="185">
        <f t="shared" si="81"/>
        <v>-208652.33</v>
      </c>
      <c r="AH102" s="185">
        <f t="shared" si="82"/>
        <v>831278.17999999982</v>
      </c>
      <c r="AI102" s="411">
        <f t="shared" si="64"/>
        <v>-49187.099999999838</v>
      </c>
      <c r="AJ102" s="411">
        <f t="shared" si="134"/>
        <v>-623049.83999999927</v>
      </c>
      <c r="AK102" s="411">
        <f t="shared" si="65"/>
        <v>-672236.93999999913</v>
      </c>
      <c r="AL102" s="185">
        <f t="shared" si="83"/>
        <v>1194752.3299999996</v>
      </c>
      <c r="AM102" s="317">
        <f t="shared" si="115"/>
        <v>7</v>
      </c>
      <c r="AN102" s="14">
        <f t="shared" si="66"/>
        <v>6591.25</v>
      </c>
      <c r="AO102" s="14">
        <f t="shared" si="50"/>
        <v>967177.49</v>
      </c>
      <c r="AP102" s="14">
        <f t="shared" si="67"/>
        <v>2810.15</v>
      </c>
      <c r="AS102" s="14">
        <f t="shared" si="109"/>
        <v>6591.25</v>
      </c>
      <c r="AT102" s="14">
        <f t="shared" si="116"/>
        <v>572958.18999999994</v>
      </c>
      <c r="AU102" s="185">
        <f t="shared" si="117"/>
        <v>1834.818063100862</v>
      </c>
      <c r="AV102" s="185">
        <f t="shared" si="118"/>
        <v>145137.0433034458</v>
      </c>
    </row>
    <row r="103" spans="1:50">
      <c r="A103" s="401" t="str">
        <f t="shared" si="69"/>
        <v xml:space="preserve"> </v>
      </c>
      <c r="B103" s="185">
        <f t="shared" si="110"/>
        <v>0</v>
      </c>
      <c r="C103" s="14">
        <f t="shared" si="101"/>
        <v>0</v>
      </c>
      <c r="D103" s="14">
        <f t="shared" si="119"/>
        <v>0</v>
      </c>
      <c r="E103" s="14">
        <f t="shared" si="102"/>
        <v>0</v>
      </c>
      <c r="F103" s="14">
        <f t="shared" si="51"/>
        <v>0</v>
      </c>
      <c r="G103" s="14">
        <f t="shared" si="52"/>
        <v>0</v>
      </c>
      <c r="H103" s="14">
        <f t="shared" si="54"/>
        <v>0</v>
      </c>
      <c r="I103" s="185">
        <f t="shared" si="70"/>
        <v>0</v>
      </c>
      <c r="J103" s="185">
        <f t="shared" si="71"/>
        <v>0</v>
      </c>
      <c r="K103" s="185">
        <f t="shared" si="72"/>
        <v>0</v>
      </c>
      <c r="L103" s="317">
        <f t="shared" si="103"/>
        <v>7</v>
      </c>
      <c r="M103" s="317">
        <f t="shared" si="111"/>
        <v>87</v>
      </c>
      <c r="N103" s="185">
        <f t="shared" si="112"/>
        <v>571702.49000000034</v>
      </c>
      <c r="O103" s="185">
        <f t="shared" si="73"/>
        <v>6591.25</v>
      </c>
      <c r="P103" s="185">
        <f t="shared" si="120"/>
        <v>338.25</v>
      </c>
      <c r="Q103" s="185">
        <f t="shared" si="74"/>
        <v>6253</v>
      </c>
      <c r="R103" s="185">
        <f t="shared" si="84"/>
        <v>134.16999999999999</v>
      </c>
      <c r="S103" s="185">
        <f t="shared" si="75"/>
        <v>188.55</v>
      </c>
      <c r="T103" s="185">
        <f t="shared" si="59"/>
        <v>6913.97</v>
      </c>
      <c r="U103" s="185">
        <f t="shared" si="121"/>
        <v>19260.759999999998</v>
      </c>
      <c r="V103" s="185">
        <f t="shared" si="122"/>
        <v>560769.24</v>
      </c>
      <c r="W103" s="185">
        <f t="shared" si="76"/>
        <v>571364.24000000034</v>
      </c>
      <c r="X103" s="401" t="str">
        <f t="shared" si="113"/>
        <v xml:space="preserve"> </v>
      </c>
      <c r="Y103" s="185">
        <f t="shared" si="77"/>
        <v>1194752.3299999996</v>
      </c>
      <c r="Z103" s="393">
        <f t="shared" si="104"/>
        <v>0.13125000000000001</v>
      </c>
      <c r="AA103" s="185">
        <f t="shared" si="105"/>
        <v>2810.15</v>
      </c>
      <c r="AB103" s="185">
        <f t="shared" si="78"/>
        <v>-10257.450000000001</v>
      </c>
      <c r="AC103" s="185">
        <f t="shared" si="106"/>
        <v>13067.6</v>
      </c>
      <c r="AD103" s="185">
        <f t="shared" ref="AD103:AE103" si="146">+AD102</f>
        <v>134.16999999999999</v>
      </c>
      <c r="AE103" s="185">
        <f t="shared" si="146"/>
        <v>188.55</v>
      </c>
      <c r="AF103" s="185">
        <f t="shared" si="80"/>
        <v>3132.87</v>
      </c>
      <c r="AG103" s="185">
        <f t="shared" si="81"/>
        <v>-218909.78</v>
      </c>
      <c r="AH103" s="185">
        <f t="shared" si="82"/>
        <v>844345.7799999998</v>
      </c>
      <c r="AI103" s="411">
        <f t="shared" si="64"/>
        <v>-45405.99999999984</v>
      </c>
      <c r="AJ103" s="411">
        <f t="shared" si="134"/>
        <v>-633645.53999999922</v>
      </c>
      <c r="AK103" s="411">
        <f t="shared" si="65"/>
        <v>-679051.53999999911</v>
      </c>
      <c r="AL103" s="185">
        <f t="shared" si="83"/>
        <v>1205009.7799999996</v>
      </c>
      <c r="AM103" s="317">
        <f t="shared" si="115"/>
        <v>7</v>
      </c>
      <c r="AN103" s="14">
        <f t="shared" si="66"/>
        <v>6591.25</v>
      </c>
      <c r="AO103" s="14">
        <f t="shared" si="50"/>
        <v>966839.24</v>
      </c>
      <c r="AP103" s="14">
        <f t="shared" si="67"/>
        <v>2810.15</v>
      </c>
      <c r="AS103" s="14">
        <f t="shared" si="109"/>
        <v>6591.25</v>
      </c>
      <c r="AT103" s="14">
        <f t="shared" si="116"/>
        <v>579549.43999999994</v>
      </c>
      <c r="AU103" s="185">
        <f t="shared" si="117"/>
        <v>1839.4051082586145</v>
      </c>
      <c r="AV103" s="185">
        <f t="shared" si="118"/>
        <v>146976.44841170442</v>
      </c>
    </row>
    <row r="104" spans="1:50">
      <c r="A104" s="401" t="str">
        <f t="shared" si="69"/>
        <v xml:space="preserve"> </v>
      </c>
      <c r="B104" s="185">
        <f t="shared" si="110"/>
        <v>0</v>
      </c>
      <c r="C104" s="14">
        <f t="shared" si="101"/>
        <v>0</v>
      </c>
      <c r="D104" s="14">
        <f t="shared" si="119"/>
        <v>0</v>
      </c>
      <c r="E104" s="14">
        <f t="shared" si="102"/>
        <v>0</v>
      </c>
      <c r="F104" s="14">
        <f t="shared" si="51"/>
        <v>0</v>
      </c>
      <c r="G104" s="14">
        <f t="shared" si="52"/>
        <v>0</v>
      </c>
      <c r="H104" s="14">
        <f t="shared" si="54"/>
        <v>0</v>
      </c>
      <c r="I104" s="185">
        <f t="shared" si="70"/>
        <v>0</v>
      </c>
      <c r="J104" s="185">
        <f t="shared" si="71"/>
        <v>0</v>
      </c>
      <c r="K104" s="185">
        <f t="shared" si="72"/>
        <v>0</v>
      </c>
      <c r="L104" s="317">
        <f t="shared" si="103"/>
        <v>7</v>
      </c>
      <c r="M104" s="317">
        <f t="shared" si="111"/>
        <v>88</v>
      </c>
      <c r="N104" s="185">
        <f t="shared" si="112"/>
        <v>571364.24000000034</v>
      </c>
      <c r="O104" s="185">
        <f t="shared" si="73"/>
        <v>6591.25</v>
      </c>
      <c r="P104" s="185">
        <f t="shared" si="120"/>
        <v>341.94999999999982</v>
      </c>
      <c r="Q104" s="185">
        <f t="shared" si="74"/>
        <v>6249.3</v>
      </c>
      <c r="R104" s="185">
        <f t="shared" si="84"/>
        <v>134.16999999999999</v>
      </c>
      <c r="S104" s="185">
        <f t="shared" si="75"/>
        <v>188.55</v>
      </c>
      <c r="T104" s="185">
        <f t="shared" si="59"/>
        <v>6913.97</v>
      </c>
      <c r="U104" s="185">
        <f t="shared" si="121"/>
        <v>19602.71</v>
      </c>
      <c r="V104" s="185">
        <f t="shared" si="122"/>
        <v>567018.54</v>
      </c>
      <c r="W104" s="185">
        <f t="shared" si="76"/>
        <v>571022.29000000039</v>
      </c>
      <c r="X104" s="401" t="str">
        <f t="shared" si="113"/>
        <v xml:space="preserve"> </v>
      </c>
      <c r="Y104" s="185">
        <f t="shared" si="77"/>
        <v>1205009.7799999996</v>
      </c>
      <c r="Z104" s="393">
        <f t="shared" si="104"/>
        <v>0.13125000000000001</v>
      </c>
      <c r="AA104" s="185">
        <f t="shared" si="105"/>
        <v>2810.15</v>
      </c>
      <c r="AB104" s="185">
        <f t="shared" si="78"/>
        <v>-10369.640000000001</v>
      </c>
      <c r="AC104" s="185">
        <f t="shared" si="106"/>
        <v>13179.79</v>
      </c>
      <c r="AD104" s="185">
        <f t="shared" ref="AD104:AE104" si="147">+AD103</f>
        <v>134.16999999999999</v>
      </c>
      <c r="AE104" s="185">
        <f t="shared" si="147"/>
        <v>188.55</v>
      </c>
      <c r="AF104" s="185">
        <f t="shared" si="80"/>
        <v>3132.87</v>
      </c>
      <c r="AG104" s="185">
        <f t="shared" si="81"/>
        <v>-229279.42</v>
      </c>
      <c r="AH104" s="185">
        <f t="shared" si="82"/>
        <v>857525.56999999983</v>
      </c>
      <c r="AI104" s="411">
        <f t="shared" si="64"/>
        <v>-41624.899999999841</v>
      </c>
      <c r="AJ104" s="411">
        <f t="shared" si="134"/>
        <v>-644357.12999999907</v>
      </c>
      <c r="AK104" s="411">
        <f t="shared" si="65"/>
        <v>-685982.02999999886</v>
      </c>
      <c r="AL104" s="185">
        <f t="shared" si="83"/>
        <v>1215379.4199999995</v>
      </c>
      <c r="AM104" s="317">
        <f t="shared" si="115"/>
        <v>7</v>
      </c>
      <c r="AN104" s="14">
        <f t="shared" si="66"/>
        <v>6591.25</v>
      </c>
      <c r="AO104" s="14">
        <f t="shared" si="50"/>
        <v>966497.29</v>
      </c>
      <c r="AP104" s="14">
        <f t="shared" si="67"/>
        <v>2810.15</v>
      </c>
      <c r="AS104" s="14">
        <f t="shared" si="109"/>
        <v>6591.25</v>
      </c>
      <c r="AT104" s="14">
        <f t="shared" si="116"/>
        <v>586140.68999999994</v>
      </c>
      <c r="AU104" s="185">
        <f t="shared" si="117"/>
        <v>1844.003621029261</v>
      </c>
      <c r="AV104" s="185">
        <f t="shared" si="118"/>
        <v>148820.45203273368</v>
      </c>
    </row>
    <row r="105" spans="1:50">
      <c r="A105" s="401" t="str">
        <f t="shared" si="69"/>
        <v xml:space="preserve"> </v>
      </c>
      <c r="B105" s="185">
        <f t="shared" si="110"/>
        <v>0</v>
      </c>
      <c r="C105" s="14">
        <f t="shared" si="101"/>
        <v>0</v>
      </c>
      <c r="D105" s="14">
        <f t="shared" si="119"/>
        <v>0</v>
      </c>
      <c r="E105" s="14">
        <f t="shared" si="102"/>
        <v>0</v>
      </c>
      <c r="F105" s="14">
        <f t="shared" si="51"/>
        <v>0</v>
      </c>
      <c r="G105" s="14">
        <f t="shared" si="52"/>
        <v>0</v>
      </c>
      <c r="H105" s="14">
        <f t="shared" si="54"/>
        <v>0</v>
      </c>
      <c r="I105" s="185">
        <f t="shared" si="70"/>
        <v>0</v>
      </c>
      <c r="J105" s="185">
        <f t="shared" si="71"/>
        <v>0</v>
      </c>
      <c r="K105" s="185">
        <f t="shared" si="72"/>
        <v>0</v>
      </c>
      <c r="L105" s="317">
        <f t="shared" si="103"/>
        <v>7</v>
      </c>
      <c r="M105" s="317">
        <f t="shared" si="111"/>
        <v>89</v>
      </c>
      <c r="N105" s="185">
        <f t="shared" si="112"/>
        <v>571022.29000000039</v>
      </c>
      <c r="O105" s="185">
        <f t="shared" si="73"/>
        <v>6591.25</v>
      </c>
      <c r="P105" s="185">
        <f t="shared" si="120"/>
        <v>345.6899999999996</v>
      </c>
      <c r="Q105" s="185">
        <f t="shared" si="74"/>
        <v>6245.56</v>
      </c>
      <c r="R105" s="185">
        <f t="shared" si="84"/>
        <v>134.16999999999999</v>
      </c>
      <c r="S105" s="185">
        <f t="shared" si="75"/>
        <v>188.55</v>
      </c>
      <c r="T105" s="185">
        <f t="shared" si="59"/>
        <v>6913.97</v>
      </c>
      <c r="U105" s="185">
        <f t="shared" si="121"/>
        <v>19948.399999999998</v>
      </c>
      <c r="V105" s="185">
        <f t="shared" si="122"/>
        <v>573264.10000000009</v>
      </c>
      <c r="W105" s="185">
        <f t="shared" si="76"/>
        <v>570676.60000000044</v>
      </c>
      <c r="X105" s="401" t="str">
        <f t="shared" si="113"/>
        <v xml:space="preserve"> </v>
      </c>
      <c r="Y105" s="185">
        <f t="shared" si="77"/>
        <v>1215379.4199999995</v>
      </c>
      <c r="Z105" s="393">
        <f t="shared" si="104"/>
        <v>0.13125000000000001</v>
      </c>
      <c r="AA105" s="185">
        <f t="shared" si="105"/>
        <v>2810.15</v>
      </c>
      <c r="AB105" s="185">
        <f t="shared" si="78"/>
        <v>-10483.06</v>
      </c>
      <c r="AC105" s="185">
        <f t="shared" si="106"/>
        <v>13293.21</v>
      </c>
      <c r="AD105" s="185">
        <f t="shared" ref="AD105:AE105" si="148">+AD104</f>
        <v>134.16999999999999</v>
      </c>
      <c r="AE105" s="185">
        <f t="shared" si="148"/>
        <v>188.55</v>
      </c>
      <c r="AF105" s="185">
        <f t="shared" si="80"/>
        <v>3132.87</v>
      </c>
      <c r="AG105" s="185">
        <f t="shared" si="81"/>
        <v>-239762.48</v>
      </c>
      <c r="AH105" s="185">
        <f t="shared" si="82"/>
        <v>870818.7799999998</v>
      </c>
      <c r="AI105" s="411">
        <f t="shared" si="64"/>
        <v>-37843.799999999843</v>
      </c>
      <c r="AJ105" s="411">
        <f t="shared" si="134"/>
        <v>-655185.87999999907</v>
      </c>
      <c r="AK105" s="411">
        <f t="shared" si="65"/>
        <v>-693029.67999999889</v>
      </c>
      <c r="AL105" s="185">
        <f t="shared" si="83"/>
        <v>1225862.4799999995</v>
      </c>
      <c r="AM105" s="317">
        <f t="shared" si="115"/>
        <v>7</v>
      </c>
      <c r="AN105" s="14">
        <f t="shared" si="66"/>
        <v>6591.25</v>
      </c>
      <c r="AO105" s="14">
        <f t="shared" si="50"/>
        <v>966151.6</v>
      </c>
      <c r="AP105" s="14">
        <f t="shared" si="67"/>
        <v>2810.15</v>
      </c>
      <c r="AS105" s="14">
        <f t="shared" si="109"/>
        <v>6591.25</v>
      </c>
      <c r="AT105" s="14">
        <f t="shared" si="116"/>
        <v>592731.93999999994</v>
      </c>
      <c r="AU105" s="185">
        <f t="shared" si="117"/>
        <v>1848.6136300818343</v>
      </c>
      <c r="AV105" s="185">
        <f t="shared" si="118"/>
        <v>150669.06566281553</v>
      </c>
    </row>
    <row r="106" spans="1:50">
      <c r="A106" s="401" t="str">
        <f t="shared" si="69"/>
        <v xml:space="preserve"> </v>
      </c>
      <c r="B106" s="185">
        <f t="shared" si="110"/>
        <v>0</v>
      </c>
      <c r="C106" s="14">
        <f t="shared" si="101"/>
        <v>0</v>
      </c>
      <c r="D106" s="14">
        <f t="shared" si="119"/>
        <v>0</v>
      </c>
      <c r="E106" s="14">
        <f t="shared" si="102"/>
        <v>0</v>
      </c>
      <c r="F106" s="14">
        <f t="shared" si="51"/>
        <v>0</v>
      </c>
      <c r="G106" s="14">
        <f t="shared" si="52"/>
        <v>0</v>
      </c>
      <c r="H106" s="14">
        <f t="shared" si="54"/>
        <v>0</v>
      </c>
      <c r="I106" s="185">
        <f t="shared" si="70"/>
        <v>0</v>
      </c>
      <c r="J106" s="185">
        <f t="shared" si="71"/>
        <v>0</v>
      </c>
      <c r="K106" s="185">
        <f t="shared" si="72"/>
        <v>0</v>
      </c>
      <c r="L106" s="317">
        <f t="shared" si="103"/>
        <v>7</v>
      </c>
      <c r="M106" s="317">
        <f t="shared" si="111"/>
        <v>90</v>
      </c>
      <c r="N106" s="185">
        <f t="shared" si="112"/>
        <v>570676.60000000044</v>
      </c>
      <c r="O106" s="185">
        <f t="shared" si="73"/>
        <v>6591.25</v>
      </c>
      <c r="P106" s="185">
        <f t="shared" si="120"/>
        <v>349.47000000000025</v>
      </c>
      <c r="Q106" s="185">
        <f t="shared" si="74"/>
        <v>6241.78</v>
      </c>
      <c r="R106" s="185">
        <f t="shared" si="84"/>
        <v>134.16999999999999</v>
      </c>
      <c r="S106" s="185">
        <f t="shared" si="75"/>
        <v>188.55</v>
      </c>
      <c r="T106" s="185">
        <f t="shared" si="59"/>
        <v>6913.97</v>
      </c>
      <c r="U106" s="185">
        <f t="shared" si="121"/>
        <v>20297.87</v>
      </c>
      <c r="V106" s="185">
        <f t="shared" si="122"/>
        <v>579505.88000000012</v>
      </c>
      <c r="W106" s="185">
        <f t="shared" si="76"/>
        <v>570327.13000000047</v>
      </c>
      <c r="X106" s="401" t="str">
        <f t="shared" si="113"/>
        <v xml:space="preserve"> </v>
      </c>
      <c r="Y106" s="185">
        <f t="shared" si="77"/>
        <v>1225862.4799999995</v>
      </c>
      <c r="Z106" s="393">
        <f t="shared" si="104"/>
        <v>0.13125000000000001</v>
      </c>
      <c r="AA106" s="185">
        <f t="shared" si="105"/>
        <v>2810.15</v>
      </c>
      <c r="AB106" s="185">
        <f t="shared" si="78"/>
        <v>-10597.720000000001</v>
      </c>
      <c r="AC106" s="185">
        <f t="shared" si="106"/>
        <v>13407.87</v>
      </c>
      <c r="AD106" s="185">
        <f t="shared" ref="AD106:AE106" si="149">+AD105</f>
        <v>134.16999999999999</v>
      </c>
      <c r="AE106" s="185">
        <f t="shared" si="149"/>
        <v>188.55</v>
      </c>
      <c r="AF106" s="185">
        <f t="shared" si="80"/>
        <v>3132.87</v>
      </c>
      <c r="AG106" s="185">
        <f t="shared" si="81"/>
        <v>-250360.2</v>
      </c>
      <c r="AH106" s="185">
        <f t="shared" si="82"/>
        <v>884226.64999999979</v>
      </c>
      <c r="AI106" s="411">
        <f t="shared" si="64"/>
        <v>-34062.699999999844</v>
      </c>
      <c r="AJ106" s="411">
        <f t="shared" si="134"/>
        <v>-666133.06999999902</v>
      </c>
      <c r="AK106" s="411">
        <f t="shared" si="65"/>
        <v>-700195.76999999885</v>
      </c>
      <c r="AL106" s="185">
        <f t="shared" si="83"/>
        <v>1236460.1999999995</v>
      </c>
      <c r="AM106" s="317">
        <f t="shared" si="115"/>
        <v>7</v>
      </c>
      <c r="AN106" s="14">
        <f t="shared" si="66"/>
        <v>6591.25</v>
      </c>
      <c r="AO106" s="14">
        <f t="shared" si="50"/>
        <v>965802.13</v>
      </c>
      <c r="AP106" s="14">
        <f t="shared" si="67"/>
        <v>2810.15</v>
      </c>
      <c r="AS106" s="14">
        <f t="shared" si="109"/>
        <v>6591.25</v>
      </c>
      <c r="AT106" s="14">
        <f t="shared" si="116"/>
        <v>599323.18999999994</v>
      </c>
      <c r="AU106" s="185">
        <f t="shared" si="117"/>
        <v>1853.2351641570385</v>
      </c>
      <c r="AV106" s="185">
        <f t="shared" si="118"/>
        <v>152522.30082697255</v>
      </c>
    </row>
    <row r="107" spans="1:50">
      <c r="A107" s="401" t="str">
        <f t="shared" si="69"/>
        <v xml:space="preserve"> </v>
      </c>
      <c r="B107" s="185">
        <f t="shared" si="110"/>
        <v>0</v>
      </c>
      <c r="C107" s="14">
        <f t="shared" si="101"/>
        <v>0</v>
      </c>
      <c r="D107" s="14">
        <f t="shared" si="119"/>
        <v>0</v>
      </c>
      <c r="E107" s="14">
        <f t="shared" si="102"/>
        <v>0</v>
      </c>
      <c r="F107" s="14">
        <f t="shared" si="51"/>
        <v>0</v>
      </c>
      <c r="G107" s="14">
        <f t="shared" si="52"/>
        <v>0</v>
      </c>
      <c r="H107" s="14">
        <f t="shared" si="54"/>
        <v>0</v>
      </c>
      <c r="I107" s="185">
        <f t="shared" si="70"/>
        <v>0</v>
      </c>
      <c r="J107" s="185">
        <f t="shared" si="71"/>
        <v>0</v>
      </c>
      <c r="K107" s="185">
        <f t="shared" si="72"/>
        <v>0</v>
      </c>
      <c r="L107" s="317">
        <f t="shared" si="103"/>
        <v>7</v>
      </c>
      <c r="M107" s="317">
        <f t="shared" si="111"/>
        <v>91</v>
      </c>
      <c r="N107" s="185">
        <f t="shared" si="112"/>
        <v>570327.13000000047</v>
      </c>
      <c r="O107" s="185">
        <f t="shared" si="73"/>
        <v>6591.25</v>
      </c>
      <c r="P107" s="185">
        <f t="shared" si="120"/>
        <v>353.30000000000018</v>
      </c>
      <c r="Q107" s="185">
        <f t="shared" si="74"/>
        <v>6237.95</v>
      </c>
      <c r="R107" s="185">
        <f t="shared" si="84"/>
        <v>134.16999999999999</v>
      </c>
      <c r="S107" s="185">
        <f t="shared" si="75"/>
        <v>188.55</v>
      </c>
      <c r="T107" s="185">
        <f t="shared" si="59"/>
        <v>6913.97</v>
      </c>
      <c r="U107" s="185">
        <f t="shared" si="121"/>
        <v>20651.169999999998</v>
      </c>
      <c r="V107" s="185">
        <f t="shared" si="122"/>
        <v>585743.83000000007</v>
      </c>
      <c r="W107" s="185">
        <f t="shared" si="76"/>
        <v>569973.83000000042</v>
      </c>
      <c r="X107" s="401" t="str">
        <f t="shared" si="113"/>
        <v xml:space="preserve"> </v>
      </c>
      <c r="Y107" s="185">
        <f t="shared" si="77"/>
        <v>1236460.1999999995</v>
      </c>
      <c r="Z107" s="393">
        <f t="shared" si="104"/>
        <v>0.13125000000000001</v>
      </c>
      <c r="AA107" s="185">
        <f t="shared" si="105"/>
        <v>2810.15</v>
      </c>
      <c r="AB107" s="185">
        <f t="shared" si="78"/>
        <v>-10713.630000000001</v>
      </c>
      <c r="AC107" s="185">
        <f t="shared" si="106"/>
        <v>13523.78</v>
      </c>
      <c r="AD107" s="185">
        <f t="shared" ref="AD107:AE107" si="150">+AD106</f>
        <v>134.16999999999999</v>
      </c>
      <c r="AE107" s="185">
        <f t="shared" si="150"/>
        <v>188.55</v>
      </c>
      <c r="AF107" s="185">
        <f t="shared" si="80"/>
        <v>3132.87</v>
      </c>
      <c r="AG107" s="185">
        <f t="shared" si="81"/>
        <v>-261073.83000000002</v>
      </c>
      <c r="AH107" s="185">
        <f t="shared" si="82"/>
        <v>897750.42999999982</v>
      </c>
      <c r="AI107" s="411">
        <f t="shared" si="64"/>
        <v>-30281.599999999846</v>
      </c>
      <c r="AJ107" s="411">
        <f t="shared" si="134"/>
        <v>-677199.99999999895</v>
      </c>
      <c r="AK107" s="411">
        <f t="shared" si="65"/>
        <v>-707481.59999999881</v>
      </c>
      <c r="AL107" s="185">
        <f t="shared" si="83"/>
        <v>1247173.8299999994</v>
      </c>
      <c r="AM107" s="317">
        <f t="shared" si="115"/>
        <v>7</v>
      </c>
      <c r="AN107" s="14">
        <f t="shared" si="66"/>
        <v>6591.25</v>
      </c>
      <c r="AO107" s="14">
        <f t="shared" si="50"/>
        <v>965448.83</v>
      </c>
      <c r="AP107" s="14">
        <f t="shared" si="67"/>
        <v>2810.15</v>
      </c>
      <c r="AS107" s="14">
        <f t="shared" si="109"/>
        <v>6591.25</v>
      </c>
      <c r="AT107" s="14">
        <f t="shared" si="116"/>
        <v>605914.43999999994</v>
      </c>
      <c r="AU107" s="185">
        <f t="shared" si="117"/>
        <v>1857.8682520674313</v>
      </c>
      <c r="AV107" s="185">
        <f t="shared" si="118"/>
        <v>154380.16907903997</v>
      </c>
      <c r="AX107" s="373"/>
    </row>
    <row r="108" spans="1:50">
      <c r="A108" s="401" t="str">
        <f t="shared" si="69"/>
        <v xml:space="preserve"> </v>
      </c>
      <c r="B108" s="185">
        <f t="shared" si="110"/>
        <v>0</v>
      </c>
      <c r="C108" s="14">
        <f t="shared" si="101"/>
        <v>0</v>
      </c>
      <c r="D108" s="14">
        <f t="shared" si="119"/>
        <v>0</v>
      </c>
      <c r="E108" s="14">
        <f t="shared" si="102"/>
        <v>0</v>
      </c>
      <c r="F108" s="14">
        <f t="shared" si="51"/>
        <v>0</v>
      </c>
      <c r="G108" s="14">
        <f t="shared" si="52"/>
        <v>0</v>
      </c>
      <c r="H108" s="14">
        <f t="shared" si="54"/>
        <v>0</v>
      </c>
      <c r="I108" s="185">
        <f t="shared" si="70"/>
        <v>0</v>
      </c>
      <c r="J108" s="185">
        <f t="shared" si="71"/>
        <v>0</v>
      </c>
      <c r="K108" s="185">
        <f t="shared" si="72"/>
        <v>0</v>
      </c>
      <c r="L108" s="317">
        <f>IF(MOD(M108,12)=0,M108/12,L107)</f>
        <v>7</v>
      </c>
      <c r="M108" s="317">
        <f t="shared" si="111"/>
        <v>92</v>
      </c>
      <c r="N108" s="185">
        <f t="shared" si="112"/>
        <v>569973.83000000042</v>
      </c>
      <c r="O108" s="185">
        <f t="shared" si="73"/>
        <v>6591.25</v>
      </c>
      <c r="P108" s="185">
        <f t="shared" si="120"/>
        <v>357.15999999999985</v>
      </c>
      <c r="Q108" s="185">
        <f t="shared" si="74"/>
        <v>6234.09</v>
      </c>
      <c r="R108" s="185">
        <f t="shared" si="84"/>
        <v>134.16999999999999</v>
      </c>
      <c r="S108" s="185">
        <f t="shared" si="75"/>
        <v>188.55</v>
      </c>
      <c r="T108" s="185">
        <f t="shared" si="59"/>
        <v>6913.97</v>
      </c>
      <c r="U108" s="185">
        <f t="shared" si="121"/>
        <v>21008.329999999998</v>
      </c>
      <c r="V108" s="185">
        <f t="shared" si="122"/>
        <v>591977.92000000004</v>
      </c>
      <c r="W108" s="185">
        <f t="shared" si="76"/>
        <v>569616.67000000039</v>
      </c>
      <c r="X108" s="401" t="str">
        <f t="shared" si="113"/>
        <v xml:space="preserve"> </v>
      </c>
      <c r="Y108" s="185">
        <f t="shared" si="77"/>
        <v>1247173.8299999994</v>
      </c>
      <c r="Z108" s="393">
        <f t="shared" si="104"/>
        <v>0.13125000000000001</v>
      </c>
      <c r="AA108" s="185">
        <f t="shared" si="105"/>
        <v>2810.15</v>
      </c>
      <c r="AB108" s="185">
        <f t="shared" si="78"/>
        <v>-10830.81</v>
      </c>
      <c r="AC108" s="185">
        <f t="shared" si="106"/>
        <v>13640.96</v>
      </c>
      <c r="AD108" s="185">
        <f t="shared" ref="AD108:AE108" si="151">+AD107</f>
        <v>134.16999999999999</v>
      </c>
      <c r="AE108" s="185">
        <f t="shared" si="151"/>
        <v>188.55</v>
      </c>
      <c r="AF108" s="185">
        <f t="shared" si="80"/>
        <v>3132.87</v>
      </c>
      <c r="AG108" s="185">
        <f t="shared" si="81"/>
        <v>-271904.64000000001</v>
      </c>
      <c r="AH108" s="185">
        <f t="shared" si="82"/>
        <v>911391.38999999978</v>
      </c>
      <c r="AI108" s="411">
        <f t="shared" si="64"/>
        <v>-26500.499999999847</v>
      </c>
      <c r="AJ108" s="411">
        <f t="shared" si="134"/>
        <v>-688387.96999999904</v>
      </c>
      <c r="AK108" s="411">
        <f t="shared" si="65"/>
        <v>-714888.46999999892</v>
      </c>
      <c r="AL108" s="185">
        <f t="shared" si="83"/>
        <v>1258004.6399999994</v>
      </c>
      <c r="AM108" s="317">
        <f t="shared" si="115"/>
        <v>7</v>
      </c>
      <c r="AN108" s="14">
        <f t="shared" si="66"/>
        <v>6591.25</v>
      </c>
      <c r="AO108" s="14">
        <f t="shared" si="50"/>
        <v>965091.67</v>
      </c>
      <c r="AP108" s="14">
        <f t="shared" si="67"/>
        <v>2810.15</v>
      </c>
      <c r="AS108" s="14">
        <f t="shared" si="109"/>
        <v>6591.25</v>
      </c>
      <c r="AT108" s="14">
        <f t="shared" si="116"/>
        <v>612505.68999999994</v>
      </c>
      <c r="AU108" s="185">
        <f t="shared" si="117"/>
        <v>1862.5129226975998</v>
      </c>
      <c r="AV108" s="185">
        <f t="shared" si="118"/>
        <v>156242.68200173759</v>
      </c>
      <c r="AX108" s="373"/>
    </row>
    <row r="109" spans="1:50">
      <c r="A109" s="401" t="str">
        <f t="shared" si="69"/>
        <v xml:space="preserve"> </v>
      </c>
      <c r="B109" s="185">
        <f t="shared" si="110"/>
        <v>0</v>
      </c>
      <c r="C109" s="14">
        <f t="shared" si="101"/>
        <v>0</v>
      </c>
      <c r="D109" s="14">
        <f t="shared" si="119"/>
        <v>0</v>
      </c>
      <c r="E109" s="14">
        <f t="shared" si="102"/>
        <v>0</v>
      </c>
      <c r="F109" s="14">
        <f t="shared" si="51"/>
        <v>0</v>
      </c>
      <c r="G109" s="14">
        <f t="shared" si="52"/>
        <v>0</v>
      </c>
      <c r="H109" s="14">
        <f t="shared" si="54"/>
        <v>0</v>
      </c>
      <c r="I109" s="185">
        <f t="shared" si="70"/>
        <v>0</v>
      </c>
      <c r="J109" s="185">
        <f t="shared" si="71"/>
        <v>0</v>
      </c>
      <c r="K109" s="185">
        <f t="shared" si="72"/>
        <v>0</v>
      </c>
      <c r="L109" s="317">
        <f>IF(MOD(M109,12)=0,M109/12,L108)</f>
        <v>7</v>
      </c>
      <c r="M109" s="317">
        <f t="shared" si="111"/>
        <v>93</v>
      </c>
      <c r="N109" s="185">
        <f t="shared" si="112"/>
        <v>569616.67000000039</v>
      </c>
      <c r="O109" s="185">
        <f t="shared" si="73"/>
        <v>6591.25</v>
      </c>
      <c r="P109" s="185">
        <f t="shared" si="120"/>
        <v>361.06999999999971</v>
      </c>
      <c r="Q109" s="185">
        <f t="shared" si="74"/>
        <v>6230.18</v>
      </c>
      <c r="R109" s="185">
        <f t="shared" si="84"/>
        <v>134.16999999999999</v>
      </c>
      <c r="S109" s="185">
        <f t="shared" si="75"/>
        <v>188.55</v>
      </c>
      <c r="T109" s="185">
        <f t="shared" si="59"/>
        <v>6913.97</v>
      </c>
      <c r="U109" s="185">
        <f t="shared" si="121"/>
        <v>21369.399999999998</v>
      </c>
      <c r="V109" s="185">
        <f t="shared" si="122"/>
        <v>598208.10000000009</v>
      </c>
      <c r="W109" s="185">
        <f t="shared" si="76"/>
        <v>569255.60000000044</v>
      </c>
      <c r="X109" s="401" t="str">
        <f t="shared" si="113"/>
        <v xml:space="preserve"> </v>
      </c>
      <c r="Y109" s="185">
        <f t="shared" si="77"/>
        <v>1258004.6399999994</v>
      </c>
      <c r="Z109" s="393">
        <f t="shared" si="104"/>
        <v>0.13125000000000001</v>
      </c>
      <c r="AA109" s="185">
        <f t="shared" si="105"/>
        <v>2810.15</v>
      </c>
      <c r="AB109" s="185">
        <f t="shared" si="78"/>
        <v>-10949.28</v>
      </c>
      <c r="AC109" s="185">
        <f t="shared" si="106"/>
        <v>13759.43</v>
      </c>
      <c r="AD109" s="185">
        <f t="shared" ref="AD109:AE109" si="152">+AD108</f>
        <v>134.16999999999999</v>
      </c>
      <c r="AE109" s="185">
        <f t="shared" si="152"/>
        <v>188.55</v>
      </c>
      <c r="AF109" s="185">
        <f t="shared" si="80"/>
        <v>3132.87</v>
      </c>
      <c r="AG109" s="185">
        <f t="shared" si="81"/>
        <v>-282853.92000000004</v>
      </c>
      <c r="AH109" s="185">
        <f t="shared" si="82"/>
        <v>925150.81999999983</v>
      </c>
      <c r="AI109" s="411">
        <f t="shared" si="64"/>
        <v>-22719.399999999849</v>
      </c>
      <c r="AJ109" s="411">
        <f t="shared" si="134"/>
        <v>-699698.31999999902</v>
      </c>
      <c r="AK109" s="411">
        <f t="shared" si="65"/>
        <v>-722417.71999999881</v>
      </c>
      <c r="AL109" s="185">
        <f t="shared" si="83"/>
        <v>1268953.9199999995</v>
      </c>
      <c r="AM109" s="317">
        <f t="shared" si="115"/>
        <v>7</v>
      </c>
      <c r="AN109" s="14">
        <f t="shared" si="66"/>
        <v>6591.25</v>
      </c>
      <c r="AO109" s="14">
        <f t="shared" ref="AO109:AO172" si="153">IF(W109&lt;=0,0,+$AA$5-$C$2+I109-U109)</f>
        <v>964730.6</v>
      </c>
      <c r="AP109" s="14">
        <f t="shared" si="67"/>
        <v>2810.15</v>
      </c>
      <c r="AS109" s="14">
        <f t="shared" si="109"/>
        <v>6591.25</v>
      </c>
      <c r="AT109" s="14">
        <f t="shared" si="116"/>
        <v>619096.93999999994</v>
      </c>
      <c r="AU109" s="185">
        <f t="shared" si="117"/>
        <v>1867.1692050043439</v>
      </c>
      <c r="AV109" s="185">
        <f t="shared" si="118"/>
        <v>158109.85120674194</v>
      </c>
    </row>
    <row r="110" spans="1:50" ht="15.75" thickBot="1">
      <c r="A110" s="404" t="str">
        <f t="shared" si="69"/>
        <v xml:space="preserve"> </v>
      </c>
      <c r="B110" s="237">
        <f t="shared" si="110"/>
        <v>0</v>
      </c>
      <c r="C110" s="21">
        <f t="shared" si="101"/>
        <v>0</v>
      </c>
      <c r="D110" s="21">
        <f t="shared" si="119"/>
        <v>0</v>
      </c>
      <c r="E110" s="21">
        <f t="shared" si="102"/>
        <v>0</v>
      </c>
      <c r="F110" s="21">
        <f t="shared" si="51"/>
        <v>0</v>
      </c>
      <c r="G110" s="21">
        <f t="shared" si="52"/>
        <v>0</v>
      </c>
      <c r="H110" s="21">
        <f t="shared" si="54"/>
        <v>0</v>
      </c>
      <c r="I110" s="237">
        <f t="shared" si="70"/>
        <v>0</v>
      </c>
      <c r="J110" s="237">
        <f t="shared" si="71"/>
        <v>0</v>
      </c>
      <c r="K110" s="237">
        <f t="shared" si="72"/>
        <v>0</v>
      </c>
      <c r="L110" s="318">
        <f>IF(MOD(M110,12)=0,M110/12,L109)</f>
        <v>7</v>
      </c>
      <c r="M110" s="318">
        <f t="shared" si="111"/>
        <v>94</v>
      </c>
      <c r="N110" s="237">
        <f t="shared" si="112"/>
        <v>569255.60000000044</v>
      </c>
      <c r="O110" s="237">
        <f t="shared" si="73"/>
        <v>6591.25</v>
      </c>
      <c r="P110" s="237">
        <f t="shared" si="120"/>
        <v>365.02000000000044</v>
      </c>
      <c r="Q110" s="237">
        <f t="shared" si="74"/>
        <v>6226.23</v>
      </c>
      <c r="R110" s="237">
        <f t="shared" si="84"/>
        <v>134.16999999999999</v>
      </c>
      <c r="S110" s="237">
        <f t="shared" si="75"/>
        <v>188.55</v>
      </c>
      <c r="T110" s="237">
        <f t="shared" si="59"/>
        <v>6913.97</v>
      </c>
      <c r="U110" s="237">
        <f t="shared" si="121"/>
        <v>21734.42</v>
      </c>
      <c r="V110" s="237">
        <f t="shared" si="122"/>
        <v>604434.33000000007</v>
      </c>
      <c r="W110" s="237">
        <f t="shared" si="76"/>
        <v>568890.58000000042</v>
      </c>
      <c r="X110" s="404" t="str">
        <f t="shared" si="113"/>
        <v xml:space="preserve"> </v>
      </c>
      <c r="Y110" s="237">
        <f t="shared" si="77"/>
        <v>1268953.9199999995</v>
      </c>
      <c r="Z110" s="394">
        <f t="shared" si="104"/>
        <v>0.13125000000000001</v>
      </c>
      <c r="AA110" s="237">
        <f t="shared" si="105"/>
        <v>2810.15</v>
      </c>
      <c r="AB110" s="237">
        <f t="shared" si="78"/>
        <v>-11069.03</v>
      </c>
      <c r="AC110" s="237">
        <f t="shared" si="106"/>
        <v>13879.18</v>
      </c>
      <c r="AD110" s="237">
        <f t="shared" ref="AD110:AE110" si="154">+AD109</f>
        <v>134.16999999999999</v>
      </c>
      <c r="AE110" s="237">
        <f t="shared" si="154"/>
        <v>188.55</v>
      </c>
      <c r="AF110" s="237">
        <f t="shared" si="80"/>
        <v>3132.87</v>
      </c>
      <c r="AG110" s="237">
        <f t="shared" si="81"/>
        <v>-293922.95000000007</v>
      </c>
      <c r="AH110" s="237">
        <f t="shared" si="82"/>
        <v>939029.99999999988</v>
      </c>
      <c r="AI110" s="412">
        <f t="shared" si="64"/>
        <v>-18938.29999999985</v>
      </c>
      <c r="AJ110" s="412">
        <f t="shared" si="134"/>
        <v>-711132.36999999906</v>
      </c>
      <c r="AK110" s="412">
        <f t="shared" si="65"/>
        <v>-730070.66999999888</v>
      </c>
      <c r="AL110" s="237">
        <f t="shared" si="83"/>
        <v>1280022.9499999995</v>
      </c>
      <c r="AM110" s="318">
        <f t="shared" si="115"/>
        <v>7</v>
      </c>
      <c r="AN110" s="21">
        <f t="shared" si="66"/>
        <v>6591.25</v>
      </c>
      <c r="AO110" s="21">
        <f t="shared" si="153"/>
        <v>964365.58</v>
      </c>
      <c r="AP110" s="21">
        <f t="shared" si="67"/>
        <v>2810.15</v>
      </c>
      <c r="AQ110" s="21"/>
      <c r="AR110" s="23"/>
      <c r="AS110" s="21">
        <f t="shared" si="109"/>
        <v>6591.25</v>
      </c>
      <c r="AT110" s="21">
        <f t="shared" si="116"/>
        <v>625688.18999999994</v>
      </c>
      <c r="AU110" s="237">
        <f t="shared" si="117"/>
        <v>1871.8371280168549</v>
      </c>
      <c r="AV110" s="237">
        <f t="shared" si="118"/>
        <v>159981.6883347588</v>
      </c>
      <c r="AX110" s="373"/>
    </row>
    <row r="111" spans="1:50">
      <c r="A111" s="401" t="str">
        <f t="shared" si="69"/>
        <v xml:space="preserve"> </v>
      </c>
      <c r="B111" s="185">
        <f t="shared" si="110"/>
        <v>0</v>
      </c>
      <c r="C111" s="14">
        <f t="shared" si="101"/>
        <v>0</v>
      </c>
      <c r="D111" s="14">
        <f t="shared" si="119"/>
        <v>0</v>
      </c>
      <c r="E111" s="14">
        <f t="shared" si="102"/>
        <v>0</v>
      </c>
      <c r="F111" s="14">
        <f t="shared" si="51"/>
        <v>0</v>
      </c>
      <c r="G111" s="14">
        <f t="shared" si="52"/>
        <v>0</v>
      </c>
      <c r="H111" s="14">
        <f t="shared" si="54"/>
        <v>0</v>
      </c>
      <c r="I111" s="185">
        <f t="shared" si="70"/>
        <v>0</v>
      </c>
      <c r="J111" s="185">
        <f t="shared" si="71"/>
        <v>0</v>
      </c>
      <c r="K111" s="185">
        <f t="shared" si="72"/>
        <v>0</v>
      </c>
      <c r="L111" s="317">
        <f t="shared" ref="L111:L174" si="155">IF(MOD(M111,12)=0,M111/12,L110)</f>
        <v>7</v>
      </c>
      <c r="M111" s="317">
        <f t="shared" si="111"/>
        <v>95</v>
      </c>
      <c r="N111" s="185">
        <f t="shared" si="112"/>
        <v>568890.58000000042</v>
      </c>
      <c r="O111" s="185">
        <f t="shared" si="73"/>
        <v>6591.25</v>
      </c>
      <c r="P111" s="185">
        <f t="shared" si="120"/>
        <v>369.01000000000022</v>
      </c>
      <c r="Q111" s="185">
        <f t="shared" si="74"/>
        <v>6222.24</v>
      </c>
      <c r="R111" s="185">
        <f t="shared" si="84"/>
        <v>134.16999999999999</v>
      </c>
      <c r="S111" s="185">
        <f t="shared" si="75"/>
        <v>188.55</v>
      </c>
      <c r="T111" s="185">
        <f t="shared" si="59"/>
        <v>6913.97</v>
      </c>
      <c r="U111" s="185">
        <f t="shared" si="121"/>
        <v>22103.43</v>
      </c>
      <c r="V111" s="185">
        <f t="shared" si="122"/>
        <v>610656.57000000007</v>
      </c>
      <c r="W111" s="185">
        <f t="shared" si="76"/>
        <v>568521.57000000041</v>
      </c>
      <c r="X111" s="401" t="str">
        <f t="shared" si="113"/>
        <v xml:space="preserve"> </v>
      </c>
      <c r="Y111" s="185">
        <f t="shared" si="77"/>
        <v>1280022.9499999995</v>
      </c>
      <c r="Z111" s="393">
        <f t="shared" si="104"/>
        <v>0.13125000000000001</v>
      </c>
      <c r="AA111" s="185">
        <f t="shared" si="105"/>
        <v>2810.15</v>
      </c>
      <c r="AB111" s="185">
        <f t="shared" si="78"/>
        <v>-11190.1</v>
      </c>
      <c r="AC111" s="185">
        <f t="shared" si="106"/>
        <v>14000.25</v>
      </c>
      <c r="AD111" s="185">
        <f t="shared" ref="AD111:AE111" si="156">+AD110</f>
        <v>134.16999999999999</v>
      </c>
      <c r="AE111" s="185">
        <f t="shared" si="156"/>
        <v>188.55</v>
      </c>
      <c r="AF111" s="185">
        <f t="shared" si="80"/>
        <v>3132.87</v>
      </c>
      <c r="AG111" s="185">
        <f t="shared" si="81"/>
        <v>-305113.05000000005</v>
      </c>
      <c r="AH111" s="185">
        <f t="shared" si="82"/>
        <v>953030.24999999988</v>
      </c>
      <c r="AI111" s="411">
        <f t="shared" si="64"/>
        <v>-15157.19999999985</v>
      </c>
      <c r="AJ111" s="411">
        <f t="shared" si="134"/>
        <v>-722691.47999999917</v>
      </c>
      <c r="AK111" s="411">
        <f t="shared" si="65"/>
        <v>-737848.679999999</v>
      </c>
      <c r="AL111" s="185">
        <f t="shared" si="83"/>
        <v>1291213.0499999996</v>
      </c>
      <c r="AM111" s="317">
        <f t="shared" si="115"/>
        <v>7</v>
      </c>
      <c r="AN111" s="14">
        <f t="shared" si="66"/>
        <v>6591.25</v>
      </c>
      <c r="AO111" s="14">
        <f t="shared" si="153"/>
        <v>963996.57</v>
      </c>
      <c r="AP111" s="14">
        <f t="shared" si="67"/>
        <v>2810.15</v>
      </c>
      <c r="AS111" s="14">
        <f t="shared" si="109"/>
        <v>6591.25</v>
      </c>
      <c r="AT111" s="14">
        <f t="shared" si="116"/>
        <v>632279.43999999994</v>
      </c>
      <c r="AU111" s="185">
        <f t="shared" si="117"/>
        <v>1876.5167208368969</v>
      </c>
      <c r="AV111" s="185">
        <f t="shared" si="118"/>
        <v>161858.2050555957</v>
      </c>
    </row>
    <row r="112" spans="1:50">
      <c r="A112" s="401" t="str">
        <f t="shared" si="69"/>
        <v xml:space="preserve"> </v>
      </c>
      <c r="B112" s="185">
        <f t="shared" si="110"/>
        <v>0</v>
      </c>
      <c r="C112" s="14">
        <f t="shared" si="101"/>
        <v>0</v>
      </c>
      <c r="D112" s="14">
        <f t="shared" si="119"/>
        <v>0</v>
      </c>
      <c r="E112" s="14">
        <f t="shared" si="102"/>
        <v>0</v>
      </c>
      <c r="F112" s="14">
        <f t="shared" si="51"/>
        <v>0</v>
      </c>
      <c r="G112" s="14">
        <f t="shared" si="52"/>
        <v>0</v>
      </c>
      <c r="H112" s="14">
        <f t="shared" si="54"/>
        <v>0</v>
      </c>
      <c r="I112" s="185">
        <f t="shared" si="70"/>
        <v>0</v>
      </c>
      <c r="J112" s="185">
        <f t="shared" si="71"/>
        <v>0</v>
      </c>
      <c r="K112" s="185">
        <f t="shared" si="72"/>
        <v>0</v>
      </c>
      <c r="L112" s="317">
        <f t="shared" si="155"/>
        <v>8</v>
      </c>
      <c r="M112" s="317">
        <f t="shared" si="111"/>
        <v>96</v>
      </c>
      <c r="N112" s="185">
        <f t="shared" si="112"/>
        <v>568521.57000000041</v>
      </c>
      <c r="O112" s="185">
        <f t="shared" si="73"/>
        <v>6591.25</v>
      </c>
      <c r="P112" s="185">
        <f t="shared" si="120"/>
        <v>373.05000000000018</v>
      </c>
      <c r="Q112" s="185">
        <f t="shared" si="74"/>
        <v>6218.2</v>
      </c>
      <c r="R112" s="185">
        <f t="shared" si="84"/>
        <v>134.16999999999999</v>
      </c>
      <c r="S112" s="185">
        <f t="shared" si="75"/>
        <v>188.55</v>
      </c>
      <c r="T112" s="185">
        <f t="shared" si="59"/>
        <v>6913.97</v>
      </c>
      <c r="U112" s="185">
        <f t="shared" si="121"/>
        <v>22476.48</v>
      </c>
      <c r="V112" s="185">
        <f t="shared" si="122"/>
        <v>616874.77</v>
      </c>
      <c r="W112" s="185">
        <f t="shared" si="76"/>
        <v>568148.52000000037</v>
      </c>
      <c r="X112" s="401" t="str">
        <f t="shared" si="113"/>
        <v xml:space="preserve"> </v>
      </c>
      <c r="Y112" s="185">
        <f t="shared" si="77"/>
        <v>1291213.0499999996</v>
      </c>
      <c r="Z112" s="393">
        <f t="shared" si="104"/>
        <v>0.13125000000000001</v>
      </c>
      <c r="AA112" s="185">
        <f t="shared" si="105"/>
        <v>2810.15</v>
      </c>
      <c r="AB112" s="185">
        <f t="shared" si="78"/>
        <v>-11312.49</v>
      </c>
      <c r="AC112" s="185">
        <f t="shared" si="106"/>
        <v>14122.64</v>
      </c>
      <c r="AD112" s="185">
        <f t="shared" ref="AD112:AE112" si="157">+AD111</f>
        <v>134.16999999999999</v>
      </c>
      <c r="AE112" s="185">
        <f t="shared" si="157"/>
        <v>188.55</v>
      </c>
      <c r="AF112" s="185">
        <f t="shared" si="80"/>
        <v>3132.87</v>
      </c>
      <c r="AG112" s="185">
        <f t="shared" si="81"/>
        <v>-316425.54000000004</v>
      </c>
      <c r="AH112" s="185">
        <f t="shared" si="82"/>
        <v>967152.8899999999</v>
      </c>
      <c r="AI112" s="411">
        <f t="shared" si="64"/>
        <v>-11376.099999999849</v>
      </c>
      <c r="AJ112" s="411">
        <f t="shared" si="134"/>
        <v>-734377.0199999992</v>
      </c>
      <c r="AK112" s="411">
        <f t="shared" si="65"/>
        <v>-745753.11999999906</v>
      </c>
      <c r="AL112" s="185">
        <f t="shared" si="83"/>
        <v>1302525.5399999996</v>
      </c>
      <c r="AM112" s="317">
        <f t="shared" si="115"/>
        <v>8</v>
      </c>
      <c r="AN112" s="14">
        <f t="shared" si="66"/>
        <v>6591.25</v>
      </c>
      <c r="AO112" s="14">
        <f t="shared" si="153"/>
        <v>963623.52</v>
      </c>
      <c r="AP112" s="14">
        <f t="shared" si="67"/>
        <v>2810.15</v>
      </c>
      <c r="AS112" s="14">
        <f t="shared" si="109"/>
        <v>6591.25</v>
      </c>
      <c r="AT112" s="14">
        <f t="shared" si="116"/>
        <v>638870.68999999994</v>
      </c>
      <c r="AU112" s="185">
        <f t="shared" si="117"/>
        <v>1881.2080126389892</v>
      </c>
      <c r="AV112" s="185">
        <f t="shared" si="118"/>
        <v>163739.41306823469</v>
      </c>
    </row>
    <row r="113" spans="1:50">
      <c r="A113" s="401" t="str">
        <f t="shared" si="69"/>
        <v xml:space="preserve"> </v>
      </c>
      <c r="B113" s="185">
        <f t="shared" si="110"/>
        <v>0</v>
      </c>
      <c r="C113" s="14">
        <f t="shared" si="101"/>
        <v>0</v>
      </c>
      <c r="D113" s="14">
        <f t="shared" si="119"/>
        <v>0</v>
      </c>
      <c r="E113" s="14">
        <f t="shared" si="102"/>
        <v>0</v>
      </c>
      <c r="F113" s="14">
        <f t="shared" si="51"/>
        <v>0</v>
      </c>
      <c r="G113" s="14">
        <f t="shared" si="52"/>
        <v>0</v>
      </c>
      <c r="H113" s="14">
        <f t="shared" si="54"/>
        <v>0</v>
      </c>
      <c r="I113" s="185">
        <f t="shared" si="70"/>
        <v>0</v>
      </c>
      <c r="J113" s="185">
        <f t="shared" si="71"/>
        <v>0</v>
      </c>
      <c r="K113" s="185">
        <f t="shared" si="72"/>
        <v>0</v>
      </c>
      <c r="L113" s="317">
        <f t="shared" si="155"/>
        <v>8</v>
      </c>
      <c r="M113" s="317">
        <f t="shared" si="111"/>
        <v>97</v>
      </c>
      <c r="N113" s="185">
        <f t="shared" si="112"/>
        <v>568148.52000000037</v>
      </c>
      <c r="O113" s="185">
        <f t="shared" si="73"/>
        <v>6591.25</v>
      </c>
      <c r="P113" s="185">
        <f t="shared" si="120"/>
        <v>377.13000000000011</v>
      </c>
      <c r="Q113" s="185">
        <f t="shared" si="74"/>
        <v>6214.12</v>
      </c>
      <c r="R113" s="185">
        <f t="shared" si="84"/>
        <v>134.16999999999999</v>
      </c>
      <c r="S113" s="185">
        <f t="shared" si="75"/>
        <v>188.55</v>
      </c>
      <c r="T113" s="185">
        <f t="shared" si="59"/>
        <v>6913.97</v>
      </c>
      <c r="U113" s="185">
        <f t="shared" si="121"/>
        <v>22853.61</v>
      </c>
      <c r="V113" s="185">
        <f t="shared" si="122"/>
        <v>623088.89</v>
      </c>
      <c r="W113" s="185">
        <f t="shared" si="76"/>
        <v>567771.39000000036</v>
      </c>
      <c r="X113" s="401" t="str">
        <f t="shared" si="113"/>
        <v xml:space="preserve"> </v>
      </c>
      <c r="Y113" s="185">
        <f t="shared" si="77"/>
        <v>1302525.5399999996</v>
      </c>
      <c r="Z113" s="393">
        <f t="shared" si="104"/>
        <v>0.13125000000000001</v>
      </c>
      <c r="AA113" s="185">
        <f t="shared" si="105"/>
        <v>2810.15</v>
      </c>
      <c r="AB113" s="185">
        <f t="shared" si="78"/>
        <v>-11436.220000000001</v>
      </c>
      <c r="AC113" s="185">
        <f t="shared" si="106"/>
        <v>14246.37</v>
      </c>
      <c r="AD113" s="185">
        <f t="shared" ref="AD113:AE113" si="158">+AD112</f>
        <v>134.16999999999999</v>
      </c>
      <c r="AE113" s="185">
        <f t="shared" si="158"/>
        <v>188.55</v>
      </c>
      <c r="AF113" s="185">
        <f t="shared" si="80"/>
        <v>3132.87</v>
      </c>
      <c r="AG113" s="185">
        <f t="shared" si="81"/>
        <v>-327861.76000000001</v>
      </c>
      <c r="AH113" s="185">
        <f t="shared" si="82"/>
        <v>981399.25999999989</v>
      </c>
      <c r="AI113" s="411">
        <f t="shared" si="64"/>
        <v>-7594.999999999849</v>
      </c>
      <c r="AJ113" s="411">
        <f t="shared" si="134"/>
        <v>-746190.36999999918</v>
      </c>
      <c r="AK113" s="411">
        <f t="shared" si="65"/>
        <v>-753785.36999999906</v>
      </c>
      <c r="AL113" s="185">
        <f t="shared" si="83"/>
        <v>1313961.7599999995</v>
      </c>
      <c r="AM113" s="317">
        <f t="shared" si="115"/>
        <v>8</v>
      </c>
      <c r="AN113" s="14">
        <f t="shared" si="66"/>
        <v>6591.25</v>
      </c>
      <c r="AO113" s="14">
        <f t="shared" si="153"/>
        <v>963246.39</v>
      </c>
      <c r="AP113" s="14">
        <f t="shared" si="67"/>
        <v>2810.15</v>
      </c>
      <c r="AS113" s="14">
        <f t="shared" si="109"/>
        <v>6591.25</v>
      </c>
      <c r="AT113" s="14">
        <f t="shared" si="116"/>
        <v>645461.93999999994</v>
      </c>
      <c r="AU113" s="185">
        <f t="shared" si="117"/>
        <v>1885.9110326705868</v>
      </c>
      <c r="AV113" s="185">
        <f t="shared" si="118"/>
        <v>165625.32410090527</v>
      </c>
    </row>
    <row r="114" spans="1:50">
      <c r="A114" s="401" t="str">
        <f t="shared" si="69"/>
        <v xml:space="preserve"> </v>
      </c>
      <c r="B114" s="185">
        <f t="shared" si="110"/>
        <v>0</v>
      </c>
      <c r="C114" s="14">
        <f t="shared" si="101"/>
        <v>0</v>
      </c>
      <c r="D114" s="14">
        <f t="shared" si="119"/>
        <v>0</v>
      </c>
      <c r="E114" s="14">
        <f t="shared" si="102"/>
        <v>0</v>
      </c>
      <c r="F114" s="14">
        <f t="shared" si="51"/>
        <v>0</v>
      </c>
      <c r="G114" s="14">
        <f t="shared" si="52"/>
        <v>0</v>
      </c>
      <c r="H114" s="14">
        <f t="shared" si="54"/>
        <v>0</v>
      </c>
      <c r="I114" s="185">
        <f t="shared" si="70"/>
        <v>0</v>
      </c>
      <c r="J114" s="185">
        <f t="shared" si="71"/>
        <v>0</v>
      </c>
      <c r="K114" s="185">
        <f t="shared" si="72"/>
        <v>0</v>
      </c>
      <c r="L114" s="317">
        <f t="shared" si="155"/>
        <v>8</v>
      </c>
      <c r="M114" s="317">
        <f t="shared" si="111"/>
        <v>98</v>
      </c>
      <c r="N114" s="185">
        <f t="shared" si="112"/>
        <v>567771.39000000036</v>
      </c>
      <c r="O114" s="185">
        <f t="shared" si="73"/>
        <v>6591.25</v>
      </c>
      <c r="P114" s="185">
        <f t="shared" si="120"/>
        <v>381.25</v>
      </c>
      <c r="Q114" s="185">
        <f t="shared" si="74"/>
        <v>6210</v>
      </c>
      <c r="R114" s="185">
        <f t="shared" si="84"/>
        <v>134.16999999999999</v>
      </c>
      <c r="S114" s="185">
        <f t="shared" si="75"/>
        <v>188.55</v>
      </c>
      <c r="T114" s="185">
        <f t="shared" si="59"/>
        <v>6913.97</v>
      </c>
      <c r="U114" s="185">
        <f t="shared" si="121"/>
        <v>23234.86</v>
      </c>
      <c r="V114" s="185">
        <f t="shared" si="122"/>
        <v>629298.89</v>
      </c>
      <c r="W114" s="185">
        <f t="shared" si="76"/>
        <v>567390.14000000036</v>
      </c>
      <c r="X114" s="401" t="str">
        <f t="shared" si="113"/>
        <v xml:space="preserve"> </v>
      </c>
      <c r="Y114" s="185">
        <f t="shared" si="77"/>
        <v>1313961.7599999995</v>
      </c>
      <c r="Z114" s="393">
        <f t="shared" si="104"/>
        <v>0.13125000000000001</v>
      </c>
      <c r="AA114" s="185">
        <f t="shared" si="105"/>
        <v>2810.15</v>
      </c>
      <c r="AB114" s="185">
        <f t="shared" si="78"/>
        <v>-11561.31</v>
      </c>
      <c r="AC114" s="185">
        <f t="shared" si="106"/>
        <v>14371.46</v>
      </c>
      <c r="AD114" s="185">
        <f t="shared" ref="AD114:AE114" si="159">+AD113</f>
        <v>134.16999999999999</v>
      </c>
      <c r="AE114" s="185">
        <f t="shared" si="159"/>
        <v>188.55</v>
      </c>
      <c r="AF114" s="185">
        <f t="shared" si="80"/>
        <v>3132.87</v>
      </c>
      <c r="AG114" s="185">
        <f t="shared" si="81"/>
        <v>-339423.07</v>
      </c>
      <c r="AH114" s="185">
        <f t="shared" si="82"/>
        <v>995770.71999999986</v>
      </c>
      <c r="AI114" s="411">
        <f t="shared" si="64"/>
        <v>-3813.8999999998491</v>
      </c>
      <c r="AJ114" s="411">
        <f t="shared" si="134"/>
        <v>-758132.92999999924</v>
      </c>
      <c r="AK114" s="411">
        <f t="shared" si="65"/>
        <v>-761946.82999999914</v>
      </c>
      <c r="AL114" s="185">
        <f t="shared" si="83"/>
        <v>1325523.0699999996</v>
      </c>
      <c r="AM114" s="317">
        <f t="shared" si="115"/>
        <v>8</v>
      </c>
      <c r="AN114" s="14">
        <f t="shared" si="66"/>
        <v>6591.25</v>
      </c>
      <c r="AO114" s="14">
        <f t="shared" si="153"/>
        <v>962865.14</v>
      </c>
      <c r="AP114" s="14">
        <f t="shared" si="67"/>
        <v>2810.15</v>
      </c>
      <c r="AS114" s="14">
        <f t="shared" si="109"/>
        <v>6591.25</v>
      </c>
      <c r="AT114" s="14">
        <f t="shared" si="116"/>
        <v>652053.18999999994</v>
      </c>
      <c r="AU114" s="185">
        <f t="shared" si="117"/>
        <v>1890.6258102522634</v>
      </c>
      <c r="AV114" s="185">
        <f t="shared" si="118"/>
        <v>167515.94991115754</v>
      </c>
    </row>
    <row r="115" spans="1:50">
      <c r="A115" s="401" t="str">
        <f t="shared" si="69"/>
        <v xml:space="preserve"> </v>
      </c>
      <c r="B115" s="185">
        <f t="shared" si="110"/>
        <v>0</v>
      </c>
      <c r="C115" s="14">
        <f t="shared" si="101"/>
        <v>0</v>
      </c>
      <c r="D115" s="14">
        <f t="shared" si="119"/>
        <v>0</v>
      </c>
      <c r="E115" s="14">
        <f t="shared" si="102"/>
        <v>0</v>
      </c>
      <c r="F115" s="14">
        <f t="shared" si="51"/>
        <v>0</v>
      </c>
      <c r="G115" s="14">
        <f t="shared" si="52"/>
        <v>0</v>
      </c>
      <c r="H115" s="14">
        <f t="shared" si="54"/>
        <v>0</v>
      </c>
      <c r="I115" s="185">
        <f t="shared" si="70"/>
        <v>0</v>
      </c>
      <c r="J115" s="185">
        <f t="shared" si="71"/>
        <v>0</v>
      </c>
      <c r="K115" s="185">
        <f t="shared" si="72"/>
        <v>0</v>
      </c>
      <c r="L115" s="317">
        <f t="shared" si="155"/>
        <v>8</v>
      </c>
      <c r="M115" s="317">
        <f t="shared" si="111"/>
        <v>99</v>
      </c>
      <c r="N115" s="185">
        <f t="shared" si="112"/>
        <v>567390.14000000036</v>
      </c>
      <c r="O115" s="185">
        <f t="shared" si="73"/>
        <v>6591.25</v>
      </c>
      <c r="P115" s="185">
        <f t="shared" si="120"/>
        <v>385.42000000000007</v>
      </c>
      <c r="Q115" s="185">
        <f t="shared" si="74"/>
        <v>6205.83</v>
      </c>
      <c r="R115" s="185">
        <f t="shared" si="84"/>
        <v>134.16999999999999</v>
      </c>
      <c r="S115" s="185">
        <f t="shared" si="75"/>
        <v>188.55</v>
      </c>
      <c r="T115" s="185">
        <f t="shared" si="59"/>
        <v>6913.97</v>
      </c>
      <c r="U115" s="185">
        <f t="shared" si="121"/>
        <v>23620.28</v>
      </c>
      <c r="V115" s="185">
        <f t="shared" si="122"/>
        <v>635504.72</v>
      </c>
      <c r="W115" s="185">
        <f t="shared" si="76"/>
        <v>567004.72000000032</v>
      </c>
      <c r="X115" s="401" t="str">
        <f t="shared" si="113"/>
        <v xml:space="preserve"> </v>
      </c>
      <c r="Y115" s="185">
        <f t="shared" si="77"/>
        <v>1325523.0699999996</v>
      </c>
      <c r="Z115" s="393">
        <f t="shared" si="104"/>
        <v>0.13125000000000001</v>
      </c>
      <c r="AA115" s="185">
        <f t="shared" si="105"/>
        <v>2810.15</v>
      </c>
      <c r="AB115" s="185">
        <f t="shared" si="78"/>
        <v>-11687.76</v>
      </c>
      <c r="AC115" s="185">
        <f t="shared" si="106"/>
        <v>14497.91</v>
      </c>
      <c r="AD115" s="185">
        <f t="shared" ref="AD115:AE115" si="160">+AD114</f>
        <v>134.16999999999999</v>
      </c>
      <c r="AE115" s="185">
        <f t="shared" si="160"/>
        <v>188.55</v>
      </c>
      <c r="AF115" s="185">
        <f t="shared" si="80"/>
        <v>3132.87</v>
      </c>
      <c r="AG115" s="185">
        <f t="shared" si="81"/>
        <v>-351110.83</v>
      </c>
      <c r="AH115" s="185">
        <f t="shared" si="82"/>
        <v>1010268.6299999999</v>
      </c>
      <c r="AI115" s="411">
        <f t="shared" si="64"/>
        <v>-32.799999999849206</v>
      </c>
      <c r="AJ115" s="411">
        <f t="shared" si="134"/>
        <v>-770206.10999999929</v>
      </c>
      <c r="AK115" s="411">
        <f t="shared" si="65"/>
        <v>-770238.9099999991</v>
      </c>
      <c r="AL115" s="185">
        <f t="shared" si="83"/>
        <v>1337210.8299999996</v>
      </c>
      <c r="AM115" s="317">
        <f t="shared" si="115"/>
        <v>8</v>
      </c>
      <c r="AN115" s="14">
        <f t="shared" si="66"/>
        <v>6591.25</v>
      </c>
      <c r="AO115" s="14">
        <f t="shared" si="153"/>
        <v>962479.72</v>
      </c>
      <c r="AP115" s="14">
        <f t="shared" si="67"/>
        <v>2810.15</v>
      </c>
      <c r="AS115" s="14">
        <f t="shared" si="109"/>
        <v>6591.25</v>
      </c>
      <c r="AT115" s="14">
        <f t="shared" si="116"/>
        <v>658644.43999999994</v>
      </c>
      <c r="AU115" s="185">
        <f t="shared" si="117"/>
        <v>1895.3523747778938</v>
      </c>
      <c r="AV115" s="185">
        <f t="shared" si="118"/>
        <v>169411.30228593544</v>
      </c>
    </row>
    <row r="116" spans="1:50">
      <c r="A116" s="401" t="str">
        <f t="shared" si="69"/>
        <v xml:space="preserve"> </v>
      </c>
      <c r="B116" s="185">
        <f t="shared" si="110"/>
        <v>0</v>
      </c>
      <c r="C116" s="14">
        <f t="shared" si="101"/>
        <v>0</v>
      </c>
      <c r="D116" s="14">
        <f t="shared" si="119"/>
        <v>0</v>
      </c>
      <c r="E116" s="14">
        <f t="shared" si="102"/>
        <v>0</v>
      </c>
      <c r="F116" s="14">
        <f t="shared" si="51"/>
        <v>0</v>
      </c>
      <c r="G116" s="14">
        <f t="shared" si="52"/>
        <v>0</v>
      </c>
      <c r="H116" s="14">
        <f t="shared" si="54"/>
        <v>0</v>
      </c>
      <c r="I116" s="185">
        <f t="shared" si="70"/>
        <v>0</v>
      </c>
      <c r="J116" s="185">
        <f t="shared" si="71"/>
        <v>0</v>
      </c>
      <c r="K116" s="185">
        <f t="shared" si="72"/>
        <v>0</v>
      </c>
      <c r="L116" s="317">
        <f t="shared" si="155"/>
        <v>8</v>
      </c>
      <c r="M116" s="317">
        <f t="shared" si="111"/>
        <v>100</v>
      </c>
      <c r="N116" s="185">
        <f t="shared" si="112"/>
        <v>567004.72000000032</v>
      </c>
      <c r="O116" s="185">
        <f t="shared" si="73"/>
        <v>6591.25</v>
      </c>
      <c r="P116" s="185">
        <f t="shared" si="120"/>
        <v>389.64000000000033</v>
      </c>
      <c r="Q116" s="185">
        <f t="shared" si="74"/>
        <v>6201.61</v>
      </c>
      <c r="R116" s="185">
        <f t="shared" si="84"/>
        <v>134.16999999999999</v>
      </c>
      <c r="S116" s="185">
        <f t="shared" si="75"/>
        <v>188.55</v>
      </c>
      <c r="T116" s="185">
        <f t="shared" si="59"/>
        <v>6913.97</v>
      </c>
      <c r="U116" s="185">
        <f t="shared" si="121"/>
        <v>24009.919999999998</v>
      </c>
      <c r="V116" s="185">
        <f t="shared" si="122"/>
        <v>641706.32999999996</v>
      </c>
      <c r="W116" s="185">
        <f t="shared" si="76"/>
        <v>566615.08000000031</v>
      </c>
      <c r="X116" s="401" t="str">
        <f t="shared" si="113"/>
        <v xml:space="preserve"> </v>
      </c>
      <c r="Y116" s="185">
        <f t="shared" si="77"/>
        <v>1337210.8299999996</v>
      </c>
      <c r="Z116" s="393">
        <f t="shared" si="104"/>
        <v>0.13125000000000001</v>
      </c>
      <c r="AA116" s="185">
        <f t="shared" si="105"/>
        <v>2810.15</v>
      </c>
      <c r="AB116" s="185">
        <f t="shared" si="78"/>
        <v>-11815.59</v>
      </c>
      <c r="AC116" s="185">
        <f t="shared" si="106"/>
        <v>14625.74</v>
      </c>
      <c r="AD116" s="185">
        <f t="shared" ref="AD116:AE116" si="161">+AD115</f>
        <v>134.16999999999999</v>
      </c>
      <c r="AE116" s="185">
        <f t="shared" si="161"/>
        <v>188.55</v>
      </c>
      <c r="AF116" s="185">
        <f t="shared" si="80"/>
        <v>3132.87</v>
      </c>
      <c r="AG116" s="185">
        <f t="shared" si="81"/>
        <v>-362926.42000000004</v>
      </c>
      <c r="AH116" s="185">
        <f t="shared" si="82"/>
        <v>1024894.3699999999</v>
      </c>
      <c r="AI116" s="411">
        <f t="shared" si="64"/>
        <v>3748.3000000001507</v>
      </c>
      <c r="AJ116" s="411">
        <f t="shared" si="134"/>
        <v>-782411.33999999939</v>
      </c>
      <c r="AK116" s="411">
        <f t="shared" si="65"/>
        <v>-778663.03999999922</v>
      </c>
      <c r="AL116" s="185">
        <f t="shared" si="83"/>
        <v>1349026.4199999997</v>
      </c>
      <c r="AM116" s="317">
        <f t="shared" si="115"/>
        <v>8</v>
      </c>
      <c r="AN116" s="14">
        <f t="shared" si="66"/>
        <v>6591.25</v>
      </c>
      <c r="AO116" s="14">
        <f t="shared" si="153"/>
        <v>962090.08</v>
      </c>
      <c r="AP116" s="14">
        <f t="shared" si="67"/>
        <v>2810.15</v>
      </c>
      <c r="AS116" s="14">
        <f t="shared" si="109"/>
        <v>6591.25</v>
      </c>
      <c r="AT116" s="14">
        <f t="shared" si="116"/>
        <v>665235.68999999994</v>
      </c>
      <c r="AU116" s="185">
        <f t="shared" si="117"/>
        <v>1900.0907557148387</v>
      </c>
      <c r="AV116" s="185">
        <f t="shared" si="118"/>
        <v>171311.39304165027</v>
      </c>
    </row>
    <row r="117" spans="1:50">
      <c r="A117" s="401" t="str">
        <f t="shared" si="69"/>
        <v xml:space="preserve"> </v>
      </c>
      <c r="B117" s="185">
        <f t="shared" si="110"/>
        <v>0</v>
      </c>
      <c r="C117" s="14">
        <f t="shared" si="101"/>
        <v>0</v>
      </c>
      <c r="D117" s="14">
        <f t="shared" si="119"/>
        <v>0</v>
      </c>
      <c r="E117" s="14">
        <f t="shared" si="102"/>
        <v>0</v>
      </c>
      <c r="F117" s="14">
        <f t="shared" si="51"/>
        <v>0</v>
      </c>
      <c r="G117" s="14">
        <f t="shared" si="52"/>
        <v>0</v>
      </c>
      <c r="H117" s="14">
        <f t="shared" si="54"/>
        <v>0</v>
      </c>
      <c r="I117" s="185">
        <f t="shared" si="70"/>
        <v>0</v>
      </c>
      <c r="J117" s="185">
        <f t="shared" si="71"/>
        <v>0</v>
      </c>
      <c r="K117" s="185">
        <f t="shared" si="72"/>
        <v>0</v>
      </c>
      <c r="L117" s="317">
        <f t="shared" si="155"/>
        <v>8</v>
      </c>
      <c r="M117" s="317">
        <f t="shared" si="111"/>
        <v>101</v>
      </c>
      <c r="N117" s="185">
        <f t="shared" si="112"/>
        <v>566615.08000000031</v>
      </c>
      <c r="O117" s="185">
        <f t="shared" si="73"/>
        <v>6591.25</v>
      </c>
      <c r="P117" s="185">
        <f t="shared" si="120"/>
        <v>393.89999999999964</v>
      </c>
      <c r="Q117" s="185">
        <f t="shared" si="74"/>
        <v>6197.35</v>
      </c>
      <c r="R117" s="185">
        <f t="shared" si="84"/>
        <v>134.16999999999999</v>
      </c>
      <c r="S117" s="185">
        <f t="shared" si="75"/>
        <v>188.55</v>
      </c>
      <c r="T117" s="185">
        <f t="shared" si="59"/>
        <v>6913.97</v>
      </c>
      <c r="U117" s="185">
        <f t="shared" si="121"/>
        <v>24403.82</v>
      </c>
      <c r="V117" s="185">
        <f t="shared" si="122"/>
        <v>647903.67999999993</v>
      </c>
      <c r="W117" s="185">
        <f t="shared" si="76"/>
        <v>566221.18000000028</v>
      </c>
      <c r="X117" s="401" t="str">
        <f t="shared" si="113"/>
        <v xml:space="preserve"> </v>
      </c>
      <c r="Y117" s="185">
        <f t="shared" si="77"/>
        <v>1349026.4199999997</v>
      </c>
      <c r="Z117" s="393">
        <f t="shared" si="104"/>
        <v>0.13125000000000001</v>
      </c>
      <c r="AA117" s="185">
        <f t="shared" si="105"/>
        <v>2810.15</v>
      </c>
      <c r="AB117" s="185">
        <f t="shared" si="78"/>
        <v>-11944.83</v>
      </c>
      <c r="AC117" s="185">
        <f t="shared" si="106"/>
        <v>14754.98</v>
      </c>
      <c r="AD117" s="185">
        <f t="shared" ref="AD117:AE117" si="162">+AD116</f>
        <v>134.16999999999999</v>
      </c>
      <c r="AE117" s="185">
        <f t="shared" si="162"/>
        <v>188.55</v>
      </c>
      <c r="AF117" s="185">
        <f t="shared" si="80"/>
        <v>3132.87</v>
      </c>
      <c r="AG117" s="185">
        <f t="shared" si="81"/>
        <v>-374871.25000000006</v>
      </c>
      <c r="AH117" s="185">
        <f t="shared" si="82"/>
        <v>1039649.3499999999</v>
      </c>
      <c r="AI117" s="411">
        <f t="shared" si="64"/>
        <v>7529.4000000001506</v>
      </c>
      <c r="AJ117" s="411">
        <f t="shared" si="134"/>
        <v>-794750.06999999948</v>
      </c>
      <c r="AK117" s="411">
        <f t="shared" si="65"/>
        <v>-787220.66999999934</v>
      </c>
      <c r="AL117" s="185">
        <f t="shared" si="83"/>
        <v>1360971.2499999998</v>
      </c>
      <c r="AM117" s="317">
        <f t="shared" si="115"/>
        <v>8</v>
      </c>
      <c r="AN117" s="14">
        <f t="shared" si="66"/>
        <v>6591.25</v>
      </c>
      <c r="AO117" s="14">
        <f t="shared" si="153"/>
        <v>961696.18</v>
      </c>
      <c r="AP117" s="14">
        <f t="shared" si="67"/>
        <v>2810.15</v>
      </c>
      <c r="AS117" s="14">
        <f t="shared" si="109"/>
        <v>6591.25</v>
      </c>
      <c r="AT117" s="14">
        <f t="shared" si="116"/>
        <v>671826.94</v>
      </c>
      <c r="AU117" s="185">
        <f t="shared" si="117"/>
        <v>1904.8409826041259</v>
      </c>
      <c r="AV117" s="185">
        <f t="shared" si="118"/>
        <v>173216.2340242544</v>
      </c>
      <c r="AX117" s="373"/>
    </row>
    <row r="118" spans="1:50">
      <c r="A118" s="401" t="str">
        <f t="shared" si="69"/>
        <v xml:space="preserve"> </v>
      </c>
      <c r="B118" s="185">
        <f t="shared" si="110"/>
        <v>0</v>
      </c>
      <c r="C118" s="14">
        <f t="shared" si="101"/>
        <v>0</v>
      </c>
      <c r="D118" s="14">
        <f t="shared" si="119"/>
        <v>0</v>
      </c>
      <c r="E118" s="14">
        <f t="shared" si="102"/>
        <v>0</v>
      </c>
      <c r="F118" s="14">
        <f t="shared" si="51"/>
        <v>0</v>
      </c>
      <c r="G118" s="14">
        <f t="shared" si="52"/>
        <v>0</v>
      </c>
      <c r="H118" s="14">
        <f t="shared" si="54"/>
        <v>0</v>
      </c>
      <c r="I118" s="185">
        <f t="shared" si="70"/>
        <v>0</v>
      </c>
      <c r="J118" s="185">
        <f t="shared" si="71"/>
        <v>0</v>
      </c>
      <c r="K118" s="185">
        <f t="shared" si="72"/>
        <v>0</v>
      </c>
      <c r="L118" s="317">
        <f t="shared" si="155"/>
        <v>8</v>
      </c>
      <c r="M118" s="317">
        <f t="shared" si="111"/>
        <v>102</v>
      </c>
      <c r="N118" s="185">
        <f t="shared" si="112"/>
        <v>566221.18000000028</v>
      </c>
      <c r="O118" s="185">
        <f t="shared" si="73"/>
        <v>6591.25</v>
      </c>
      <c r="P118" s="185">
        <f t="shared" si="120"/>
        <v>398.21000000000004</v>
      </c>
      <c r="Q118" s="185">
        <f t="shared" si="74"/>
        <v>6193.04</v>
      </c>
      <c r="R118" s="185">
        <f t="shared" si="84"/>
        <v>134.16999999999999</v>
      </c>
      <c r="S118" s="185">
        <f t="shared" si="75"/>
        <v>188.55</v>
      </c>
      <c r="T118" s="185">
        <f t="shared" si="59"/>
        <v>6913.97</v>
      </c>
      <c r="U118" s="185">
        <f t="shared" si="121"/>
        <v>24802.03</v>
      </c>
      <c r="V118" s="185">
        <f t="shared" si="122"/>
        <v>654096.72</v>
      </c>
      <c r="W118" s="185">
        <f t="shared" si="76"/>
        <v>565822.97000000032</v>
      </c>
      <c r="X118" s="401" t="str">
        <f t="shared" si="113"/>
        <v xml:space="preserve"> </v>
      </c>
      <c r="Y118" s="185">
        <f t="shared" si="77"/>
        <v>1360971.2499999998</v>
      </c>
      <c r="Z118" s="393">
        <f t="shared" si="104"/>
        <v>0.13125000000000001</v>
      </c>
      <c r="AA118" s="185">
        <f t="shared" si="105"/>
        <v>2810.15</v>
      </c>
      <c r="AB118" s="185">
        <f t="shared" si="78"/>
        <v>-12075.470000000001</v>
      </c>
      <c r="AC118" s="185">
        <f t="shared" si="106"/>
        <v>14885.62</v>
      </c>
      <c r="AD118" s="185">
        <f t="shared" ref="AD118:AE118" si="163">+AD117</f>
        <v>134.16999999999999</v>
      </c>
      <c r="AE118" s="185">
        <f t="shared" si="163"/>
        <v>188.55</v>
      </c>
      <c r="AF118" s="185">
        <f t="shared" si="80"/>
        <v>3132.87</v>
      </c>
      <c r="AG118" s="185">
        <f t="shared" si="81"/>
        <v>-386946.72000000009</v>
      </c>
      <c r="AH118" s="185">
        <f t="shared" si="82"/>
        <v>1054534.97</v>
      </c>
      <c r="AI118" s="411">
        <f t="shared" si="64"/>
        <v>11310.500000000151</v>
      </c>
      <c r="AJ118" s="411">
        <f t="shared" si="134"/>
        <v>-807223.74999999942</v>
      </c>
      <c r="AK118" s="411">
        <f t="shared" si="65"/>
        <v>-795913.2499999993</v>
      </c>
      <c r="AL118" s="185">
        <f t="shared" si="83"/>
        <v>1373046.7199999997</v>
      </c>
      <c r="AM118" s="317">
        <f t="shared" si="115"/>
        <v>8</v>
      </c>
      <c r="AN118" s="14">
        <f t="shared" si="66"/>
        <v>6591.25</v>
      </c>
      <c r="AO118" s="14">
        <f t="shared" si="153"/>
        <v>961297.97</v>
      </c>
      <c r="AP118" s="14">
        <f t="shared" si="67"/>
        <v>2810.15</v>
      </c>
      <c r="AS118" s="14">
        <f t="shared" si="109"/>
        <v>6591.25</v>
      </c>
      <c r="AT118" s="14">
        <f t="shared" si="116"/>
        <v>678418.19</v>
      </c>
      <c r="AU118" s="185">
        <f t="shared" si="117"/>
        <v>1909.6030850606357</v>
      </c>
      <c r="AV118" s="185">
        <f t="shared" si="118"/>
        <v>175125.83710931503</v>
      </c>
      <c r="AX118" s="373"/>
    </row>
    <row r="119" spans="1:50">
      <c r="A119" s="401" t="str">
        <f t="shared" si="69"/>
        <v xml:space="preserve"> </v>
      </c>
      <c r="B119" s="185">
        <f t="shared" si="110"/>
        <v>0</v>
      </c>
      <c r="C119" s="14">
        <f t="shared" si="101"/>
        <v>0</v>
      </c>
      <c r="D119" s="14">
        <f t="shared" si="119"/>
        <v>0</v>
      </c>
      <c r="E119" s="14">
        <f t="shared" si="102"/>
        <v>0</v>
      </c>
      <c r="F119" s="14">
        <f t="shared" si="51"/>
        <v>0</v>
      </c>
      <c r="G119" s="14">
        <f t="shared" si="52"/>
        <v>0</v>
      </c>
      <c r="H119" s="14">
        <f t="shared" si="54"/>
        <v>0</v>
      </c>
      <c r="I119" s="185">
        <f t="shared" si="70"/>
        <v>0</v>
      </c>
      <c r="J119" s="185">
        <f t="shared" si="71"/>
        <v>0</v>
      </c>
      <c r="K119" s="185">
        <f t="shared" si="72"/>
        <v>0</v>
      </c>
      <c r="L119" s="317">
        <f t="shared" si="155"/>
        <v>8</v>
      </c>
      <c r="M119" s="317">
        <f t="shared" si="111"/>
        <v>103</v>
      </c>
      <c r="N119" s="185">
        <f t="shared" si="112"/>
        <v>565822.97000000032</v>
      </c>
      <c r="O119" s="185">
        <f t="shared" si="73"/>
        <v>6591.25</v>
      </c>
      <c r="P119" s="185">
        <f t="shared" si="120"/>
        <v>402.5600000000004</v>
      </c>
      <c r="Q119" s="185">
        <f t="shared" si="74"/>
        <v>6188.69</v>
      </c>
      <c r="R119" s="185">
        <f t="shared" si="84"/>
        <v>134.16999999999999</v>
      </c>
      <c r="S119" s="185">
        <f t="shared" si="75"/>
        <v>188.55</v>
      </c>
      <c r="T119" s="185">
        <f t="shared" si="59"/>
        <v>6913.97</v>
      </c>
      <c r="U119" s="185">
        <f t="shared" si="121"/>
        <v>25204.59</v>
      </c>
      <c r="V119" s="185">
        <f t="shared" si="122"/>
        <v>660285.40999999992</v>
      </c>
      <c r="W119" s="185">
        <f t="shared" si="76"/>
        <v>565420.41000000027</v>
      </c>
      <c r="X119" s="401" t="str">
        <f t="shared" si="113"/>
        <v xml:space="preserve"> </v>
      </c>
      <c r="Y119" s="185">
        <f t="shared" si="77"/>
        <v>1373046.7199999997</v>
      </c>
      <c r="Z119" s="393">
        <f t="shared" si="104"/>
        <v>0.13125000000000001</v>
      </c>
      <c r="AA119" s="185">
        <f t="shared" si="105"/>
        <v>2810.15</v>
      </c>
      <c r="AB119" s="185">
        <f t="shared" si="78"/>
        <v>-12207.550000000001</v>
      </c>
      <c r="AC119" s="185">
        <f t="shared" si="106"/>
        <v>15017.7</v>
      </c>
      <c r="AD119" s="185">
        <f t="shared" ref="AD119:AE119" si="164">+AD118</f>
        <v>134.16999999999999</v>
      </c>
      <c r="AE119" s="185">
        <f t="shared" si="164"/>
        <v>188.55</v>
      </c>
      <c r="AF119" s="185">
        <f t="shared" si="80"/>
        <v>3132.87</v>
      </c>
      <c r="AG119" s="185">
        <f t="shared" si="81"/>
        <v>-399154.27000000008</v>
      </c>
      <c r="AH119" s="185">
        <f t="shared" si="82"/>
        <v>1069552.67</v>
      </c>
      <c r="AI119" s="411">
        <f t="shared" si="64"/>
        <v>15091.600000000151</v>
      </c>
      <c r="AJ119" s="411">
        <f t="shared" si="134"/>
        <v>-819833.85999999952</v>
      </c>
      <c r="AK119" s="411">
        <f t="shared" si="65"/>
        <v>-804742.25999999931</v>
      </c>
      <c r="AL119" s="185">
        <f t="shared" si="83"/>
        <v>1385254.2699999998</v>
      </c>
      <c r="AM119" s="317">
        <f t="shared" si="115"/>
        <v>8</v>
      </c>
      <c r="AN119" s="14">
        <f t="shared" si="66"/>
        <v>6591.25</v>
      </c>
      <c r="AO119" s="14">
        <f t="shared" si="153"/>
        <v>960895.41</v>
      </c>
      <c r="AP119" s="14">
        <f t="shared" si="67"/>
        <v>2810.15</v>
      </c>
      <c r="AS119" s="14">
        <f t="shared" si="109"/>
        <v>6591.25</v>
      </c>
      <c r="AT119" s="14">
        <f t="shared" si="116"/>
        <v>685009.44</v>
      </c>
      <c r="AU119" s="185">
        <f t="shared" si="117"/>
        <v>1914.3770927732874</v>
      </c>
      <c r="AV119" s="185">
        <f t="shared" si="118"/>
        <v>177040.21420208833</v>
      </c>
      <c r="AX119" s="373"/>
    </row>
    <row r="120" spans="1:50">
      <c r="A120" s="401" t="str">
        <f t="shared" si="69"/>
        <v xml:space="preserve"> </v>
      </c>
      <c r="B120" s="185">
        <f t="shared" si="110"/>
        <v>0</v>
      </c>
      <c r="C120" s="14">
        <f t="shared" si="101"/>
        <v>0</v>
      </c>
      <c r="D120" s="14">
        <f t="shared" si="119"/>
        <v>0</v>
      </c>
      <c r="E120" s="14">
        <f t="shared" si="102"/>
        <v>0</v>
      </c>
      <c r="F120" s="14">
        <f t="shared" si="51"/>
        <v>0</v>
      </c>
      <c r="G120" s="14">
        <f t="shared" si="52"/>
        <v>0</v>
      </c>
      <c r="H120" s="14">
        <f t="shared" si="54"/>
        <v>0</v>
      </c>
      <c r="I120" s="185">
        <f t="shared" si="70"/>
        <v>0</v>
      </c>
      <c r="J120" s="185">
        <f t="shared" si="71"/>
        <v>0</v>
      </c>
      <c r="K120" s="185">
        <f t="shared" si="72"/>
        <v>0</v>
      </c>
      <c r="L120" s="317">
        <f t="shared" si="155"/>
        <v>8</v>
      </c>
      <c r="M120" s="317">
        <f t="shared" si="111"/>
        <v>104</v>
      </c>
      <c r="N120" s="185">
        <f t="shared" si="112"/>
        <v>565420.41000000027</v>
      </c>
      <c r="O120" s="185">
        <f t="shared" si="73"/>
        <v>6591.25</v>
      </c>
      <c r="P120" s="185">
        <f t="shared" si="120"/>
        <v>406.96000000000004</v>
      </c>
      <c r="Q120" s="185">
        <f t="shared" si="74"/>
        <v>6184.29</v>
      </c>
      <c r="R120" s="185">
        <f t="shared" si="84"/>
        <v>134.16999999999999</v>
      </c>
      <c r="S120" s="185">
        <f t="shared" si="75"/>
        <v>188.55</v>
      </c>
      <c r="T120" s="185">
        <f t="shared" si="59"/>
        <v>6913.97</v>
      </c>
      <c r="U120" s="185">
        <f t="shared" si="121"/>
        <v>25611.55</v>
      </c>
      <c r="V120" s="185">
        <f t="shared" si="122"/>
        <v>666469.69999999995</v>
      </c>
      <c r="W120" s="185">
        <f t="shared" si="76"/>
        <v>565013.4500000003</v>
      </c>
      <c r="X120" s="401" t="str">
        <f t="shared" si="113"/>
        <v xml:space="preserve"> </v>
      </c>
      <c r="Y120" s="185">
        <f t="shared" si="77"/>
        <v>1385254.2699999998</v>
      </c>
      <c r="Z120" s="393">
        <f t="shared" si="104"/>
        <v>0.13125000000000001</v>
      </c>
      <c r="AA120" s="185">
        <f t="shared" si="105"/>
        <v>2810.15</v>
      </c>
      <c r="AB120" s="185">
        <f t="shared" si="78"/>
        <v>-12341.07</v>
      </c>
      <c r="AC120" s="185">
        <f t="shared" si="106"/>
        <v>15151.22</v>
      </c>
      <c r="AD120" s="185">
        <f t="shared" ref="AD120:AE120" si="165">+AD119</f>
        <v>134.16999999999999</v>
      </c>
      <c r="AE120" s="185">
        <f t="shared" si="165"/>
        <v>188.55</v>
      </c>
      <c r="AF120" s="185">
        <f t="shared" si="80"/>
        <v>3132.87</v>
      </c>
      <c r="AG120" s="185">
        <f t="shared" si="81"/>
        <v>-411495.34000000008</v>
      </c>
      <c r="AH120" s="185">
        <f t="shared" si="82"/>
        <v>1084703.8899999999</v>
      </c>
      <c r="AI120" s="411">
        <f t="shared" si="64"/>
        <v>18872.70000000015</v>
      </c>
      <c r="AJ120" s="411">
        <f t="shared" si="134"/>
        <v>-832581.88999999955</v>
      </c>
      <c r="AK120" s="411">
        <f t="shared" si="65"/>
        <v>-813709.18999999936</v>
      </c>
      <c r="AL120" s="185">
        <f t="shared" si="83"/>
        <v>1397595.3399999999</v>
      </c>
      <c r="AM120" s="317">
        <f t="shared" si="115"/>
        <v>8</v>
      </c>
      <c r="AN120" s="14">
        <f t="shared" si="66"/>
        <v>6591.25</v>
      </c>
      <c r="AO120" s="14">
        <f t="shared" si="153"/>
        <v>960488.45</v>
      </c>
      <c r="AP120" s="14">
        <f t="shared" si="67"/>
        <v>2810.15</v>
      </c>
      <c r="AS120" s="14">
        <f t="shared" si="109"/>
        <v>6591.25</v>
      </c>
      <c r="AT120" s="14">
        <f t="shared" si="116"/>
        <v>691600.69</v>
      </c>
      <c r="AU120" s="185">
        <f t="shared" si="117"/>
        <v>1919.1630355052205</v>
      </c>
      <c r="AV120" s="185">
        <f t="shared" si="118"/>
        <v>178959.37723759355</v>
      </c>
    </row>
    <row r="121" spans="1:50">
      <c r="A121" s="401" t="str">
        <f t="shared" si="69"/>
        <v xml:space="preserve"> </v>
      </c>
      <c r="B121" s="185">
        <f t="shared" si="110"/>
        <v>0</v>
      </c>
      <c r="C121" s="14">
        <f t="shared" si="101"/>
        <v>0</v>
      </c>
      <c r="D121" s="14">
        <f t="shared" si="119"/>
        <v>0</v>
      </c>
      <c r="E121" s="14">
        <f t="shared" si="102"/>
        <v>0</v>
      </c>
      <c r="F121" s="14">
        <f t="shared" si="51"/>
        <v>0</v>
      </c>
      <c r="G121" s="14">
        <f t="shared" si="52"/>
        <v>0</v>
      </c>
      <c r="H121" s="14">
        <f t="shared" si="54"/>
        <v>0</v>
      </c>
      <c r="I121" s="185">
        <f t="shared" si="70"/>
        <v>0</v>
      </c>
      <c r="J121" s="185">
        <f t="shared" si="71"/>
        <v>0</v>
      </c>
      <c r="K121" s="185">
        <f t="shared" si="72"/>
        <v>0</v>
      </c>
      <c r="L121" s="317">
        <f t="shared" si="155"/>
        <v>8</v>
      </c>
      <c r="M121" s="317">
        <f t="shared" si="111"/>
        <v>105</v>
      </c>
      <c r="N121" s="185">
        <f t="shared" si="112"/>
        <v>565013.4500000003</v>
      </c>
      <c r="O121" s="185">
        <f t="shared" si="73"/>
        <v>6591.25</v>
      </c>
      <c r="P121" s="185">
        <f>+O121-Q121</f>
        <v>411.42000000000007</v>
      </c>
      <c r="Q121" s="185">
        <f t="shared" si="74"/>
        <v>6179.83</v>
      </c>
      <c r="R121" s="185">
        <f t="shared" si="84"/>
        <v>134.16999999999999</v>
      </c>
      <c r="S121" s="185">
        <f t="shared" si="75"/>
        <v>188.55</v>
      </c>
      <c r="T121" s="185">
        <f t="shared" si="59"/>
        <v>6913.97</v>
      </c>
      <c r="U121" s="185">
        <f t="shared" si="121"/>
        <v>26022.97</v>
      </c>
      <c r="V121" s="185">
        <f t="shared" si="122"/>
        <v>672649.52999999991</v>
      </c>
      <c r="W121" s="185">
        <f t="shared" si="76"/>
        <v>564602.03000000026</v>
      </c>
      <c r="X121" s="401" t="str">
        <f t="shared" si="113"/>
        <v xml:space="preserve"> </v>
      </c>
      <c r="Y121" s="185">
        <f t="shared" si="77"/>
        <v>1397595.3399999999</v>
      </c>
      <c r="Z121" s="393">
        <f t="shared" si="104"/>
        <v>0.13125000000000001</v>
      </c>
      <c r="AA121" s="185">
        <f t="shared" si="105"/>
        <v>2810.15</v>
      </c>
      <c r="AB121" s="185">
        <f t="shared" si="78"/>
        <v>-12476.050000000001</v>
      </c>
      <c r="AC121" s="185">
        <f t="shared" si="106"/>
        <v>15286.2</v>
      </c>
      <c r="AD121" s="185">
        <f t="shared" ref="AD121:AE121" si="166">+AD120</f>
        <v>134.16999999999999</v>
      </c>
      <c r="AE121" s="185">
        <f t="shared" si="166"/>
        <v>188.55</v>
      </c>
      <c r="AF121" s="185">
        <f t="shared" si="80"/>
        <v>3132.87</v>
      </c>
      <c r="AG121" s="185">
        <f t="shared" si="81"/>
        <v>-423971.39000000007</v>
      </c>
      <c r="AH121" s="185">
        <f t="shared" si="82"/>
        <v>1099990.0899999999</v>
      </c>
      <c r="AI121" s="411">
        <f t="shared" si="64"/>
        <v>22653.800000000148</v>
      </c>
      <c r="AJ121" s="411">
        <f t="shared" si="134"/>
        <v>-845469.35999999964</v>
      </c>
      <c r="AK121" s="411">
        <f t="shared" si="65"/>
        <v>-822815.55999999947</v>
      </c>
      <c r="AL121" s="185">
        <f t="shared" si="83"/>
        <v>1410071.39</v>
      </c>
      <c r="AM121" s="317">
        <f t="shared" si="115"/>
        <v>8</v>
      </c>
      <c r="AN121" s="14">
        <f t="shared" si="66"/>
        <v>6591.25</v>
      </c>
      <c r="AO121" s="14">
        <f t="shared" si="153"/>
        <v>960077.03</v>
      </c>
      <c r="AP121" s="14">
        <f t="shared" si="67"/>
        <v>2810.15</v>
      </c>
      <c r="AS121" s="14">
        <f t="shared" si="109"/>
        <v>6591.25</v>
      </c>
      <c r="AT121" s="14">
        <f t="shared" si="116"/>
        <v>698191.94</v>
      </c>
      <c r="AU121" s="185">
        <f t="shared" si="117"/>
        <v>1923.9609430939836</v>
      </c>
      <c r="AV121" s="185">
        <f t="shared" si="118"/>
        <v>180883.33818068754</v>
      </c>
    </row>
    <row r="122" spans="1:50" ht="15.75" thickBot="1">
      <c r="A122" s="404" t="str">
        <f t="shared" si="69"/>
        <v xml:space="preserve"> </v>
      </c>
      <c r="B122" s="237">
        <f t="shared" si="110"/>
        <v>0</v>
      </c>
      <c r="C122" s="21">
        <f t="shared" si="101"/>
        <v>0</v>
      </c>
      <c r="D122" s="21">
        <f t="shared" si="119"/>
        <v>0</v>
      </c>
      <c r="E122" s="21">
        <f t="shared" si="102"/>
        <v>0</v>
      </c>
      <c r="F122" s="21">
        <f t="shared" si="51"/>
        <v>0</v>
      </c>
      <c r="G122" s="21">
        <f t="shared" ref="G122:G185" si="167">+G121</f>
        <v>0</v>
      </c>
      <c r="H122" s="21">
        <f t="shared" ref="H122:H185" si="168">SUM(D122:G122)</f>
        <v>0</v>
      </c>
      <c r="I122" s="237">
        <f t="shared" si="70"/>
        <v>0</v>
      </c>
      <c r="J122" s="237">
        <f t="shared" si="71"/>
        <v>0</v>
      </c>
      <c r="K122" s="237">
        <f t="shared" si="72"/>
        <v>0</v>
      </c>
      <c r="L122" s="318">
        <f t="shared" si="155"/>
        <v>8</v>
      </c>
      <c r="M122" s="318">
        <f t="shared" si="111"/>
        <v>106</v>
      </c>
      <c r="N122" s="237">
        <f t="shared" si="112"/>
        <v>564602.03000000026</v>
      </c>
      <c r="O122" s="237">
        <f t="shared" si="73"/>
        <v>6591.25</v>
      </c>
      <c r="P122" s="237">
        <f t="shared" si="120"/>
        <v>415.92000000000007</v>
      </c>
      <c r="Q122" s="237">
        <f t="shared" si="74"/>
        <v>6175.33</v>
      </c>
      <c r="R122" s="237">
        <f t="shared" si="84"/>
        <v>134.16999999999999</v>
      </c>
      <c r="S122" s="237">
        <f t="shared" si="75"/>
        <v>188.55</v>
      </c>
      <c r="T122" s="237">
        <f t="shared" si="59"/>
        <v>6913.97</v>
      </c>
      <c r="U122" s="237">
        <f t="shared" si="121"/>
        <v>26438.89</v>
      </c>
      <c r="V122" s="237">
        <f t="shared" si="122"/>
        <v>678824.85999999987</v>
      </c>
      <c r="W122" s="237">
        <f t="shared" si="76"/>
        <v>564186.11000000022</v>
      </c>
      <c r="X122" s="404" t="str">
        <f t="shared" si="113"/>
        <v xml:space="preserve"> </v>
      </c>
      <c r="Y122" s="237">
        <f t="shared" si="77"/>
        <v>1410071.39</v>
      </c>
      <c r="Z122" s="394">
        <f t="shared" si="104"/>
        <v>0.13125000000000001</v>
      </c>
      <c r="AA122" s="237">
        <f t="shared" si="105"/>
        <v>2810.15</v>
      </c>
      <c r="AB122" s="237">
        <f t="shared" si="78"/>
        <v>-12612.51</v>
      </c>
      <c r="AC122" s="237">
        <f t="shared" si="106"/>
        <v>15422.66</v>
      </c>
      <c r="AD122" s="237">
        <f t="shared" ref="AD122:AE122" si="169">+AD121</f>
        <v>134.16999999999999</v>
      </c>
      <c r="AE122" s="237">
        <f t="shared" si="169"/>
        <v>188.55</v>
      </c>
      <c r="AF122" s="237">
        <f t="shared" si="80"/>
        <v>3132.87</v>
      </c>
      <c r="AG122" s="237">
        <f t="shared" si="81"/>
        <v>-436583.90000000008</v>
      </c>
      <c r="AH122" s="237">
        <f t="shared" si="82"/>
        <v>1115412.7499999998</v>
      </c>
      <c r="AI122" s="412">
        <f t="shared" si="64"/>
        <v>26434.900000000147</v>
      </c>
      <c r="AJ122" s="412">
        <f t="shared" si="134"/>
        <v>-858497.78999999969</v>
      </c>
      <c r="AK122" s="412">
        <f t="shared" si="65"/>
        <v>-832062.88999999955</v>
      </c>
      <c r="AL122" s="237">
        <f t="shared" si="83"/>
        <v>1422683.9</v>
      </c>
      <c r="AM122" s="318">
        <f t="shared" si="115"/>
        <v>8</v>
      </c>
      <c r="AN122" s="21">
        <f t="shared" si="66"/>
        <v>6591.25</v>
      </c>
      <c r="AO122" s="21">
        <f t="shared" si="153"/>
        <v>959661.11</v>
      </c>
      <c r="AP122" s="21">
        <f t="shared" si="67"/>
        <v>2810.15</v>
      </c>
      <c r="AQ122" s="21"/>
      <c r="AR122" s="23"/>
      <c r="AS122" s="21">
        <f t="shared" si="109"/>
        <v>6591.25</v>
      </c>
      <c r="AT122" s="21">
        <f t="shared" si="116"/>
        <v>704783.19</v>
      </c>
      <c r="AU122" s="237">
        <f t="shared" si="117"/>
        <v>1928.7708454517187</v>
      </c>
      <c r="AV122" s="237">
        <f t="shared" si="118"/>
        <v>182812.10902613925</v>
      </c>
    </row>
    <row r="123" spans="1:50">
      <c r="A123" s="401" t="str">
        <f t="shared" si="69"/>
        <v xml:space="preserve"> </v>
      </c>
      <c r="B123" s="185">
        <f t="shared" si="110"/>
        <v>0</v>
      </c>
      <c r="C123" s="14">
        <f t="shared" si="101"/>
        <v>0</v>
      </c>
      <c r="D123" s="14">
        <f t="shared" si="119"/>
        <v>0</v>
      </c>
      <c r="E123" s="14">
        <f t="shared" si="102"/>
        <v>0</v>
      </c>
      <c r="F123" s="14">
        <f t="shared" ref="F123:F186" si="170">+F122</f>
        <v>0</v>
      </c>
      <c r="G123" s="14">
        <f t="shared" si="167"/>
        <v>0</v>
      </c>
      <c r="H123" s="14">
        <f t="shared" si="168"/>
        <v>0</v>
      </c>
      <c r="I123" s="185">
        <f t="shared" si="70"/>
        <v>0</v>
      </c>
      <c r="J123" s="185">
        <f t="shared" si="71"/>
        <v>0</v>
      </c>
      <c r="K123" s="185">
        <f t="shared" si="72"/>
        <v>0</v>
      </c>
      <c r="L123" s="317">
        <f t="shared" si="155"/>
        <v>8</v>
      </c>
      <c r="M123" s="317">
        <f t="shared" si="111"/>
        <v>107</v>
      </c>
      <c r="N123" s="185">
        <f t="shared" si="112"/>
        <v>564186.11000000022</v>
      </c>
      <c r="O123" s="185">
        <f t="shared" si="73"/>
        <v>6591.25</v>
      </c>
      <c r="P123" s="185">
        <f t="shared" si="120"/>
        <v>420.46000000000004</v>
      </c>
      <c r="Q123" s="185">
        <f t="shared" si="74"/>
        <v>6170.79</v>
      </c>
      <c r="R123" s="185">
        <f t="shared" si="84"/>
        <v>134.16999999999999</v>
      </c>
      <c r="S123" s="185">
        <f t="shared" si="75"/>
        <v>188.55</v>
      </c>
      <c r="T123" s="185">
        <f t="shared" ref="T123:T186" si="171">SUM(P123:S123)</f>
        <v>6913.97</v>
      </c>
      <c r="U123" s="185">
        <f t="shared" si="121"/>
        <v>26859.35</v>
      </c>
      <c r="V123" s="185">
        <f t="shared" si="122"/>
        <v>684995.64999999991</v>
      </c>
      <c r="W123" s="185">
        <f t="shared" si="76"/>
        <v>563765.65000000026</v>
      </c>
      <c r="X123" s="401" t="str">
        <f t="shared" si="113"/>
        <v xml:space="preserve"> </v>
      </c>
      <c r="Y123" s="185">
        <f t="shared" si="77"/>
        <v>1422683.9</v>
      </c>
      <c r="Z123" s="393">
        <f t="shared" si="104"/>
        <v>0.13125000000000001</v>
      </c>
      <c r="AA123" s="185">
        <f t="shared" si="105"/>
        <v>2810.15</v>
      </c>
      <c r="AB123" s="185">
        <f t="shared" si="78"/>
        <v>-12750.460000000001</v>
      </c>
      <c r="AC123" s="185">
        <f t="shared" si="106"/>
        <v>15560.61</v>
      </c>
      <c r="AD123" s="185">
        <f t="shared" ref="AD123:AE123" si="172">+AD122</f>
        <v>134.16999999999999</v>
      </c>
      <c r="AE123" s="185">
        <f t="shared" si="172"/>
        <v>188.55</v>
      </c>
      <c r="AF123" s="185">
        <f t="shared" si="80"/>
        <v>3132.87</v>
      </c>
      <c r="AG123" s="185">
        <f t="shared" si="81"/>
        <v>-449334.3600000001</v>
      </c>
      <c r="AH123" s="185">
        <f t="shared" si="82"/>
        <v>1130973.3599999999</v>
      </c>
      <c r="AI123" s="411">
        <f t="shared" si="64"/>
        <v>30216.000000000146</v>
      </c>
      <c r="AJ123" s="411">
        <f t="shared" si="134"/>
        <v>-871668.70999999961</v>
      </c>
      <c r="AK123" s="411">
        <f t="shared" si="65"/>
        <v>-841452.7099999995</v>
      </c>
      <c r="AL123" s="185">
        <f t="shared" si="83"/>
        <v>1435434.3599999999</v>
      </c>
      <c r="AM123" s="317">
        <f t="shared" si="115"/>
        <v>8</v>
      </c>
      <c r="AN123" s="14">
        <f t="shared" si="66"/>
        <v>6591.25</v>
      </c>
      <c r="AO123" s="14">
        <f t="shared" si="153"/>
        <v>959240.65</v>
      </c>
      <c r="AP123" s="14">
        <f t="shared" si="67"/>
        <v>2810.15</v>
      </c>
      <c r="AS123" s="14">
        <f t="shared" si="109"/>
        <v>6591.25</v>
      </c>
      <c r="AT123" s="14">
        <f t="shared" si="116"/>
        <v>711374.44</v>
      </c>
      <c r="AU123" s="185">
        <f t="shared" si="117"/>
        <v>1933.592772565348</v>
      </c>
      <c r="AV123" s="185">
        <f t="shared" si="118"/>
        <v>184745.7017987046</v>
      </c>
    </row>
    <row r="124" spans="1:50">
      <c r="A124" s="401" t="str">
        <f t="shared" si="69"/>
        <v xml:space="preserve"> </v>
      </c>
      <c r="B124" s="185">
        <f t="shared" si="110"/>
        <v>0</v>
      </c>
      <c r="C124" s="14">
        <f t="shared" si="101"/>
        <v>0</v>
      </c>
      <c r="D124" s="14">
        <f t="shared" si="119"/>
        <v>0</v>
      </c>
      <c r="E124" s="14">
        <f t="shared" si="102"/>
        <v>0</v>
      </c>
      <c r="F124" s="14">
        <f t="shared" si="170"/>
        <v>0</v>
      </c>
      <c r="G124" s="14">
        <f t="shared" si="167"/>
        <v>0</v>
      </c>
      <c r="H124" s="14">
        <f t="shared" si="168"/>
        <v>0</v>
      </c>
      <c r="I124" s="185">
        <f t="shared" si="70"/>
        <v>0</v>
      </c>
      <c r="J124" s="185">
        <f t="shared" si="71"/>
        <v>0</v>
      </c>
      <c r="K124" s="185">
        <f t="shared" si="72"/>
        <v>0</v>
      </c>
      <c r="L124" s="317">
        <f t="shared" si="155"/>
        <v>9</v>
      </c>
      <c r="M124" s="317">
        <f t="shared" si="111"/>
        <v>108</v>
      </c>
      <c r="N124" s="185">
        <f t="shared" si="112"/>
        <v>563765.65000000026</v>
      </c>
      <c r="O124" s="185">
        <f t="shared" si="73"/>
        <v>6591.25</v>
      </c>
      <c r="P124" s="185">
        <f t="shared" si="120"/>
        <v>425.0600000000004</v>
      </c>
      <c r="Q124" s="185">
        <f t="shared" si="74"/>
        <v>6166.19</v>
      </c>
      <c r="R124" s="185">
        <f t="shared" ref="R124:R187" si="173">+R123</f>
        <v>134.16999999999999</v>
      </c>
      <c r="S124" s="185">
        <f t="shared" ref="S124:S187" si="174">+S123</f>
        <v>188.55</v>
      </c>
      <c r="T124" s="185">
        <f t="shared" si="171"/>
        <v>6913.97</v>
      </c>
      <c r="U124" s="185">
        <f t="shared" si="121"/>
        <v>27284.41</v>
      </c>
      <c r="V124" s="185">
        <f t="shared" si="122"/>
        <v>691161.83999999985</v>
      </c>
      <c r="W124" s="185">
        <f t="shared" si="76"/>
        <v>563340.5900000002</v>
      </c>
      <c r="X124" s="401" t="str">
        <f t="shared" si="113"/>
        <v xml:space="preserve"> </v>
      </c>
      <c r="Y124" s="185">
        <f t="shared" si="77"/>
        <v>1435434.3599999999</v>
      </c>
      <c r="Z124" s="393">
        <f t="shared" si="104"/>
        <v>0.13125000000000001</v>
      </c>
      <c r="AA124" s="185">
        <f t="shared" si="105"/>
        <v>2810.15</v>
      </c>
      <c r="AB124" s="185">
        <f t="shared" si="78"/>
        <v>-12889.91</v>
      </c>
      <c r="AC124" s="185">
        <f t="shared" si="106"/>
        <v>15700.06</v>
      </c>
      <c r="AD124" s="185">
        <f t="shared" ref="AD124:AE124" si="175">+AD123</f>
        <v>134.16999999999999</v>
      </c>
      <c r="AE124" s="185">
        <f t="shared" si="175"/>
        <v>188.55</v>
      </c>
      <c r="AF124" s="185">
        <f t="shared" si="80"/>
        <v>3132.87</v>
      </c>
      <c r="AG124" s="185">
        <f t="shared" si="81"/>
        <v>-462224.27000000008</v>
      </c>
      <c r="AH124" s="185">
        <f t="shared" si="82"/>
        <v>1146673.42</v>
      </c>
      <c r="AI124" s="411">
        <f t="shared" ref="AI124:AI187" si="176">O124-AA124+AI123</f>
        <v>33997.100000000144</v>
      </c>
      <c r="AJ124" s="411">
        <f t="shared" si="134"/>
        <v>-884983.67999999959</v>
      </c>
      <c r="AK124" s="411">
        <f t="shared" ref="AK124:AK187" si="177">SUM(AI124:AJ124)</f>
        <v>-850986.57999999949</v>
      </c>
      <c r="AL124" s="185">
        <f t="shared" si="83"/>
        <v>1448324.2699999998</v>
      </c>
      <c r="AM124" s="317">
        <f t="shared" si="115"/>
        <v>9</v>
      </c>
      <c r="AN124" s="14">
        <f t="shared" ref="AN124:AN187" si="178">IF(O124=0,0,+O124-C124)</f>
        <v>6591.25</v>
      </c>
      <c r="AO124" s="14">
        <f t="shared" si="153"/>
        <v>958815.59</v>
      </c>
      <c r="AP124" s="14">
        <f t="shared" ref="AP124:AP187" si="179">IF($O124=0,0,+AA124-$C124)</f>
        <v>2810.15</v>
      </c>
      <c r="AS124" s="14">
        <f t="shared" si="109"/>
        <v>6591.25</v>
      </c>
      <c r="AT124" s="14">
        <f t="shared" si="116"/>
        <v>717965.69</v>
      </c>
      <c r="AU124" s="185">
        <f t="shared" si="117"/>
        <v>1938.4267544967613</v>
      </c>
      <c r="AV124" s="185">
        <f t="shared" si="118"/>
        <v>186684.12855320136</v>
      </c>
    </row>
    <row r="125" spans="1:50">
      <c r="A125" s="401" t="str">
        <f t="shared" si="69"/>
        <v xml:space="preserve"> </v>
      </c>
      <c r="B125" s="185">
        <f t="shared" si="110"/>
        <v>0</v>
      </c>
      <c r="C125" s="14">
        <f t="shared" si="101"/>
        <v>0</v>
      </c>
      <c r="D125" s="14">
        <f t="shared" si="119"/>
        <v>0</v>
      </c>
      <c r="E125" s="14">
        <f t="shared" si="102"/>
        <v>0</v>
      </c>
      <c r="F125" s="14">
        <f t="shared" si="170"/>
        <v>0</v>
      </c>
      <c r="G125" s="14">
        <f t="shared" si="167"/>
        <v>0</v>
      </c>
      <c r="H125" s="14">
        <f t="shared" si="168"/>
        <v>0</v>
      </c>
      <c r="I125" s="185">
        <f t="shared" si="70"/>
        <v>0</v>
      </c>
      <c r="J125" s="185">
        <f t="shared" si="71"/>
        <v>0</v>
      </c>
      <c r="K125" s="185">
        <f t="shared" si="72"/>
        <v>0</v>
      </c>
      <c r="L125" s="317">
        <f t="shared" si="155"/>
        <v>9</v>
      </c>
      <c r="M125" s="317">
        <f t="shared" si="111"/>
        <v>109</v>
      </c>
      <c r="N125" s="185">
        <f t="shared" si="112"/>
        <v>563340.5900000002</v>
      </c>
      <c r="O125" s="185">
        <f t="shared" si="73"/>
        <v>6591.25</v>
      </c>
      <c r="P125" s="185">
        <f t="shared" si="120"/>
        <v>429.71000000000004</v>
      </c>
      <c r="Q125" s="185">
        <f t="shared" si="74"/>
        <v>6161.54</v>
      </c>
      <c r="R125" s="185">
        <f t="shared" si="173"/>
        <v>134.16999999999999</v>
      </c>
      <c r="S125" s="185">
        <f t="shared" si="174"/>
        <v>188.55</v>
      </c>
      <c r="T125" s="185">
        <f t="shared" si="171"/>
        <v>6913.97</v>
      </c>
      <c r="U125" s="185">
        <f t="shared" si="121"/>
        <v>27714.12</v>
      </c>
      <c r="V125" s="185">
        <f t="shared" si="122"/>
        <v>697323.37999999989</v>
      </c>
      <c r="W125" s="185">
        <f t="shared" si="76"/>
        <v>562910.88000000024</v>
      </c>
      <c r="X125" s="401" t="str">
        <f t="shared" si="113"/>
        <v xml:space="preserve"> </v>
      </c>
      <c r="Y125" s="185">
        <f t="shared" si="77"/>
        <v>1448324.2699999998</v>
      </c>
      <c r="Z125" s="393">
        <f t="shared" si="104"/>
        <v>0.13125000000000001</v>
      </c>
      <c r="AA125" s="185">
        <f t="shared" si="105"/>
        <v>2810.15</v>
      </c>
      <c r="AB125" s="185">
        <f t="shared" si="78"/>
        <v>-13030.9</v>
      </c>
      <c r="AC125" s="185">
        <f t="shared" si="106"/>
        <v>15841.05</v>
      </c>
      <c r="AD125" s="185">
        <f t="shared" ref="AD125:AE125" si="180">+AD124</f>
        <v>134.16999999999999</v>
      </c>
      <c r="AE125" s="185">
        <f t="shared" si="180"/>
        <v>188.55</v>
      </c>
      <c r="AF125" s="185">
        <f t="shared" si="80"/>
        <v>3132.87</v>
      </c>
      <c r="AG125" s="185">
        <f t="shared" si="81"/>
        <v>-475255.1700000001</v>
      </c>
      <c r="AH125" s="185">
        <f t="shared" si="82"/>
        <v>1162514.47</v>
      </c>
      <c r="AI125" s="411">
        <f t="shared" si="176"/>
        <v>37778.200000000143</v>
      </c>
      <c r="AJ125" s="411">
        <f t="shared" si="134"/>
        <v>-898444.28999999946</v>
      </c>
      <c r="AK125" s="411">
        <f t="shared" si="177"/>
        <v>-860666.08999999927</v>
      </c>
      <c r="AL125" s="185">
        <f t="shared" si="83"/>
        <v>1461355.1699999997</v>
      </c>
      <c r="AM125" s="317">
        <f t="shared" si="115"/>
        <v>9</v>
      </c>
      <c r="AN125" s="14">
        <f t="shared" si="178"/>
        <v>6591.25</v>
      </c>
      <c r="AO125" s="14">
        <f t="shared" si="153"/>
        <v>958385.88</v>
      </c>
      <c r="AP125" s="14">
        <f t="shared" si="179"/>
        <v>2810.15</v>
      </c>
      <c r="AS125" s="14">
        <f t="shared" si="109"/>
        <v>6591.25</v>
      </c>
      <c r="AT125" s="14">
        <f t="shared" si="116"/>
        <v>724556.94</v>
      </c>
      <c r="AU125" s="185">
        <f t="shared" si="117"/>
        <v>1943.2728213830032</v>
      </c>
      <c r="AV125" s="185">
        <f t="shared" si="118"/>
        <v>188627.40137458435</v>
      </c>
    </row>
    <row r="126" spans="1:50">
      <c r="A126" s="401" t="str">
        <f t="shared" ref="A126:A189" si="181">IF(K126&lt;=0," ",+A125+30)</f>
        <v xml:space="preserve"> </v>
      </c>
      <c r="B126" s="185">
        <f t="shared" si="110"/>
        <v>0</v>
      </c>
      <c r="C126" s="14">
        <f t="shared" si="101"/>
        <v>0</v>
      </c>
      <c r="D126" s="14">
        <f t="shared" si="119"/>
        <v>0</v>
      </c>
      <c r="E126" s="14">
        <f t="shared" si="102"/>
        <v>0</v>
      </c>
      <c r="F126" s="14">
        <f t="shared" si="170"/>
        <v>0</v>
      </c>
      <c r="G126" s="14">
        <f t="shared" si="167"/>
        <v>0</v>
      </c>
      <c r="H126" s="14">
        <f t="shared" si="168"/>
        <v>0</v>
      </c>
      <c r="I126" s="185">
        <f t="shared" ref="I126:I189" si="182">$D126+$I125</f>
        <v>0</v>
      </c>
      <c r="J126" s="185">
        <f t="shared" ref="J126:J189" si="183">$E126+$J125</f>
        <v>0</v>
      </c>
      <c r="K126" s="185">
        <f t="shared" ref="K126:K189" si="184">+B126-D126</f>
        <v>0</v>
      </c>
      <c r="L126" s="317">
        <f t="shared" si="155"/>
        <v>9</v>
      </c>
      <c r="M126" s="317">
        <f t="shared" si="111"/>
        <v>110</v>
      </c>
      <c r="N126" s="185">
        <f t="shared" si="112"/>
        <v>562910.88000000024</v>
      </c>
      <c r="O126" s="185">
        <f t="shared" ref="O126:O189" si="185">IF($O$9&lt;=A126,IF(+$W125&lt;=0,0,$O$8),0)</f>
        <v>6591.25</v>
      </c>
      <c r="P126" s="185">
        <f t="shared" si="120"/>
        <v>434.40999999999985</v>
      </c>
      <c r="Q126" s="185">
        <f t="shared" ref="Q126:Q189" si="186">IF($O$9&lt;=A126,ROUND(N126*($O$6/12),2),0)</f>
        <v>6156.84</v>
      </c>
      <c r="R126" s="185">
        <f t="shared" si="173"/>
        <v>134.16999999999999</v>
      </c>
      <c r="S126" s="185">
        <f t="shared" si="174"/>
        <v>188.55</v>
      </c>
      <c r="T126" s="185">
        <f t="shared" si="171"/>
        <v>6913.97</v>
      </c>
      <c r="U126" s="185">
        <f t="shared" si="121"/>
        <v>28148.53</v>
      </c>
      <c r="V126" s="185">
        <f t="shared" si="122"/>
        <v>703480.21999999986</v>
      </c>
      <c r="W126" s="185">
        <f t="shared" ref="W126:W189" si="187">+N126-P126</f>
        <v>562476.4700000002</v>
      </c>
      <c r="X126" s="401" t="str">
        <f t="shared" si="113"/>
        <v xml:space="preserve"> </v>
      </c>
      <c r="Y126" s="185">
        <f t="shared" ref="Y126:Y189" si="188">IF(+AL125&lt;0,0,+AL125)</f>
        <v>1461355.1699999997</v>
      </c>
      <c r="Z126" s="393">
        <f t="shared" si="104"/>
        <v>0.13125000000000001</v>
      </c>
      <c r="AA126" s="185">
        <f t="shared" si="105"/>
        <v>2810.15</v>
      </c>
      <c r="AB126" s="185">
        <f t="shared" ref="AB126:AB189" si="189">+AA126-AC126</f>
        <v>-13173.42</v>
      </c>
      <c r="AC126" s="185">
        <f t="shared" si="106"/>
        <v>15983.57</v>
      </c>
      <c r="AD126" s="185">
        <f t="shared" ref="AD126:AE126" si="190">+AD125</f>
        <v>134.16999999999999</v>
      </c>
      <c r="AE126" s="185">
        <f t="shared" si="190"/>
        <v>188.55</v>
      </c>
      <c r="AF126" s="185">
        <f t="shared" ref="AF126:AF189" si="191">SUM(AB126:AE126)</f>
        <v>3132.87</v>
      </c>
      <c r="AG126" s="185">
        <f t="shared" ref="AG126:AG189" si="192">+AB126+AG125</f>
        <v>-488428.59000000008</v>
      </c>
      <c r="AH126" s="185">
        <f t="shared" ref="AH126:AH189" si="193">+AH125+AC126</f>
        <v>1178498.04</v>
      </c>
      <c r="AI126" s="411">
        <f t="shared" si="176"/>
        <v>41559.300000000141</v>
      </c>
      <c r="AJ126" s="411">
        <f t="shared" si="134"/>
        <v>-912052.11999999941</v>
      </c>
      <c r="AK126" s="411">
        <f t="shared" si="177"/>
        <v>-870492.81999999925</v>
      </c>
      <c r="AL126" s="185">
        <f t="shared" ref="AL126:AL189" si="194">+Y126-AB126</f>
        <v>1474528.5899999996</v>
      </c>
      <c r="AM126" s="317">
        <f t="shared" si="115"/>
        <v>9</v>
      </c>
      <c r="AN126" s="14">
        <f t="shared" si="178"/>
        <v>6591.25</v>
      </c>
      <c r="AO126" s="14">
        <f t="shared" si="153"/>
        <v>957951.47</v>
      </c>
      <c r="AP126" s="14">
        <f t="shared" si="179"/>
        <v>2810.15</v>
      </c>
      <c r="AS126" s="14">
        <f t="shared" si="109"/>
        <v>6591.25</v>
      </c>
      <c r="AT126" s="14">
        <f t="shared" si="116"/>
        <v>731148.19</v>
      </c>
      <c r="AU126" s="185">
        <f t="shared" si="117"/>
        <v>1948.1310034364606</v>
      </c>
      <c r="AV126" s="185">
        <f t="shared" si="118"/>
        <v>190575.53237802081</v>
      </c>
    </row>
    <row r="127" spans="1:50">
      <c r="A127" s="401" t="str">
        <f t="shared" si="181"/>
        <v xml:space="preserve"> </v>
      </c>
      <c r="B127" s="185">
        <f t="shared" si="110"/>
        <v>0</v>
      </c>
      <c r="C127" s="14">
        <f t="shared" si="101"/>
        <v>0</v>
      </c>
      <c r="D127" s="14">
        <f t="shared" si="119"/>
        <v>0</v>
      </c>
      <c r="E127" s="14">
        <f t="shared" si="102"/>
        <v>0</v>
      </c>
      <c r="F127" s="14">
        <f t="shared" si="170"/>
        <v>0</v>
      </c>
      <c r="G127" s="14">
        <f t="shared" si="167"/>
        <v>0</v>
      </c>
      <c r="H127" s="14">
        <f t="shared" si="168"/>
        <v>0</v>
      </c>
      <c r="I127" s="185">
        <f t="shared" si="182"/>
        <v>0</v>
      </c>
      <c r="J127" s="185">
        <f t="shared" si="183"/>
        <v>0</v>
      </c>
      <c r="K127" s="185">
        <f t="shared" si="184"/>
        <v>0</v>
      </c>
      <c r="L127" s="317">
        <f t="shared" si="155"/>
        <v>9</v>
      </c>
      <c r="M127" s="317">
        <f t="shared" si="111"/>
        <v>111</v>
      </c>
      <c r="N127" s="185">
        <f t="shared" si="112"/>
        <v>562476.4700000002</v>
      </c>
      <c r="O127" s="185">
        <f t="shared" si="185"/>
        <v>6591.25</v>
      </c>
      <c r="P127" s="185">
        <f t="shared" si="120"/>
        <v>439.15999999999985</v>
      </c>
      <c r="Q127" s="185">
        <f t="shared" si="186"/>
        <v>6152.09</v>
      </c>
      <c r="R127" s="185">
        <f t="shared" si="173"/>
        <v>134.16999999999999</v>
      </c>
      <c r="S127" s="185">
        <f t="shared" si="174"/>
        <v>188.55</v>
      </c>
      <c r="T127" s="185">
        <f t="shared" si="171"/>
        <v>6913.97</v>
      </c>
      <c r="U127" s="185">
        <f t="shared" si="121"/>
        <v>28587.69</v>
      </c>
      <c r="V127" s="185">
        <f t="shared" si="122"/>
        <v>709632.30999999982</v>
      </c>
      <c r="W127" s="185">
        <f t="shared" si="187"/>
        <v>562037.31000000017</v>
      </c>
      <c r="X127" s="401" t="str">
        <f t="shared" si="113"/>
        <v xml:space="preserve"> </v>
      </c>
      <c r="Y127" s="185">
        <f t="shared" si="188"/>
        <v>1474528.5899999996</v>
      </c>
      <c r="Z127" s="393">
        <f t="shared" si="104"/>
        <v>0.13125000000000001</v>
      </c>
      <c r="AA127" s="185">
        <f t="shared" si="105"/>
        <v>2810.15</v>
      </c>
      <c r="AB127" s="185">
        <f t="shared" si="189"/>
        <v>-13317.51</v>
      </c>
      <c r="AC127" s="185">
        <f t="shared" si="106"/>
        <v>16127.66</v>
      </c>
      <c r="AD127" s="185">
        <f t="shared" ref="AD127:AE127" si="195">+AD126</f>
        <v>134.16999999999999</v>
      </c>
      <c r="AE127" s="185">
        <f t="shared" si="195"/>
        <v>188.55</v>
      </c>
      <c r="AF127" s="185">
        <f t="shared" si="191"/>
        <v>3132.87</v>
      </c>
      <c r="AG127" s="185">
        <f t="shared" si="192"/>
        <v>-501746.10000000009</v>
      </c>
      <c r="AH127" s="185">
        <f t="shared" si="193"/>
        <v>1194625.7</v>
      </c>
      <c r="AI127" s="411">
        <f t="shared" si="176"/>
        <v>45340.40000000014</v>
      </c>
      <c r="AJ127" s="411">
        <f t="shared" si="134"/>
        <v>-925808.78999999946</v>
      </c>
      <c r="AK127" s="411">
        <f t="shared" si="177"/>
        <v>-880468.38999999932</v>
      </c>
      <c r="AL127" s="185">
        <f t="shared" si="194"/>
        <v>1487846.0999999996</v>
      </c>
      <c r="AM127" s="317">
        <f t="shared" si="115"/>
        <v>9</v>
      </c>
      <c r="AN127" s="14">
        <f t="shared" si="178"/>
        <v>6591.25</v>
      </c>
      <c r="AO127" s="14">
        <f t="shared" si="153"/>
        <v>957512.31</v>
      </c>
      <c r="AP127" s="14">
        <f t="shared" si="179"/>
        <v>2810.15</v>
      </c>
      <c r="AS127" s="14">
        <f t="shared" si="109"/>
        <v>6591.25</v>
      </c>
      <c r="AT127" s="14">
        <f t="shared" si="116"/>
        <v>737739.44</v>
      </c>
      <c r="AU127" s="185">
        <f t="shared" si="117"/>
        <v>1953.0013309450521</v>
      </c>
      <c r="AV127" s="185">
        <f t="shared" si="118"/>
        <v>192528.53370896587</v>
      </c>
    </row>
    <row r="128" spans="1:50">
      <c r="A128" s="401" t="str">
        <f t="shared" si="181"/>
        <v xml:space="preserve"> </v>
      </c>
      <c r="B128" s="185">
        <f t="shared" si="110"/>
        <v>0</v>
      </c>
      <c r="C128" s="14">
        <f t="shared" si="101"/>
        <v>0</v>
      </c>
      <c r="D128" s="14">
        <f t="shared" si="119"/>
        <v>0</v>
      </c>
      <c r="E128" s="14">
        <f t="shared" si="102"/>
        <v>0</v>
      </c>
      <c r="F128" s="14">
        <f t="shared" si="170"/>
        <v>0</v>
      </c>
      <c r="G128" s="14">
        <f t="shared" si="167"/>
        <v>0</v>
      </c>
      <c r="H128" s="14">
        <f t="shared" si="168"/>
        <v>0</v>
      </c>
      <c r="I128" s="185">
        <f t="shared" si="182"/>
        <v>0</v>
      </c>
      <c r="J128" s="185">
        <f t="shared" si="183"/>
        <v>0</v>
      </c>
      <c r="K128" s="185">
        <f t="shared" si="184"/>
        <v>0</v>
      </c>
      <c r="L128" s="317">
        <f t="shared" si="155"/>
        <v>9</v>
      </c>
      <c r="M128" s="317">
        <f t="shared" si="111"/>
        <v>112</v>
      </c>
      <c r="N128" s="185">
        <f t="shared" si="112"/>
        <v>562037.31000000017</v>
      </c>
      <c r="O128" s="185">
        <f t="shared" si="185"/>
        <v>6591.25</v>
      </c>
      <c r="P128" s="185">
        <f t="shared" si="120"/>
        <v>443.97000000000025</v>
      </c>
      <c r="Q128" s="185">
        <f t="shared" si="186"/>
        <v>6147.28</v>
      </c>
      <c r="R128" s="185">
        <f t="shared" si="173"/>
        <v>134.16999999999999</v>
      </c>
      <c r="S128" s="185">
        <f t="shared" si="174"/>
        <v>188.55</v>
      </c>
      <c r="T128" s="185">
        <f t="shared" si="171"/>
        <v>6913.97</v>
      </c>
      <c r="U128" s="185">
        <f t="shared" si="121"/>
        <v>29031.66</v>
      </c>
      <c r="V128" s="185">
        <f t="shared" si="122"/>
        <v>715779.58999999985</v>
      </c>
      <c r="W128" s="185">
        <f t="shared" si="187"/>
        <v>561593.3400000002</v>
      </c>
      <c r="X128" s="401" t="str">
        <f t="shared" si="113"/>
        <v xml:space="preserve"> </v>
      </c>
      <c r="Y128" s="185">
        <f t="shared" si="188"/>
        <v>1487846.0999999996</v>
      </c>
      <c r="Z128" s="393">
        <f t="shared" si="104"/>
        <v>0.13125000000000001</v>
      </c>
      <c r="AA128" s="185">
        <f t="shared" si="105"/>
        <v>2810.15</v>
      </c>
      <c r="AB128" s="185">
        <f t="shared" si="189"/>
        <v>-13463.17</v>
      </c>
      <c r="AC128" s="185">
        <f t="shared" si="106"/>
        <v>16273.32</v>
      </c>
      <c r="AD128" s="185">
        <f t="shared" ref="AD128:AE128" si="196">+AD127</f>
        <v>134.16999999999999</v>
      </c>
      <c r="AE128" s="185">
        <f t="shared" si="196"/>
        <v>188.55</v>
      </c>
      <c r="AF128" s="185">
        <f t="shared" si="191"/>
        <v>3132.87</v>
      </c>
      <c r="AG128" s="185">
        <f t="shared" si="192"/>
        <v>-515209.27000000008</v>
      </c>
      <c r="AH128" s="185">
        <f t="shared" si="193"/>
        <v>1210899.02</v>
      </c>
      <c r="AI128" s="411">
        <f t="shared" si="176"/>
        <v>49121.500000000138</v>
      </c>
      <c r="AJ128" s="411">
        <f t="shared" si="134"/>
        <v>-939715.92999999935</v>
      </c>
      <c r="AK128" s="411">
        <f t="shared" si="177"/>
        <v>-890594.42999999924</v>
      </c>
      <c r="AL128" s="185">
        <f t="shared" si="194"/>
        <v>1501309.2699999996</v>
      </c>
      <c r="AM128" s="317">
        <f t="shared" si="115"/>
        <v>9</v>
      </c>
      <c r="AN128" s="14">
        <f t="shared" si="178"/>
        <v>6591.25</v>
      </c>
      <c r="AO128" s="14">
        <f t="shared" si="153"/>
        <v>957068.34</v>
      </c>
      <c r="AP128" s="14">
        <f t="shared" si="179"/>
        <v>2810.15</v>
      </c>
      <c r="AS128" s="14">
        <f t="shared" si="109"/>
        <v>6591.25</v>
      </c>
      <c r="AT128" s="14">
        <f t="shared" si="116"/>
        <v>744330.69</v>
      </c>
      <c r="AU128" s="185">
        <f t="shared" si="117"/>
        <v>1957.8838342724146</v>
      </c>
      <c r="AV128" s="185">
        <f t="shared" si="118"/>
        <v>194486.41754323829</v>
      </c>
    </row>
    <row r="129" spans="1:48">
      <c r="A129" s="401" t="str">
        <f t="shared" si="181"/>
        <v xml:space="preserve"> </v>
      </c>
      <c r="B129" s="185">
        <f t="shared" si="110"/>
        <v>0</v>
      </c>
      <c r="C129" s="14">
        <f t="shared" si="101"/>
        <v>0</v>
      </c>
      <c r="D129" s="14">
        <f t="shared" si="119"/>
        <v>0</v>
      </c>
      <c r="E129" s="14">
        <f t="shared" si="102"/>
        <v>0</v>
      </c>
      <c r="F129" s="14">
        <f t="shared" si="170"/>
        <v>0</v>
      </c>
      <c r="G129" s="14">
        <f t="shared" si="167"/>
        <v>0</v>
      </c>
      <c r="H129" s="14">
        <f t="shared" si="168"/>
        <v>0</v>
      </c>
      <c r="I129" s="185">
        <f t="shared" si="182"/>
        <v>0</v>
      </c>
      <c r="J129" s="185">
        <f t="shared" si="183"/>
        <v>0</v>
      </c>
      <c r="K129" s="185">
        <f t="shared" si="184"/>
        <v>0</v>
      </c>
      <c r="L129" s="317">
        <f t="shared" si="155"/>
        <v>9</v>
      </c>
      <c r="M129" s="317">
        <f t="shared" si="111"/>
        <v>113</v>
      </c>
      <c r="N129" s="185">
        <f t="shared" si="112"/>
        <v>561593.3400000002</v>
      </c>
      <c r="O129" s="185">
        <f t="shared" si="185"/>
        <v>6591.25</v>
      </c>
      <c r="P129" s="185">
        <f t="shared" si="120"/>
        <v>448.81999999999971</v>
      </c>
      <c r="Q129" s="185">
        <f t="shared" si="186"/>
        <v>6142.43</v>
      </c>
      <c r="R129" s="185">
        <f t="shared" si="173"/>
        <v>134.16999999999999</v>
      </c>
      <c r="S129" s="185">
        <f t="shared" si="174"/>
        <v>188.55</v>
      </c>
      <c r="T129" s="185">
        <f t="shared" si="171"/>
        <v>6913.97</v>
      </c>
      <c r="U129" s="185">
        <f t="shared" si="121"/>
        <v>29480.48</v>
      </c>
      <c r="V129" s="185">
        <f t="shared" si="122"/>
        <v>721922.0199999999</v>
      </c>
      <c r="W129" s="185">
        <f t="shared" si="187"/>
        <v>561144.52000000025</v>
      </c>
      <c r="X129" s="401" t="str">
        <f t="shared" si="113"/>
        <v xml:space="preserve"> </v>
      </c>
      <c r="Y129" s="185">
        <f t="shared" si="188"/>
        <v>1501309.2699999996</v>
      </c>
      <c r="Z129" s="393">
        <f t="shared" si="104"/>
        <v>0.13125000000000001</v>
      </c>
      <c r="AA129" s="185">
        <f t="shared" si="105"/>
        <v>2810.15</v>
      </c>
      <c r="AB129" s="185">
        <f t="shared" si="189"/>
        <v>-13610.42</v>
      </c>
      <c r="AC129" s="185">
        <f t="shared" si="106"/>
        <v>16420.57</v>
      </c>
      <c r="AD129" s="185">
        <f t="shared" ref="AD129:AE129" si="197">+AD128</f>
        <v>134.16999999999999</v>
      </c>
      <c r="AE129" s="185">
        <f t="shared" si="197"/>
        <v>188.55</v>
      </c>
      <c r="AF129" s="185">
        <f t="shared" si="191"/>
        <v>3132.87</v>
      </c>
      <c r="AG129" s="185">
        <f t="shared" si="192"/>
        <v>-528819.69000000006</v>
      </c>
      <c r="AH129" s="185">
        <f t="shared" si="193"/>
        <v>1227319.5900000001</v>
      </c>
      <c r="AI129" s="411">
        <f t="shared" si="176"/>
        <v>52902.600000000137</v>
      </c>
      <c r="AJ129" s="411">
        <f t="shared" si="134"/>
        <v>-953775.16999999923</v>
      </c>
      <c r="AK129" s="411">
        <f t="shared" si="177"/>
        <v>-900872.56999999913</v>
      </c>
      <c r="AL129" s="185">
        <f t="shared" si="194"/>
        <v>1514919.6899999995</v>
      </c>
      <c r="AM129" s="317">
        <f t="shared" si="115"/>
        <v>9</v>
      </c>
      <c r="AN129" s="14">
        <f t="shared" si="178"/>
        <v>6591.25</v>
      </c>
      <c r="AO129" s="14">
        <f t="shared" si="153"/>
        <v>956619.52</v>
      </c>
      <c r="AP129" s="14">
        <f t="shared" si="179"/>
        <v>2810.15</v>
      </c>
      <c r="AS129" s="14">
        <f t="shared" si="109"/>
        <v>6591.25</v>
      </c>
      <c r="AT129" s="14">
        <f t="shared" si="116"/>
        <v>750921.94</v>
      </c>
      <c r="AU129" s="185">
        <f t="shared" si="117"/>
        <v>1962.7785438580956</v>
      </c>
      <c r="AV129" s="185">
        <f t="shared" si="118"/>
        <v>196449.19608709638</v>
      </c>
    </row>
    <row r="130" spans="1:48">
      <c r="A130" s="401" t="str">
        <f t="shared" si="181"/>
        <v xml:space="preserve"> </v>
      </c>
      <c r="B130" s="185">
        <f t="shared" si="110"/>
        <v>0</v>
      </c>
      <c r="C130" s="14">
        <f t="shared" si="101"/>
        <v>0</v>
      </c>
      <c r="D130" s="14">
        <f t="shared" si="119"/>
        <v>0</v>
      </c>
      <c r="E130" s="14">
        <f t="shared" si="102"/>
        <v>0</v>
      </c>
      <c r="F130" s="14">
        <f t="shared" si="170"/>
        <v>0</v>
      </c>
      <c r="G130" s="14">
        <f t="shared" si="167"/>
        <v>0</v>
      </c>
      <c r="H130" s="14">
        <f t="shared" si="168"/>
        <v>0</v>
      </c>
      <c r="I130" s="185">
        <f t="shared" si="182"/>
        <v>0</v>
      </c>
      <c r="J130" s="185">
        <f t="shared" si="183"/>
        <v>0</v>
      </c>
      <c r="K130" s="185">
        <f t="shared" si="184"/>
        <v>0</v>
      </c>
      <c r="L130" s="317">
        <f t="shared" si="155"/>
        <v>9</v>
      </c>
      <c r="M130" s="317">
        <f t="shared" si="111"/>
        <v>114</v>
      </c>
      <c r="N130" s="185">
        <f t="shared" si="112"/>
        <v>561144.52000000025</v>
      </c>
      <c r="O130" s="185">
        <f t="shared" si="185"/>
        <v>6591.25</v>
      </c>
      <c r="P130" s="185">
        <f t="shared" si="120"/>
        <v>453.72999999999956</v>
      </c>
      <c r="Q130" s="185">
        <f t="shared" si="186"/>
        <v>6137.52</v>
      </c>
      <c r="R130" s="185">
        <f t="shared" si="173"/>
        <v>134.16999999999999</v>
      </c>
      <c r="S130" s="185">
        <f t="shared" si="174"/>
        <v>188.55</v>
      </c>
      <c r="T130" s="185">
        <f t="shared" si="171"/>
        <v>6913.97</v>
      </c>
      <c r="U130" s="185">
        <f t="shared" si="121"/>
        <v>29934.21</v>
      </c>
      <c r="V130" s="185">
        <f t="shared" si="122"/>
        <v>728059.53999999992</v>
      </c>
      <c r="W130" s="185">
        <f t="shared" si="187"/>
        <v>560690.79000000027</v>
      </c>
      <c r="X130" s="401" t="str">
        <f t="shared" si="113"/>
        <v xml:space="preserve"> </v>
      </c>
      <c r="Y130" s="185">
        <f t="shared" si="188"/>
        <v>1514919.6899999995</v>
      </c>
      <c r="Z130" s="393">
        <f t="shared" si="104"/>
        <v>0.13125000000000001</v>
      </c>
      <c r="AA130" s="185">
        <f t="shared" si="105"/>
        <v>2810.15</v>
      </c>
      <c r="AB130" s="185">
        <f t="shared" si="189"/>
        <v>-13759.28</v>
      </c>
      <c r="AC130" s="185">
        <f t="shared" si="106"/>
        <v>16569.43</v>
      </c>
      <c r="AD130" s="185">
        <f t="shared" ref="AD130:AE130" si="198">+AD129</f>
        <v>134.16999999999999</v>
      </c>
      <c r="AE130" s="185">
        <f t="shared" si="198"/>
        <v>188.55</v>
      </c>
      <c r="AF130" s="185">
        <f t="shared" si="191"/>
        <v>3132.87</v>
      </c>
      <c r="AG130" s="185">
        <f t="shared" si="192"/>
        <v>-542578.97000000009</v>
      </c>
      <c r="AH130" s="185">
        <f t="shared" si="193"/>
        <v>1243889.02</v>
      </c>
      <c r="AI130" s="411">
        <f t="shared" si="176"/>
        <v>56683.700000000135</v>
      </c>
      <c r="AJ130" s="411">
        <f t="shared" si="134"/>
        <v>-967988.17999999924</v>
      </c>
      <c r="AK130" s="411">
        <f t="shared" si="177"/>
        <v>-911304.47999999905</v>
      </c>
      <c r="AL130" s="185">
        <f t="shared" si="194"/>
        <v>1528678.9699999995</v>
      </c>
      <c r="AM130" s="317">
        <f t="shared" si="115"/>
        <v>9</v>
      </c>
      <c r="AN130" s="14">
        <f t="shared" si="178"/>
        <v>6591.25</v>
      </c>
      <c r="AO130" s="14">
        <f t="shared" si="153"/>
        <v>956165.79</v>
      </c>
      <c r="AP130" s="14">
        <f t="shared" si="179"/>
        <v>2810.15</v>
      </c>
      <c r="AS130" s="14">
        <f t="shared" si="109"/>
        <v>6591.25</v>
      </c>
      <c r="AT130" s="14">
        <f t="shared" si="116"/>
        <v>757513.19</v>
      </c>
      <c r="AU130" s="185">
        <f t="shared" si="117"/>
        <v>1967.6854902177408</v>
      </c>
      <c r="AV130" s="185">
        <f t="shared" si="118"/>
        <v>198416.88157731411</v>
      </c>
    </row>
    <row r="131" spans="1:48">
      <c r="A131" s="401" t="str">
        <f t="shared" si="181"/>
        <v xml:space="preserve"> </v>
      </c>
      <c r="B131" s="185">
        <f t="shared" si="110"/>
        <v>0</v>
      </c>
      <c r="C131" s="14">
        <f t="shared" si="101"/>
        <v>0</v>
      </c>
      <c r="D131" s="14">
        <f t="shared" si="119"/>
        <v>0</v>
      </c>
      <c r="E131" s="14">
        <f t="shared" si="102"/>
        <v>0</v>
      </c>
      <c r="F131" s="14">
        <f t="shared" si="170"/>
        <v>0</v>
      </c>
      <c r="G131" s="14">
        <f t="shared" si="167"/>
        <v>0</v>
      </c>
      <c r="H131" s="14">
        <f t="shared" si="168"/>
        <v>0</v>
      </c>
      <c r="I131" s="185">
        <f t="shared" si="182"/>
        <v>0</v>
      </c>
      <c r="J131" s="185">
        <f t="shared" si="183"/>
        <v>0</v>
      </c>
      <c r="K131" s="185">
        <f t="shared" si="184"/>
        <v>0</v>
      </c>
      <c r="L131" s="317">
        <f t="shared" si="155"/>
        <v>9</v>
      </c>
      <c r="M131" s="317">
        <f t="shared" si="111"/>
        <v>115</v>
      </c>
      <c r="N131" s="185">
        <f t="shared" si="112"/>
        <v>560690.79000000027</v>
      </c>
      <c r="O131" s="185">
        <f t="shared" si="185"/>
        <v>6591.25</v>
      </c>
      <c r="P131" s="185">
        <f t="shared" si="120"/>
        <v>458.6899999999996</v>
      </c>
      <c r="Q131" s="185">
        <f t="shared" si="186"/>
        <v>6132.56</v>
      </c>
      <c r="R131" s="185">
        <f t="shared" si="173"/>
        <v>134.16999999999999</v>
      </c>
      <c r="S131" s="185">
        <f t="shared" si="174"/>
        <v>188.55</v>
      </c>
      <c r="T131" s="185">
        <f t="shared" si="171"/>
        <v>6913.97</v>
      </c>
      <c r="U131" s="185">
        <f t="shared" si="121"/>
        <v>30392.899999999998</v>
      </c>
      <c r="V131" s="185">
        <f t="shared" si="122"/>
        <v>734192.1</v>
      </c>
      <c r="W131" s="185">
        <f t="shared" si="187"/>
        <v>560232.10000000033</v>
      </c>
      <c r="X131" s="401" t="str">
        <f t="shared" si="113"/>
        <v xml:space="preserve"> </v>
      </c>
      <c r="Y131" s="185">
        <f t="shared" si="188"/>
        <v>1528678.9699999995</v>
      </c>
      <c r="Z131" s="393">
        <f t="shared" si="104"/>
        <v>0.13125000000000001</v>
      </c>
      <c r="AA131" s="185">
        <f t="shared" si="105"/>
        <v>2810.15</v>
      </c>
      <c r="AB131" s="185">
        <f t="shared" si="189"/>
        <v>-13909.78</v>
      </c>
      <c r="AC131" s="185">
        <f t="shared" si="106"/>
        <v>16719.93</v>
      </c>
      <c r="AD131" s="185">
        <f t="shared" ref="AD131:AE131" si="199">+AD130</f>
        <v>134.16999999999999</v>
      </c>
      <c r="AE131" s="185">
        <f t="shared" si="199"/>
        <v>188.55</v>
      </c>
      <c r="AF131" s="185">
        <f t="shared" si="191"/>
        <v>3132.87</v>
      </c>
      <c r="AG131" s="185">
        <f t="shared" si="192"/>
        <v>-556488.75000000012</v>
      </c>
      <c r="AH131" s="185">
        <f t="shared" si="193"/>
        <v>1260608.95</v>
      </c>
      <c r="AI131" s="411">
        <f t="shared" si="176"/>
        <v>60464.800000000134</v>
      </c>
      <c r="AJ131" s="411">
        <f t="shared" si="134"/>
        <v>-982356.64999999921</v>
      </c>
      <c r="AK131" s="411">
        <f t="shared" si="177"/>
        <v>-921891.84999999905</v>
      </c>
      <c r="AL131" s="185">
        <f t="shared" si="194"/>
        <v>1542588.7499999995</v>
      </c>
      <c r="AM131" s="317">
        <f t="shared" si="115"/>
        <v>9</v>
      </c>
      <c r="AN131" s="14">
        <f t="shared" si="178"/>
        <v>6591.25</v>
      </c>
      <c r="AO131" s="14">
        <f t="shared" si="153"/>
        <v>955707.1</v>
      </c>
      <c r="AP131" s="14">
        <f t="shared" si="179"/>
        <v>2810.15</v>
      </c>
      <c r="AS131" s="14">
        <f t="shared" si="109"/>
        <v>6591.25</v>
      </c>
      <c r="AT131" s="14">
        <f t="shared" si="116"/>
        <v>764104.44</v>
      </c>
      <c r="AU131" s="185">
        <f t="shared" si="117"/>
        <v>1972.6047039432851</v>
      </c>
      <c r="AV131" s="185">
        <f t="shared" si="118"/>
        <v>200389.48628125738</v>
      </c>
    </row>
    <row r="132" spans="1:48">
      <c r="A132" s="401" t="str">
        <f t="shared" si="181"/>
        <v xml:space="preserve"> </v>
      </c>
      <c r="B132" s="185">
        <f t="shared" si="110"/>
        <v>0</v>
      </c>
      <c r="C132" s="14">
        <f t="shared" si="101"/>
        <v>0</v>
      </c>
      <c r="D132" s="14">
        <f t="shared" si="119"/>
        <v>0</v>
      </c>
      <c r="E132" s="14">
        <f t="shared" si="102"/>
        <v>0</v>
      </c>
      <c r="F132" s="14">
        <f t="shared" si="170"/>
        <v>0</v>
      </c>
      <c r="G132" s="14">
        <f t="shared" si="167"/>
        <v>0</v>
      </c>
      <c r="H132" s="14">
        <f t="shared" si="168"/>
        <v>0</v>
      </c>
      <c r="I132" s="185">
        <f t="shared" si="182"/>
        <v>0</v>
      </c>
      <c r="J132" s="185">
        <f t="shared" si="183"/>
        <v>0</v>
      </c>
      <c r="K132" s="185">
        <f t="shared" si="184"/>
        <v>0</v>
      </c>
      <c r="L132" s="317">
        <f t="shared" si="155"/>
        <v>9</v>
      </c>
      <c r="M132" s="317">
        <f t="shared" si="111"/>
        <v>116</v>
      </c>
      <c r="N132" s="185">
        <f t="shared" si="112"/>
        <v>560232.10000000033</v>
      </c>
      <c r="O132" s="185">
        <f t="shared" si="185"/>
        <v>6591.25</v>
      </c>
      <c r="P132" s="185">
        <f t="shared" si="120"/>
        <v>463.71000000000004</v>
      </c>
      <c r="Q132" s="185">
        <f t="shared" si="186"/>
        <v>6127.54</v>
      </c>
      <c r="R132" s="185">
        <f t="shared" si="173"/>
        <v>134.16999999999999</v>
      </c>
      <c r="S132" s="185">
        <f t="shared" si="174"/>
        <v>188.55</v>
      </c>
      <c r="T132" s="185">
        <f t="shared" si="171"/>
        <v>6913.97</v>
      </c>
      <c r="U132" s="185">
        <f t="shared" si="121"/>
        <v>30856.609999999997</v>
      </c>
      <c r="V132" s="185">
        <f t="shared" si="122"/>
        <v>740319.64</v>
      </c>
      <c r="W132" s="185">
        <f t="shared" si="187"/>
        <v>559768.39000000036</v>
      </c>
      <c r="X132" s="401" t="str">
        <f t="shared" si="113"/>
        <v xml:space="preserve"> </v>
      </c>
      <c r="Y132" s="185">
        <f t="shared" si="188"/>
        <v>1542588.7499999995</v>
      </c>
      <c r="Z132" s="393">
        <f t="shared" si="104"/>
        <v>0.13125000000000001</v>
      </c>
      <c r="AA132" s="185">
        <f t="shared" si="105"/>
        <v>2810.15</v>
      </c>
      <c r="AB132" s="185">
        <f t="shared" si="189"/>
        <v>-14061.910000000002</v>
      </c>
      <c r="AC132" s="185">
        <f t="shared" si="106"/>
        <v>16872.060000000001</v>
      </c>
      <c r="AD132" s="185">
        <f t="shared" ref="AD132:AE132" si="200">+AD131</f>
        <v>134.16999999999999</v>
      </c>
      <c r="AE132" s="185">
        <f t="shared" si="200"/>
        <v>188.55</v>
      </c>
      <c r="AF132" s="185">
        <f t="shared" si="191"/>
        <v>3132.87</v>
      </c>
      <c r="AG132" s="185">
        <f t="shared" si="192"/>
        <v>-570550.66000000015</v>
      </c>
      <c r="AH132" s="185">
        <f t="shared" si="193"/>
        <v>1277481.01</v>
      </c>
      <c r="AI132" s="411">
        <f t="shared" si="176"/>
        <v>64245.900000000132</v>
      </c>
      <c r="AJ132" s="411">
        <f t="shared" si="134"/>
        <v>-996882.26999999909</v>
      </c>
      <c r="AK132" s="411">
        <f t="shared" si="177"/>
        <v>-932636.36999999895</v>
      </c>
      <c r="AL132" s="185">
        <f t="shared" si="194"/>
        <v>1556650.6599999995</v>
      </c>
      <c r="AM132" s="317">
        <f t="shared" si="115"/>
        <v>9</v>
      </c>
      <c r="AN132" s="14">
        <f t="shared" si="178"/>
        <v>6591.25</v>
      </c>
      <c r="AO132" s="14">
        <f t="shared" si="153"/>
        <v>955243.39</v>
      </c>
      <c r="AP132" s="14">
        <f t="shared" si="179"/>
        <v>2810.15</v>
      </c>
      <c r="AS132" s="14">
        <f t="shared" si="109"/>
        <v>6591.25</v>
      </c>
      <c r="AT132" s="14">
        <f t="shared" si="116"/>
        <v>770695.69</v>
      </c>
      <c r="AU132" s="185">
        <f t="shared" si="117"/>
        <v>1977.5362157031432</v>
      </c>
      <c r="AV132" s="185">
        <f t="shared" si="118"/>
        <v>202367.02249696053</v>
      </c>
    </row>
    <row r="133" spans="1:48">
      <c r="A133" s="401" t="str">
        <f t="shared" si="181"/>
        <v xml:space="preserve"> </v>
      </c>
      <c r="B133" s="185">
        <f t="shared" si="110"/>
        <v>0</v>
      </c>
      <c r="C133" s="14">
        <f t="shared" si="101"/>
        <v>0</v>
      </c>
      <c r="D133" s="14">
        <f t="shared" si="119"/>
        <v>0</v>
      </c>
      <c r="E133" s="14">
        <f t="shared" si="102"/>
        <v>0</v>
      </c>
      <c r="F133" s="14">
        <f t="shared" si="170"/>
        <v>0</v>
      </c>
      <c r="G133" s="14">
        <f t="shared" si="167"/>
        <v>0</v>
      </c>
      <c r="H133" s="14">
        <f t="shared" si="168"/>
        <v>0</v>
      </c>
      <c r="I133" s="185">
        <f t="shared" si="182"/>
        <v>0</v>
      </c>
      <c r="J133" s="185">
        <f t="shared" si="183"/>
        <v>0</v>
      </c>
      <c r="K133" s="185">
        <f t="shared" si="184"/>
        <v>0</v>
      </c>
      <c r="L133" s="317">
        <f t="shared" si="155"/>
        <v>9</v>
      </c>
      <c r="M133" s="317">
        <f t="shared" si="111"/>
        <v>117</v>
      </c>
      <c r="N133" s="185">
        <f t="shared" si="112"/>
        <v>559768.39000000036</v>
      </c>
      <c r="O133" s="185">
        <f t="shared" si="185"/>
        <v>6591.25</v>
      </c>
      <c r="P133" s="185">
        <f t="shared" si="120"/>
        <v>468.77999999999975</v>
      </c>
      <c r="Q133" s="185">
        <f t="shared" si="186"/>
        <v>6122.47</v>
      </c>
      <c r="R133" s="185">
        <f t="shared" si="173"/>
        <v>134.16999999999999</v>
      </c>
      <c r="S133" s="185">
        <f t="shared" si="174"/>
        <v>188.55</v>
      </c>
      <c r="T133" s="185">
        <f t="shared" si="171"/>
        <v>6913.97</v>
      </c>
      <c r="U133" s="185">
        <f t="shared" si="121"/>
        <v>31325.389999999996</v>
      </c>
      <c r="V133" s="185">
        <f t="shared" si="122"/>
        <v>746442.11</v>
      </c>
      <c r="W133" s="185">
        <f t="shared" si="187"/>
        <v>559299.61000000034</v>
      </c>
      <c r="X133" s="401" t="str">
        <f t="shared" si="113"/>
        <v xml:space="preserve"> </v>
      </c>
      <c r="Y133" s="185">
        <f t="shared" si="188"/>
        <v>1556650.6599999995</v>
      </c>
      <c r="Z133" s="393">
        <f t="shared" si="104"/>
        <v>0.13125000000000001</v>
      </c>
      <c r="AA133" s="185">
        <f t="shared" si="105"/>
        <v>2810.15</v>
      </c>
      <c r="AB133" s="185">
        <f t="shared" si="189"/>
        <v>-14215.72</v>
      </c>
      <c r="AC133" s="185">
        <f t="shared" si="106"/>
        <v>17025.87</v>
      </c>
      <c r="AD133" s="185">
        <f t="shared" ref="AD133:AE133" si="201">+AD132</f>
        <v>134.16999999999999</v>
      </c>
      <c r="AE133" s="185">
        <f t="shared" si="201"/>
        <v>188.55</v>
      </c>
      <c r="AF133" s="185">
        <f t="shared" si="191"/>
        <v>3132.87</v>
      </c>
      <c r="AG133" s="185">
        <f t="shared" si="192"/>
        <v>-584766.38000000012</v>
      </c>
      <c r="AH133" s="185">
        <f t="shared" si="193"/>
        <v>1294506.8800000001</v>
      </c>
      <c r="AI133" s="411">
        <f t="shared" si="176"/>
        <v>68027.000000000131</v>
      </c>
      <c r="AJ133" s="411">
        <f t="shared" si="134"/>
        <v>-1011566.7699999991</v>
      </c>
      <c r="AK133" s="411">
        <f t="shared" si="177"/>
        <v>-943539.76999999897</v>
      </c>
      <c r="AL133" s="185">
        <f t="shared" si="194"/>
        <v>1570866.3799999994</v>
      </c>
      <c r="AM133" s="317">
        <f t="shared" si="115"/>
        <v>9</v>
      </c>
      <c r="AN133" s="14">
        <f t="shared" si="178"/>
        <v>6591.25</v>
      </c>
      <c r="AO133" s="14">
        <f t="shared" si="153"/>
        <v>954774.61</v>
      </c>
      <c r="AP133" s="14">
        <f t="shared" si="179"/>
        <v>2810.15</v>
      </c>
      <c r="AS133" s="14">
        <f t="shared" si="109"/>
        <v>6591.25</v>
      </c>
      <c r="AT133" s="14">
        <f t="shared" si="116"/>
        <v>777286.94</v>
      </c>
      <c r="AU133" s="185">
        <f t="shared" si="117"/>
        <v>1982.4800562424014</v>
      </c>
      <c r="AV133" s="185">
        <f t="shared" si="118"/>
        <v>204349.50255320294</v>
      </c>
    </row>
    <row r="134" spans="1:48" ht="15.75" thickBot="1">
      <c r="A134" s="404" t="str">
        <f t="shared" si="181"/>
        <v xml:space="preserve"> </v>
      </c>
      <c r="B134" s="237">
        <f t="shared" si="110"/>
        <v>0</v>
      </c>
      <c r="C134" s="21">
        <f t="shared" si="101"/>
        <v>0</v>
      </c>
      <c r="D134" s="21">
        <f t="shared" si="119"/>
        <v>0</v>
      </c>
      <c r="E134" s="21">
        <f t="shared" si="102"/>
        <v>0</v>
      </c>
      <c r="F134" s="21">
        <f t="shared" si="170"/>
        <v>0</v>
      </c>
      <c r="G134" s="21">
        <f t="shared" si="167"/>
        <v>0</v>
      </c>
      <c r="H134" s="21">
        <f t="shared" si="168"/>
        <v>0</v>
      </c>
      <c r="I134" s="237">
        <f t="shared" si="182"/>
        <v>0</v>
      </c>
      <c r="J134" s="237">
        <f t="shared" si="183"/>
        <v>0</v>
      </c>
      <c r="K134" s="237">
        <f t="shared" si="184"/>
        <v>0</v>
      </c>
      <c r="L134" s="318">
        <f t="shared" si="155"/>
        <v>9</v>
      </c>
      <c r="M134" s="318">
        <f t="shared" si="111"/>
        <v>118</v>
      </c>
      <c r="N134" s="237">
        <f t="shared" si="112"/>
        <v>559299.61000000034</v>
      </c>
      <c r="O134" s="237">
        <f t="shared" si="185"/>
        <v>6591.25</v>
      </c>
      <c r="P134" s="237">
        <f t="shared" si="120"/>
        <v>473.90999999999985</v>
      </c>
      <c r="Q134" s="237">
        <f t="shared" si="186"/>
        <v>6117.34</v>
      </c>
      <c r="R134" s="237">
        <f t="shared" si="173"/>
        <v>134.16999999999999</v>
      </c>
      <c r="S134" s="237">
        <f t="shared" si="174"/>
        <v>188.55</v>
      </c>
      <c r="T134" s="237">
        <f t="shared" si="171"/>
        <v>6913.97</v>
      </c>
      <c r="U134" s="237">
        <f t="shared" si="121"/>
        <v>31799.299999999996</v>
      </c>
      <c r="V134" s="237">
        <f t="shared" si="122"/>
        <v>752559.45</v>
      </c>
      <c r="W134" s="237">
        <f t="shared" si="187"/>
        <v>558825.7000000003</v>
      </c>
      <c r="X134" s="404" t="str">
        <f t="shared" si="113"/>
        <v xml:space="preserve"> </v>
      </c>
      <c r="Y134" s="237">
        <f t="shared" si="188"/>
        <v>1570866.3799999994</v>
      </c>
      <c r="Z134" s="394">
        <f t="shared" si="104"/>
        <v>0.13125000000000001</v>
      </c>
      <c r="AA134" s="237">
        <f t="shared" si="105"/>
        <v>2810.15</v>
      </c>
      <c r="AB134" s="237">
        <f t="shared" si="189"/>
        <v>-14371.199999999999</v>
      </c>
      <c r="AC134" s="237">
        <f t="shared" si="106"/>
        <v>17181.349999999999</v>
      </c>
      <c r="AD134" s="237">
        <f t="shared" ref="AD134:AE134" si="202">+AD133</f>
        <v>134.16999999999999</v>
      </c>
      <c r="AE134" s="237">
        <f t="shared" si="202"/>
        <v>188.55</v>
      </c>
      <c r="AF134" s="237">
        <f t="shared" si="191"/>
        <v>3132.87</v>
      </c>
      <c r="AG134" s="237">
        <f t="shared" si="192"/>
        <v>-599137.58000000007</v>
      </c>
      <c r="AH134" s="237">
        <f t="shared" si="193"/>
        <v>1311688.2300000002</v>
      </c>
      <c r="AI134" s="412">
        <f t="shared" si="176"/>
        <v>71808.100000000137</v>
      </c>
      <c r="AJ134" s="412">
        <f t="shared" si="134"/>
        <v>-1026411.8799999991</v>
      </c>
      <c r="AK134" s="412">
        <f t="shared" si="177"/>
        <v>-954603.77999999898</v>
      </c>
      <c r="AL134" s="237">
        <f t="shared" si="194"/>
        <v>1585237.5799999994</v>
      </c>
      <c r="AM134" s="318">
        <f t="shared" si="115"/>
        <v>9</v>
      </c>
      <c r="AN134" s="21">
        <f t="shared" si="178"/>
        <v>6591.25</v>
      </c>
      <c r="AO134" s="21">
        <f t="shared" si="153"/>
        <v>954300.7</v>
      </c>
      <c r="AP134" s="21">
        <f t="shared" si="179"/>
        <v>2810.15</v>
      </c>
      <c r="AQ134" s="21"/>
      <c r="AR134" s="23"/>
      <c r="AS134" s="21">
        <f t="shared" si="109"/>
        <v>6591.25</v>
      </c>
      <c r="AT134" s="21">
        <f t="shared" si="116"/>
        <v>783878.19</v>
      </c>
      <c r="AU134" s="237">
        <f t="shared" si="117"/>
        <v>1987.4362563830073</v>
      </c>
      <c r="AV134" s="237">
        <f t="shared" si="118"/>
        <v>206336.93880958593</v>
      </c>
    </row>
    <row r="135" spans="1:48">
      <c r="A135" s="401" t="str">
        <f t="shared" si="181"/>
        <v xml:space="preserve"> </v>
      </c>
      <c r="B135" s="185">
        <f t="shared" si="110"/>
        <v>0</v>
      </c>
      <c r="C135" s="14">
        <f t="shared" si="101"/>
        <v>0</v>
      </c>
      <c r="D135" s="14">
        <f t="shared" si="119"/>
        <v>0</v>
      </c>
      <c r="E135" s="14">
        <f t="shared" si="102"/>
        <v>0</v>
      </c>
      <c r="F135" s="14">
        <f t="shared" si="170"/>
        <v>0</v>
      </c>
      <c r="G135" s="14">
        <f t="shared" si="167"/>
        <v>0</v>
      </c>
      <c r="H135" s="14">
        <f t="shared" si="168"/>
        <v>0</v>
      </c>
      <c r="I135" s="185">
        <f t="shared" si="182"/>
        <v>0</v>
      </c>
      <c r="J135" s="185">
        <f t="shared" si="183"/>
        <v>0</v>
      </c>
      <c r="K135" s="185">
        <f t="shared" si="184"/>
        <v>0</v>
      </c>
      <c r="L135" s="317">
        <f t="shared" si="155"/>
        <v>9</v>
      </c>
      <c r="M135" s="317">
        <f t="shared" si="111"/>
        <v>119</v>
      </c>
      <c r="N135" s="185">
        <f t="shared" si="112"/>
        <v>558825.7000000003</v>
      </c>
      <c r="O135" s="185">
        <f t="shared" si="185"/>
        <v>6591.25</v>
      </c>
      <c r="P135" s="185">
        <f t="shared" si="120"/>
        <v>479.09000000000015</v>
      </c>
      <c r="Q135" s="185">
        <f t="shared" si="186"/>
        <v>6112.16</v>
      </c>
      <c r="R135" s="185">
        <f t="shared" si="173"/>
        <v>134.16999999999999</v>
      </c>
      <c r="S135" s="185">
        <f t="shared" si="174"/>
        <v>188.55</v>
      </c>
      <c r="T135" s="185">
        <f t="shared" si="171"/>
        <v>6913.97</v>
      </c>
      <c r="U135" s="185">
        <f t="shared" si="121"/>
        <v>32278.389999999996</v>
      </c>
      <c r="V135" s="185">
        <f t="shared" si="122"/>
        <v>758671.61</v>
      </c>
      <c r="W135" s="185">
        <f t="shared" si="187"/>
        <v>558346.61000000034</v>
      </c>
      <c r="X135" s="401" t="str">
        <f t="shared" si="113"/>
        <v xml:space="preserve"> </v>
      </c>
      <c r="Y135" s="185">
        <f t="shared" si="188"/>
        <v>1585237.5799999994</v>
      </c>
      <c r="Z135" s="393">
        <f t="shared" si="104"/>
        <v>0.13125000000000001</v>
      </c>
      <c r="AA135" s="185">
        <f t="shared" si="105"/>
        <v>2810.15</v>
      </c>
      <c r="AB135" s="185">
        <f t="shared" si="189"/>
        <v>-14528.390000000001</v>
      </c>
      <c r="AC135" s="185">
        <f t="shared" si="106"/>
        <v>17338.54</v>
      </c>
      <c r="AD135" s="185">
        <f t="shared" ref="AD135:AE135" si="203">+AD134</f>
        <v>134.16999999999999</v>
      </c>
      <c r="AE135" s="185">
        <f t="shared" si="203"/>
        <v>188.55</v>
      </c>
      <c r="AF135" s="185">
        <f t="shared" si="191"/>
        <v>3132.87</v>
      </c>
      <c r="AG135" s="185">
        <f t="shared" si="192"/>
        <v>-613665.97000000009</v>
      </c>
      <c r="AH135" s="185">
        <f t="shared" si="193"/>
        <v>1329026.7700000003</v>
      </c>
      <c r="AI135" s="411">
        <f t="shared" si="176"/>
        <v>75589.200000000143</v>
      </c>
      <c r="AJ135" s="411">
        <f t="shared" si="134"/>
        <v>-1041419.3599999989</v>
      </c>
      <c r="AK135" s="411">
        <f t="shared" si="177"/>
        <v>-965830.15999999875</v>
      </c>
      <c r="AL135" s="185">
        <f t="shared" si="194"/>
        <v>1599765.9699999993</v>
      </c>
      <c r="AM135" s="317">
        <f t="shared" si="115"/>
        <v>9</v>
      </c>
      <c r="AN135" s="14">
        <f t="shared" si="178"/>
        <v>6591.25</v>
      </c>
      <c r="AO135" s="14">
        <f t="shared" si="153"/>
        <v>953821.61</v>
      </c>
      <c r="AP135" s="14">
        <f t="shared" si="179"/>
        <v>2810.15</v>
      </c>
      <c r="AS135" s="14">
        <f t="shared" si="109"/>
        <v>6591.25</v>
      </c>
      <c r="AT135" s="14">
        <f t="shared" si="116"/>
        <v>790469.44</v>
      </c>
      <c r="AU135" s="185">
        <f t="shared" si="117"/>
        <v>1992.404847023965</v>
      </c>
      <c r="AV135" s="185">
        <f t="shared" si="118"/>
        <v>208329.34365660988</v>
      </c>
    </row>
    <row r="136" spans="1:48">
      <c r="A136" s="401" t="str">
        <f t="shared" si="181"/>
        <v xml:space="preserve"> </v>
      </c>
      <c r="B136" s="185">
        <f t="shared" si="110"/>
        <v>0</v>
      </c>
      <c r="C136" s="14">
        <f t="shared" si="101"/>
        <v>0</v>
      </c>
      <c r="D136" s="14">
        <f t="shared" si="119"/>
        <v>0</v>
      </c>
      <c r="E136" s="14">
        <f t="shared" si="102"/>
        <v>0</v>
      </c>
      <c r="F136" s="14">
        <f t="shared" si="170"/>
        <v>0</v>
      </c>
      <c r="G136" s="14">
        <f t="shared" si="167"/>
        <v>0</v>
      </c>
      <c r="H136" s="14">
        <f t="shared" si="168"/>
        <v>0</v>
      </c>
      <c r="I136" s="185">
        <f t="shared" si="182"/>
        <v>0</v>
      </c>
      <c r="J136" s="185">
        <f t="shared" si="183"/>
        <v>0</v>
      </c>
      <c r="K136" s="185">
        <f t="shared" si="184"/>
        <v>0</v>
      </c>
      <c r="L136" s="317">
        <f t="shared" si="155"/>
        <v>10</v>
      </c>
      <c r="M136" s="317">
        <f t="shared" si="111"/>
        <v>120</v>
      </c>
      <c r="N136" s="185">
        <f t="shared" si="112"/>
        <v>558346.61000000034</v>
      </c>
      <c r="O136" s="185">
        <f t="shared" si="185"/>
        <v>6591.25</v>
      </c>
      <c r="P136" s="185">
        <f t="shared" si="120"/>
        <v>484.32999999999993</v>
      </c>
      <c r="Q136" s="185">
        <f t="shared" si="186"/>
        <v>6106.92</v>
      </c>
      <c r="R136" s="185">
        <f t="shared" si="173"/>
        <v>134.16999999999999</v>
      </c>
      <c r="S136" s="185">
        <f t="shared" si="174"/>
        <v>188.55</v>
      </c>
      <c r="T136" s="185">
        <f t="shared" si="171"/>
        <v>6913.97</v>
      </c>
      <c r="U136" s="185">
        <f t="shared" si="121"/>
        <v>32762.719999999994</v>
      </c>
      <c r="V136" s="185">
        <f t="shared" si="122"/>
        <v>764778.53</v>
      </c>
      <c r="W136" s="185">
        <f t="shared" si="187"/>
        <v>557862.28000000038</v>
      </c>
      <c r="X136" s="401" t="str">
        <f t="shared" si="113"/>
        <v xml:space="preserve"> </v>
      </c>
      <c r="Y136" s="185">
        <f t="shared" si="188"/>
        <v>1599765.9699999993</v>
      </c>
      <c r="Z136" s="393">
        <f t="shared" si="104"/>
        <v>0.13125000000000001</v>
      </c>
      <c r="AA136" s="185">
        <f t="shared" si="105"/>
        <v>2810.15</v>
      </c>
      <c r="AB136" s="185">
        <f t="shared" si="189"/>
        <v>-14687.289999999999</v>
      </c>
      <c r="AC136" s="185">
        <f t="shared" si="106"/>
        <v>17497.439999999999</v>
      </c>
      <c r="AD136" s="185">
        <f t="shared" ref="AD136:AE136" si="204">+AD135</f>
        <v>134.16999999999999</v>
      </c>
      <c r="AE136" s="185">
        <f t="shared" si="204"/>
        <v>188.55</v>
      </c>
      <c r="AF136" s="185">
        <f t="shared" si="191"/>
        <v>3132.87</v>
      </c>
      <c r="AG136" s="185">
        <f t="shared" si="192"/>
        <v>-628353.26000000013</v>
      </c>
      <c r="AH136" s="185">
        <f t="shared" si="193"/>
        <v>1346524.2100000002</v>
      </c>
      <c r="AI136" s="411">
        <f t="shared" si="176"/>
        <v>79370.300000000148</v>
      </c>
      <c r="AJ136" s="411">
        <f t="shared" si="134"/>
        <v>-1056590.9799999991</v>
      </c>
      <c r="AK136" s="411">
        <f t="shared" si="177"/>
        <v>-977220.67999999889</v>
      </c>
      <c r="AL136" s="185">
        <f t="shared" si="194"/>
        <v>1614453.2599999993</v>
      </c>
      <c r="AM136" s="317">
        <f t="shared" si="115"/>
        <v>10</v>
      </c>
      <c r="AN136" s="14">
        <f t="shared" si="178"/>
        <v>6591.25</v>
      </c>
      <c r="AO136" s="14">
        <f t="shared" si="153"/>
        <v>953337.28</v>
      </c>
      <c r="AP136" s="14">
        <f t="shared" si="179"/>
        <v>2810.15</v>
      </c>
      <c r="AS136" s="14">
        <f t="shared" si="109"/>
        <v>6591.25</v>
      </c>
      <c r="AT136" s="14">
        <f t="shared" si="116"/>
        <v>797060.69</v>
      </c>
      <c r="AU136" s="185">
        <f t="shared" si="117"/>
        <v>1997.3858591415246</v>
      </c>
      <c r="AV136" s="185">
        <f t="shared" si="118"/>
        <v>210326.72951575142</v>
      </c>
    </row>
    <row r="137" spans="1:48">
      <c r="A137" s="401" t="str">
        <f t="shared" si="181"/>
        <v xml:space="preserve"> </v>
      </c>
      <c r="B137" s="185">
        <f t="shared" si="110"/>
        <v>0</v>
      </c>
      <c r="C137" s="14">
        <f t="shared" si="101"/>
        <v>0</v>
      </c>
      <c r="D137" s="14">
        <f t="shared" si="119"/>
        <v>0</v>
      </c>
      <c r="E137" s="14">
        <f t="shared" si="102"/>
        <v>0</v>
      </c>
      <c r="F137" s="14">
        <f t="shared" si="170"/>
        <v>0</v>
      </c>
      <c r="G137" s="14">
        <f t="shared" si="167"/>
        <v>0</v>
      </c>
      <c r="H137" s="14">
        <f t="shared" si="168"/>
        <v>0</v>
      </c>
      <c r="I137" s="185">
        <f t="shared" si="182"/>
        <v>0</v>
      </c>
      <c r="J137" s="185">
        <f t="shared" si="183"/>
        <v>0</v>
      </c>
      <c r="K137" s="185">
        <f t="shared" si="184"/>
        <v>0</v>
      </c>
      <c r="L137" s="317">
        <f t="shared" si="155"/>
        <v>10</v>
      </c>
      <c r="M137" s="317">
        <f t="shared" si="111"/>
        <v>121</v>
      </c>
      <c r="N137" s="185">
        <f t="shared" si="112"/>
        <v>557862.28000000038</v>
      </c>
      <c r="O137" s="185">
        <f t="shared" si="185"/>
        <v>6591.25</v>
      </c>
      <c r="P137" s="185">
        <f t="shared" si="120"/>
        <v>489.63000000000011</v>
      </c>
      <c r="Q137" s="185">
        <f t="shared" si="186"/>
        <v>6101.62</v>
      </c>
      <c r="R137" s="185">
        <f t="shared" si="173"/>
        <v>134.16999999999999</v>
      </c>
      <c r="S137" s="185">
        <f t="shared" si="174"/>
        <v>188.55</v>
      </c>
      <c r="T137" s="185">
        <f t="shared" si="171"/>
        <v>6913.97</v>
      </c>
      <c r="U137" s="185">
        <f t="shared" si="121"/>
        <v>33252.349999999991</v>
      </c>
      <c r="V137" s="185">
        <f t="shared" si="122"/>
        <v>770880.15</v>
      </c>
      <c r="W137" s="185">
        <f t="shared" si="187"/>
        <v>557372.65000000037</v>
      </c>
      <c r="X137" s="401" t="str">
        <f t="shared" si="113"/>
        <v xml:space="preserve"> </v>
      </c>
      <c r="Y137" s="185">
        <f t="shared" si="188"/>
        <v>1614453.2599999993</v>
      </c>
      <c r="Z137" s="393">
        <f t="shared" si="104"/>
        <v>0.13125000000000001</v>
      </c>
      <c r="AA137" s="185">
        <f t="shared" si="105"/>
        <v>2810.15</v>
      </c>
      <c r="AB137" s="185">
        <f t="shared" si="189"/>
        <v>-14847.930000000002</v>
      </c>
      <c r="AC137" s="185">
        <f t="shared" si="106"/>
        <v>17658.080000000002</v>
      </c>
      <c r="AD137" s="185">
        <f t="shared" ref="AD137:AE137" si="205">+AD136</f>
        <v>134.16999999999999</v>
      </c>
      <c r="AE137" s="185">
        <f t="shared" si="205"/>
        <v>188.55</v>
      </c>
      <c r="AF137" s="185">
        <f t="shared" si="191"/>
        <v>3132.87</v>
      </c>
      <c r="AG137" s="185">
        <f t="shared" si="192"/>
        <v>-643201.19000000018</v>
      </c>
      <c r="AH137" s="185">
        <f t="shared" si="193"/>
        <v>1364182.2900000003</v>
      </c>
      <c r="AI137" s="411">
        <f t="shared" si="176"/>
        <v>83151.400000000154</v>
      </c>
      <c r="AJ137" s="411">
        <f t="shared" si="134"/>
        <v>-1071928.5399999989</v>
      </c>
      <c r="AK137" s="411">
        <f t="shared" si="177"/>
        <v>-988777.13999999873</v>
      </c>
      <c r="AL137" s="185">
        <f t="shared" si="194"/>
        <v>1629301.1899999992</v>
      </c>
      <c r="AM137" s="317">
        <f t="shared" si="115"/>
        <v>10</v>
      </c>
      <c r="AN137" s="14">
        <f t="shared" si="178"/>
        <v>6591.25</v>
      </c>
      <c r="AO137" s="14">
        <f t="shared" si="153"/>
        <v>952847.65</v>
      </c>
      <c r="AP137" s="14">
        <f t="shared" si="179"/>
        <v>2810.15</v>
      </c>
      <c r="AS137" s="14">
        <f t="shared" si="109"/>
        <v>6591.25</v>
      </c>
      <c r="AT137" s="14">
        <f t="shared" si="116"/>
        <v>803651.94</v>
      </c>
      <c r="AU137" s="185">
        <f t="shared" si="117"/>
        <v>2002.3793237893785</v>
      </c>
      <c r="AV137" s="185">
        <f t="shared" si="118"/>
        <v>212329.1088395408</v>
      </c>
    </row>
    <row r="138" spans="1:48">
      <c r="A138" s="401" t="str">
        <f t="shared" si="181"/>
        <v xml:space="preserve"> </v>
      </c>
      <c r="B138" s="185">
        <f t="shared" si="110"/>
        <v>0</v>
      </c>
      <c r="C138" s="14">
        <f t="shared" si="101"/>
        <v>0</v>
      </c>
      <c r="D138" s="14">
        <f t="shared" si="119"/>
        <v>0</v>
      </c>
      <c r="E138" s="14">
        <f t="shared" si="102"/>
        <v>0</v>
      </c>
      <c r="F138" s="14">
        <f t="shared" si="170"/>
        <v>0</v>
      </c>
      <c r="G138" s="14">
        <f t="shared" si="167"/>
        <v>0</v>
      </c>
      <c r="H138" s="14">
        <f t="shared" si="168"/>
        <v>0</v>
      </c>
      <c r="I138" s="185">
        <f t="shared" si="182"/>
        <v>0</v>
      </c>
      <c r="J138" s="185">
        <f t="shared" si="183"/>
        <v>0</v>
      </c>
      <c r="K138" s="185">
        <f t="shared" si="184"/>
        <v>0</v>
      </c>
      <c r="L138" s="317">
        <f t="shared" si="155"/>
        <v>10</v>
      </c>
      <c r="M138" s="317">
        <f t="shared" si="111"/>
        <v>122</v>
      </c>
      <c r="N138" s="185">
        <f t="shared" si="112"/>
        <v>557372.65000000037</v>
      </c>
      <c r="O138" s="185">
        <f t="shared" si="185"/>
        <v>6591.25</v>
      </c>
      <c r="P138" s="185">
        <f t="shared" si="120"/>
        <v>494.98999999999978</v>
      </c>
      <c r="Q138" s="185">
        <f t="shared" si="186"/>
        <v>6096.26</v>
      </c>
      <c r="R138" s="185">
        <f t="shared" si="173"/>
        <v>134.16999999999999</v>
      </c>
      <c r="S138" s="185">
        <f t="shared" si="174"/>
        <v>188.55</v>
      </c>
      <c r="T138" s="185">
        <f t="shared" si="171"/>
        <v>6913.97</v>
      </c>
      <c r="U138" s="185">
        <f t="shared" si="121"/>
        <v>33747.339999999989</v>
      </c>
      <c r="V138" s="185">
        <f t="shared" si="122"/>
        <v>776976.41</v>
      </c>
      <c r="W138" s="185">
        <f t="shared" si="187"/>
        <v>556877.66000000038</v>
      </c>
      <c r="X138" s="401" t="str">
        <f t="shared" si="113"/>
        <v xml:space="preserve"> </v>
      </c>
      <c r="Y138" s="185">
        <f t="shared" si="188"/>
        <v>1629301.1899999992</v>
      </c>
      <c r="Z138" s="393">
        <f t="shared" si="104"/>
        <v>0.13125000000000001</v>
      </c>
      <c r="AA138" s="185">
        <f t="shared" si="105"/>
        <v>2810.15</v>
      </c>
      <c r="AB138" s="185">
        <f t="shared" si="189"/>
        <v>-15010.33</v>
      </c>
      <c r="AC138" s="185">
        <f t="shared" si="106"/>
        <v>17820.48</v>
      </c>
      <c r="AD138" s="185">
        <f t="shared" ref="AD138:AE138" si="206">+AD137</f>
        <v>134.16999999999999</v>
      </c>
      <c r="AE138" s="185">
        <f t="shared" si="206"/>
        <v>188.55</v>
      </c>
      <c r="AF138" s="185">
        <f t="shared" si="191"/>
        <v>3132.87</v>
      </c>
      <c r="AG138" s="185">
        <f t="shared" si="192"/>
        <v>-658211.52000000014</v>
      </c>
      <c r="AH138" s="185">
        <f t="shared" si="193"/>
        <v>1382002.7700000003</v>
      </c>
      <c r="AI138" s="411">
        <f t="shared" si="176"/>
        <v>86932.50000000016</v>
      </c>
      <c r="AJ138" s="411">
        <f t="shared" si="134"/>
        <v>-1087433.8599999989</v>
      </c>
      <c r="AK138" s="411">
        <f t="shared" si="177"/>
        <v>-1000501.3599999988</v>
      </c>
      <c r="AL138" s="185">
        <f t="shared" si="194"/>
        <v>1644311.5199999993</v>
      </c>
      <c r="AM138" s="317">
        <f t="shared" si="115"/>
        <v>10</v>
      </c>
      <c r="AN138" s="14">
        <f t="shared" si="178"/>
        <v>6591.25</v>
      </c>
      <c r="AO138" s="14">
        <f t="shared" si="153"/>
        <v>952352.66</v>
      </c>
      <c r="AP138" s="14">
        <f t="shared" si="179"/>
        <v>2810.15</v>
      </c>
      <c r="AS138" s="14">
        <f t="shared" si="109"/>
        <v>6591.25</v>
      </c>
      <c r="AT138" s="14">
        <f t="shared" si="116"/>
        <v>810243.19</v>
      </c>
      <c r="AU138" s="185">
        <f t="shared" si="117"/>
        <v>2007.3852720988518</v>
      </c>
      <c r="AV138" s="185">
        <f t="shared" si="118"/>
        <v>214336.49411163965</v>
      </c>
    </row>
    <row r="139" spans="1:48">
      <c r="A139" s="401" t="str">
        <f t="shared" si="181"/>
        <v xml:space="preserve"> </v>
      </c>
      <c r="B139" s="185">
        <f t="shared" si="110"/>
        <v>0</v>
      </c>
      <c r="C139" s="14">
        <f t="shared" si="101"/>
        <v>0</v>
      </c>
      <c r="D139" s="14">
        <f t="shared" si="119"/>
        <v>0</v>
      </c>
      <c r="E139" s="14">
        <f t="shared" si="102"/>
        <v>0</v>
      </c>
      <c r="F139" s="14">
        <f t="shared" si="170"/>
        <v>0</v>
      </c>
      <c r="G139" s="14">
        <f t="shared" si="167"/>
        <v>0</v>
      </c>
      <c r="H139" s="14">
        <f t="shared" si="168"/>
        <v>0</v>
      </c>
      <c r="I139" s="185">
        <f t="shared" si="182"/>
        <v>0</v>
      </c>
      <c r="J139" s="185">
        <f t="shared" si="183"/>
        <v>0</v>
      </c>
      <c r="K139" s="185">
        <f t="shared" si="184"/>
        <v>0</v>
      </c>
      <c r="L139" s="317">
        <f t="shared" si="155"/>
        <v>10</v>
      </c>
      <c r="M139" s="317">
        <f t="shared" si="111"/>
        <v>123</v>
      </c>
      <c r="N139" s="185">
        <f t="shared" si="112"/>
        <v>556877.66000000038</v>
      </c>
      <c r="O139" s="185">
        <f t="shared" si="185"/>
        <v>6591.25</v>
      </c>
      <c r="P139" s="185">
        <f t="shared" si="120"/>
        <v>500.39999999999964</v>
      </c>
      <c r="Q139" s="185">
        <f t="shared" si="186"/>
        <v>6090.85</v>
      </c>
      <c r="R139" s="185">
        <f t="shared" si="173"/>
        <v>134.16999999999999</v>
      </c>
      <c r="S139" s="185">
        <f t="shared" si="174"/>
        <v>188.55</v>
      </c>
      <c r="T139" s="185">
        <f t="shared" si="171"/>
        <v>6913.97</v>
      </c>
      <c r="U139" s="185">
        <f t="shared" si="121"/>
        <v>34247.739999999991</v>
      </c>
      <c r="V139" s="185">
        <f t="shared" si="122"/>
        <v>783067.26</v>
      </c>
      <c r="W139" s="185">
        <f t="shared" si="187"/>
        <v>556377.26000000036</v>
      </c>
      <c r="X139" s="401" t="str">
        <f t="shared" si="113"/>
        <v xml:space="preserve"> </v>
      </c>
      <c r="Y139" s="185">
        <f t="shared" si="188"/>
        <v>1644311.5199999993</v>
      </c>
      <c r="Z139" s="393">
        <f t="shared" si="104"/>
        <v>0.13125000000000001</v>
      </c>
      <c r="AA139" s="185">
        <f t="shared" si="105"/>
        <v>2810.15</v>
      </c>
      <c r="AB139" s="185">
        <f t="shared" si="189"/>
        <v>-15174.51</v>
      </c>
      <c r="AC139" s="185">
        <f t="shared" si="106"/>
        <v>17984.66</v>
      </c>
      <c r="AD139" s="185">
        <f t="shared" ref="AD139:AE139" si="207">+AD138</f>
        <v>134.16999999999999</v>
      </c>
      <c r="AE139" s="185">
        <f t="shared" si="207"/>
        <v>188.55</v>
      </c>
      <c r="AF139" s="185">
        <f t="shared" si="191"/>
        <v>3132.87</v>
      </c>
      <c r="AG139" s="185">
        <f t="shared" si="192"/>
        <v>-673386.03000000014</v>
      </c>
      <c r="AH139" s="185">
        <f t="shared" si="193"/>
        <v>1399987.4300000002</v>
      </c>
      <c r="AI139" s="411">
        <f t="shared" si="176"/>
        <v>90713.600000000166</v>
      </c>
      <c r="AJ139" s="411">
        <f t="shared" si="134"/>
        <v>-1103108.7699999991</v>
      </c>
      <c r="AK139" s="411">
        <f t="shared" si="177"/>
        <v>-1012395.1699999989</v>
      </c>
      <c r="AL139" s="185">
        <f t="shared" si="194"/>
        <v>1659486.0299999993</v>
      </c>
      <c r="AM139" s="317">
        <f t="shared" si="115"/>
        <v>10</v>
      </c>
      <c r="AN139" s="14">
        <f t="shared" si="178"/>
        <v>6591.25</v>
      </c>
      <c r="AO139" s="14">
        <f t="shared" si="153"/>
        <v>951852.26</v>
      </c>
      <c r="AP139" s="14">
        <f t="shared" si="179"/>
        <v>2810.15</v>
      </c>
      <c r="AS139" s="14">
        <f t="shared" si="109"/>
        <v>6591.25</v>
      </c>
      <c r="AT139" s="14">
        <f t="shared" si="116"/>
        <v>816834.44</v>
      </c>
      <c r="AU139" s="185">
        <f t="shared" si="117"/>
        <v>2012.4037352790992</v>
      </c>
      <c r="AV139" s="185">
        <f t="shared" si="118"/>
        <v>216348.89784691876</v>
      </c>
    </row>
    <row r="140" spans="1:48">
      <c r="A140" s="401" t="str">
        <f t="shared" si="181"/>
        <v xml:space="preserve"> </v>
      </c>
      <c r="B140" s="185">
        <f t="shared" si="110"/>
        <v>0</v>
      </c>
      <c r="C140" s="14">
        <f t="shared" si="101"/>
        <v>0</v>
      </c>
      <c r="D140" s="14">
        <f t="shared" si="119"/>
        <v>0</v>
      </c>
      <c r="E140" s="14">
        <f t="shared" si="102"/>
        <v>0</v>
      </c>
      <c r="F140" s="14">
        <f t="shared" si="170"/>
        <v>0</v>
      </c>
      <c r="G140" s="14">
        <f t="shared" si="167"/>
        <v>0</v>
      </c>
      <c r="H140" s="14">
        <f t="shared" si="168"/>
        <v>0</v>
      </c>
      <c r="I140" s="185">
        <f t="shared" si="182"/>
        <v>0</v>
      </c>
      <c r="J140" s="185">
        <f t="shared" si="183"/>
        <v>0</v>
      </c>
      <c r="K140" s="185">
        <f t="shared" si="184"/>
        <v>0</v>
      </c>
      <c r="L140" s="317">
        <f t="shared" si="155"/>
        <v>10</v>
      </c>
      <c r="M140" s="317">
        <f t="shared" si="111"/>
        <v>124</v>
      </c>
      <c r="N140" s="185">
        <f t="shared" si="112"/>
        <v>556377.26000000036</v>
      </c>
      <c r="O140" s="185">
        <f t="shared" si="185"/>
        <v>6591.25</v>
      </c>
      <c r="P140" s="185">
        <f t="shared" si="120"/>
        <v>505.86999999999989</v>
      </c>
      <c r="Q140" s="185">
        <f t="shared" si="186"/>
        <v>6085.38</v>
      </c>
      <c r="R140" s="185">
        <f t="shared" si="173"/>
        <v>134.16999999999999</v>
      </c>
      <c r="S140" s="185">
        <f t="shared" si="174"/>
        <v>188.55</v>
      </c>
      <c r="T140" s="185">
        <f t="shared" si="171"/>
        <v>6913.97</v>
      </c>
      <c r="U140" s="185">
        <f t="shared" si="121"/>
        <v>34753.609999999993</v>
      </c>
      <c r="V140" s="185">
        <f t="shared" si="122"/>
        <v>789152.64</v>
      </c>
      <c r="W140" s="185">
        <f t="shared" si="187"/>
        <v>555871.39000000036</v>
      </c>
      <c r="X140" s="401" t="str">
        <f t="shared" si="113"/>
        <v xml:space="preserve"> </v>
      </c>
      <c r="Y140" s="185">
        <f t="shared" si="188"/>
        <v>1659486.0299999993</v>
      </c>
      <c r="Z140" s="393">
        <f t="shared" si="104"/>
        <v>0.13125000000000001</v>
      </c>
      <c r="AA140" s="185">
        <f t="shared" si="105"/>
        <v>2810.15</v>
      </c>
      <c r="AB140" s="185">
        <f t="shared" si="189"/>
        <v>-15340.480000000001</v>
      </c>
      <c r="AC140" s="185">
        <f t="shared" si="106"/>
        <v>18150.63</v>
      </c>
      <c r="AD140" s="185">
        <f t="shared" ref="AD140:AE140" si="208">+AD139</f>
        <v>134.16999999999999</v>
      </c>
      <c r="AE140" s="185">
        <f t="shared" si="208"/>
        <v>188.55</v>
      </c>
      <c r="AF140" s="185">
        <f t="shared" si="191"/>
        <v>3132.87</v>
      </c>
      <c r="AG140" s="185">
        <f t="shared" si="192"/>
        <v>-688726.51000000013</v>
      </c>
      <c r="AH140" s="185">
        <f t="shared" si="193"/>
        <v>1418138.06</v>
      </c>
      <c r="AI140" s="411">
        <f t="shared" si="176"/>
        <v>94494.700000000172</v>
      </c>
      <c r="AJ140" s="411">
        <f t="shared" si="134"/>
        <v>-1118955.1199999989</v>
      </c>
      <c r="AK140" s="411">
        <f t="shared" si="177"/>
        <v>-1024460.4199999988</v>
      </c>
      <c r="AL140" s="185">
        <f t="shared" si="194"/>
        <v>1674826.5099999993</v>
      </c>
      <c r="AM140" s="317">
        <f t="shared" si="115"/>
        <v>10</v>
      </c>
      <c r="AN140" s="14">
        <f t="shared" si="178"/>
        <v>6591.25</v>
      </c>
      <c r="AO140" s="14">
        <f t="shared" si="153"/>
        <v>951346.39</v>
      </c>
      <c r="AP140" s="14">
        <f t="shared" si="179"/>
        <v>2810.15</v>
      </c>
      <c r="AS140" s="14">
        <f t="shared" si="109"/>
        <v>6591.25</v>
      </c>
      <c r="AT140" s="14">
        <f t="shared" si="116"/>
        <v>823425.69</v>
      </c>
      <c r="AU140" s="185">
        <f t="shared" si="117"/>
        <v>2017.4347446172969</v>
      </c>
      <c r="AV140" s="185">
        <f t="shared" si="118"/>
        <v>218366.33259153605</v>
      </c>
    </row>
    <row r="141" spans="1:48">
      <c r="A141" s="401" t="str">
        <f t="shared" si="181"/>
        <v xml:space="preserve"> </v>
      </c>
      <c r="B141" s="185">
        <f t="shared" si="110"/>
        <v>0</v>
      </c>
      <c r="C141" s="14">
        <f t="shared" si="101"/>
        <v>0</v>
      </c>
      <c r="D141" s="14">
        <f t="shared" si="119"/>
        <v>0</v>
      </c>
      <c r="E141" s="14">
        <f t="shared" si="102"/>
        <v>0</v>
      </c>
      <c r="F141" s="14">
        <f t="shared" si="170"/>
        <v>0</v>
      </c>
      <c r="G141" s="14">
        <f t="shared" si="167"/>
        <v>0</v>
      </c>
      <c r="H141" s="14">
        <f t="shared" si="168"/>
        <v>0</v>
      </c>
      <c r="I141" s="185">
        <f t="shared" si="182"/>
        <v>0</v>
      </c>
      <c r="J141" s="185">
        <f t="shared" si="183"/>
        <v>0</v>
      </c>
      <c r="K141" s="185">
        <f t="shared" si="184"/>
        <v>0</v>
      </c>
      <c r="L141" s="317">
        <f t="shared" si="155"/>
        <v>10</v>
      </c>
      <c r="M141" s="317">
        <f t="shared" si="111"/>
        <v>125</v>
      </c>
      <c r="N141" s="185">
        <f t="shared" si="112"/>
        <v>555871.39000000036</v>
      </c>
      <c r="O141" s="185">
        <f t="shared" si="185"/>
        <v>6591.25</v>
      </c>
      <c r="P141" s="185">
        <f t="shared" si="120"/>
        <v>511.40999999999985</v>
      </c>
      <c r="Q141" s="185">
        <f t="shared" si="186"/>
        <v>6079.84</v>
      </c>
      <c r="R141" s="185">
        <f t="shared" si="173"/>
        <v>134.16999999999999</v>
      </c>
      <c r="S141" s="185">
        <f t="shared" si="174"/>
        <v>188.55</v>
      </c>
      <c r="T141" s="185">
        <f t="shared" si="171"/>
        <v>6913.97</v>
      </c>
      <c r="U141" s="185">
        <f t="shared" si="121"/>
        <v>35265.01999999999</v>
      </c>
      <c r="V141" s="185">
        <f t="shared" si="122"/>
        <v>795232.48</v>
      </c>
      <c r="W141" s="185">
        <f t="shared" si="187"/>
        <v>555359.98000000033</v>
      </c>
      <c r="X141" s="401" t="str">
        <f t="shared" si="113"/>
        <v xml:space="preserve"> </v>
      </c>
      <c r="Y141" s="185">
        <f t="shared" si="188"/>
        <v>1674826.5099999993</v>
      </c>
      <c r="Z141" s="393">
        <f t="shared" si="104"/>
        <v>0.13125000000000001</v>
      </c>
      <c r="AA141" s="185">
        <f t="shared" si="105"/>
        <v>2810.15</v>
      </c>
      <c r="AB141" s="185">
        <f t="shared" si="189"/>
        <v>-15508.26</v>
      </c>
      <c r="AC141" s="185">
        <f t="shared" si="106"/>
        <v>18318.41</v>
      </c>
      <c r="AD141" s="185">
        <f t="shared" ref="AD141:AE141" si="209">+AD140</f>
        <v>134.16999999999999</v>
      </c>
      <c r="AE141" s="185">
        <f t="shared" si="209"/>
        <v>188.55</v>
      </c>
      <c r="AF141" s="185">
        <f t="shared" si="191"/>
        <v>3132.87</v>
      </c>
      <c r="AG141" s="185">
        <f t="shared" si="192"/>
        <v>-704234.77000000014</v>
      </c>
      <c r="AH141" s="185">
        <f t="shared" si="193"/>
        <v>1436456.47</v>
      </c>
      <c r="AI141" s="411">
        <f t="shared" si="176"/>
        <v>98275.800000000178</v>
      </c>
      <c r="AJ141" s="411">
        <f t="shared" si="134"/>
        <v>-1134974.7899999991</v>
      </c>
      <c r="AK141" s="411">
        <f t="shared" si="177"/>
        <v>-1036698.9899999989</v>
      </c>
      <c r="AL141" s="185">
        <f t="shared" si="194"/>
        <v>1690334.7699999993</v>
      </c>
      <c r="AM141" s="317">
        <f t="shared" si="115"/>
        <v>10</v>
      </c>
      <c r="AN141" s="14">
        <f t="shared" si="178"/>
        <v>6591.25</v>
      </c>
      <c r="AO141" s="14">
        <f t="shared" si="153"/>
        <v>950834.98</v>
      </c>
      <c r="AP141" s="14">
        <f t="shared" si="179"/>
        <v>2810.15</v>
      </c>
      <c r="AS141" s="14">
        <f t="shared" si="109"/>
        <v>6591.25</v>
      </c>
      <c r="AT141" s="14">
        <f t="shared" si="116"/>
        <v>830016.94</v>
      </c>
      <c r="AU141" s="185">
        <f t="shared" si="117"/>
        <v>2022.4783314788399</v>
      </c>
      <c r="AV141" s="185">
        <f t="shared" si="118"/>
        <v>220388.81092301488</v>
      </c>
    </row>
    <row r="142" spans="1:48">
      <c r="A142" s="401" t="str">
        <f t="shared" si="181"/>
        <v xml:space="preserve"> </v>
      </c>
      <c r="B142" s="185">
        <f t="shared" si="110"/>
        <v>0</v>
      </c>
      <c r="C142" s="14">
        <f t="shared" si="101"/>
        <v>0</v>
      </c>
      <c r="D142" s="14">
        <f t="shared" si="119"/>
        <v>0</v>
      </c>
      <c r="E142" s="14">
        <f t="shared" si="102"/>
        <v>0</v>
      </c>
      <c r="F142" s="14">
        <f t="shared" si="170"/>
        <v>0</v>
      </c>
      <c r="G142" s="14">
        <f t="shared" si="167"/>
        <v>0</v>
      </c>
      <c r="H142" s="14">
        <f t="shared" si="168"/>
        <v>0</v>
      </c>
      <c r="I142" s="185">
        <f t="shared" si="182"/>
        <v>0</v>
      </c>
      <c r="J142" s="185">
        <f t="shared" si="183"/>
        <v>0</v>
      </c>
      <c r="K142" s="185">
        <f t="shared" si="184"/>
        <v>0</v>
      </c>
      <c r="L142" s="317">
        <f t="shared" si="155"/>
        <v>10</v>
      </c>
      <c r="M142" s="317">
        <f t="shared" si="111"/>
        <v>126</v>
      </c>
      <c r="N142" s="185">
        <f t="shared" si="112"/>
        <v>555359.98000000033</v>
      </c>
      <c r="O142" s="185">
        <f t="shared" si="185"/>
        <v>6591.25</v>
      </c>
      <c r="P142" s="185">
        <f t="shared" si="120"/>
        <v>517</v>
      </c>
      <c r="Q142" s="185">
        <f t="shared" si="186"/>
        <v>6074.25</v>
      </c>
      <c r="R142" s="185">
        <f t="shared" si="173"/>
        <v>134.16999999999999</v>
      </c>
      <c r="S142" s="185">
        <f t="shared" si="174"/>
        <v>188.55</v>
      </c>
      <c r="T142" s="185">
        <f t="shared" si="171"/>
        <v>6913.97</v>
      </c>
      <c r="U142" s="185">
        <f t="shared" si="121"/>
        <v>35782.01999999999</v>
      </c>
      <c r="V142" s="185">
        <f t="shared" si="122"/>
        <v>801306.73</v>
      </c>
      <c r="W142" s="185">
        <f t="shared" si="187"/>
        <v>554842.98000000033</v>
      </c>
      <c r="X142" s="401" t="str">
        <f t="shared" si="113"/>
        <v xml:space="preserve"> </v>
      </c>
      <c r="Y142" s="185">
        <f t="shared" si="188"/>
        <v>1690334.7699999993</v>
      </c>
      <c r="Z142" s="393">
        <f t="shared" si="104"/>
        <v>0.13125000000000001</v>
      </c>
      <c r="AA142" s="185">
        <f t="shared" si="105"/>
        <v>2810.15</v>
      </c>
      <c r="AB142" s="185">
        <f t="shared" si="189"/>
        <v>-15677.890000000001</v>
      </c>
      <c r="AC142" s="185">
        <f t="shared" si="106"/>
        <v>18488.04</v>
      </c>
      <c r="AD142" s="185">
        <f t="shared" ref="AD142:AE142" si="210">+AD141</f>
        <v>134.16999999999999</v>
      </c>
      <c r="AE142" s="185">
        <f t="shared" si="210"/>
        <v>188.55</v>
      </c>
      <c r="AF142" s="185">
        <f t="shared" si="191"/>
        <v>3132.87</v>
      </c>
      <c r="AG142" s="185">
        <f t="shared" si="192"/>
        <v>-719912.66000000015</v>
      </c>
      <c r="AH142" s="185">
        <f t="shared" si="193"/>
        <v>1454944.51</v>
      </c>
      <c r="AI142" s="411">
        <f t="shared" si="176"/>
        <v>102056.90000000018</v>
      </c>
      <c r="AJ142" s="411">
        <f t="shared" si="134"/>
        <v>-1151169.6799999988</v>
      </c>
      <c r="AK142" s="411">
        <f t="shared" si="177"/>
        <v>-1049112.7799999986</v>
      </c>
      <c r="AL142" s="185">
        <f t="shared" si="194"/>
        <v>1706012.6599999992</v>
      </c>
      <c r="AM142" s="317">
        <f t="shared" si="115"/>
        <v>10</v>
      </c>
      <c r="AN142" s="14">
        <f t="shared" si="178"/>
        <v>6591.25</v>
      </c>
      <c r="AO142" s="14">
        <f t="shared" si="153"/>
        <v>950317.98</v>
      </c>
      <c r="AP142" s="14">
        <f t="shared" si="179"/>
        <v>2810.15</v>
      </c>
      <c r="AS142" s="14">
        <f t="shared" si="109"/>
        <v>6591.25</v>
      </c>
      <c r="AT142" s="14">
        <f t="shared" si="116"/>
        <v>836608.19</v>
      </c>
      <c r="AU142" s="185">
        <f t="shared" si="117"/>
        <v>2027.5345273075372</v>
      </c>
      <c r="AV142" s="185">
        <f t="shared" si="118"/>
        <v>222416.34545032243</v>
      </c>
    </row>
    <row r="143" spans="1:48">
      <c r="A143" s="401" t="str">
        <f t="shared" si="181"/>
        <v xml:space="preserve"> </v>
      </c>
      <c r="B143" s="185">
        <f t="shared" si="110"/>
        <v>0</v>
      </c>
      <c r="C143" s="14">
        <f t="shared" ref="C143:C206" si="211">IF(+$K142&lt;=0,0,$C$5)</f>
        <v>0</v>
      </c>
      <c r="D143" s="14">
        <f t="shared" si="119"/>
        <v>0</v>
      </c>
      <c r="E143" s="14">
        <f t="shared" ref="E143:E206" si="212">ROUND($B143*($C$3/12), 2)</f>
        <v>0</v>
      </c>
      <c r="F143" s="14">
        <f t="shared" si="170"/>
        <v>0</v>
      </c>
      <c r="G143" s="14">
        <f t="shared" si="167"/>
        <v>0</v>
      </c>
      <c r="H143" s="14">
        <f t="shared" si="168"/>
        <v>0</v>
      </c>
      <c r="I143" s="185">
        <f t="shared" si="182"/>
        <v>0</v>
      </c>
      <c r="J143" s="185">
        <f t="shared" si="183"/>
        <v>0</v>
      </c>
      <c r="K143" s="185">
        <f t="shared" si="184"/>
        <v>0</v>
      </c>
      <c r="L143" s="317">
        <f t="shared" si="155"/>
        <v>10</v>
      </c>
      <c r="M143" s="317">
        <f t="shared" si="111"/>
        <v>127</v>
      </c>
      <c r="N143" s="185">
        <f t="shared" si="112"/>
        <v>554842.98000000033</v>
      </c>
      <c r="O143" s="185">
        <f t="shared" si="185"/>
        <v>6591.25</v>
      </c>
      <c r="P143" s="185">
        <f t="shared" si="120"/>
        <v>522.64999999999964</v>
      </c>
      <c r="Q143" s="185">
        <f t="shared" si="186"/>
        <v>6068.6</v>
      </c>
      <c r="R143" s="185">
        <f t="shared" si="173"/>
        <v>134.16999999999999</v>
      </c>
      <c r="S143" s="185">
        <f t="shared" si="174"/>
        <v>188.55</v>
      </c>
      <c r="T143" s="185">
        <f t="shared" si="171"/>
        <v>6913.97</v>
      </c>
      <c r="U143" s="185">
        <f t="shared" si="121"/>
        <v>36304.669999999991</v>
      </c>
      <c r="V143" s="185">
        <f t="shared" si="122"/>
        <v>807375.33</v>
      </c>
      <c r="W143" s="185">
        <f t="shared" si="187"/>
        <v>554320.33000000031</v>
      </c>
      <c r="X143" s="401" t="str">
        <f t="shared" si="113"/>
        <v xml:space="preserve"> </v>
      </c>
      <c r="Y143" s="185">
        <f t="shared" si="188"/>
        <v>1706012.6599999992</v>
      </c>
      <c r="Z143" s="393">
        <f t="shared" ref="Z143:Z206" si="213">IF(L143&gt;4,$AA$9,$AA$8)</f>
        <v>0.13125000000000001</v>
      </c>
      <c r="AA143" s="185">
        <f t="shared" ref="AA143:AA206" si="214">IF($O$9&lt;=$A143,IF(+AL142&lt;=0,0,IF(Z143=$AA$8,$Z$8,$Z$9)),0)</f>
        <v>2810.15</v>
      </c>
      <c r="AB143" s="185">
        <f t="shared" si="189"/>
        <v>-15849.359999999999</v>
      </c>
      <c r="AC143" s="185">
        <f t="shared" ref="AC143:AC206" si="215">IF($O$9&lt;=$A143,ROUND(Y143*(Z143/12),2),0)</f>
        <v>18659.509999999998</v>
      </c>
      <c r="AD143" s="185">
        <f t="shared" ref="AD143:AE143" si="216">+AD142</f>
        <v>134.16999999999999</v>
      </c>
      <c r="AE143" s="185">
        <f t="shared" si="216"/>
        <v>188.55</v>
      </c>
      <c r="AF143" s="185">
        <f t="shared" si="191"/>
        <v>3132.87</v>
      </c>
      <c r="AG143" s="185">
        <f t="shared" si="192"/>
        <v>-735762.02000000014</v>
      </c>
      <c r="AH143" s="185">
        <f t="shared" si="193"/>
        <v>1473604.02</v>
      </c>
      <c r="AI143" s="411">
        <f t="shared" si="176"/>
        <v>105838.00000000019</v>
      </c>
      <c r="AJ143" s="411">
        <f t="shared" si="134"/>
        <v>-1167541.689999999</v>
      </c>
      <c r="AK143" s="411">
        <f t="shared" si="177"/>
        <v>-1061703.6899999988</v>
      </c>
      <c r="AL143" s="185">
        <f t="shared" si="194"/>
        <v>1721862.0199999993</v>
      </c>
      <c r="AM143" s="317">
        <f t="shared" si="115"/>
        <v>10</v>
      </c>
      <c r="AN143" s="14">
        <f t="shared" si="178"/>
        <v>6591.25</v>
      </c>
      <c r="AO143" s="14">
        <f t="shared" si="153"/>
        <v>949795.33</v>
      </c>
      <c r="AP143" s="14">
        <f t="shared" si="179"/>
        <v>2810.15</v>
      </c>
      <c r="AS143" s="14">
        <f t="shared" ref="AS143:AS206" si="217">+AN143-AR143</f>
        <v>6591.25</v>
      </c>
      <c r="AT143" s="14">
        <f t="shared" si="116"/>
        <v>843199.44</v>
      </c>
      <c r="AU143" s="185">
        <f t="shared" si="117"/>
        <v>2032.603363625806</v>
      </c>
      <c r="AV143" s="185">
        <f t="shared" si="118"/>
        <v>224448.94881394823</v>
      </c>
    </row>
    <row r="144" spans="1:48">
      <c r="A144" s="401" t="str">
        <f t="shared" si="181"/>
        <v xml:space="preserve"> </v>
      </c>
      <c r="B144" s="185">
        <f t="shared" ref="B144:B207" si="218">IF(+K143&lt;0,0,+K143)</f>
        <v>0</v>
      </c>
      <c r="C144" s="14">
        <f t="shared" si="211"/>
        <v>0</v>
      </c>
      <c r="D144" s="14">
        <f t="shared" si="119"/>
        <v>0</v>
      </c>
      <c r="E144" s="14">
        <f t="shared" si="212"/>
        <v>0</v>
      </c>
      <c r="F144" s="14">
        <f t="shared" si="170"/>
        <v>0</v>
      </c>
      <c r="G144" s="14">
        <f t="shared" si="167"/>
        <v>0</v>
      </c>
      <c r="H144" s="14">
        <f t="shared" si="168"/>
        <v>0</v>
      </c>
      <c r="I144" s="185">
        <f t="shared" si="182"/>
        <v>0</v>
      </c>
      <c r="J144" s="185">
        <f t="shared" si="183"/>
        <v>0</v>
      </c>
      <c r="K144" s="185">
        <f t="shared" si="184"/>
        <v>0</v>
      </c>
      <c r="L144" s="317">
        <f t="shared" si="155"/>
        <v>10</v>
      </c>
      <c r="M144" s="317">
        <f t="shared" ref="M144:M207" si="219">IF(N144&lt;&gt;"",IF(N144=$O$5,0,+M143+1),0)</f>
        <v>128</v>
      </c>
      <c r="N144" s="185">
        <f t="shared" ref="N144:N207" si="220">IF(+W143&lt;0,0,+W143)</f>
        <v>554320.33000000031</v>
      </c>
      <c r="O144" s="185">
        <f t="shared" si="185"/>
        <v>6591.25</v>
      </c>
      <c r="P144" s="185">
        <f t="shared" si="120"/>
        <v>528.36999999999989</v>
      </c>
      <c r="Q144" s="185">
        <f t="shared" si="186"/>
        <v>6062.88</v>
      </c>
      <c r="R144" s="185">
        <f t="shared" si="173"/>
        <v>134.16999999999999</v>
      </c>
      <c r="S144" s="185">
        <f t="shared" si="174"/>
        <v>188.55</v>
      </c>
      <c r="T144" s="185">
        <f t="shared" si="171"/>
        <v>6913.97</v>
      </c>
      <c r="U144" s="185">
        <f t="shared" si="121"/>
        <v>36833.039999999994</v>
      </c>
      <c r="V144" s="185">
        <f t="shared" si="122"/>
        <v>813438.21</v>
      </c>
      <c r="W144" s="185">
        <f t="shared" si="187"/>
        <v>553791.96000000031</v>
      </c>
      <c r="X144" s="401" t="str">
        <f t="shared" ref="X144:X207" si="221">+A144</f>
        <v xml:space="preserve"> </v>
      </c>
      <c r="Y144" s="185">
        <f t="shared" si="188"/>
        <v>1721862.0199999993</v>
      </c>
      <c r="Z144" s="393">
        <f t="shared" si="213"/>
        <v>0.13125000000000001</v>
      </c>
      <c r="AA144" s="185">
        <f t="shared" si="214"/>
        <v>2810.15</v>
      </c>
      <c r="AB144" s="185">
        <f t="shared" si="189"/>
        <v>-16022.72</v>
      </c>
      <c r="AC144" s="185">
        <f t="shared" si="215"/>
        <v>18832.87</v>
      </c>
      <c r="AD144" s="185">
        <f t="shared" ref="AD144:AE144" si="222">+AD143</f>
        <v>134.16999999999999</v>
      </c>
      <c r="AE144" s="185">
        <f t="shared" si="222"/>
        <v>188.55</v>
      </c>
      <c r="AF144" s="185">
        <f t="shared" si="191"/>
        <v>3132.87</v>
      </c>
      <c r="AG144" s="185">
        <f t="shared" si="192"/>
        <v>-751784.74000000011</v>
      </c>
      <c r="AH144" s="185">
        <f t="shared" si="193"/>
        <v>1492436.8900000001</v>
      </c>
      <c r="AI144" s="411">
        <f t="shared" si="176"/>
        <v>109619.10000000019</v>
      </c>
      <c r="AJ144" s="411">
        <f t="shared" si="134"/>
        <v>-1184092.7799999989</v>
      </c>
      <c r="AK144" s="411">
        <f t="shared" si="177"/>
        <v>-1074473.6799999988</v>
      </c>
      <c r="AL144" s="185">
        <f t="shared" si="194"/>
        <v>1737884.7399999993</v>
      </c>
      <c r="AM144" s="317">
        <f t="shared" ref="AM144:AM207" si="223">+L144</f>
        <v>10</v>
      </c>
      <c r="AN144" s="14">
        <f t="shared" si="178"/>
        <v>6591.25</v>
      </c>
      <c r="AO144" s="14">
        <f t="shared" si="153"/>
        <v>949266.96</v>
      </c>
      <c r="AP144" s="14">
        <f t="shared" si="179"/>
        <v>2810.15</v>
      </c>
      <c r="AS144" s="14">
        <f t="shared" si="217"/>
        <v>6591.25</v>
      </c>
      <c r="AT144" s="14">
        <f t="shared" ref="AT144:AT207" si="224">IF(W144&lt;=0,0,+AS144+AT143)</f>
        <v>849790.69</v>
      </c>
      <c r="AU144" s="185">
        <f t="shared" ref="AU144:AU207" si="225">IF(W144&lt;=0,0,+($O$5+AV143)*$AQ$2/12)</f>
        <v>2037.6848720348705</v>
      </c>
      <c r="AV144" s="185">
        <f t="shared" ref="AV144:AV207" si="226">IF(W144&lt;=0,0,+AV143+AU144)</f>
        <v>226486.63368598311</v>
      </c>
    </row>
    <row r="145" spans="1:48">
      <c r="A145" s="401" t="str">
        <f t="shared" si="181"/>
        <v xml:space="preserve"> </v>
      </c>
      <c r="B145" s="185">
        <f t="shared" si="218"/>
        <v>0</v>
      </c>
      <c r="C145" s="14">
        <f t="shared" si="211"/>
        <v>0</v>
      </c>
      <c r="D145" s="14">
        <f t="shared" ref="D145:D208" si="227">+C145-E145</f>
        <v>0</v>
      </c>
      <c r="E145" s="14">
        <f t="shared" si="212"/>
        <v>0</v>
      </c>
      <c r="F145" s="14">
        <f t="shared" si="170"/>
        <v>0</v>
      </c>
      <c r="G145" s="14">
        <f t="shared" si="167"/>
        <v>0</v>
      </c>
      <c r="H145" s="14">
        <f t="shared" si="168"/>
        <v>0</v>
      </c>
      <c r="I145" s="185">
        <f t="shared" si="182"/>
        <v>0</v>
      </c>
      <c r="J145" s="185">
        <f t="shared" si="183"/>
        <v>0</v>
      </c>
      <c r="K145" s="185">
        <f t="shared" si="184"/>
        <v>0</v>
      </c>
      <c r="L145" s="317">
        <f t="shared" si="155"/>
        <v>10</v>
      </c>
      <c r="M145" s="317">
        <f t="shared" si="219"/>
        <v>129</v>
      </c>
      <c r="N145" s="185">
        <f t="shared" si="220"/>
        <v>553791.96000000031</v>
      </c>
      <c r="O145" s="185">
        <f t="shared" si="185"/>
        <v>6591.25</v>
      </c>
      <c r="P145" s="185">
        <f t="shared" ref="P145:P208" si="228">+O145-Q145</f>
        <v>534.14999999999964</v>
      </c>
      <c r="Q145" s="185">
        <f t="shared" si="186"/>
        <v>6057.1</v>
      </c>
      <c r="R145" s="185">
        <f t="shared" si="173"/>
        <v>134.16999999999999</v>
      </c>
      <c r="S145" s="185">
        <f t="shared" si="174"/>
        <v>188.55</v>
      </c>
      <c r="T145" s="185">
        <f t="shared" si="171"/>
        <v>6913.97</v>
      </c>
      <c r="U145" s="185">
        <f t="shared" ref="U145:U208" si="229">+P145+U144</f>
        <v>37367.189999999995</v>
      </c>
      <c r="V145" s="185">
        <f t="shared" ref="V145:V208" si="230">+V144+Q145</f>
        <v>819495.30999999994</v>
      </c>
      <c r="W145" s="185">
        <f t="shared" si="187"/>
        <v>553257.81000000029</v>
      </c>
      <c r="X145" s="401" t="str">
        <f t="shared" si="221"/>
        <v xml:space="preserve"> </v>
      </c>
      <c r="Y145" s="185">
        <f t="shared" si="188"/>
        <v>1737884.7399999993</v>
      </c>
      <c r="Z145" s="393">
        <f t="shared" si="213"/>
        <v>0.13125000000000001</v>
      </c>
      <c r="AA145" s="185">
        <f t="shared" si="214"/>
        <v>2810.15</v>
      </c>
      <c r="AB145" s="185">
        <f t="shared" si="189"/>
        <v>-16197.960000000001</v>
      </c>
      <c r="AC145" s="185">
        <f t="shared" si="215"/>
        <v>19008.11</v>
      </c>
      <c r="AD145" s="185">
        <f t="shared" ref="AD145:AE145" si="231">+AD144</f>
        <v>134.16999999999999</v>
      </c>
      <c r="AE145" s="185">
        <f t="shared" si="231"/>
        <v>188.55</v>
      </c>
      <c r="AF145" s="185">
        <f t="shared" si="191"/>
        <v>3132.87</v>
      </c>
      <c r="AG145" s="185">
        <f t="shared" si="192"/>
        <v>-767982.70000000007</v>
      </c>
      <c r="AH145" s="185">
        <f t="shared" si="193"/>
        <v>1511445.0000000002</v>
      </c>
      <c r="AI145" s="411">
        <f t="shared" si="176"/>
        <v>113400.2000000002</v>
      </c>
      <c r="AJ145" s="411">
        <f t="shared" si="134"/>
        <v>-1200824.889999999</v>
      </c>
      <c r="AK145" s="411">
        <f t="shared" si="177"/>
        <v>-1087424.6899999988</v>
      </c>
      <c r="AL145" s="185">
        <f t="shared" si="194"/>
        <v>1754082.6999999993</v>
      </c>
      <c r="AM145" s="317">
        <f t="shared" si="223"/>
        <v>10</v>
      </c>
      <c r="AN145" s="14">
        <f t="shared" si="178"/>
        <v>6591.25</v>
      </c>
      <c r="AO145" s="14">
        <f t="shared" si="153"/>
        <v>948732.81</v>
      </c>
      <c r="AP145" s="14">
        <f t="shared" si="179"/>
        <v>2810.15</v>
      </c>
      <c r="AS145" s="14">
        <f t="shared" si="217"/>
        <v>6591.25</v>
      </c>
      <c r="AT145" s="14">
        <f t="shared" si="224"/>
        <v>856381.94</v>
      </c>
      <c r="AU145" s="185">
        <f t="shared" si="225"/>
        <v>2042.7790842149577</v>
      </c>
      <c r="AV145" s="185">
        <f t="shared" si="226"/>
        <v>228529.41277019808</v>
      </c>
    </row>
    <row r="146" spans="1:48" ht="15.75" thickBot="1">
      <c r="A146" s="404" t="str">
        <f t="shared" si="181"/>
        <v xml:space="preserve"> </v>
      </c>
      <c r="B146" s="237">
        <f t="shared" si="218"/>
        <v>0</v>
      </c>
      <c r="C146" s="21">
        <f t="shared" si="211"/>
        <v>0</v>
      </c>
      <c r="D146" s="21">
        <f t="shared" si="227"/>
        <v>0</v>
      </c>
      <c r="E146" s="21">
        <f t="shared" si="212"/>
        <v>0</v>
      </c>
      <c r="F146" s="21">
        <f t="shared" si="170"/>
        <v>0</v>
      </c>
      <c r="G146" s="21">
        <f t="shared" si="167"/>
        <v>0</v>
      </c>
      <c r="H146" s="21">
        <f t="shared" si="168"/>
        <v>0</v>
      </c>
      <c r="I146" s="237">
        <f t="shared" si="182"/>
        <v>0</v>
      </c>
      <c r="J146" s="237">
        <f t="shared" si="183"/>
        <v>0</v>
      </c>
      <c r="K146" s="237">
        <f t="shared" si="184"/>
        <v>0</v>
      </c>
      <c r="L146" s="318">
        <f t="shared" si="155"/>
        <v>10</v>
      </c>
      <c r="M146" s="318">
        <f t="shared" si="219"/>
        <v>130</v>
      </c>
      <c r="N146" s="237">
        <f t="shared" si="220"/>
        <v>553257.81000000029</v>
      </c>
      <c r="O146" s="237">
        <f t="shared" si="185"/>
        <v>6591.25</v>
      </c>
      <c r="P146" s="237">
        <f t="shared" si="228"/>
        <v>539.98999999999978</v>
      </c>
      <c r="Q146" s="237">
        <f t="shared" si="186"/>
        <v>6051.26</v>
      </c>
      <c r="R146" s="237">
        <f t="shared" si="173"/>
        <v>134.16999999999999</v>
      </c>
      <c r="S146" s="237">
        <f t="shared" si="174"/>
        <v>188.55</v>
      </c>
      <c r="T146" s="237">
        <f t="shared" si="171"/>
        <v>6913.97</v>
      </c>
      <c r="U146" s="237">
        <f t="shared" si="229"/>
        <v>37907.179999999993</v>
      </c>
      <c r="V146" s="237">
        <f t="shared" si="230"/>
        <v>825546.57</v>
      </c>
      <c r="W146" s="237">
        <f t="shared" si="187"/>
        <v>552717.8200000003</v>
      </c>
      <c r="X146" s="404" t="str">
        <f t="shared" si="221"/>
        <v xml:space="preserve"> </v>
      </c>
      <c r="Y146" s="237">
        <f t="shared" si="188"/>
        <v>1754082.6999999993</v>
      </c>
      <c r="Z146" s="394">
        <f t="shared" si="213"/>
        <v>0.13125000000000001</v>
      </c>
      <c r="AA146" s="237">
        <f t="shared" si="214"/>
        <v>2810.15</v>
      </c>
      <c r="AB146" s="237">
        <f t="shared" si="189"/>
        <v>-16375.13</v>
      </c>
      <c r="AC146" s="237">
        <f t="shared" si="215"/>
        <v>19185.28</v>
      </c>
      <c r="AD146" s="237">
        <f t="shared" ref="AD146:AE146" si="232">+AD145</f>
        <v>134.16999999999999</v>
      </c>
      <c r="AE146" s="237">
        <f t="shared" si="232"/>
        <v>188.55</v>
      </c>
      <c r="AF146" s="237">
        <f t="shared" si="191"/>
        <v>3132.87</v>
      </c>
      <c r="AG146" s="237">
        <f t="shared" si="192"/>
        <v>-784357.83000000007</v>
      </c>
      <c r="AH146" s="237">
        <f t="shared" si="193"/>
        <v>1530630.2800000003</v>
      </c>
      <c r="AI146" s="412">
        <f t="shared" si="176"/>
        <v>117181.30000000021</v>
      </c>
      <c r="AJ146" s="412">
        <f t="shared" si="134"/>
        <v>-1217740.0099999988</v>
      </c>
      <c r="AK146" s="412">
        <f t="shared" si="177"/>
        <v>-1100558.7099999986</v>
      </c>
      <c r="AL146" s="237">
        <f t="shared" si="194"/>
        <v>1770457.8299999991</v>
      </c>
      <c r="AM146" s="318">
        <f t="shared" si="223"/>
        <v>10</v>
      </c>
      <c r="AN146" s="21">
        <f t="shared" si="178"/>
        <v>6591.25</v>
      </c>
      <c r="AO146" s="21">
        <f t="shared" si="153"/>
        <v>948192.82000000007</v>
      </c>
      <c r="AP146" s="21">
        <f t="shared" si="179"/>
        <v>2810.15</v>
      </c>
      <c r="AQ146" s="21"/>
      <c r="AR146" s="23"/>
      <c r="AS146" s="21">
        <f t="shared" si="217"/>
        <v>6591.25</v>
      </c>
      <c r="AT146" s="21">
        <f t="shared" si="224"/>
        <v>862973.19</v>
      </c>
      <c r="AU146" s="237">
        <f t="shared" si="225"/>
        <v>2047.8860319254952</v>
      </c>
      <c r="AV146" s="237">
        <f t="shared" si="226"/>
        <v>230577.29880212358</v>
      </c>
    </row>
    <row r="147" spans="1:48">
      <c r="A147" s="401" t="str">
        <f t="shared" si="181"/>
        <v xml:space="preserve"> </v>
      </c>
      <c r="B147" s="185">
        <f t="shared" si="218"/>
        <v>0</v>
      </c>
      <c r="C147" s="14">
        <f t="shared" si="211"/>
        <v>0</v>
      </c>
      <c r="D147" s="14">
        <f t="shared" si="227"/>
        <v>0</v>
      </c>
      <c r="E147" s="14">
        <f t="shared" si="212"/>
        <v>0</v>
      </c>
      <c r="F147" s="14">
        <f t="shared" si="170"/>
        <v>0</v>
      </c>
      <c r="G147" s="14">
        <f t="shared" si="167"/>
        <v>0</v>
      </c>
      <c r="H147" s="14">
        <f t="shared" si="168"/>
        <v>0</v>
      </c>
      <c r="I147" s="185">
        <f t="shared" si="182"/>
        <v>0</v>
      </c>
      <c r="J147" s="185">
        <f t="shared" si="183"/>
        <v>0</v>
      </c>
      <c r="K147" s="185">
        <f t="shared" si="184"/>
        <v>0</v>
      </c>
      <c r="L147" s="317">
        <f t="shared" si="155"/>
        <v>10</v>
      </c>
      <c r="M147" s="317">
        <f t="shared" si="219"/>
        <v>131</v>
      </c>
      <c r="N147" s="185">
        <f t="shared" si="220"/>
        <v>552717.8200000003</v>
      </c>
      <c r="O147" s="185">
        <f t="shared" si="185"/>
        <v>6591.25</v>
      </c>
      <c r="P147" s="185">
        <f t="shared" si="228"/>
        <v>545.89999999999964</v>
      </c>
      <c r="Q147" s="185">
        <f t="shared" si="186"/>
        <v>6045.35</v>
      </c>
      <c r="R147" s="185">
        <f t="shared" si="173"/>
        <v>134.16999999999999</v>
      </c>
      <c r="S147" s="185">
        <f t="shared" si="174"/>
        <v>188.55</v>
      </c>
      <c r="T147" s="185">
        <f t="shared" si="171"/>
        <v>6913.97</v>
      </c>
      <c r="U147" s="185">
        <f t="shared" si="229"/>
        <v>38453.079999999994</v>
      </c>
      <c r="V147" s="185">
        <f t="shared" si="230"/>
        <v>831591.91999999993</v>
      </c>
      <c r="W147" s="185">
        <f t="shared" si="187"/>
        <v>552171.92000000027</v>
      </c>
      <c r="X147" s="401" t="str">
        <f t="shared" si="221"/>
        <v xml:space="preserve"> </v>
      </c>
      <c r="Y147" s="185">
        <f t="shared" si="188"/>
        <v>1770457.8299999991</v>
      </c>
      <c r="Z147" s="393">
        <f t="shared" si="213"/>
        <v>0.13125000000000001</v>
      </c>
      <c r="AA147" s="185">
        <f t="shared" si="214"/>
        <v>2810.15</v>
      </c>
      <c r="AB147" s="185">
        <f t="shared" si="189"/>
        <v>-16554.23</v>
      </c>
      <c r="AC147" s="185">
        <f t="shared" si="215"/>
        <v>19364.38</v>
      </c>
      <c r="AD147" s="185">
        <f t="shared" ref="AD147:AE147" si="233">+AD146</f>
        <v>134.16999999999999</v>
      </c>
      <c r="AE147" s="185">
        <f t="shared" si="233"/>
        <v>188.55</v>
      </c>
      <c r="AF147" s="185">
        <f t="shared" si="191"/>
        <v>3132.8700000000017</v>
      </c>
      <c r="AG147" s="185">
        <f t="shared" si="192"/>
        <v>-800912.06</v>
      </c>
      <c r="AH147" s="185">
        <f t="shared" si="193"/>
        <v>1549994.6600000001</v>
      </c>
      <c r="AI147" s="411">
        <f t="shared" si="176"/>
        <v>120962.40000000021</v>
      </c>
      <c r="AJ147" s="411">
        <f t="shared" si="134"/>
        <v>-1234840.1399999987</v>
      </c>
      <c r="AK147" s="411">
        <f t="shared" si="177"/>
        <v>-1113877.7399999986</v>
      </c>
      <c r="AL147" s="185">
        <f t="shared" si="194"/>
        <v>1787012.0599999991</v>
      </c>
      <c r="AM147" s="317">
        <f t="shared" si="223"/>
        <v>10</v>
      </c>
      <c r="AN147" s="14">
        <f t="shared" si="178"/>
        <v>6591.25</v>
      </c>
      <c r="AO147" s="14">
        <f t="shared" si="153"/>
        <v>947646.92</v>
      </c>
      <c r="AP147" s="14">
        <f t="shared" si="179"/>
        <v>2810.15</v>
      </c>
      <c r="AS147" s="14">
        <f t="shared" si="217"/>
        <v>6591.25</v>
      </c>
      <c r="AT147" s="14">
        <f t="shared" si="224"/>
        <v>869564.44</v>
      </c>
      <c r="AU147" s="185">
        <f t="shared" si="225"/>
        <v>2053.0057470053089</v>
      </c>
      <c r="AV147" s="185">
        <f t="shared" si="226"/>
        <v>232630.30454912889</v>
      </c>
    </row>
    <row r="148" spans="1:48">
      <c r="A148" s="401" t="str">
        <f t="shared" si="181"/>
        <v xml:space="preserve"> </v>
      </c>
      <c r="B148" s="185">
        <f t="shared" si="218"/>
        <v>0</v>
      </c>
      <c r="C148" s="14">
        <f t="shared" si="211"/>
        <v>0</v>
      </c>
      <c r="D148" s="14">
        <f t="shared" si="227"/>
        <v>0</v>
      </c>
      <c r="E148" s="14">
        <f t="shared" si="212"/>
        <v>0</v>
      </c>
      <c r="F148" s="14">
        <f t="shared" si="170"/>
        <v>0</v>
      </c>
      <c r="G148" s="14">
        <f t="shared" si="167"/>
        <v>0</v>
      </c>
      <c r="H148" s="14">
        <f t="shared" si="168"/>
        <v>0</v>
      </c>
      <c r="I148" s="185">
        <f t="shared" si="182"/>
        <v>0</v>
      </c>
      <c r="J148" s="185">
        <f t="shared" si="183"/>
        <v>0</v>
      </c>
      <c r="K148" s="185">
        <f t="shared" si="184"/>
        <v>0</v>
      </c>
      <c r="L148" s="317">
        <f t="shared" si="155"/>
        <v>11</v>
      </c>
      <c r="M148" s="317">
        <f t="shared" si="219"/>
        <v>132</v>
      </c>
      <c r="N148" s="185">
        <f t="shared" si="220"/>
        <v>552171.92000000027</v>
      </c>
      <c r="O148" s="185">
        <f t="shared" si="185"/>
        <v>6591.25</v>
      </c>
      <c r="P148" s="185">
        <f t="shared" si="228"/>
        <v>551.86999999999989</v>
      </c>
      <c r="Q148" s="185">
        <f t="shared" si="186"/>
        <v>6039.38</v>
      </c>
      <c r="R148" s="185">
        <f t="shared" si="173"/>
        <v>134.16999999999999</v>
      </c>
      <c r="S148" s="185">
        <f t="shared" si="174"/>
        <v>188.55</v>
      </c>
      <c r="T148" s="185">
        <f t="shared" si="171"/>
        <v>6913.97</v>
      </c>
      <c r="U148" s="185">
        <f t="shared" si="229"/>
        <v>39004.949999999997</v>
      </c>
      <c r="V148" s="185">
        <f t="shared" si="230"/>
        <v>837631.29999999993</v>
      </c>
      <c r="W148" s="185">
        <f t="shared" si="187"/>
        <v>551620.05000000028</v>
      </c>
      <c r="X148" s="401" t="str">
        <f t="shared" si="221"/>
        <v xml:space="preserve"> </v>
      </c>
      <c r="Y148" s="185">
        <f t="shared" si="188"/>
        <v>1787012.0599999991</v>
      </c>
      <c r="Z148" s="393">
        <f t="shared" si="213"/>
        <v>0.13125000000000001</v>
      </c>
      <c r="AA148" s="185">
        <f t="shared" si="214"/>
        <v>2810.15</v>
      </c>
      <c r="AB148" s="185">
        <f t="shared" si="189"/>
        <v>-16735.289999999997</v>
      </c>
      <c r="AC148" s="185">
        <f t="shared" si="215"/>
        <v>19545.439999999999</v>
      </c>
      <c r="AD148" s="185">
        <f t="shared" ref="AD148:AE148" si="234">+AD147</f>
        <v>134.16999999999999</v>
      </c>
      <c r="AE148" s="185">
        <f t="shared" si="234"/>
        <v>188.55</v>
      </c>
      <c r="AF148" s="185">
        <f t="shared" si="191"/>
        <v>3132.8700000000017</v>
      </c>
      <c r="AG148" s="185">
        <f t="shared" si="192"/>
        <v>-817647.35000000009</v>
      </c>
      <c r="AH148" s="185">
        <f t="shared" si="193"/>
        <v>1569540.1</v>
      </c>
      <c r="AI148" s="411">
        <f t="shared" si="176"/>
        <v>124743.50000000022</v>
      </c>
      <c r="AJ148" s="411">
        <f t="shared" si="134"/>
        <v>-1252127.2999999989</v>
      </c>
      <c r="AK148" s="411">
        <f t="shared" si="177"/>
        <v>-1127383.7999999986</v>
      </c>
      <c r="AL148" s="185">
        <f t="shared" si="194"/>
        <v>1803747.3499999992</v>
      </c>
      <c r="AM148" s="317">
        <f t="shared" si="223"/>
        <v>11</v>
      </c>
      <c r="AN148" s="14">
        <f t="shared" si="178"/>
        <v>6591.25</v>
      </c>
      <c r="AO148" s="14">
        <f t="shared" si="153"/>
        <v>947095.05</v>
      </c>
      <c r="AP148" s="14">
        <f t="shared" si="179"/>
        <v>2810.15</v>
      </c>
      <c r="AS148" s="14">
        <f t="shared" si="217"/>
        <v>6591.25</v>
      </c>
      <c r="AT148" s="14">
        <f t="shared" si="224"/>
        <v>876155.69</v>
      </c>
      <c r="AU148" s="185">
        <f t="shared" si="225"/>
        <v>2058.1382613728219</v>
      </c>
      <c r="AV148" s="185">
        <f t="shared" si="226"/>
        <v>234688.44281050173</v>
      </c>
    </row>
    <row r="149" spans="1:48">
      <c r="A149" s="401" t="str">
        <f t="shared" si="181"/>
        <v xml:space="preserve"> </v>
      </c>
      <c r="B149" s="185">
        <f t="shared" si="218"/>
        <v>0</v>
      </c>
      <c r="C149" s="14">
        <f t="shared" si="211"/>
        <v>0</v>
      </c>
      <c r="D149" s="14">
        <f t="shared" si="227"/>
        <v>0</v>
      </c>
      <c r="E149" s="14">
        <f t="shared" si="212"/>
        <v>0</v>
      </c>
      <c r="F149" s="14">
        <f t="shared" si="170"/>
        <v>0</v>
      </c>
      <c r="G149" s="14">
        <f t="shared" si="167"/>
        <v>0</v>
      </c>
      <c r="H149" s="14">
        <f t="shared" si="168"/>
        <v>0</v>
      </c>
      <c r="I149" s="185">
        <f t="shared" si="182"/>
        <v>0</v>
      </c>
      <c r="J149" s="185">
        <f t="shared" si="183"/>
        <v>0</v>
      </c>
      <c r="K149" s="185">
        <f t="shared" si="184"/>
        <v>0</v>
      </c>
      <c r="L149" s="317">
        <f t="shared" si="155"/>
        <v>11</v>
      </c>
      <c r="M149" s="317">
        <f t="shared" si="219"/>
        <v>133</v>
      </c>
      <c r="N149" s="185">
        <f t="shared" si="220"/>
        <v>551620.05000000028</v>
      </c>
      <c r="O149" s="185">
        <f t="shared" si="185"/>
        <v>6591.25</v>
      </c>
      <c r="P149" s="185">
        <f t="shared" si="228"/>
        <v>557.90999999999985</v>
      </c>
      <c r="Q149" s="185">
        <f t="shared" si="186"/>
        <v>6033.34</v>
      </c>
      <c r="R149" s="185">
        <f t="shared" si="173"/>
        <v>134.16999999999999</v>
      </c>
      <c r="S149" s="185">
        <f t="shared" si="174"/>
        <v>188.55</v>
      </c>
      <c r="T149" s="185">
        <f t="shared" si="171"/>
        <v>6913.97</v>
      </c>
      <c r="U149" s="185">
        <f t="shared" si="229"/>
        <v>39562.86</v>
      </c>
      <c r="V149" s="185">
        <f t="shared" si="230"/>
        <v>843664.6399999999</v>
      </c>
      <c r="W149" s="185">
        <f t="shared" si="187"/>
        <v>551062.14000000025</v>
      </c>
      <c r="X149" s="401" t="str">
        <f t="shared" si="221"/>
        <v xml:space="preserve"> </v>
      </c>
      <c r="Y149" s="185">
        <f t="shared" si="188"/>
        <v>1803747.3499999992</v>
      </c>
      <c r="Z149" s="393">
        <f t="shared" si="213"/>
        <v>0.13125000000000001</v>
      </c>
      <c r="AA149" s="185">
        <f t="shared" si="214"/>
        <v>2810.15</v>
      </c>
      <c r="AB149" s="185">
        <f t="shared" si="189"/>
        <v>-16918.34</v>
      </c>
      <c r="AC149" s="185">
        <f t="shared" si="215"/>
        <v>19728.490000000002</v>
      </c>
      <c r="AD149" s="185">
        <f t="shared" ref="AD149:AE149" si="235">+AD148</f>
        <v>134.16999999999999</v>
      </c>
      <c r="AE149" s="185">
        <f t="shared" si="235"/>
        <v>188.55</v>
      </c>
      <c r="AF149" s="185">
        <f t="shared" si="191"/>
        <v>3132.8700000000017</v>
      </c>
      <c r="AG149" s="185">
        <f t="shared" si="192"/>
        <v>-834565.69000000006</v>
      </c>
      <c r="AH149" s="185">
        <f t="shared" si="193"/>
        <v>1589268.59</v>
      </c>
      <c r="AI149" s="411">
        <f t="shared" si="176"/>
        <v>128524.60000000022</v>
      </c>
      <c r="AJ149" s="411">
        <f t="shared" si="134"/>
        <v>-1269603.5499999989</v>
      </c>
      <c r="AK149" s="411">
        <f t="shared" si="177"/>
        <v>-1141078.9499999986</v>
      </c>
      <c r="AL149" s="185">
        <f t="shared" si="194"/>
        <v>1820665.6899999992</v>
      </c>
      <c r="AM149" s="317">
        <f t="shared" si="223"/>
        <v>11</v>
      </c>
      <c r="AN149" s="14">
        <f t="shared" si="178"/>
        <v>6591.25</v>
      </c>
      <c r="AO149" s="14">
        <f t="shared" si="153"/>
        <v>946537.14</v>
      </c>
      <c r="AP149" s="14">
        <f t="shared" si="179"/>
        <v>2810.15</v>
      </c>
      <c r="AS149" s="14">
        <f t="shared" si="217"/>
        <v>6591.25</v>
      </c>
      <c r="AT149" s="14">
        <f t="shared" si="224"/>
        <v>882746.94</v>
      </c>
      <c r="AU149" s="185">
        <f t="shared" si="225"/>
        <v>2063.2836070262542</v>
      </c>
      <c r="AV149" s="185">
        <f t="shared" si="226"/>
        <v>236751.72641752797</v>
      </c>
    </row>
    <row r="150" spans="1:48">
      <c r="A150" s="401" t="str">
        <f t="shared" si="181"/>
        <v xml:space="preserve"> </v>
      </c>
      <c r="B150" s="185">
        <f t="shared" si="218"/>
        <v>0</v>
      </c>
      <c r="C150" s="14">
        <f t="shared" si="211"/>
        <v>0</v>
      </c>
      <c r="D150" s="14">
        <f t="shared" si="227"/>
        <v>0</v>
      </c>
      <c r="E150" s="14">
        <f t="shared" si="212"/>
        <v>0</v>
      </c>
      <c r="F150" s="14">
        <f t="shared" si="170"/>
        <v>0</v>
      </c>
      <c r="G150" s="14">
        <f t="shared" si="167"/>
        <v>0</v>
      </c>
      <c r="H150" s="14">
        <f t="shared" si="168"/>
        <v>0</v>
      </c>
      <c r="I150" s="185">
        <f t="shared" si="182"/>
        <v>0</v>
      </c>
      <c r="J150" s="185">
        <f t="shared" si="183"/>
        <v>0</v>
      </c>
      <c r="K150" s="185">
        <f t="shared" si="184"/>
        <v>0</v>
      </c>
      <c r="L150" s="317">
        <f t="shared" si="155"/>
        <v>11</v>
      </c>
      <c r="M150" s="317">
        <f t="shared" si="219"/>
        <v>134</v>
      </c>
      <c r="N150" s="185">
        <f t="shared" si="220"/>
        <v>551062.14000000025</v>
      </c>
      <c r="O150" s="185">
        <f t="shared" si="185"/>
        <v>6591.25</v>
      </c>
      <c r="P150" s="185">
        <f t="shared" si="228"/>
        <v>564.01000000000022</v>
      </c>
      <c r="Q150" s="185">
        <f t="shared" si="186"/>
        <v>6027.24</v>
      </c>
      <c r="R150" s="185">
        <f t="shared" si="173"/>
        <v>134.16999999999999</v>
      </c>
      <c r="S150" s="185">
        <f t="shared" si="174"/>
        <v>188.55</v>
      </c>
      <c r="T150" s="185">
        <f t="shared" si="171"/>
        <v>6913.97</v>
      </c>
      <c r="U150" s="185">
        <f t="shared" si="229"/>
        <v>40126.870000000003</v>
      </c>
      <c r="V150" s="185">
        <f t="shared" si="230"/>
        <v>849691.87999999989</v>
      </c>
      <c r="W150" s="185">
        <f t="shared" si="187"/>
        <v>550498.13000000024</v>
      </c>
      <c r="X150" s="401" t="str">
        <f t="shared" si="221"/>
        <v xml:space="preserve"> </v>
      </c>
      <c r="Y150" s="185">
        <f t="shared" si="188"/>
        <v>1820665.6899999992</v>
      </c>
      <c r="Z150" s="393">
        <f t="shared" si="213"/>
        <v>0.13125000000000001</v>
      </c>
      <c r="AA150" s="185">
        <f t="shared" si="214"/>
        <v>2810.15</v>
      </c>
      <c r="AB150" s="185">
        <f t="shared" si="189"/>
        <v>-17103.379999999997</v>
      </c>
      <c r="AC150" s="185">
        <f t="shared" si="215"/>
        <v>19913.53</v>
      </c>
      <c r="AD150" s="185">
        <f t="shared" ref="AD150:AE150" si="236">+AD149</f>
        <v>134.16999999999999</v>
      </c>
      <c r="AE150" s="185">
        <f t="shared" si="236"/>
        <v>188.55</v>
      </c>
      <c r="AF150" s="185">
        <f t="shared" si="191"/>
        <v>3132.8700000000017</v>
      </c>
      <c r="AG150" s="185">
        <f t="shared" si="192"/>
        <v>-851669.07000000007</v>
      </c>
      <c r="AH150" s="185">
        <f t="shared" si="193"/>
        <v>1609182.12</v>
      </c>
      <c r="AI150" s="411">
        <f t="shared" si="176"/>
        <v>132305.70000000022</v>
      </c>
      <c r="AJ150" s="411">
        <f t="shared" si="134"/>
        <v>-1287270.939999999</v>
      </c>
      <c r="AK150" s="411">
        <f t="shared" si="177"/>
        <v>-1154965.2399999988</v>
      </c>
      <c r="AL150" s="185">
        <f t="shared" si="194"/>
        <v>1837769.0699999991</v>
      </c>
      <c r="AM150" s="317">
        <f t="shared" si="223"/>
        <v>11</v>
      </c>
      <c r="AN150" s="14">
        <f t="shared" si="178"/>
        <v>6591.25</v>
      </c>
      <c r="AO150" s="14">
        <f t="shared" si="153"/>
        <v>945973.13</v>
      </c>
      <c r="AP150" s="14">
        <f t="shared" si="179"/>
        <v>2810.15</v>
      </c>
      <c r="AS150" s="14">
        <f t="shared" si="217"/>
        <v>6591.25</v>
      </c>
      <c r="AT150" s="14">
        <f t="shared" si="224"/>
        <v>889338.19</v>
      </c>
      <c r="AU150" s="185">
        <f t="shared" si="225"/>
        <v>2068.4418160438199</v>
      </c>
      <c r="AV150" s="185">
        <f t="shared" si="226"/>
        <v>238820.16823357178</v>
      </c>
    </row>
    <row r="151" spans="1:48">
      <c r="A151" s="401" t="str">
        <f t="shared" si="181"/>
        <v xml:space="preserve"> </v>
      </c>
      <c r="B151" s="185">
        <f t="shared" si="218"/>
        <v>0</v>
      </c>
      <c r="C151" s="14">
        <f t="shared" si="211"/>
        <v>0</v>
      </c>
      <c r="D151" s="14">
        <f t="shared" si="227"/>
        <v>0</v>
      </c>
      <c r="E151" s="14">
        <f t="shared" si="212"/>
        <v>0</v>
      </c>
      <c r="F151" s="14">
        <f t="shared" si="170"/>
        <v>0</v>
      </c>
      <c r="G151" s="14">
        <f t="shared" si="167"/>
        <v>0</v>
      </c>
      <c r="H151" s="14">
        <f t="shared" si="168"/>
        <v>0</v>
      </c>
      <c r="I151" s="185">
        <f t="shared" si="182"/>
        <v>0</v>
      </c>
      <c r="J151" s="185">
        <f t="shared" si="183"/>
        <v>0</v>
      </c>
      <c r="K151" s="185">
        <f t="shared" si="184"/>
        <v>0</v>
      </c>
      <c r="L151" s="317">
        <f t="shared" si="155"/>
        <v>11</v>
      </c>
      <c r="M151" s="317">
        <f t="shared" si="219"/>
        <v>135</v>
      </c>
      <c r="N151" s="185">
        <f t="shared" si="220"/>
        <v>550498.13000000024</v>
      </c>
      <c r="O151" s="185">
        <f t="shared" si="185"/>
        <v>6591.25</v>
      </c>
      <c r="P151" s="185">
        <f t="shared" si="228"/>
        <v>570.18000000000029</v>
      </c>
      <c r="Q151" s="185">
        <f t="shared" si="186"/>
        <v>6021.07</v>
      </c>
      <c r="R151" s="185">
        <f t="shared" si="173"/>
        <v>134.16999999999999</v>
      </c>
      <c r="S151" s="185">
        <f t="shared" si="174"/>
        <v>188.55</v>
      </c>
      <c r="T151" s="185">
        <f t="shared" si="171"/>
        <v>6913.97</v>
      </c>
      <c r="U151" s="185">
        <f t="shared" si="229"/>
        <v>40697.050000000003</v>
      </c>
      <c r="V151" s="185">
        <f t="shared" si="230"/>
        <v>855712.94999999984</v>
      </c>
      <c r="W151" s="185">
        <f t="shared" si="187"/>
        <v>549927.95000000019</v>
      </c>
      <c r="X151" s="401" t="str">
        <f t="shared" si="221"/>
        <v xml:space="preserve"> </v>
      </c>
      <c r="Y151" s="185">
        <f t="shared" si="188"/>
        <v>1837769.0699999991</v>
      </c>
      <c r="Z151" s="393">
        <f t="shared" si="213"/>
        <v>0.13125000000000001</v>
      </c>
      <c r="AA151" s="185">
        <f t="shared" si="214"/>
        <v>2810.15</v>
      </c>
      <c r="AB151" s="185">
        <f t="shared" si="189"/>
        <v>-17290.449999999997</v>
      </c>
      <c r="AC151" s="185">
        <f t="shared" si="215"/>
        <v>20100.599999999999</v>
      </c>
      <c r="AD151" s="185">
        <f t="shared" ref="AD151:AE151" si="237">+AD150</f>
        <v>134.16999999999999</v>
      </c>
      <c r="AE151" s="185">
        <f t="shared" si="237"/>
        <v>188.55</v>
      </c>
      <c r="AF151" s="185">
        <f t="shared" si="191"/>
        <v>3132.8700000000017</v>
      </c>
      <c r="AG151" s="185">
        <f t="shared" si="192"/>
        <v>-868959.52</v>
      </c>
      <c r="AH151" s="185">
        <f t="shared" si="193"/>
        <v>1629282.7200000002</v>
      </c>
      <c r="AI151" s="411">
        <f t="shared" si="176"/>
        <v>136086.80000000022</v>
      </c>
      <c r="AJ151" s="411">
        <f t="shared" si="134"/>
        <v>-1305131.5699999989</v>
      </c>
      <c r="AK151" s="411">
        <f t="shared" si="177"/>
        <v>-1169044.7699999986</v>
      </c>
      <c r="AL151" s="185">
        <f t="shared" si="194"/>
        <v>1855059.5199999991</v>
      </c>
      <c r="AM151" s="317">
        <f t="shared" si="223"/>
        <v>11</v>
      </c>
      <c r="AN151" s="14">
        <f t="shared" si="178"/>
        <v>6591.25</v>
      </c>
      <c r="AO151" s="14">
        <f t="shared" si="153"/>
        <v>945402.95</v>
      </c>
      <c r="AP151" s="14">
        <f t="shared" si="179"/>
        <v>2810.15</v>
      </c>
      <c r="AS151" s="14">
        <f t="shared" si="217"/>
        <v>6591.25</v>
      </c>
      <c r="AT151" s="14">
        <f t="shared" si="224"/>
        <v>895929.44</v>
      </c>
      <c r="AU151" s="185">
        <f t="shared" si="225"/>
        <v>2073.6129205839293</v>
      </c>
      <c r="AV151" s="185">
        <f t="shared" si="226"/>
        <v>240893.7811541557</v>
      </c>
    </row>
    <row r="152" spans="1:48">
      <c r="A152" s="401" t="str">
        <f t="shared" si="181"/>
        <v xml:space="preserve"> </v>
      </c>
      <c r="B152" s="185">
        <f t="shared" si="218"/>
        <v>0</v>
      </c>
      <c r="C152" s="14">
        <f t="shared" si="211"/>
        <v>0</v>
      </c>
      <c r="D152" s="14">
        <f t="shared" si="227"/>
        <v>0</v>
      </c>
      <c r="E152" s="14">
        <f t="shared" si="212"/>
        <v>0</v>
      </c>
      <c r="F152" s="14">
        <f t="shared" si="170"/>
        <v>0</v>
      </c>
      <c r="G152" s="14">
        <f t="shared" si="167"/>
        <v>0</v>
      </c>
      <c r="H152" s="14">
        <f t="shared" si="168"/>
        <v>0</v>
      </c>
      <c r="I152" s="185">
        <f t="shared" si="182"/>
        <v>0</v>
      </c>
      <c r="J152" s="185">
        <f t="shared" si="183"/>
        <v>0</v>
      </c>
      <c r="K152" s="185">
        <f t="shared" si="184"/>
        <v>0</v>
      </c>
      <c r="L152" s="317">
        <f t="shared" si="155"/>
        <v>11</v>
      </c>
      <c r="M152" s="317">
        <f t="shared" si="219"/>
        <v>136</v>
      </c>
      <c r="N152" s="185">
        <f t="shared" si="220"/>
        <v>549927.95000000019</v>
      </c>
      <c r="O152" s="185">
        <f t="shared" si="185"/>
        <v>6591.25</v>
      </c>
      <c r="P152" s="185">
        <f t="shared" si="228"/>
        <v>576.40999999999985</v>
      </c>
      <c r="Q152" s="185">
        <f t="shared" si="186"/>
        <v>6014.84</v>
      </c>
      <c r="R152" s="185">
        <f t="shared" si="173"/>
        <v>134.16999999999999</v>
      </c>
      <c r="S152" s="185">
        <f t="shared" si="174"/>
        <v>188.55</v>
      </c>
      <c r="T152" s="185">
        <f t="shared" si="171"/>
        <v>6913.97</v>
      </c>
      <c r="U152" s="185">
        <f t="shared" si="229"/>
        <v>41273.460000000006</v>
      </c>
      <c r="V152" s="185">
        <f t="shared" si="230"/>
        <v>861727.7899999998</v>
      </c>
      <c r="W152" s="185">
        <f t="shared" si="187"/>
        <v>549351.54000000015</v>
      </c>
      <c r="X152" s="401" t="str">
        <f t="shared" si="221"/>
        <v xml:space="preserve"> </v>
      </c>
      <c r="Y152" s="185">
        <f t="shared" si="188"/>
        <v>1855059.5199999991</v>
      </c>
      <c r="Z152" s="393">
        <f t="shared" si="213"/>
        <v>0.13125000000000001</v>
      </c>
      <c r="AA152" s="185">
        <f t="shared" si="214"/>
        <v>2810.15</v>
      </c>
      <c r="AB152" s="185">
        <f t="shared" si="189"/>
        <v>-17479.559999999998</v>
      </c>
      <c r="AC152" s="185">
        <f t="shared" si="215"/>
        <v>20289.71</v>
      </c>
      <c r="AD152" s="185">
        <f t="shared" ref="AD152:AE152" si="238">+AD151</f>
        <v>134.16999999999999</v>
      </c>
      <c r="AE152" s="185">
        <f t="shared" si="238"/>
        <v>188.55</v>
      </c>
      <c r="AF152" s="185">
        <f t="shared" si="191"/>
        <v>3132.8700000000017</v>
      </c>
      <c r="AG152" s="185">
        <f t="shared" si="192"/>
        <v>-886439.08000000007</v>
      </c>
      <c r="AH152" s="185">
        <f t="shared" si="193"/>
        <v>1649572.4300000002</v>
      </c>
      <c r="AI152" s="411">
        <f t="shared" si="176"/>
        <v>139867.90000000023</v>
      </c>
      <c r="AJ152" s="411">
        <f t="shared" si="134"/>
        <v>-1323187.5399999991</v>
      </c>
      <c r="AK152" s="411">
        <f t="shared" si="177"/>
        <v>-1183319.639999999</v>
      </c>
      <c r="AL152" s="185">
        <f t="shared" si="194"/>
        <v>1872539.0799999991</v>
      </c>
      <c r="AM152" s="317">
        <f t="shared" si="223"/>
        <v>11</v>
      </c>
      <c r="AN152" s="14">
        <f t="shared" si="178"/>
        <v>6591.25</v>
      </c>
      <c r="AO152" s="14">
        <f t="shared" si="153"/>
        <v>944826.54</v>
      </c>
      <c r="AP152" s="14">
        <f t="shared" si="179"/>
        <v>2810.15</v>
      </c>
      <c r="AS152" s="14">
        <f t="shared" si="217"/>
        <v>6591.25</v>
      </c>
      <c r="AT152" s="14">
        <f t="shared" si="224"/>
        <v>902520.69</v>
      </c>
      <c r="AU152" s="185">
        <f t="shared" si="225"/>
        <v>2078.7969528853891</v>
      </c>
      <c r="AV152" s="185">
        <f t="shared" si="226"/>
        <v>242972.5781070411</v>
      </c>
    </row>
    <row r="153" spans="1:48">
      <c r="A153" s="401" t="str">
        <f t="shared" si="181"/>
        <v xml:space="preserve"> </v>
      </c>
      <c r="B153" s="185">
        <f t="shared" si="218"/>
        <v>0</v>
      </c>
      <c r="C153" s="14">
        <f t="shared" si="211"/>
        <v>0</v>
      </c>
      <c r="D153" s="14">
        <f t="shared" si="227"/>
        <v>0</v>
      </c>
      <c r="E153" s="14">
        <f t="shared" si="212"/>
        <v>0</v>
      </c>
      <c r="F153" s="14">
        <f t="shared" si="170"/>
        <v>0</v>
      </c>
      <c r="G153" s="14">
        <f t="shared" si="167"/>
        <v>0</v>
      </c>
      <c r="H153" s="14">
        <f t="shared" si="168"/>
        <v>0</v>
      </c>
      <c r="I153" s="185">
        <f t="shared" si="182"/>
        <v>0</v>
      </c>
      <c r="J153" s="185">
        <f t="shared" si="183"/>
        <v>0</v>
      </c>
      <c r="K153" s="185">
        <f t="shared" si="184"/>
        <v>0</v>
      </c>
      <c r="L153" s="317">
        <f t="shared" si="155"/>
        <v>11</v>
      </c>
      <c r="M153" s="317">
        <f t="shared" si="219"/>
        <v>137</v>
      </c>
      <c r="N153" s="185">
        <f t="shared" si="220"/>
        <v>549351.54000000015</v>
      </c>
      <c r="O153" s="185">
        <f t="shared" si="185"/>
        <v>6591.25</v>
      </c>
      <c r="P153" s="185">
        <f t="shared" si="228"/>
        <v>582.72000000000025</v>
      </c>
      <c r="Q153" s="185">
        <f t="shared" si="186"/>
        <v>6008.53</v>
      </c>
      <c r="R153" s="185">
        <f t="shared" si="173"/>
        <v>134.16999999999999</v>
      </c>
      <c r="S153" s="185">
        <f t="shared" si="174"/>
        <v>188.55</v>
      </c>
      <c r="T153" s="185">
        <f t="shared" si="171"/>
        <v>6913.97</v>
      </c>
      <c r="U153" s="185">
        <f t="shared" si="229"/>
        <v>41856.180000000008</v>
      </c>
      <c r="V153" s="185">
        <f t="shared" si="230"/>
        <v>867736.31999999983</v>
      </c>
      <c r="W153" s="185">
        <f t="shared" si="187"/>
        <v>548768.82000000018</v>
      </c>
      <c r="X153" s="401" t="str">
        <f t="shared" si="221"/>
        <v xml:space="preserve"> </v>
      </c>
      <c r="Y153" s="185">
        <f t="shared" si="188"/>
        <v>1872539.0799999991</v>
      </c>
      <c r="Z153" s="393">
        <f t="shared" si="213"/>
        <v>0.13125000000000001</v>
      </c>
      <c r="AA153" s="185">
        <f t="shared" si="214"/>
        <v>2810.15</v>
      </c>
      <c r="AB153" s="185">
        <f t="shared" si="189"/>
        <v>-17670.75</v>
      </c>
      <c r="AC153" s="185">
        <f t="shared" si="215"/>
        <v>20480.900000000001</v>
      </c>
      <c r="AD153" s="185">
        <f t="shared" ref="AD153:AE153" si="239">+AD152</f>
        <v>134.16999999999999</v>
      </c>
      <c r="AE153" s="185">
        <f t="shared" si="239"/>
        <v>188.55</v>
      </c>
      <c r="AF153" s="185">
        <f t="shared" si="191"/>
        <v>3132.8700000000017</v>
      </c>
      <c r="AG153" s="185">
        <f t="shared" si="192"/>
        <v>-904109.83000000007</v>
      </c>
      <c r="AH153" s="185">
        <f t="shared" si="193"/>
        <v>1670053.33</v>
      </c>
      <c r="AI153" s="411">
        <f t="shared" si="176"/>
        <v>143649.00000000023</v>
      </c>
      <c r="AJ153" s="411">
        <f t="shared" si="134"/>
        <v>-1341441.0099999988</v>
      </c>
      <c r="AK153" s="411">
        <f t="shared" si="177"/>
        <v>-1197792.0099999986</v>
      </c>
      <c r="AL153" s="185">
        <f t="shared" si="194"/>
        <v>1890209.8299999991</v>
      </c>
      <c r="AM153" s="317">
        <f t="shared" si="223"/>
        <v>11</v>
      </c>
      <c r="AN153" s="14">
        <f t="shared" si="178"/>
        <v>6591.25</v>
      </c>
      <c r="AO153" s="14">
        <f t="shared" si="153"/>
        <v>944243.82</v>
      </c>
      <c r="AP153" s="14">
        <f t="shared" si="179"/>
        <v>2810.15</v>
      </c>
      <c r="AS153" s="14">
        <f t="shared" si="217"/>
        <v>6591.25</v>
      </c>
      <c r="AT153" s="14">
        <f t="shared" si="224"/>
        <v>909111.94</v>
      </c>
      <c r="AU153" s="185">
        <f t="shared" si="225"/>
        <v>2083.9939452676026</v>
      </c>
      <c r="AV153" s="185">
        <f t="shared" si="226"/>
        <v>245056.57205230871</v>
      </c>
    </row>
    <row r="154" spans="1:48">
      <c r="A154" s="401" t="str">
        <f t="shared" si="181"/>
        <v xml:space="preserve"> </v>
      </c>
      <c r="B154" s="185">
        <f t="shared" si="218"/>
        <v>0</v>
      </c>
      <c r="C154" s="14">
        <f t="shared" si="211"/>
        <v>0</v>
      </c>
      <c r="D154" s="14">
        <f t="shared" si="227"/>
        <v>0</v>
      </c>
      <c r="E154" s="14">
        <f t="shared" si="212"/>
        <v>0</v>
      </c>
      <c r="F154" s="14">
        <f t="shared" si="170"/>
        <v>0</v>
      </c>
      <c r="G154" s="14">
        <f t="shared" si="167"/>
        <v>0</v>
      </c>
      <c r="H154" s="14">
        <f t="shared" si="168"/>
        <v>0</v>
      </c>
      <c r="I154" s="185">
        <f t="shared" si="182"/>
        <v>0</v>
      </c>
      <c r="J154" s="185">
        <f t="shared" si="183"/>
        <v>0</v>
      </c>
      <c r="K154" s="185">
        <f t="shared" si="184"/>
        <v>0</v>
      </c>
      <c r="L154" s="317">
        <f t="shared" si="155"/>
        <v>11</v>
      </c>
      <c r="M154" s="317">
        <f t="shared" si="219"/>
        <v>138</v>
      </c>
      <c r="N154" s="185">
        <f t="shared" si="220"/>
        <v>548768.82000000018</v>
      </c>
      <c r="O154" s="185">
        <f t="shared" si="185"/>
        <v>6591.25</v>
      </c>
      <c r="P154" s="185">
        <f t="shared" si="228"/>
        <v>589.09000000000015</v>
      </c>
      <c r="Q154" s="185">
        <f t="shared" si="186"/>
        <v>6002.16</v>
      </c>
      <c r="R154" s="185">
        <f t="shared" si="173"/>
        <v>134.16999999999999</v>
      </c>
      <c r="S154" s="185">
        <f t="shared" si="174"/>
        <v>188.55</v>
      </c>
      <c r="T154" s="185">
        <f t="shared" si="171"/>
        <v>6913.97</v>
      </c>
      <c r="U154" s="185">
        <f t="shared" si="229"/>
        <v>42445.270000000004</v>
      </c>
      <c r="V154" s="185">
        <f t="shared" si="230"/>
        <v>873738.47999999986</v>
      </c>
      <c r="W154" s="185">
        <f t="shared" si="187"/>
        <v>548179.73000000021</v>
      </c>
      <c r="X154" s="401" t="str">
        <f t="shared" si="221"/>
        <v xml:space="preserve"> </v>
      </c>
      <c r="Y154" s="185">
        <f t="shared" si="188"/>
        <v>1890209.8299999991</v>
      </c>
      <c r="Z154" s="393">
        <f t="shared" si="213"/>
        <v>0.13125000000000001</v>
      </c>
      <c r="AA154" s="185">
        <f t="shared" si="214"/>
        <v>2810.15</v>
      </c>
      <c r="AB154" s="185">
        <f t="shared" si="189"/>
        <v>-17864.019999999997</v>
      </c>
      <c r="AC154" s="185">
        <f t="shared" si="215"/>
        <v>20674.169999999998</v>
      </c>
      <c r="AD154" s="185">
        <f t="shared" ref="AD154:AE154" si="240">+AD153</f>
        <v>134.16999999999999</v>
      </c>
      <c r="AE154" s="185">
        <f t="shared" si="240"/>
        <v>188.55</v>
      </c>
      <c r="AF154" s="185">
        <f t="shared" si="191"/>
        <v>3132.8700000000017</v>
      </c>
      <c r="AG154" s="185">
        <f t="shared" si="192"/>
        <v>-921973.85000000009</v>
      </c>
      <c r="AH154" s="185">
        <f t="shared" si="193"/>
        <v>1690727.5</v>
      </c>
      <c r="AI154" s="411">
        <f t="shared" si="176"/>
        <v>147430.10000000024</v>
      </c>
      <c r="AJ154" s="411">
        <f t="shared" si="134"/>
        <v>-1359894.1199999989</v>
      </c>
      <c r="AK154" s="411">
        <f t="shared" si="177"/>
        <v>-1212464.0199999986</v>
      </c>
      <c r="AL154" s="185">
        <f t="shared" si="194"/>
        <v>1908073.8499999992</v>
      </c>
      <c r="AM154" s="317">
        <f t="shared" si="223"/>
        <v>11</v>
      </c>
      <c r="AN154" s="14">
        <f t="shared" si="178"/>
        <v>6591.25</v>
      </c>
      <c r="AO154" s="14">
        <f t="shared" si="153"/>
        <v>943654.73</v>
      </c>
      <c r="AP154" s="14">
        <f t="shared" si="179"/>
        <v>2810.15</v>
      </c>
      <c r="AS154" s="14">
        <f t="shared" si="217"/>
        <v>6591.25</v>
      </c>
      <c r="AT154" s="14">
        <f t="shared" si="224"/>
        <v>915703.19</v>
      </c>
      <c r="AU154" s="185">
        <f t="shared" si="225"/>
        <v>2089.2039301307718</v>
      </c>
      <c r="AV154" s="185">
        <f t="shared" si="226"/>
        <v>247145.77598243949</v>
      </c>
    </row>
    <row r="155" spans="1:48">
      <c r="A155" s="401" t="str">
        <f t="shared" si="181"/>
        <v xml:space="preserve"> </v>
      </c>
      <c r="B155" s="185">
        <f t="shared" si="218"/>
        <v>0</v>
      </c>
      <c r="C155" s="14">
        <f t="shared" si="211"/>
        <v>0</v>
      </c>
      <c r="D155" s="14">
        <f t="shared" si="227"/>
        <v>0</v>
      </c>
      <c r="E155" s="14">
        <f t="shared" si="212"/>
        <v>0</v>
      </c>
      <c r="F155" s="14">
        <f t="shared" si="170"/>
        <v>0</v>
      </c>
      <c r="G155" s="14">
        <f t="shared" si="167"/>
        <v>0</v>
      </c>
      <c r="H155" s="14">
        <f t="shared" si="168"/>
        <v>0</v>
      </c>
      <c r="I155" s="185">
        <f t="shared" si="182"/>
        <v>0</v>
      </c>
      <c r="J155" s="185">
        <f t="shared" si="183"/>
        <v>0</v>
      </c>
      <c r="K155" s="185">
        <f t="shared" si="184"/>
        <v>0</v>
      </c>
      <c r="L155" s="317">
        <f t="shared" si="155"/>
        <v>11</v>
      </c>
      <c r="M155" s="317">
        <f t="shared" si="219"/>
        <v>139</v>
      </c>
      <c r="N155" s="185">
        <f t="shared" si="220"/>
        <v>548179.73000000021</v>
      </c>
      <c r="O155" s="185">
        <f t="shared" si="185"/>
        <v>6591.25</v>
      </c>
      <c r="P155" s="185">
        <f t="shared" si="228"/>
        <v>595.52999999999975</v>
      </c>
      <c r="Q155" s="185">
        <f t="shared" si="186"/>
        <v>5995.72</v>
      </c>
      <c r="R155" s="185">
        <f t="shared" si="173"/>
        <v>134.16999999999999</v>
      </c>
      <c r="S155" s="185">
        <f t="shared" si="174"/>
        <v>188.55</v>
      </c>
      <c r="T155" s="185">
        <f t="shared" si="171"/>
        <v>6913.97</v>
      </c>
      <c r="U155" s="185">
        <f t="shared" si="229"/>
        <v>43040.800000000003</v>
      </c>
      <c r="V155" s="185">
        <f t="shared" si="230"/>
        <v>879734.19999999984</v>
      </c>
      <c r="W155" s="185">
        <f t="shared" si="187"/>
        <v>547584.20000000019</v>
      </c>
      <c r="X155" s="401" t="str">
        <f t="shared" si="221"/>
        <v xml:space="preserve"> </v>
      </c>
      <c r="Y155" s="185">
        <f t="shared" si="188"/>
        <v>1908073.8499999992</v>
      </c>
      <c r="Z155" s="393">
        <f t="shared" si="213"/>
        <v>0.13125000000000001</v>
      </c>
      <c r="AA155" s="185">
        <f t="shared" si="214"/>
        <v>2810.15</v>
      </c>
      <c r="AB155" s="185">
        <f t="shared" si="189"/>
        <v>-18059.41</v>
      </c>
      <c r="AC155" s="185">
        <f t="shared" si="215"/>
        <v>20869.560000000001</v>
      </c>
      <c r="AD155" s="185">
        <f t="shared" ref="AD155:AE155" si="241">+AD154</f>
        <v>134.16999999999999</v>
      </c>
      <c r="AE155" s="185">
        <f t="shared" si="241"/>
        <v>188.55</v>
      </c>
      <c r="AF155" s="185">
        <f t="shared" si="191"/>
        <v>3132.8700000000017</v>
      </c>
      <c r="AG155" s="185">
        <f t="shared" si="192"/>
        <v>-940033.26000000013</v>
      </c>
      <c r="AH155" s="185">
        <f t="shared" si="193"/>
        <v>1711597.06</v>
      </c>
      <c r="AI155" s="411">
        <f t="shared" si="176"/>
        <v>151211.20000000024</v>
      </c>
      <c r="AJ155" s="411">
        <f t="shared" ref="AJ155:AJ218" si="242">+W155-AL155</f>
        <v>-1378549.0599999989</v>
      </c>
      <c r="AK155" s="411">
        <f t="shared" si="177"/>
        <v>-1227337.8599999987</v>
      </c>
      <c r="AL155" s="185">
        <f t="shared" si="194"/>
        <v>1926133.2599999991</v>
      </c>
      <c r="AM155" s="317">
        <f t="shared" si="223"/>
        <v>11</v>
      </c>
      <c r="AN155" s="14">
        <f t="shared" si="178"/>
        <v>6591.25</v>
      </c>
      <c r="AO155" s="14">
        <f t="shared" si="153"/>
        <v>943059.2</v>
      </c>
      <c r="AP155" s="14">
        <f t="shared" si="179"/>
        <v>2810.15</v>
      </c>
      <c r="AS155" s="14">
        <f t="shared" si="217"/>
        <v>6591.25</v>
      </c>
      <c r="AT155" s="14">
        <f t="shared" si="224"/>
        <v>922294.44</v>
      </c>
      <c r="AU155" s="185">
        <f t="shared" si="225"/>
        <v>2094.4269399560985</v>
      </c>
      <c r="AV155" s="185">
        <f t="shared" si="226"/>
        <v>249240.20292239558</v>
      </c>
    </row>
    <row r="156" spans="1:48">
      <c r="A156" s="401" t="str">
        <f t="shared" si="181"/>
        <v xml:space="preserve"> </v>
      </c>
      <c r="B156" s="185">
        <f t="shared" si="218"/>
        <v>0</v>
      </c>
      <c r="C156" s="14">
        <f t="shared" si="211"/>
        <v>0</v>
      </c>
      <c r="D156" s="14">
        <f t="shared" si="227"/>
        <v>0</v>
      </c>
      <c r="E156" s="14">
        <f t="shared" si="212"/>
        <v>0</v>
      </c>
      <c r="F156" s="14">
        <f t="shared" si="170"/>
        <v>0</v>
      </c>
      <c r="G156" s="14">
        <f t="shared" si="167"/>
        <v>0</v>
      </c>
      <c r="H156" s="14">
        <f t="shared" si="168"/>
        <v>0</v>
      </c>
      <c r="I156" s="185">
        <f t="shared" si="182"/>
        <v>0</v>
      </c>
      <c r="J156" s="185">
        <f t="shared" si="183"/>
        <v>0</v>
      </c>
      <c r="K156" s="185">
        <f t="shared" si="184"/>
        <v>0</v>
      </c>
      <c r="L156" s="317">
        <f t="shared" si="155"/>
        <v>11</v>
      </c>
      <c r="M156" s="317">
        <f t="shared" si="219"/>
        <v>140</v>
      </c>
      <c r="N156" s="185">
        <f t="shared" si="220"/>
        <v>547584.20000000019</v>
      </c>
      <c r="O156" s="185">
        <f t="shared" si="185"/>
        <v>6591.25</v>
      </c>
      <c r="P156" s="185">
        <f t="shared" si="228"/>
        <v>602.05000000000018</v>
      </c>
      <c r="Q156" s="185">
        <f t="shared" si="186"/>
        <v>5989.2</v>
      </c>
      <c r="R156" s="185">
        <f t="shared" si="173"/>
        <v>134.16999999999999</v>
      </c>
      <c r="S156" s="185">
        <f t="shared" si="174"/>
        <v>188.55</v>
      </c>
      <c r="T156" s="185">
        <f t="shared" si="171"/>
        <v>6913.97</v>
      </c>
      <c r="U156" s="185">
        <f t="shared" si="229"/>
        <v>43642.850000000006</v>
      </c>
      <c r="V156" s="185">
        <f t="shared" si="230"/>
        <v>885723.39999999979</v>
      </c>
      <c r="W156" s="185">
        <f t="shared" si="187"/>
        <v>546982.15000000014</v>
      </c>
      <c r="X156" s="401" t="str">
        <f t="shared" si="221"/>
        <v xml:space="preserve"> </v>
      </c>
      <c r="Y156" s="185">
        <f t="shared" si="188"/>
        <v>1926133.2599999991</v>
      </c>
      <c r="Z156" s="393">
        <f t="shared" si="213"/>
        <v>0.13125000000000001</v>
      </c>
      <c r="AA156" s="185">
        <f t="shared" si="214"/>
        <v>2810.15</v>
      </c>
      <c r="AB156" s="185">
        <f t="shared" si="189"/>
        <v>-18256.93</v>
      </c>
      <c r="AC156" s="185">
        <f t="shared" si="215"/>
        <v>21067.08</v>
      </c>
      <c r="AD156" s="185">
        <f t="shared" ref="AD156:AE156" si="243">+AD155</f>
        <v>134.16999999999999</v>
      </c>
      <c r="AE156" s="185">
        <f t="shared" si="243"/>
        <v>188.55</v>
      </c>
      <c r="AF156" s="185">
        <f t="shared" si="191"/>
        <v>3132.8700000000017</v>
      </c>
      <c r="AG156" s="185">
        <f t="shared" si="192"/>
        <v>-958290.19000000018</v>
      </c>
      <c r="AH156" s="185">
        <f t="shared" si="193"/>
        <v>1732664.1400000001</v>
      </c>
      <c r="AI156" s="411">
        <f t="shared" si="176"/>
        <v>154992.30000000025</v>
      </c>
      <c r="AJ156" s="411">
        <f t="shared" si="242"/>
        <v>-1397408.0399999989</v>
      </c>
      <c r="AK156" s="411">
        <f t="shared" si="177"/>
        <v>-1242415.7399999986</v>
      </c>
      <c r="AL156" s="185">
        <f t="shared" si="194"/>
        <v>1944390.189999999</v>
      </c>
      <c r="AM156" s="317">
        <f t="shared" si="223"/>
        <v>11</v>
      </c>
      <c r="AN156" s="14">
        <f t="shared" si="178"/>
        <v>6591.25</v>
      </c>
      <c r="AO156" s="14">
        <f t="shared" si="153"/>
        <v>942457.15</v>
      </c>
      <c r="AP156" s="14">
        <f t="shared" si="179"/>
        <v>2810.15</v>
      </c>
      <c r="AS156" s="14">
        <f t="shared" si="217"/>
        <v>6591.25</v>
      </c>
      <c r="AT156" s="14">
        <f t="shared" si="224"/>
        <v>928885.69</v>
      </c>
      <c r="AU156" s="185">
        <f t="shared" si="225"/>
        <v>2099.6630073059887</v>
      </c>
      <c r="AV156" s="185">
        <f t="shared" si="226"/>
        <v>251339.86592970157</v>
      </c>
    </row>
    <row r="157" spans="1:48">
      <c r="A157" s="401" t="str">
        <f t="shared" si="181"/>
        <v xml:space="preserve"> </v>
      </c>
      <c r="B157" s="185">
        <f t="shared" si="218"/>
        <v>0</v>
      </c>
      <c r="C157" s="14">
        <f t="shared" si="211"/>
        <v>0</v>
      </c>
      <c r="D157" s="14">
        <f t="shared" si="227"/>
        <v>0</v>
      </c>
      <c r="E157" s="14">
        <f t="shared" si="212"/>
        <v>0</v>
      </c>
      <c r="F157" s="14">
        <f t="shared" si="170"/>
        <v>0</v>
      </c>
      <c r="G157" s="14">
        <f t="shared" si="167"/>
        <v>0</v>
      </c>
      <c r="H157" s="14">
        <f t="shared" si="168"/>
        <v>0</v>
      </c>
      <c r="I157" s="185">
        <f t="shared" si="182"/>
        <v>0</v>
      </c>
      <c r="J157" s="185">
        <f t="shared" si="183"/>
        <v>0</v>
      </c>
      <c r="K157" s="185">
        <f t="shared" si="184"/>
        <v>0</v>
      </c>
      <c r="L157" s="317">
        <f t="shared" si="155"/>
        <v>11</v>
      </c>
      <c r="M157" s="317">
        <f t="shared" si="219"/>
        <v>141</v>
      </c>
      <c r="N157" s="185">
        <f t="shared" si="220"/>
        <v>546982.15000000014</v>
      </c>
      <c r="O157" s="185">
        <f t="shared" si="185"/>
        <v>6591.25</v>
      </c>
      <c r="P157" s="185">
        <f t="shared" si="228"/>
        <v>608.63000000000011</v>
      </c>
      <c r="Q157" s="185">
        <f t="shared" si="186"/>
        <v>5982.62</v>
      </c>
      <c r="R157" s="185">
        <f t="shared" si="173"/>
        <v>134.16999999999999</v>
      </c>
      <c r="S157" s="185">
        <f t="shared" si="174"/>
        <v>188.55</v>
      </c>
      <c r="T157" s="185">
        <f t="shared" si="171"/>
        <v>6913.97</v>
      </c>
      <c r="U157" s="185">
        <f t="shared" si="229"/>
        <v>44251.48</v>
      </c>
      <c r="V157" s="185">
        <f t="shared" si="230"/>
        <v>891706.01999999979</v>
      </c>
      <c r="W157" s="185">
        <f t="shared" si="187"/>
        <v>546373.52000000014</v>
      </c>
      <c r="X157" s="401" t="str">
        <f t="shared" si="221"/>
        <v xml:space="preserve"> </v>
      </c>
      <c r="Y157" s="185">
        <f t="shared" si="188"/>
        <v>1944390.189999999</v>
      </c>
      <c r="Z157" s="393">
        <f t="shared" si="213"/>
        <v>0.13125000000000001</v>
      </c>
      <c r="AA157" s="185">
        <f t="shared" si="214"/>
        <v>2810.15</v>
      </c>
      <c r="AB157" s="185">
        <f t="shared" si="189"/>
        <v>-18456.62</v>
      </c>
      <c r="AC157" s="185">
        <f t="shared" si="215"/>
        <v>21266.77</v>
      </c>
      <c r="AD157" s="185">
        <f t="shared" ref="AD157:AE157" si="244">+AD156</f>
        <v>134.16999999999999</v>
      </c>
      <c r="AE157" s="185">
        <f t="shared" si="244"/>
        <v>188.55</v>
      </c>
      <c r="AF157" s="185">
        <f t="shared" si="191"/>
        <v>3132.8700000000017</v>
      </c>
      <c r="AG157" s="185">
        <f t="shared" si="192"/>
        <v>-976746.81000000017</v>
      </c>
      <c r="AH157" s="185">
        <f t="shared" si="193"/>
        <v>1753930.9100000001</v>
      </c>
      <c r="AI157" s="411">
        <f t="shared" si="176"/>
        <v>158773.40000000026</v>
      </c>
      <c r="AJ157" s="411">
        <f t="shared" si="242"/>
        <v>-1416473.2899999991</v>
      </c>
      <c r="AK157" s="411">
        <f t="shared" si="177"/>
        <v>-1257699.8899999987</v>
      </c>
      <c r="AL157" s="185">
        <f t="shared" si="194"/>
        <v>1962846.8099999991</v>
      </c>
      <c r="AM157" s="317">
        <f t="shared" si="223"/>
        <v>11</v>
      </c>
      <c r="AN157" s="14">
        <f t="shared" si="178"/>
        <v>6591.25</v>
      </c>
      <c r="AO157" s="14">
        <f t="shared" si="153"/>
        <v>941848.52</v>
      </c>
      <c r="AP157" s="14">
        <f t="shared" si="179"/>
        <v>2810.15</v>
      </c>
      <c r="AS157" s="14">
        <f t="shared" si="217"/>
        <v>6591.25</v>
      </c>
      <c r="AT157" s="14">
        <f t="shared" si="224"/>
        <v>935476.94</v>
      </c>
      <c r="AU157" s="185">
        <f t="shared" si="225"/>
        <v>2104.912164824254</v>
      </c>
      <c r="AV157" s="185">
        <f t="shared" si="226"/>
        <v>253444.77809452583</v>
      </c>
    </row>
    <row r="158" spans="1:48" ht="15.75" thickBot="1">
      <c r="A158" s="404" t="str">
        <f t="shared" si="181"/>
        <v xml:space="preserve"> </v>
      </c>
      <c r="B158" s="237">
        <f t="shared" si="218"/>
        <v>0</v>
      </c>
      <c r="C158" s="21">
        <f t="shared" si="211"/>
        <v>0</v>
      </c>
      <c r="D158" s="21">
        <f t="shared" si="227"/>
        <v>0</v>
      </c>
      <c r="E158" s="21">
        <f t="shared" si="212"/>
        <v>0</v>
      </c>
      <c r="F158" s="21">
        <f t="shared" si="170"/>
        <v>0</v>
      </c>
      <c r="G158" s="21">
        <f t="shared" si="167"/>
        <v>0</v>
      </c>
      <c r="H158" s="21">
        <f t="shared" si="168"/>
        <v>0</v>
      </c>
      <c r="I158" s="237">
        <f t="shared" si="182"/>
        <v>0</v>
      </c>
      <c r="J158" s="237">
        <f t="shared" si="183"/>
        <v>0</v>
      </c>
      <c r="K158" s="237">
        <f t="shared" si="184"/>
        <v>0</v>
      </c>
      <c r="L158" s="318">
        <f t="shared" si="155"/>
        <v>11</v>
      </c>
      <c r="M158" s="318">
        <f t="shared" si="219"/>
        <v>142</v>
      </c>
      <c r="N158" s="237">
        <f t="shared" si="220"/>
        <v>546373.52000000014</v>
      </c>
      <c r="O158" s="237">
        <f t="shared" si="185"/>
        <v>6591.25</v>
      </c>
      <c r="P158" s="237">
        <f t="shared" si="228"/>
        <v>615.29</v>
      </c>
      <c r="Q158" s="237">
        <f t="shared" si="186"/>
        <v>5975.96</v>
      </c>
      <c r="R158" s="237">
        <f t="shared" si="173"/>
        <v>134.16999999999999</v>
      </c>
      <c r="S158" s="237">
        <f t="shared" si="174"/>
        <v>188.55</v>
      </c>
      <c r="T158" s="237">
        <f t="shared" si="171"/>
        <v>6913.97</v>
      </c>
      <c r="U158" s="237">
        <f t="shared" si="229"/>
        <v>44866.770000000004</v>
      </c>
      <c r="V158" s="237">
        <f t="shared" si="230"/>
        <v>897681.97999999975</v>
      </c>
      <c r="W158" s="237">
        <f t="shared" si="187"/>
        <v>545758.2300000001</v>
      </c>
      <c r="X158" s="404" t="str">
        <f t="shared" si="221"/>
        <v xml:space="preserve"> </v>
      </c>
      <c r="Y158" s="237">
        <f t="shared" si="188"/>
        <v>1962846.8099999991</v>
      </c>
      <c r="Z158" s="394">
        <f t="shared" si="213"/>
        <v>0.13125000000000001</v>
      </c>
      <c r="AA158" s="237">
        <f t="shared" si="214"/>
        <v>2810.15</v>
      </c>
      <c r="AB158" s="237">
        <f t="shared" si="189"/>
        <v>-18658.489999999998</v>
      </c>
      <c r="AC158" s="237">
        <f t="shared" si="215"/>
        <v>21468.639999999999</v>
      </c>
      <c r="AD158" s="237">
        <f t="shared" ref="AD158:AE158" si="245">+AD157</f>
        <v>134.16999999999999</v>
      </c>
      <c r="AE158" s="237">
        <f t="shared" si="245"/>
        <v>188.55</v>
      </c>
      <c r="AF158" s="237">
        <f t="shared" si="191"/>
        <v>3132.8700000000017</v>
      </c>
      <c r="AG158" s="237">
        <f t="shared" si="192"/>
        <v>-995405.30000000016</v>
      </c>
      <c r="AH158" s="237">
        <f t="shared" si="193"/>
        <v>1775399.55</v>
      </c>
      <c r="AI158" s="412">
        <f t="shared" si="176"/>
        <v>162554.50000000026</v>
      </c>
      <c r="AJ158" s="412">
        <f t="shared" si="242"/>
        <v>-1435747.0699999989</v>
      </c>
      <c r="AK158" s="412">
        <f t="shared" si="177"/>
        <v>-1273192.5699999987</v>
      </c>
      <c r="AL158" s="237">
        <f t="shared" si="194"/>
        <v>1981505.2999999991</v>
      </c>
      <c r="AM158" s="318">
        <f t="shared" si="223"/>
        <v>11</v>
      </c>
      <c r="AN158" s="21">
        <f t="shared" si="178"/>
        <v>6591.25</v>
      </c>
      <c r="AO158" s="21">
        <f t="shared" si="153"/>
        <v>941233.23</v>
      </c>
      <c r="AP158" s="21">
        <f t="shared" si="179"/>
        <v>2810.15</v>
      </c>
      <c r="AQ158" s="21"/>
      <c r="AR158" s="23"/>
      <c r="AS158" s="21">
        <f t="shared" si="217"/>
        <v>6591.25</v>
      </c>
      <c r="AT158" s="21">
        <f t="shared" si="224"/>
        <v>942068.19</v>
      </c>
      <c r="AU158" s="237">
        <f t="shared" si="225"/>
        <v>2110.1744452363146</v>
      </c>
      <c r="AV158" s="237">
        <f t="shared" si="226"/>
        <v>255554.95253976213</v>
      </c>
    </row>
    <row r="159" spans="1:48">
      <c r="A159" s="401" t="str">
        <f t="shared" si="181"/>
        <v xml:space="preserve"> </v>
      </c>
      <c r="B159" s="185">
        <f t="shared" si="218"/>
        <v>0</v>
      </c>
      <c r="C159" s="14">
        <f t="shared" si="211"/>
        <v>0</v>
      </c>
      <c r="D159" s="14">
        <f t="shared" si="227"/>
        <v>0</v>
      </c>
      <c r="E159" s="14">
        <f t="shared" si="212"/>
        <v>0</v>
      </c>
      <c r="F159" s="14">
        <f t="shared" si="170"/>
        <v>0</v>
      </c>
      <c r="G159" s="14">
        <f t="shared" si="167"/>
        <v>0</v>
      </c>
      <c r="H159" s="14">
        <f t="shared" si="168"/>
        <v>0</v>
      </c>
      <c r="I159" s="185">
        <f t="shared" si="182"/>
        <v>0</v>
      </c>
      <c r="J159" s="185">
        <f t="shared" si="183"/>
        <v>0</v>
      </c>
      <c r="K159" s="185">
        <f t="shared" si="184"/>
        <v>0</v>
      </c>
      <c r="L159" s="317">
        <f t="shared" si="155"/>
        <v>11</v>
      </c>
      <c r="M159" s="317">
        <f t="shared" si="219"/>
        <v>143</v>
      </c>
      <c r="N159" s="185">
        <f t="shared" si="220"/>
        <v>545758.2300000001</v>
      </c>
      <c r="O159" s="185">
        <f t="shared" si="185"/>
        <v>6591.25</v>
      </c>
      <c r="P159" s="185">
        <f t="shared" si="228"/>
        <v>622.02000000000044</v>
      </c>
      <c r="Q159" s="185">
        <f t="shared" si="186"/>
        <v>5969.23</v>
      </c>
      <c r="R159" s="185">
        <f t="shared" si="173"/>
        <v>134.16999999999999</v>
      </c>
      <c r="S159" s="185">
        <f t="shared" si="174"/>
        <v>188.55</v>
      </c>
      <c r="T159" s="185">
        <f t="shared" si="171"/>
        <v>6913.97</v>
      </c>
      <c r="U159" s="185">
        <f t="shared" si="229"/>
        <v>45488.790000000008</v>
      </c>
      <c r="V159" s="185">
        <f t="shared" si="230"/>
        <v>903651.20999999973</v>
      </c>
      <c r="W159" s="185">
        <f t="shared" si="187"/>
        <v>545136.21000000008</v>
      </c>
      <c r="X159" s="401" t="str">
        <f t="shared" si="221"/>
        <v xml:space="preserve"> </v>
      </c>
      <c r="Y159" s="185">
        <f t="shared" si="188"/>
        <v>1981505.2999999991</v>
      </c>
      <c r="Z159" s="393">
        <f t="shared" si="213"/>
        <v>0.13125000000000001</v>
      </c>
      <c r="AA159" s="185">
        <f t="shared" si="214"/>
        <v>2810.15</v>
      </c>
      <c r="AB159" s="185">
        <f t="shared" si="189"/>
        <v>-18862.559999999998</v>
      </c>
      <c r="AC159" s="185">
        <f t="shared" si="215"/>
        <v>21672.71</v>
      </c>
      <c r="AD159" s="185">
        <f t="shared" ref="AD159:AE159" si="246">+AD158</f>
        <v>134.16999999999999</v>
      </c>
      <c r="AE159" s="185">
        <f t="shared" si="246"/>
        <v>188.55</v>
      </c>
      <c r="AF159" s="185">
        <f t="shared" si="191"/>
        <v>3132.8700000000017</v>
      </c>
      <c r="AG159" s="185">
        <f t="shared" si="192"/>
        <v>-1014267.8600000001</v>
      </c>
      <c r="AH159" s="185">
        <f t="shared" si="193"/>
        <v>1797072.26</v>
      </c>
      <c r="AI159" s="411">
        <f t="shared" si="176"/>
        <v>166335.60000000027</v>
      </c>
      <c r="AJ159" s="411">
        <f t="shared" si="242"/>
        <v>-1455231.649999999</v>
      </c>
      <c r="AK159" s="411">
        <f t="shared" si="177"/>
        <v>-1288896.0499999986</v>
      </c>
      <c r="AL159" s="185">
        <f t="shared" si="194"/>
        <v>2000367.8599999992</v>
      </c>
      <c r="AM159" s="317">
        <f t="shared" si="223"/>
        <v>11</v>
      </c>
      <c r="AN159" s="14">
        <f t="shared" si="178"/>
        <v>6591.25</v>
      </c>
      <c r="AO159" s="14">
        <f t="shared" si="153"/>
        <v>940611.21</v>
      </c>
      <c r="AP159" s="14">
        <f t="shared" si="179"/>
        <v>2810.15</v>
      </c>
      <c r="AS159" s="14">
        <f t="shared" si="217"/>
        <v>6591.25</v>
      </c>
      <c r="AT159" s="14">
        <f t="shared" si="224"/>
        <v>948659.44</v>
      </c>
      <c r="AU159" s="185">
        <f t="shared" si="225"/>
        <v>2115.4498813494051</v>
      </c>
      <c r="AV159" s="185">
        <f t="shared" si="226"/>
        <v>257670.40242111153</v>
      </c>
    </row>
    <row r="160" spans="1:48">
      <c r="A160" s="401" t="str">
        <f t="shared" si="181"/>
        <v xml:space="preserve"> </v>
      </c>
      <c r="B160" s="185">
        <f t="shared" si="218"/>
        <v>0</v>
      </c>
      <c r="C160" s="14">
        <f t="shared" si="211"/>
        <v>0</v>
      </c>
      <c r="D160" s="14">
        <f t="shared" si="227"/>
        <v>0</v>
      </c>
      <c r="E160" s="14">
        <f t="shared" si="212"/>
        <v>0</v>
      </c>
      <c r="F160" s="14">
        <f t="shared" si="170"/>
        <v>0</v>
      </c>
      <c r="G160" s="14">
        <f t="shared" si="167"/>
        <v>0</v>
      </c>
      <c r="H160" s="14">
        <f t="shared" si="168"/>
        <v>0</v>
      </c>
      <c r="I160" s="185">
        <f t="shared" si="182"/>
        <v>0</v>
      </c>
      <c r="J160" s="185">
        <f t="shared" si="183"/>
        <v>0</v>
      </c>
      <c r="K160" s="185">
        <f t="shared" si="184"/>
        <v>0</v>
      </c>
      <c r="L160" s="317">
        <f t="shared" si="155"/>
        <v>12</v>
      </c>
      <c r="M160" s="317">
        <f t="shared" si="219"/>
        <v>144</v>
      </c>
      <c r="N160" s="185">
        <f t="shared" si="220"/>
        <v>545136.21000000008</v>
      </c>
      <c r="O160" s="185">
        <f t="shared" si="185"/>
        <v>6591.25</v>
      </c>
      <c r="P160" s="185">
        <f t="shared" si="228"/>
        <v>628.81999999999971</v>
      </c>
      <c r="Q160" s="185">
        <f t="shared" si="186"/>
        <v>5962.43</v>
      </c>
      <c r="R160" s="185">
        <f t="shared" si="173"/>
        <v>134.16999999999999</v>
      </c>
      <c r="S160" s="185">
        <f t="shared" si="174"/>
        <v>188.55</v>
      </c>
      <c r="T160" s="185">
        <f t="shared" si="171"/>
        <v>6913.97</v>
      </c>
      <c r="U160" s="185">
        <f t="shared" si="229"/>
        <v>46117.610000000008</v>
      </c>
      <c r="V160" s="185">
        <f t="shared" si="230"/>
        <v>909613.63999999978</v>
      </c>
      <c r="W160" s="185">
        <f t="shared" si="187"/>
        <v>544507.39000000013</v>
      </c>
      <c r="X160" s="401" t="str">
        <f t="shared" si="221"/>
        <v xml:space="preserve"> </v>
      </c>
      <c r="Y160" s="185">
        <f t="shared" si="188"/>
        <v>2000367.8599999992</v>
      </c>
      <c r="Z160" s="393">
        <f t="shared" si="213"/>
        <v>0.13125000000000001</v>
      </c>
      <c r="AA160" s="185">
        <f t="shared" si="214"/>
        <v>2810.15</v>
      </c>
      <c r="AB160" s="185">
        <f t="shared" si="189"/>
        <v>-19068.87</v>
      </c>
      <c r="AC160" s="185">
        <f t="shared" si="215"/>
        <v>21879.02</v>
      </c>
      <c r="AD160" s="185">
        <f t="shared" ref="AD160:AE160" si="247">+AD159</f>
        <v>134.16999999999999</v>
      </c>
      <c r="AE160" s="185">
        <f t="shared" si="247"/>
        <v>188.55</v>
      </c>
      <c r="AF160" s="185">
        <f t="shared" si="191"/>
        <v>3132.8700000000017</v>
      </c>
      <c r="AG160" s="185">
        <f t="shared" si="192"/>
        <v>-1033336.7300000001</v>
      </c>
      <c r="AH160" s="185">
        <f t="shared" si="193"/>
        <v>1818951.28</v>
      </c>
      <c r="AI160" s="411">
        <f t="shared" si="176"/>
        <v>170116.70000000027</v>
      </c>
      <c r="AJ160" s="411">
        <f t="shared" si="242"/>
        <v>-1474929.3399999992</v>
      </c>
      <c r="AK160" s="411">
        <f t="shared" si="177"/>
        <v>-1304812.639999999</v>
      </c>
      <c r="AL160" s="185">
        <f t="shared" si="194"/>
        <v>2019436.7299999993</v>
      </c>
      <c r="AM160" s="317">
        <f t="shared" si="223"/>
        <v>12</v>
      </c>
      <c r="AN160" s="14">
        <f t="shared" si="178"/>
        <v>6591.25</v>
      </c>
      <c r="AO160" s="14">
        <f t="shared" si="153"/>
        <v>939982.39</v>
      </c>
      <c r="AP160" s="14">
        <f t="shared" si="179"/>
        <v>2810.15</v>
      </c>
      <c r="AS160" s="14">
        <f t="shared" si="217"/>
        <v>6591.25</v>
      </c>
      <c r="AT160" s="14">
        <f t="shared" si="224"/>
        <v>955250.69</v>
      </c>
      <c r="AU160" s="185">
        <f t="shared" si="225"/>
        <v>2120.7385060527786</v>
      </c>
      <c r="AV160" s="185">
        <f t="shared" si="226"/>
        <v>259791.14092716432</v>
      </c>
    </row>
    <row r="161" spans="1:48">
      <c r="A161" s="401" t="str">
        <f t="shared" si="181"/>
        <v xml:space="preserve"> </v>
      </c>
      <c r="B161" s="185">
        <f t="shared" si="218"/>
        <v>0</v>
      </c>
      <c r="C161" s="14">
        <f t="shared" si="211"/>
        <v>0</v>
      </c>
      <c r="D161" s="14">
        <f t="shared" si="227"/>
        <v>0</v>
      </c>
      <c r="E161" s="14">
        <f t="shared" si="212"/>
        <v>0</v>
      </c>
      <c r="F161" s="14">
        <f t="shared" si="170"/>
        <v>0</v>
      </c>
      <c r="G161" s="14">
        <f t="shared" si="167"/>
        <v>0</v>
      </c>
      <c r="H161" s="14">
        <f t="shared" si="168"/>
        <v>0</v>
      </c>
      <c r="I161" s="185">
        <f t="shared" si="182"/>
        <v>0</v>
      </c>
      <c r="J161" s="185">
        <f t="shared" si="183"/>
        <v>0</v>
      </c>
      <c r="K161" s="185">
        <f t="shared" si="184"/>
        <v>0</v>
      </c>
      <c r="L161" s="317">
        <f t="shared" si="155"/>
        <v>12</v>
      </c>
      <c r="M161" s="317">
        <f t="shared" si="219"/>
        <v>145</v>
      </c>
      <c r="N161" s="185">
        <f t="shared" si="220"/>
        <v>544507.39000000013</v>
      </c>
      <c r="O161" s="185">
        <f t="shared" si="185"/>
        <v>6591.25</v>
      </c>
      <c r="P161" s="185">
        <f t="shared" si="228"/>
        <v>635.69999999999982</v>
      </c>
      <c r="Q161" s="185">
        <f t="shared" si="186"/>
        <v>5955.55</v>
      </c>
      <c r="R161" s="185">
        <f t="shared" si="173"/>
        <v>134.16999999999999</v>
      </c>
      <c r="S161" s="185">
        <f t="shared" si="174"/>
        <v>188.55</v>
      </c>
      <c r="T161" s="185">
        <f t="shared" si="171"/>
        <v>6913.97</v>
      </c>
      <c r="U161" s="185">
        <f t="shared" si="229"/>
        <v>46753.310000000005</v>
      </c>
      <c r="V161" s="185">
        <f t="shared" si="230"/>
        <v>915569.18999999983</v>
      </c>
      <c r="W161" s="185">
        <f t="shared" si="187"/>
        <v>543871.69000000018</v>
      </c>
      <c r="X161" s="401" t="str">
        <f t="shared" si="221"/>
        <v xml:space="preserve"> </v>
      </c>
      <c r="Y161" s="185">
        <f t="shared" si="188"/>
        <v>2019436.7299999993</v>
      </c>
      <c r="Z161" s="393">
        <f t="shared" si="213"/>
        <v>0.13125000000000001</v>
      </c>
      <c r="AA161" s="185">
        <f t="shared" si="214"/>
        <v>2810.15</v>
      </c>
      <c r="AB161" s="185">
        <f t="shared" si="189"/>
        <v>-19277.439999999999</v>
      </c>
      <c r="AC161" s="185">
        <f t="shared" si="215"/>
        <v>22087.59</v>
      </c>
      <c r="AD161" s="185">
        <f t="shared" ref="AD161:AE161" si="248">+AD160</f>
        <v>134.16999999999999</v>
      </c>
      <c r="AE161" s="185">
        <f t="shared" si="248"/>
        <v>188.55</v>
      </c>
      <c r="AF161" s="185">
        <f t="shared" si="191"/>
        <v>3132.8700000000017</v>
      </c>
      <c r="AG161" s="185">
        <f t="shared" si="192"/>
        <v>-1052614.1700000002</v>
      </c>
      <c r="AH161" s="185">
        <f t="shared" si="193"/>
        <v>1841038.87</v>
      </c>
      <c r="AI161" s="411">
        <f t="shared" si="176"/>
        <v>173897.80000000028</v>
      </c>
      <c r="AJ161" s="411">
        <f t="shared" si="242"/>
        <v>-1494842.4799999991</v>
      </c>
      <c r="AK161" s="411">
        <f t="shared" si="177"/>
        <v>-1320944.6799999988</v>
      </c>
      <c r="AL161" s="185">
        <f t="shared" si="194"/>
        <v>2038714.1699999992</v>
      </c>
      <c r="AM161" s="317">
        <f t="shared" si="223"/>
        <v>12</v>
      </c>
      <c r="AN161" s="14">
        <f t="shared" si="178"/>
        <v>6591.25</v>
      </c>
      <c r="AO161" s="14">
        <f t="shared" si="153"/>
        <v>939346.69</v>
      </c>
      <c r="AP161" s="14">
        <f t="shared" si="179"/>
        <v>2810.15</v>
      </c>
      <c r="AS161" s="14">
        <f t="shared" si="217"/>
        <v>6591.25</v>
      </c>
      <c r="AT161" s="14">
        <f t="shared" si="224"/>
        <v>961841.94</v>
      </c>
      <c r="AU161" s="185">
        <f t="shared" si="225"/>
        <v>2126.0403523179107</v>
      </c>
      <c r="AV161" s="185">
        <f t="shared" si="226"/>
        <v>261917.18127948223</v>
      </c>
    </row>
    <row r="162" spans="1:48">
      <c r="A162" s="401" t="str">
        <f t="shared" si="181"/>
        <v xml:space="preserve"> </v>
      </c>
      <c r="B162" s="185">
        <f t="shared" si="218"/>
        <v>0</v>
      </c>
      <c r="C162" s="14">
        <f t="shared" si="211"/>
        <v>0</v>
      </c>
      <c r="D162" s="14">
        <f t="shared" si="227"/>
        <v>0</v>
      </c>
      <c r="E162" s="14">
        <f t="shared" si="212"/>
        <v>0</v>
      </c>
      <c r="F162" s="14">
        <f t="shared" si="170"/>
        <v>0</v>
      </c>
      <c r="G162" s="14">
        <f t="shared" si="167"/>
        <v>0</v>
      </c>
      <c r="H162" s="14">
        <f t="shared" si="168"/>
        <v>0</v>
      </c>
      <c r="I162" s="185">
        <f t="shared" si="182"/>
        <v>0</v>
      </c>
      <c r="J162" s="185">
        <f t="shared" si="183"/>
        <v>0</v>
      </c>
      <c r="K162" s="185">
        <f t="shared" si="184"/>
        <v>0</v>
      </c>
      <c r="L162" s="317">
        <f t="shared" si="155"/>
        <v>12</v>
      </c>
      <c r="M162" s="317">
        <f t="shared" si="219"/>
        <v>146</v>
      </c>
      <c r="N162" s="185">
        <f t="shared" si="220"/>
        <v>543871.69000000018</v>
      </c>
      <c r="O162" s="185">
        <f t="shared" si="185"/>
        <v>6591.25</v>
      </c>
      <c r="P162" s="185">
        <f t="shared" si="228"/>
        <v>642.64999999999964</v>
      </c>
      <c r="Q162" s="185">
        <f t="shared" si="186"/>
        <v>5948.6</v>
      </c>
      <c r="R162" s="185">
        <f t="shared" si="173"/>
        <v>134.16999999999999</v>
      </c>
      <c r="S162" s="185">
        <f t="shared" si="174"/>
        <v>188.55</v>
      </c>
      <c r="T162" s="185">
        <f t="shared" si="171"/>
        <v>6913.97</v>
      </c>
      <c r="U162" s="185">
        <f t="shared" si="229"/>
        <v>47395.960000000006</v>
      </c>
      <c r="V162" s="185">
        <f t="shared" si="230"/>
        <v>921517.7899999998</v>
      </c>
      <c r="W162" s="185">
        <f t="shared" si="187"/>
        <v>543229.04000000015</v>
      </c>
      <c r="X162" s="401" t="str">
        <f t="shared" si="221"/>
        <v xml:space="preserve"> </v>
      </c>
      <c r="Y162" s="185">
        <f t="shared" si="188"/>
        <v>2038714.1699999992</v>
      </c>
      <c r="Z162" s="393">
        <f t="shared" si="213"/>
        <v>0.13125000000000001</v>
      </c>
      <c r="AA162" s="185">
        <f t="shared" si="214"/>
        <v>2810.15</v>
      </c>
      <c r="AB162" s="185">
        <f t="shared" si="189"/>
        <v>-19488.289999999997</v>
      </c>
      <c r="AC162" s="185">
        <f t="shared" si="215"/>
        <v>22298.44</v>
      </c>
      <c r="AD162" s="185">
        <f t="shared" ref="AD162:AE162" si="249">+AD161</f>
        <v>134.16999999999999</v>
      </c>
      <c r="AE162" s="185">
        <f t="shared" si="249"/>
        <v>188.55</v>
      </c>
      <c r="AF162" s="185">
        <f t="shared" si="191"/>
        <v>3132.8700000000017</v>
      </c>
      <c r="AG162" s="185">
        <f t="shared" si="192"/>
        <v>-1072102.4600000002</v>
      </c>
      <c r="AH162" s="185">
        <f t="shared" si="193"/>
        <v>1863337.31</v>
      </c>
      <c r="AI162" s="411">
        <f t="shared" si="176"/>
        <v>177678.90000000029</v>
      </c>
      <c r="AJ162" s="411">
        <f t="shared" si="242"/>
        <v>-1514973.419999999</v>
      </c>
      <c r="AK162" s="411">
        <f t="shared" si="177"/>
        <v>-1337294.5199999986</v>
      </c>
      <c r="AL162" s="185">
        <f t="shared" si="194"/>
        <v>2058202.4599999993</v>
      </c>
      <c r="AM162" s="317">
        <f t="shared" si="223"/>
        <v>12</v>
      </c>
      <c r="AN162" s="14">
        <f t="shared" si="178"/>
        <v>6591.25</v>
      </c>
      <c r="AO162" s="14">
        <f t="shared" si="153"/>
        <v>938704.04</v>
      </c>
      <c r="AP162" s="14">
        <f t="shared" si="179"/>
        <v>2810.15</v>
      </c>
      <c r="AS162" s="14">
        <f t="shared" si="217"/>
        <v>6591.25</v>
      </c>
      <c r="AT162" s="14">
        <f t="shared" si="224"/>
        <v>968433.19</v>
      </c>
      <c r="AU162" s="185">
        <f t="shared" si="225"/>
        <v>2131.3554531987052</v>
      </c>
      <c r="AV162" s="185">
        <f t="shared" si="226"/>
        <v>264048.53673268092</v>
      </c>
    </row>
    <row r="163" spans="1:48">
      <c r="A163" s="401" t="str">
        <f t="shared" si="181"/>
        <v xml:space="preserve"> </v>
      </c>
      <c r="B163" s="185">
        <f t="shared" si="218"/>
        <v>0</v>
      </c>
      <c r="C163" s="14">
        <f t="shared" si="211"/>
        <v>0</v>
      </c>
      <c r="D163" s="14">
        <f t="shared" si="227"/>
        <v>0</v>
      </c>
      <c r="E163" s="14">
        <f t="shared" si="212"/>
        <v>0</v>
      </c>
      <c r="F163" s="14">
        <f t="shared" si="170"/>
        <v>0</v>
      </c>
      <c r="G163" s="14">
        <f t="shared" si="167"/>
        <v>0</v>
      </c>
      <c r="H163" s="14">
        <f t="shared" si="168"/>
        <v>0</v>
      </c>
      <c r="I163" s="185">
        <f t="shared" si="182"/>
        <v>0</v>
      </c>
      <c r="J163" s="185">
        <f t="shared" si="183"/>
        <v>0</v>
      </c>
      <c r="K163" s="185">
        <f t="shared" si="184"/>
        <v>0</v>
      </c>
      <c r="L163" s="317">
        <f t="shared" si="155"/>
        <v>12</v>
      </c>
      <c r="M163" s="317">
        <f t="shared" si="219"/>
        <v>147</v>
      </c>
      <c r="N163" s="185">
        <f t="shared" si="220"/>
        <v>543229.04000000015</v>
      </c>
      <c r="O163" s="185">
        <f t="shared" si="185"/>
        <v>6591.25</v>
      </c>
      <c r="P163" s="185">
        <f t="shared" si="228"/>
        <v>649.68000000000029</v>
      </c>
      <c r="Q163" s="185">
        <f t="shared" si="186"/>
        <v>5941.57</v>
      </c>
      <c r="R163" s="185">
        <f t="shared" si="173"/>
        <v>134.16999999999999</v>
      </c>
      <c r="S163" s="185">
        <f t="shared" si="174"/>
        <v>188.55</v>
      </c>
      <c r="T163" s="185">
        <f t="shared" si="171"/>
        <v>6913.97</v>
      </c>
      <c r="U163" s="185">
        <f t="shared" si="229"/>
        <v>48045.640000000007</v>
      </c>
      <c r="V163" s="185">
        <f t="shared" si="230"/>
        <v>927459.35999999975</v>
      </c>
      <c r="W163" s="185">
        <f t="shared" si="187"/>
        <v>542579.3600000001</v>
      </c>
      <c r="X163" s="401" t="str">
        <f t="shared" si="221"/>
        <v xml:space="preserve"> </v>
      </c>
      <c r="Y163" s="185">
        <f t="shared" si="188"/>
        <v>2058202.4599999993</v>
      </c>
      <c r="Z163" s="393">
        <f t="shared" si="213"/>
        <v>0.13125000000000001</v>
      </c>
      <c r="AA163" s="185">
        <f t="shared" si="214"/>
        <v>2810.15</v>
      </c>
      <c r="AB163" s="185">
        <f t="shared" si="189"/>
        <v>-19701.439999999999</v>
      </c>
      <c r="AC163" s="185">
        <f t="shared" si="215"/>
        <v>22511.59</v>
      </c>
      <c r="AD163" s="185">
        <f t="shared" ref="AD163:AE163" si="250">+AD162</f>
        <v>134.16999999999999</v>
      </c>
      <c r="AE163" s="185">
        <f t="shared" si="250"/>
        <v>188.55</v>
      </c>
      <c r="AF163" s="185">
        <f t="shared" si="191"/>
        <v>3132.8700000000017</v>
      </c>
      <c r="AG163" s="185">
        <f t="shared" si="192"/>
        <v>-1091803.9000000001</v>
      </c>
      <c r="AH163" s="185">
        <f t="shared" si="193"/>
        <v>1885848.9000000001</v>
      </c>
      <c r="AI163" s="411">
        <f t="shared" si="176"/>
        <v>181460.00000000029</v>
      </c>
      <c r="AJ163" s="411">
        <f t="shared" si="242"/>
        <v>-1535324.5399999991</v>
      </c>
      <c r="AK163" s="411">
        <f t="shared" si="177"/>
        <v>-1353864.5399999989</v>
      </c>
      <c r="AL163" s="185">
        <f t="shared" si="194"/>
        <v>2077903.8999999992</v>
      </c>
      <c r="AM163" s="317">
        <f t="shared" si="223"/>
        <v>12</v>
      </c>
      <c r="AN163" s="14">
        <f t="shared" si="178"/>
        <v>6591.25</v>
      </c>
      <c r="AO163" s="14">
        <f t="shared" si="153"/>
        <v>938054.36</v>
      </c>
      <c r="AP163" s="14">
        <f t="shared" si="179"/>
        <v>2810.15</v>
      </c>
      <c r="AS163" s="14">
        <f t="shared" si="217"/>
        <v>6591.25</v>
      </c>
      <c r="AT163" s="14">
        <f t="shared" si="224"/>
        <v>975024.44</v>
      </c>
      <c r="AU163" s="185">
        <f t="shared" si="225"/>
        <v>2136.683841831702</v>
      </c>
      <c r="AV163" s="185">
        <f t="shared" si="226"/>
        <v>266185.22057451261</v>
      </c>
    </row>
    <row r="164" spans="1:48">
      <c r="A164" s="401" t="str">
        <f t="shared" si="181"/>
        <v xml:space="preserve"> </v>
      </c>
      <c r="B164" s="185">
        <f t="shared" si="218"/>
        <v>0</v>
      </c>
      <c r="C164" s="14">
        <f t="shared" si="211"/>
        <v>0</v>
      </c>
      <c r="D164" s="14">
        <f t="shared" si="227"/>
        <v>0</v>
      </c>
      <c r="E164" s="14">
        <f t="shared" si="212"/>
        <v>0</v>
      </c>
      <c r="F164" s="14">
        <f t="shared" si="170"/>
        <v>0</v>
      </c>
      <c r="G164" s="14">
        <f t="shared" si="167"/>
        <v>0</v>
      </c>
      <c r="H164" s="14">
        <f t="shared" si="168"/>
        <v>0</v>
      </c>
      <c r="I164" s="185">
        <f t="shared" si="182"/>
        <v>0</v>
      </c>
      <c r="J164" s="185">
        <f t="shared" si="183"/>
        <v>0</v>
      </c>
      <c r="K164" s="185">
        <f t="shared" si="184"/>
        <v>0</v>
      </c>
      <c r="L164" s="317">
        <f t="shared" si="155"/>
        <v>12</v>
      </c>
      <c r="M164" s="317">
        <f t="shared" si="219"/>
        <v>148</v>
      </c>
      <c r="N164" s="185">
        <f t="shared" si="220"/>
        <v>542579.3600000001</v>
      </c>
      <c r="O164" s="185">
        <f t="shared" si="185"/>
        <v>6591.25</v>
      </c>
      <c r="P164" s="185">
        <f t="shared" si="228"/>
        <v>656.79</v>
      </c>
      <c r="Q164" s="185">
        <f t="shared" si="186"/>
        <v>5934.46</v>
      </c>
      <c r="R164" s="185">
        <f t="shared" si="173"/>
        <v>134.16999999999999</v>
      </c>
      <c r="S164" s="185">
        <f t="shared" si="174"/>
        <v>188.55</v>
      </c>
      <c r="T164" s="185">
        <f t="shared" si="171"/>
        <v>6913.97</v>
      </c>
      <c r="U164" s="185">
        <f t="shared" si="229"/>
        <v>48702.430000000008</v>
      </c>
      <c r="V164" s="185">
        <f t="shared" si="230"/>
        <v>933393.81999999972</v>
      </c>
      <c r="W164" s="185">
        <f t="shared" si="187"/>
        <v>541922.57000000007</v>
      </c>
      <c r="X164" s="401" t="str">
        <f t="shared" si="221"/>
        <v xml:space="preserve"> </v>
      </c>
      <c r="Y164" s="185">
        <f t="shared" si="188"/>
        <v>2077903.8999999992</v>
      </c>
      <c r="Z164" s="393">
        <f t="shared" si="213"/>
        <v>0.13125000000000001</v>
      </c>
      <c r="AA164" s="185">
        <f t="shared" si="214"/>
        <v>2810.15</v>
      </c>
      <c r="AB164" s="185">
        <f t="shared" si="189"/>
        <v>-19916.919999999998</v>
      </c>
      <c r="AC164" s="185">
        <f t="shared" si="215"/>
        <v>22727.07</v>
      </c>
      <c r="AD164" s="185">
        <f t="shared" ref="AD164:AE164" si="251">+AD163</f>
        <v>134.16999999999999</v>
      </c>
      <c r="AE164" s="185">
        <f t="shared" si="251"/>
        <v>188.55</v>
      </c>
      <c r="AF164" s="185">
        <f t="shared" si="191"/>
        <v>3132.8700000000017</v>
      </c>
      <c r="AG164" s="185">
        <f t="shared" si="192"/>
        <v>-1111720.82</v>
      </c>
      <c r="AH164" s="185">
        <f t="shared" si="193"/>
        <v>1908575.9700000002</v>
      </c>
      <c r="AI164" s="411">
        <f t="shared" si="176"/>
        <v>185241.1000000003</v>
      </c>
      <c r="AJ164" s="411">
        <f t="shared" si="242"/>
        <v>-1555898.2499999993</v>
      </c>
      <c r="AK164" s="411">
        <f t="shared" si="177"/>
        <v>-1370657.149999999</v>
      </c>
      <c r="AL164" s="185">
        <f t="shared" si="194"/>
        <v>2097820.8199999994</v>
      </c>
      <c r="AM164" s="317">
        <f t="shared" si="223"/>
        <v>12</v>
      </c>
      <c r="AN164" s="14">
        <f t="shared" si="178"/>
        <v>6591.25</v>
      </c>
      <c r="AO164" s="14">
        <f t="shared" si="153"/>
        <v>937397.57</v>
      </c>
      <c r="AP164" s="14">
        <f t="shared" si="179"/>
        <v>2810.15</v>
      </c>
      <c r="AS164" s="14">
        <f t="shared" si="217"/>
        <v>6591.25</v>
      </c>
      <c r="AT164" s="14">
        <f t="shared" si="224"/>
        <v>981615.69</v>
      </c>
      <c r="AU164" s="185">
        <f t="shared" si="225"/>
        <v>2142.0255514362811</v>
      </c>
      <c r="AV164" s="185">
        <f t="shared" si="226"/>
        <v>268327.24612594891</v>
      </c>
    </row>
    <row r="165" spans="1:48">
      <c r="A165" s="401" t="str">
        <f t="shared" si="181"/>
        <v xml:space="preserve"> </v>
      </c>
      <c r="B165" s="185">
        <f t="shared" si="218"/>
        <v>0</v>
      </c>
      <c r="C165" s="14">
        <f t="shared" si="211"/>
        <v>0</v>
      </c>
      <c r="D165" s="14">
        <f t="shared" si="227"/>
        <v>0</v>
      </c>
      <c r="E165" s="14">
        <f t="shared" si="212"/>
        <v>0</v>
      </c>
      <c r="F165" s="14">
        <f t="shared" si="170"/>
        <v>0</v>
      </c>
      <c r="G165" s="14">
        <f t="shared" si="167"/>
        <v>0</v>
      </c>
      <c r="H165" s="14">
        <f t="shared" si="168"/>
        <v>0</v>
      </c>
      <c r="I165" s="185">
        <f t="shared" si="182"/>
        <v>0</v>
      </c>
      <c r="J165" s="185">
        <f t="shared" si="183"/>
        <v>0</v>
      </c>
      <c r="K165" s="185">
        <f t="shared" si="184"/>
        <v>0</v>
      </c>
      <c r="L165" s="317">
        <f t="shared" si="155"/>
        <v>12</v>
      </c>
      <c r="M165" s="317">
        <f t="shared" si="219"/>
        <v>149</v>
      </c>
      <c r="N165" s="185">
        <f t="shared" si="220"/>
        <v>541922.57000000007</v>
      </c>
      <c r="O165" s="185">
        <f t="shared" si="185"/>
        <v>6591.25</v>
      </c>
      <c r="P165" s="185">
        <f t="shared" si="228"/>
        <v>663.97000000000025</v>
      </c>
      <c r="Q165" s="185">
        <f t="shared" si="186"/>
        <v>5927.28</v>
      </c>
      <c r="R165" s="185">
        <f t="shared" si="173"/>
        <v>134.16999999999999</v>
      </c>
      <c r="S165" s="185">
        <f t="shared" si="174"/>
        <v>188.55</v>
      </c>
      <c r="T165" s="185">
        <f t="shared" si="171"/>
        <v>6913.97</v>
      </c>
      <c r="U165" s="185">
        <f t="shared" si="229"/>
        <v>49366.400000000009</v>
      </c>
      <c r="V165" s="185">
        <f t="shared" si="230"/>
        <v>939321.09999999974</v>
      </c>
      <c r="W165" s="185">
        <f t="shared" si="187"/>
        <v>541258.60000000009</v>
      </c>
      <c r="X165" s="401" t="str">
        <f t="shared" si="221"/>
        <v xml:space="preserve"> </v>
      </c>
      <c r="Y165" s="185">
        <f t="shared" si="188"/>
        <v>2097820.8199999994</v>
      </c>
      <c r="Z165" s="393">
        <f t="shared" si="213"/>
        <v>0.13125000000000001</v>
      </c>
      <c r="AA165" s="185">
        <f t="shared" si="214"/>
        <v>2810.15</v>
      </c>
      <c r="AB165" s="185">
        <f t="shared" si="189"/>
        <v>-20134.769999999997</v>
      </c>
      <c r="AC165" s="185">
        <f t="shared" si="215"/>
        <v>22944.92</v>
      </c>
      <c r="AD165" s="185">
        <f t="shared" ref="AD165:AE165" si="252">+AD164</f>
        <v>134.16999999999999</v>
      </c>
      <c r="AE165" s="185">
        <f t="shared" si="252"/>
        <v>188.55</v>
      </c>
      <c r="AF165" s="185">
        <f t="shared" si="191"/>
        <v>3132.8700000000017</v>
      </c>
      <c r="AG165" s="185">
        <f t="shared" si="192"/>
        <v>-1131855.5900000001</v>
      </c>
      <c r="AH165" s="185">
        <f t="shared" si="193"/>
        <v>1931520.8900000001</v>
      </c>
      <c r="AI165" s="411">
        <f t="shared" si="176"/>
        <v>189022.2000000003</v>
      </c>
      <c r="AJ165" s="411">
        <f t="shared" si="242"/>
        <v>-1576696.9899999993</v>
      </c>
      <c r="AK165" s="411">
        <f t="shared" si="177"/>
        <v>-1387674.7899999991</v>
      </c>
      <c r="AL165" s="185">
        <f t="shared" si="194"/>
        <v>2117955.5899999994</v>
      </c>
      <c r="AM165" s="317">
        <f t="shared" si="223"/>
        <v>12</v>
      </c>
      <c r="AN165" s="14">
        <f t="shared" si="178"/>
        <v>6591.25</v>
      </c>
      <c r="AO165" s="14">
        <f t="shared" si="153"/>
        <v>936733.6</v>
      </c>
      <c r="AP165" s="14">
        <f t="shared" si="179"/>
        <v>2810.15</v>
      </c>
      <c r="AS165" s="14">
        <f t="shared" si="217"/>
        <v>6591.25</v>
      </c>
      <c r="AT165" s="14">
        <f t="shared" si="224"/>
        <v>988206.94</v>
      </c>
      <c r="AU165" s="185">
        <f t="shared" si="225"/>
        <v>2147.3806153148721</v>
      </c>
      <c r="AV165" s="185">
        <f t="shared" si="226"/>
        <v>270474.62674126378</v>
      </c>
    </row>
    <row r="166" spans="1:48">
      <c r="A166" s="401" t="str">
        <f t="shared" si="181"/>
        <v xml:space="preserve"> </v>
      </c>
      <c r="B166" s="185">
        <f t="shared" si="218"/>
        <v>0</v>
      </c>
      <c r="C166" s="14">
        <f t="shared" si="211"/>
        <v>0</v>
      </c>
      <c r="D166" s="14">
        <f t="shared" si="227"/>
        <v>0</v>
      </c>
      <c r="E166" s="14">
        <f t="shared" si="212"/>
        <v>0</v>
      </c>
      <c r="F166" s="14">
        <f t="shared" si="170"/>
        <v>0</v>
      </c>
      <c r="G166" s="14">
        <f t="shared" si="167"/>
        <v>0</v>
      </c>
      <c r="H166" s="14">
        <f t="shared" si="168"/>
        <v>0</v>
      </c>
      <c r="I166" s="185">
        <f t="shared" si="182"/>
        <v>0</v>
      </c>
      <c r="J166" s="185">
        <f t="shared" si="183"/>
        <v>0</v>
      </c>
      <c r="K166" s="185">
        <f t="shared" si="184"/>
        <v>0</v>
      </c>
      <c r="L166" s="317">
        <f t="shared" si="155"/>
        <v>12</v>
      </c>
      <c r="M166" s="317">
        <f t="shared" si="219"/>
        <v>150</v>
      </c>
      <c r="N166" s="185">
        <f t="shared" si="220"/>
        <v>541258.60000000009</v>
      </c>
      <c r="O166" s="185">
        <f t="shared" si="185"/>
        <v>6591.25</v>
      </c>
      <c r="P166" s="185">
        <f t="shared" si="228"/>
        <v>671.22999999999956</v>
      </c>
      <c r="Q166" s="185">
        <f t="shared" si="186"/>
        <v>5920.02</v>
      </c>
      <c r="R166" s="185">
        <f t="shared" si="173"/>
        <v>134.16999999999999</v>
      </c>
      <c r="S166" s="185">
        <f t="shared" si="174"/>
        <v>188.55</v>
      </c>
      <c r="T166" s="185">
        <f t="shared" si="171"/>
        <v>6913.97</v>
      </c>
      <c r="U166" s="185">
        <f t="shared" si="229"/>
        <v>50037.630000000005</v>
      </c>
      <c r="V166" s="185">
        <f t="shared" si="230"/>
        <v>945241.11999999976</v>
      </c>
      <c r="W166" s="185">
        <f t="shared" si="187"/>
        <v>540587.37000000011</v>
      </c>
      <c r="X166" s="401" t="str">
        <f t="shared" si="221"/>
        <v xml:space="preserve"> </v>
      </c>
      <c r="Y166" s="185">
        <f t="shared" si="188"/>
        <v>2117955.5899999994</v>
      </c>
      <c r="Z166" s="393">
        <f t="shared" si="213"/>
        <v>0.13125000000000001</v>
      </c>
      <c r="AA166" s="185">
        <f t="shared" si="214"/>
        <v>2810.15</v>
      </c>
      <c r="AB166" s="185">
        <f t="shared" si="189"/>
        <v>-20354.989999999998</v>
      </c>
      <c r="AC166" s="185">
        <f t="shared" si="215"/>
        <v>23165.14</v>
      </c>
      <c r="AD166" s="185">
        <f t="shared" ref="AD166:AE166" si="253">+AD165</f>
        <v>134.16999999999999</v>
      </c>
      <c r="AE166" s="185">
        <f t="shared" si="253"/>
        <v>188.55</v>
      </c>
      <c r="AF166" s="185">
        <f t="shared" si="191"/>
        <v>3132.8700000000017</v>
      </c>
      <c r="AG166" s="185">
        <f t="shared" si="192"/>
        <v>-1152210.58</v>
      </c>
      <c r="AH166" s="185">
        <f t="shared" si="193"/>
        <v>1954686.03</v>
      </c>
      <c r="AI166" s="411">
        <f t="shared" si="176"/>
        <v>192803.30000000031</v>
      </c>
      <c r="AJ166" s="411">
        <f t="shared" si="242"/>
        <v>-1597723.2099999995</v>
      </c>
      <c r="AK166" s="411">
        <f t="shared" si="177"/>
        <v>-1404919.9099999992</v>
      </c>
      <c r="AL166" s="185">
        <f t="shared" si="194"/>
        <v>2138310.5799999996</v>
      </c>
      <c r="AM166" s="317">
        <f t="shared" si="223"/>
        <v>12</v>
      </c>
      <c r="AN166" s="14">
        <f t="shared" si="178"/>
        <v>6591.25</v>
      </c>
      <c r="AO166" s="14">
        <f t="shared" si="153"/>
        <v>936062.37</v>
      </c>
      <c r="AP166" s="14">
        <f t="shared" si="179"/>
        <v>2810.15</v>
      </c>
      <c r="AS166" s="14">
        <f t="shared" si="217"/>
        <v>6591.25</v>
      </c>
      <c r="AT166" s="14">
        <f t="shared" si="224"/>
        <v>994798.19</v>
      </c>
      <c r="AU166" s="185">
        <f t="shared" si="225"/>
        <v>2152.7490668531595</v>
      </c>
      <c r="AV166" s="185">
        <f t="shared" si="226"/>
        <v>272627.37580811692</v>
      </c>
    </row>
    <row r="167" spans="1:48">
      <c r="A167" s="401" t="str">
        <f t="shared" si="181"/>
        <v xml:space="preserve"> </v>
      </c>
      <c r="B167" s="185">
        <f t="shared" si="218"/>
        <v>0</v>
      </c>
      <c r="C167" s="14">
        <f t="shared" si="211"/>
        <v>0</v>
      </c>
      <c r="D167" s="14">
        <f t="shared" si="227"/>
        <v>0</v>
      </c>
      <c r="E167" s="14">
        <f t="shared" si="212"/>
        <v>0</v>
      </c>
      <c r="F167" s="14">
        <f t="shared" si="170"/>
        <v>0</v>
      </c>
      <c r="G167" s="14">
        <f t="shared" si="167"/>
        <v>0</v>
      </c>
      <c r="H167" s="14">
        <f t="shared" si="168"/>
        <v>0</v>
      </c>
      <c r="I167" s="185">
        <f t="shared" si="182"/>
        <v>0</v>
      </c>
      <c r="J167" s="185">
        <f t="shared" si="183"/>
        <v>0</v>
      </c>
      <c r="K167" s="185">
        <f t="shared" si="184"/>
        <v>0</v>
      </c>
      <c r="L167" s="317">
        <f t="shared" si="155"/>
        <v>12</v>
      </c>
      <c r="M167" s="317">
        <f t="shared" si="219"/>
        <v>151</v>
      </c>
      <c r="N167" s="185">
        <f t="shared" si="220"/>
        <v>540587.37000000011</v>
      </c>
      <c r="O167" s="185">
        <f t="shared" si="185"/>
        <v>6591.25</v>
      </c>
      <c r="P167" s="185">
        <f t="shared" si="228"/>
        <v>678.57999999999993</v>
      </c>
      <c r="Q167" s="185">
        <f t="shared" si="186"/>
        <v>5912.67</v>
      </c>
      <c r="R167" s="185">
        <f t="shared" si="173"/>
        <v>134.16999999999999</v>
      </c>
      <c r="S167" s="185">
        <f t="shared" si="174"/>
        <v>188.55</v>
      </c>
      <c r="T167" s="185">
        <f t="shared" si="171"/>
        <v>6913.97</v>
      </c>
      <c r="U167" s="185">
        <f t="shared" si="229"/>
        <v>50716.210000000006</v>
      </c>
      <c r="V167" s="185">
        <f t="shared" si="230"/>
        <v>951153.7899999998</v>
      </c>
      <c r="W167" s="185">
        <f t="shared" si="187"/>
        <v>539908.79000000015</v>
      </c>
      <c r="X167" s="401" t="str">
        <f t="shared" si="221"/>
        <v xml:space="preserve"> </v>
      </c>
      <c r="Y167" s="185">
        <f t="shared" si="188"/>
        <v>2138310.5799999996</v>
      </c>
      <c r="Z167" s="393">
        <f t="shared" si="213"/>
        <v>0.13125000000000001</v>
      </c>
      <c r="AA167" s="185">
        <f t="shared" si="214"/>
        <v>2810.15</v>
      </c>
      <c r="AB167" s="185">
        <f t="shared" si="189"/>
        <v>-20577.62</v>
      </c>
      <c r="AC167" s="185">
        <f t="shared" si="215"/>
        <v>23387.77</v>
      </c>
      <c r="AD167" s="185">
        <f t="shared" ref="AD167:AE167" si="254">+AD166</f>
        <v>134.16999999999999</v>
      </c>
      <c r="AE167" s="185">
        <f t="shared" si="254"/>
        <v>188.55</v>
      </c>
      <c r="AF167" s="185">
        <f t="shared" si="191"/>
        <v>3132.8700000000017</v>
      </c>
      <c r="AG167" s="185">
        <f t="shared" si="192"/>
        <v>-1172788.2000000002</v>
      </c>
      <c r="AH167" s="185">
        <f t="shared" si="193"/>
        <v>1978073.8</v>
      </c>
      <c r="AI167" s="411">
        <f t="shared" si="176"/>
        <v>196584.40000000031</v>
      </c>
      <c r="AJ167" s="411">
        <f t="shared" si="242"/>
        <v>-1618979.4099999997</v>
      </c>
      <c r="AK167" s="411">
        <f t="shared" si="177"/>
        <v>-1422395.0099999993</v>
      </c>
      <c r="AL167" s="185">
        <f t="shared" si="194"/>
        <v>2158888.1999999997</v>
      </c>
      <c r="AM167" s="317">
        <f t="shared" si="223"/>
        <v>12</v>
      </c>
      <c r="AN167" s="14">
        <f t="shared" si="178"/>
        <v>6591.25</v>
      </c>
      <c r="AO167" s="14">
        <f t="shared" si="153"/>
        <v>935383.79</v>
      </c>
      <c r="AP167" s="14">
        <f t="shared" si="179"/>
        <v>2810.15</v>
      </c>
      <c r="AS167" s="14">
        <f t="shared" si="217"/>
        <v>6591.25</v>
      </c>
      <c r="AT167" s="14">
        <f t="shared" si="224"/>
        <v>1001389.44</v>
      </c>
      <c r="AU167" s="185">
        <f t="shared" si="225"/>
        <v>2158.1309395202925</v>
      </c>
      <c r="AV167" s="185">
        <f t="shared" si="226"/>
        <v>274785.50674763724</v>
      </c>
    </row>
    <row r="168" spans="1:48">
      <c r="A168" s="401" t="str">
        <f t="shared" si="181"/>
        <v xml:space="preserve"> </v>
      </c>
      <c r="B168" s="185">
        <f t="shared" si="218"/>
        <v>0</v>
      </c>
      <c r="C168" s="14">
        <f t="shared" si="211"/>
        <v>0</v>
      </c>
      <c r="D168" s="14">
        <f t="shared" si="227"/>
        <v>0</v>
      </c>
      <c r="E168" s="14">
        <f t="shared" si="212"/>
        <v>0</v>
      </c>
      <c r="F168" s="14">
        <f t="shared" si="170"/>
        <v>0</v>
      </c>
      <c r="G168" s="14">
        <f t="shared" si="167"/>
        <v>0</v>
      </c>
      <c r="H168" s="14">
        <f t="shared" si="168"/>
        <v>0</v>
      </c>
      <c r="I168" s="185">
        <f t="shared" si="182"/>
        <v>0</v>
      </c>
      <c r="J168" s="185">
        <f t="shared" si="183"/>
        <v>0</v>
      </c>
      <c r="K168" s="185">
        <f t="shared" si="184"/>
        <v>0</v>
      </c>
      <c r="L168" s="317">
        <f t="shared" si="155"/>
        <v>12</v>
      </c>
      <c r="M168" s="317">
        <f t="shared" si="219"/>
        <v>152</v>
      </c>
      <c r="N168" s="185">
        <f t="shared" si="220"/>
        <v>539908.79000000015</v>
      </c>
      <c r="O168" s="185">
        <f t="shared" si="185"/>
        <v>6591.25</v>
      </c>
      <c r="P168" s="185">
        <f t="shared" si="228"/>
        <v>686</v>
      </c>
      <c r="Q168" s="185">
        <f t="shared" si="186"/>
        <v>5905.25</v>
      </c>
      <c r="R168" s="185">
        <f t="shared" si="173"/>
        <v>134.16999999999999</v>
      </c>
      <c r="S168" s="185">
        <f t="shared" si="174"/>
        <v>188.55</v>
      </c>
      <c r="T168" s="185">
        <f t="shared" si="171"/>
        <v>6913.97</v>
      </c>
      <c r="U168" s="185">
        <f t="shared" si="229"/>
        <v>51402.210000000006</v>
      </c>
      <c r="V168" s="185">
        <f t="shared" si="230"/>
        <v>957059.0399999998</v>
      </c>
      <c r="W168" s="185">
        <f t="shared" si="187"/>
        <v>539222.79000000015</v>
      </c>
      <c r="X168" s="401" t="str">
        <f t="shared" si="221"/>
        <v xml:space="preserve"> </v>
      </c>
      <c r="Y168" s="185">
        <f t="shared" si="188"/>
        <v>2158888.1999999997</v>
      </c>
      <c r="Z168" s="393">
        <f t="shared" si="213"/>
        <v>0.13125000000000001</v>
      </c>
      <c r="AA168" s="185">
        <f t="shared" si="214"/>
        <v>2810.15</v>
      </c>
      <c r="AB168" s="185">
        <f t="shared" si="189"/>
        <v>-20802.689999999999</v>
      </c>
      <c r="AC168" s="185">
        <f t="shared" si="215"/>
        <v>23612.84</v>
      </c>
      <c r="AD168" s="185">
        <f t="shared" ref="AD168:AE168" si="255">+AD167</f>
        <v>134.16999999999999</v>
      </c>
      <c r="AE168" s="185">
        <f t="shared" si="255"/>
        <v>188.55</v>
      </c>
      <c r="AF168" s="185">
        <f t="shared" si="191"/>
        <v>3132.8700000000017</v>
      </c>
      <c r="AG168" s="185">
        <f t="shared" si="192"/>
        <v>-1193590.8900000001</v>
      </c>
      <c r="AH168" s="185">
        <f t="shared" si="193"/>
        <v>2001686.6400000001</v>
      </c>
      <c r="AI168" s="411">
        <f t="shared" si="176"/>
        <v>200365.50000000032</v>
      </c>
      <c r="AJ168" s="411">
        <f t="shared" si="242"/>
        <v>-1640468.0999999996</v>
      </c>
      <c r="AK168" s="411">
        <f t="shared" si="177"/>
        <v>-1440102.5999999994</v>
      </c>
      <c r="AL168" s="185">
        <f t="shared" si="194"/>
        <v>2179690.8899999997</v>
      </c>
      <c r="AM168" s="317">
        <f t="shared" si="223"/>
        <v>12</v>
      </c>
      <c r="AN168" s="14">
        <f t="shared" si="178"/>
        <v>6591.25</v>
      </c>
      <c r="AO168" s="14">
        <f t="shared" si="153"/>
        <v>934697.79</v>
      </c>
      <c r="AP168" s="14">
        <f t="shared" si="179"/>
        <v>2810.15</v>
      </c>
      <c r="AS168" s="14">
        <f t="shared" si="217"/>
        <v>6591.25</v>
      </c>
      <c r="AT168" s="14">
        <f t="shared" si="224"/>
        <v>1007980.69</v>
      </c>
      <c r="AU168" s="185">
        <f t="shared" si="225"/>
        <v>2163.526266869093</v>
      </c>
      <c r="AV168" s="185">
        <f t="shared" si="226"/>
        <v>276949.03301450633</v>
      </c>
    </row>
    <row r="169" spans="1:48">
      <c r="A169" s="401" t="str">
        <f t="shared" si="181"/>
        <v xml:space="preserve"> </v>
      </c>
      <c r="B169" s="185">
        <f t="shared" si="218"/>
        <v>0</v>
      </c>
      <c r="C169" s="14">
        <f t="shared" si="211"/>
        <v>0</v>
      </c>
      <c r="D169" s="14">
        <f t="shared" si="227"/>
        <v>0</v>
      </c>
      <c r="E169" s="14">
        <f t="shared" si="212"/>
        <v>0</v>
      </c>
      <c r="F169" s="14">
        <f t="shared" si="170"/>
        <v>0</v>
      </c>
      <c r="G169" s="14">
        <f t="shared" si="167"/>
        <v>0</v>
      </c>
      <c r="H169" s="14">
        <f t="shared" si="168"/>
        <v>0</v>
      </c>
      <c r="I169" s="185">
        <f t="shared" si="182"/>
        <v>0</v>
      </c>
      <c r="J169" s="185">
        <f t="shared" si="183"/>
        <v>0</v>
      </c>
      <c r="K169" s="185">
        <f t="shared" si="184"/>
        <v>0</v>
      </c>
      <c r="L169" s="317">
        <f t="shared" si="155"/>
        <v>12</v>
      </c>
      <c r="M169" s="317">
        <f t="shared" si="219"/>
        <v>153</v>
      </c>
      <c r="N169" s="185">
        <f t="shared" si="220"/>
        <v>539222.79000000015</v>
      </c>
      <c r="O169" s="185">
        <f t="shared" si="185"/>
        <v>6591.25</v>
      </c>
      <c r="P169" s="185">
        <f t="shared" si="228"/>
        <v>693.5</v>
      </c>
      <c r="Q169" s="185">
        <f t="shared" si="186"/>
        <v>5897.75</v>
      </c>
      <c r="R169" s="185">
        <f t="shared" si="173"/>
        <v>134.16999999999999</v>
      </c>
      <c r="S169" s="185">
        <f t="shared" si="174"/>
        <v>188.55</v>
      </c>
      <c r="T169" s="185">
        <f t="shared" si="171"/>
        <v>6913.97</v>
      </c>
      <c r="U169" s="185">
        <f t="shared" si="229"/>
        <v>52095.710000000006</v>
      </c>
      <c r="V169" s="185">
        <f t="shared" si="230"/>
        <v>962956.7899999998</v>
      </c>
      <c r="W169" s="185">
        <f t="shared" si="187"/>
        <v>538529.29000000015</v>
      </c>
      <c r="X169" s="401" t="str">
        <f t="shared" si="221"/>
        <v xml:space="preserve"> </v>
      </c>
      <c r="Y169" s="185">
        <f t="shared" si="188"/>
        <v>2179690.8899999997</v>
      </c>
      <c r="Z169" s="393">
        <f t="shared" si="213"/>
        <v>0.13125000000000001</v>
      </c>
      <c r="AA169" s="185">
        <f t="shared" si="214"/>
        <v>2810.15</v>
      </c>
      <c r="AB169" s="185">
        <f t="shared" si="189"/>
        <v>-21030.219999999998</v>
      </c>
      <c r="AC169" s="185">
        <f t="shared" si="215"/>
        <v>23840.37</v>
      </c>
      <c r="AD169" s="185">
        <f t="shared" ref="AD169:AE169" si="256">+AD168</f>
        <v>134.16999999999999</v>
      </c>
      <c r="AE169" s="185">
        <f t="shared" si="256"/>
        <v>188.55</v>
      </c>
      <c r="AF169" s="185">
        <f t="shared" si="191"/>
        <v>3132.8700000000017</v>
      </c>
      <c r="AG169" s="185">
        <f t="shared" si="192"/>
        <v>-1214621.1100000001</v>
      </c>
      <c r="AH169" s="185">
        <f t="shared" si="193"/>
        <v>2025527.0100000002</v>
      </c>
      <c r="AI169" s="411">
        <f t="shared" si="176"/>
        <v>204146.60000000033</v>
      </c>
      <c r="AJ169" s="411">
        <f t="shared" si="242"/>
        <v>-1662191.8199999998</v>
      </c>
      <c r="AK169" s="411">
        <f t="shared" si="177"/>
        <v>-1458045.2199999995</v>
      </c>
      <c r="AL169" s="185">
        <f t="shared" si="194"/>
        <v>2200721.11</v>
      </c>
      <c r="AM169" s="317">
        <f t="shared" si="223"/>
        <v>12</v>
      </c>
      <c r="AN169" s="14">
        <f t="shared" si="178"/>
        <v>6591.25</v>
      </c>
      <c r="AO169" s="14">
        <f t="shared" si="153"/>
        <v>934004.29</v>
      </c>
      <c r="AP169" s="14">
        <f t="shared" si="179"/>
        <v>2810.15</v>
      </c>
      <c r="AS169" s="14">
        <f t="shared" si="217"/>
        <v>6591.25</v>
      </c>
      <c r="AT169" s="14">
        <f t="shared" si="224"/>
        <v>1014571.94</v>
      </c>
      <c r="AU169" s="185">
        <f t="shared" si="225"/>
        <v>2168.9350825362658</v>
      </c>
      <c r="AV169" s="185">
        <f t="shared" si="226"/>
        <v>279117.96809704258</v>
      </c>
    </row>
    <row r="170" spans="1:48" ht="15.75" thickBot="1">
      <c r="A170" s="404" t="str">
        <f t="shared" si="181"/>
        <v xml:space="preserve"> </v>
      </c>
      <c r="B170" s="237">
        <f t="shared" si="218"/>
        <v>0</v>
      </c>
      <c r="C170" s="21">
        <f t="shared" si="211"/>
        <v>0</v>
      </c>
      <c r="D170" s="21">
        <f t="shared" si="227"/>
        <v>0</v>
      </c>
      <c r="E170" s="21">
        <f t="shared" si="212"/>
        <v>0</v>
      </c>
      <c r="F170" s="21">
        <f t="shared" si="170"/>
        <v>0</v>
      </c>
      <c r="G170" s="21">
        <f t="shared" si="167"/>
        <v>0</v>
      </c>
      <c r="H170" s="21">
        <f t="shared" si="168"/>
        <v>0</v>
      </c>
      <c r="I170" s="237">
        <f t="shared" si="182"/>
        <v>0</v>
      </c>
      <c r="J170" s="237">
        <f t="shared" si="183"/>
        <v>0</v>
      </c>
      <c r="K170" s="237">
        <f t="shared" si="184"/>
        <v>0</v>
      </c>
      <c r="L170" s="318">
        <f t="shared" si="155"/>
        <v>12</v>
      </c>
      <c r="M170" s="318">
        <f t="shared" si="219"/>
        <v>154</v>
      </c>
      <c r="N170" s="237">
        <f t="shared" si="220"/>
        <v>538529.29000000015</v>
      </c>
      <c r="O170" s="237">
        <f t="shared" si="185"/>
        <v>6591.25</v>
      </c>
      <c r="P170" s="237">
        <f t="shared" si="228"/>
        <v>701.09000000000015</v>
      </c>
      <c r="Q170" s="237">
        <f t="shared" si="186"/>
        <v>5890.16</v>
      </c>
      <c r="R170" s="237">
        <f t="shared" si="173"/>
        <v>134.16999999999999</v>
      </c>
      <c r="S170" s="237">
        <f t="shared" si="174"/>
        <v>188.55</v>
      </c>
      <c r="T170" s="237">
        <f t="shared" si="171"/>
        <v>6913.97</v>
      </c>
      <c r="U170" s="237">
        <f t="shared" si="229"/>
        <v>52796.800000000003</v>
      </c>
      <c r="V170" s="237">
        <f t="shared" si="230"/>
        <v>968846.94999999984</v>
      </c>
      <c r="W170" s="237">
        <f t="shared" si="187"/>
        <v>537828.20000000019</v>
      </c>
      <c r="X170" s="404" t="str">
        <f t="shared" si="221"/>
        <v xml:space="preserve"> </v>
      </c>
      <c r="Y170" s="237">
        <f t="shared" si="188"/>
        <v>2200721.11</v>
      </c>
      <c r="Z170" s="394">
        <f t="shared" si="213"/>
        <v>0.13125000000000001</v>
      </c>
      <c r="AA170" s="237">
        <f t="shared" si="214"/>
        <v>2810.15</v>
      </c>
      <c r="AB170" s="237">
        <f t="shared" si="189"/>
        <v>-21260.239999999998</v>
      </c>
      <c r="AC170" s="237">
        <f t="shared" si="215"/>
        <v>24070.39</v>
      </c>
      <c r="AD170" s="237">
        <f t="shared" ref="AD170:AE170" si="257">+AD169</f>
        <v>134.16999999999999</v>
      </c>
      <c r="AE170" s="237">
        <f t="shared" si="257"/>
        <v>188.55</v>
      </c>
      <c r="AF170" s="237">
        <f t="shared" si="191"/>
        <v>3132.8700000000017</v>
      </c>
      <c r="AG170" s="237">
        <f t="shared" si="192"/>
        <v>-1235881.3500000001</v>
      </c>
      <c r="AH170" s="237">
        <f t="shared" si="193"/>
        <v>2049597.4000000001</v>
      </c>
      <c r="AI170" s="412">
        <f t="shared" si="176"/>
        <v>207927.70000000033</v>
      </c>
      <c r="AJ170" s="412">
        <f t="shared" si="242"/>
        <v>-1684153.15</v>
      </c>
      <c r="AK170" s="411">
        <f t="shared" si="177"/>
        <v>-1476225.4499999995</v>
      </c>
      <c r="AL170" s="237">
        <f t="shared" si="194"/>
        <v>2221981.35</v>
      </c>
      <c r="AM170" s="318">
        <f t="shared" si="223"/>
        <v>12</v>
      </c>
      <c r="AN170" s="21">
        <f t="shared" si="178"/>
        <v>6591.25</v>
      </c>
      <c r="AO170" s="21">
        <f t="shared" si="153"/>
        <v>933303.2</v>
      </c>
      <c r="AP170" s="21">
        <f t="shared" si="179"/>
        <v>2810.15</v>
      </c>
      <c r="AQ170" s="21"/>
      <c r="AR170" s="23"/>
      <c r="AS170" s="21">
        <f t="shared" si="217"/>
        <v>6591.25</v>
      </c>
      <c r="AT170" s="21">
        <f t="shared" si="224"/>
        <v>1021163.19</v>
      </c>
      <c r="AU170" s="237">
        <f t="shared" si="225"/>
        <v>2174.3574202426062</v>
      </c>
      <c r="AV170" s="237">
        <f t="shared" si="226"/>
        <v>281292.32551728521</v>
      </c>
    </row>
    <row r="171" spans="1:48">
      <c r="A171" s="401" t="str">
        <f t="shared" si="181"/>
        <v xml:space="preserve"> </v>
      </c>
      <c r="B171" s="185">
        <f t="shared" si="218"/>
        <v>0</v>
      </c>
      <c r="C171" s="14">
        <f t="shared" si="211"/>
        <v>0</v>
      </c>
      <c r="D171" s="14">
        <f t="shared" si="227"/>
        <v>0</v>
      </c>
      <c r="E171" s="14">
        <f t="shared" si="212"/>
        <v>0</v>
      </c>
      <c r="F171" s="14">
        <f t="shared" si="170"/>
        <v>0</v>
      </c>
      <c r="G171" s="14">
        <f t="shared" si="167"/>
        <v>0</v>
      </c>
      <c r="H171" s="14">
        <f t="shared" si="168"/>
        <v>0</v>
      </c>
      <c r="I171" s="185">
        <f t="shared" si="182"/>
        <v>0</v>
      </c>
      <c r="J171" s="185">
        <f t="shared" si="183"/>
        <v>0</v>
      </c>
      <c r="K171" s="185">
        <f t="shared" si="184"/>
        <v>0</v>
      </c>
      <c r="L171" s="317">
        <f t="shared" si="155"/>
        <v>12</v>
      </c>
      <c r="M171" s="317">
        <f t="shared" si="219"/>
        <v>155</v>
      </c>
      <c r="N171" s="185">
        <f t="shared" si="220"/>
        <v>537828.20000000019</v>
      </c>
      <c r="O171" s="185">
        <f t="shared" si="185"/>
        <v>6591.25</v>
      </c>
      <c r="P171" s="185">
        <f t="shared" si="228"/>
        <v>708.75</v>
      </c>
      <c r="Q171" s="185">
        <f t="shared" si="186"/>
        <v>5882.5</v>
      </c>
      <c r="R171" s="185">
        <f t="shared" si="173"/>
        <v>134.16999999999999</v>
      </c>
      <c r="S171" s="185">
        <f t="shared" si="174"/>
        <v>188.55</v>
      </c>
      <c r="T171" s="185">
        <f t="shared" si="171"/>
        <v>6913.97</v>
      </c>
      <c r="U171" s="185">
        <f t="shared" si="229"/>
        <v>53505.55</v>
      </c>
      <c r="V171" s="185">
        <f t="shared" si="230"/>
        <v>974729.44999999984</v>
      </c>
      <c r="W171" s="185">
        <f t="shared" si="187"/>
        <v>537119.45000000019</v>
      </c>
      <c r="X171" s="401" t="str">
        <f t="shared" si="221"/>
        <v xml:space="preserve"> </v>
      </c>
      <c r="Y171" s="185">
        <f t="shared" si="188"/>
        <v>2221981.35</v>
      </c>
      <c r="Z171" s="393">
        <f t="shared" si="213"/>
        <v>0.13125000000000001</v>
      </c>
      <c r="AA171" s="185">
        <f t="shared" si="214"/>
        <v>2810.15</v>
      </c>
      <c r="AB171" s="185">
        <f t="shared" si="189"/>
        <v>-21492.769999999997</v>
      </c>
      <c r="AC171" s="185">
        <f t="shared" si="215"/>
        <v>24302.92</v>
      </c>
      <c r="AD171" s="185">
        <f t="shared" ref="AD171:AE171" si="258">+AD170</f>
        <v>134.16999999999999</v>
      </c>
      <c r="AE171" s="185">
        <f t="shared" si="258"/>
        <v>188.55</v>
      </c>
      <c r="AF171" s="185">
        <f t="shared" si="191"/>
        <v>3132.8700000000017</v>
      </c>
      <c r="AG171" s="185">
        <f t="shared" si="192"/>
        <v>-1257374.1200000001</v>
      </c>
      <c r="AH171" s="185">
        <f t="shared" si="193"/>
        <v>2073900.32</v>
      </c>
      <c r="AI171" s="411">
        <f t="shared" si="176"/>
        <v>211708.80000000034</v>
      </c>
      <c r="AJ171" s="411">
        <f t="shared" si="242"/>
        <v>-1706354.67</v>
      </c>
      <c r="AK171" s="411">
        <f t="shared" si="177"/>
        <v>-1494645.8699999996</v>
      </c>
      <c r="AL171" s="185">
        <f t="shared" si="194"/>
        <v>2243474.12</v>
      </c>
      <c r="AM171" s="317">
        <f t="shared" si="223"/>
        <v>12</v>
      </c>
      <c r="AN171" s="14">
        <f t="shared" si="178"/>
        <v>6591.25</v>
      </c>
      <c r="AO171" s="14">
        <f t="shared" si="153"/>
        <v>932594.45</v>
      </c>
      <c r="AP171" s="14">
        <f t="shared" si="179"/>
        <v>2810.15</v>
      </c>
      <c r="AS171" s="14">
        <f t="shared" si="217"/>
        <v>6591.25</v>
      </c>
      <c r="AT171" s="14">
        <f t="shared" si="224"/>
        <v>1027754.44</v>
      </c>
      <c r="AU171" s="185">
        <f t="shared" si="225"/>
        <v>2179.7933137932127</v>
      </c>
      <c r="AV171" s="185">
        <f t="shared" si="226"/>
        <v>283472.11883107841</v>
      </c>
    </row>
    <row r="172" spans="1:48">
      <c r="A172" s="401" t="str">
        <f t="shared" si="181"/>
        <v xml:space="preserve"> </v>
      </c>
      <c r="B172" s="185">
        <f t="shared" si="218"/>
        <v>0</v>
      </c>
      <c r="C172" s="14">
        <f t="shared" si="211"/>
        <v>0</v>
      </c>
      <c r="D172" s="14">
        <f t="shared" si="227"/>
        <v>0</v>
      </c>
      <c r="E172" s="14">
        <f t="shared" si="212"/>
        <v>0</v>
      </c>
      <c r="F172" s="14">
        <f t="shared" si="170"/>
        <v>0</v>
      </c>
      <c r="G172" s="14">
        <f t="shared" si="167"/>
        <v>0</v>
      </c>
      <c r="H172" s="14">
        <f t="shared" si="168"/>
        <v>0</v>
      </c>
      <c r="I172" s="185">
        <f t="shared" si="182"/>
        <v>0</v>
      </c>
      <c r="J172" s="185">
        <f t="shared" si="183"/>
        <v>0</v>
      </c>
      <c r="K172" s="185">
        <f t="shared" si="184"/>
        <v>0</v>
      </c>
      <c r="L172" s="317">
        <f t="shared" si="155"/>
        <v>13</v>
      </c>
      <c r="M172" s="317">
        <f t="shared" si="219"/>
        <v>156</v>
      </c>
      <c r="N172" s="185">
        <f t="shared" si="220"/>
        <v>537119.45000000019</v>
      </c>
      <c r="O172" s="185">
        <f t="shared" si="185"/>
        <v>6591.25</v>
      </c>
      <c r="P172" s="185">
        <f t="shared" si="228"/>
        <v>716.51000000000022</v>
      </c>
      <c r="Q172" s="185">
        <f t="shared" si="186"/>
        <v>5874.74</v>
      </c>
      <c r="R172" s="185">
        <f t="shared" si="173"/>
        <v>134.16999999999999</v>
      </c>
      <c r="S172" s="185">
        <f t="shared" si="174"/>
        <v>188.55</v>
      </c>
      <c r="T172" s="185">
        <f t="shared" si="171"/>
        <v>6913.97</v>
      </c>
      <c r="U172" s="185">
        <f t="shared" si="229"/>
        <v>54222.060000000005</v>
      </c>
      <c r="V172" s="185">
        <f t="shared" si="230"/>
        <v>980604.18999999983</v>
      </c>
      <c r="W172" s="185">
        <f t="shared" si="187"/>
        <v>536402.94000000018</v>
      </c>
      <c r="X172" s="401" t="str">
        <f t="shared" si="221"/>
        <v xml:space="preserve"> </v>
      </c>
      <c r="Y172" s="185">
        <f t="shared" si="188"/>
        <v>2243474.12</v>
      </c>
      <c r="Z172" s="393">
        <f t="shared" si="213"/>
        <v>0.13125000000000001</v>
      </c>
      <c r="AA172" s="185">
        <f t="shared" si="214"/>
        <v>2810.15</v>
      </c>
      <c r="AB172" s="185">
        <f t="shared" si="189"/>
        <v>-21727.85</v>
      </c>
      <c r="AC172" s="185">
        <f t="shared" si="215"/>
        <v>24538</v>
      </c>
      <c r="AD172" s="185">
        <f t="shared" ref="AD172:AE172" si="259">+AD171</f>
        <v>134.16999999999999</v>
      </c>
      <c r="AE172" s="185">
        <f t="shared" si="259"/>
        <v>188.55</v>
      </c>
      <c r="AF172" s="185">
        <f t="shared" si="191"/>
        <v>3132.8700000000017</v>
      </c>
      <c r="AG172" s="185">
        <f t="shared" si="192"/>
        <v>-1279101.9700000002</v>
      </c>
      <c r="AH172" s="185">
        <f t="shared" si="193"/>
        <v>2098438.3200000003</v>
      </c>
      <c r="AI172" s="411">
        <f t="shared" si="176"/>
        <v>215489.90000000034</v>
      </c>
      <c r="AJ172" s="411">
        <f t="shared" si="242"/>
        <v>-1728799.03</v>
      </c>
      <c r="AK172" s="411">
        <f t="shared" si="177"/>
        <v>-1513309.1299999997</v>
      </c>
      <c r="AL172" s="185">
        <f t="shared" si="194"/>
        <v>2265201.9700000002</v>
      </c>
      <c r="AM172" s="317">
        <f t="shared" si="223"/>
        <v>13</v>
      </c>
      <c r="AN172" s="14">
        <f t="shared" si="178"/>
        <v>6591.25</v>
      </c>
      <c r="AO172" s="14">
        <f t="shared" si="153"/>
        <v>931877.94</v>
      </c>
      <c r="AP172" s="14">
        <f t="shared" si="179"/>
        <v>2810.15</v>
      </c>
      <c r="AS172" s="14">
        <f t="shared" si="217"/>
        <v>6591.25</v>
      </c>
      <c r="AT172" s="14">
        <f t="shared" si="224"/>
        <v>1034345.69</v>
      </c>
      <c r="AU172" s="185">
        <f t="shared" si="225"/>
        <v>2185.2427970776957</v>
      </c>
      <c r="AV172" s="185">
        <f t="shared" si="226"/>
        <v>285657.3616281561</v>
      </c>
    </row>
    <row r="173" spans="1:48">
      <c r="A173" s="401" t="str">
        <f t="shared" si="181"/>
        <v xml:space="preserve"> </v>
      </c>
      <c r="B173" s="185">
        <f t="shared" si="218"/>
        <v>0</v>
      </c>
      <c r="C173" s="14">
        <f t="shared" si="211"/>
        <v>0</v>
      </c>
      <c r="D173" s="14">
        <f t="shared" si="227"/>
        <v>0</v>
      </c>
      <c r="E173" s="14">
        <f t="shared" si="212"/>
        <v>0</v>
      </c>
      <c r="F173" s="14">
        <f t="shared" si="170"/>
        <v>0</v>
      </c>
      <c r="G173" s="14">
        <f t="shared" si="167"/>
        <v>0</v>
      </c>
      <c r="H173" s="14">
        <f t="shared" si="168"/>
        <v>0</v>
      </c>
      <c r="I173" s="185">
        <f t="shared" si="182"/>
        <v>0</v>
      </c>
      <c r="J173" s="185">
        <f t="shared" si="183"/>
        <v>0</v>
      </c>
      <c r="K173" s="185">
        <f t="shared" si="184"/>
        <v>0</v>
      </c>
      <c r="L173" s="317">
        <f t="shared" si="155"/>
        <v>13</v>
      </c>
      <c r="M173" s="317">
        <f t="shared" si="219"/>
        <v>157</v>
      </c>
      <c r="N173" s="185">
        <f t="shared" si="220"/>
        <v>536402.94000000018</v>
      </c>
      <c r="O173" s="185">
        <f t="shared" si="185"/>
        <v>6591.25</v>
      </c>
      <c r="P173" s="185">
        <f t="shared" si="228"/>
        <v>724.34000000000015</v>
      </c>
      <c r="Q173" s="185">
        <f t="shared" si="186"/>
        <v>5866.91</v>
      </c>
      <c r="R173" s="185">
        <f t="shared" si="173"/>
        <v>134.16999999999999</v>
      </c>
      <c r="S173" s="185">
        <f t="shared" si="174"/>
        <v>188.55</v>
      </c>
      <c r="T173" s="185">
        <f t="shared" si="171"/>
        <v>6913.97</v>
      </c>
      <c r="U173" s="185">
        <f t="shared" si="229"/>
        <v>54946.400000000009</v>
      </c>
      <c r="V173" s="185">
        <f t="shared" si="230"/>
        <v>986471.09999999986</v>
      </c>
      <c r="W173" s="185">
        <f t="shared" si="187"/>
        <v>535678.60000000021</v>
      </c>
      <c r="X173" s="401" t="str">
        <f t="shared" si="221"/>
        <v xml:space="preserve"> </v>
      </c>
      <c r="Y173" s="185">
        <f t="shared" si="188"/>
        <v>2265201.9700000002</v>
      </c>
      <c r="Z173" s="393">
        <f t="shared" si="213"/>
        <v>0.13125000000000001</v>
      </c>
      <c r="AA173" s="185">
        <f t="shared" si="214"/>
        <v>2810.15</v>
      </c>
      <c r="AB173" s="185">
        <f t="shared" si="189"/>
        <v>-21965.5</v>
      </c>
      <c r="AC173" s="185">
        <f t="shared" si="215"/>
        <v>24775.65</v>
      </c>
      <c r="AD173" s="185">
        <f t="shared" ref="AD173:AE173" si="260">+AD172</f>
        <v>134.16999999999999</v>
      </c>
      <c r="AE173" s="185">
        <f t="shared" si="260"/>
        <v>188.55</v>
      </c>
      <c r="AF173" s="185">
        <f t="shared" si="191"/>
        <v>3132.8700000000017</v>
      </c>
      <c r="AG173" s="185">
        <f t="shared" si="192"/>
        <v>-1301067.4700000002</v>
      </c>
      <c r="AH173" s="185">
        <f t="shared" si="193"/>
        <v>2123213.9700000002</v>
      </c>
      <c r="AI173" s="411">
        <f t="shared" si="176"/>
        <v>219271.00000000035</v>
      </c>
      <c r="AJ173" s="411">
        <f t="shared" si="242"/>
        <v>-1751488.87</v>
      </c>
      <c r="AK173" s="411">
        <f t="shared" si="177"/>
        <v>-1532217.8699999996</v>
      </c>
      <c r="AL173" s="185">
        <f t="shared" si="194"/>
        <v>2287167.4700000002</v>
      </c>
      <c r="AM173" s="317">
        <f t="shared" si="223"/>
        <v>13</v>
      </c>
      <c r="AN173" s="14">
        <f t="shared" si="178"/>
        <v>6591.25</v>
      </c>
      <c r="AO173" s="14">
        <f t="shared" ref="AO173:AO236" si="261">IF(W173&lt;=0,0,+$AA$5-$C$2+I173-U173)</f>
        <v>931153.6</v>
      </c>
      <c r="AP173" s="14">
        <f t="shared" si="179"/>
        <v>2810.15</v>
      </c>
      <c r="AS173" s="14">
        <f t="shared" si="217"/>
        <v>6591.25</v>
      </c>
      <c r="AT173" s="14">
        <f t="shared" si="224"/>
        <v>1040936.94</v>
      </c>
      <c r="AU173" s="185">
        <f t="shared" si="225"/>
        <v>2190.7059040703903</v>
      </c>
      <c r="AV173" s="185">
        <f t="shared" si="226"/>
        <v>287848.0675322265</v>
      </c>
    </row>
    <row r="174" spans="1:48">
      <c r="A174" s="401" t="str">
        <f t="shared" si="181"/>
        <v xml:space="preserve"> </v>
      </c>
      <c r="B174" s="185">
        <f t="shared" si="218"/>
        <v>0</v>
      </c>
      <c r="C174" s="14">
        <f t="shared" si="211"/>
        <v>0</v>
      </c>
      <c r="D174" s="14">
        <f t="shared" si="227"/>
        <v>0</v>
      </c>
      <c r="E174" s="14">
        <f t="shared" si="212"/>
        <v>0</v>
      </c>
      <c r="F174" s="14">
        <f t="shared" si="170"/>
        <v>0</v>
      </c>
      <c r="G174" s="14">
        <f t="shared" si="167"/>
        <v>0</v>
      </c>
      <c r="H174" s="14">
        <f t="shared" si="168"/>
        <v>0</v>
      </c>
      <c r="I174" s="185">
        <f t="shared" si="182"/>
        <v>0</v>
      </c>
      <c r="J174" s="185">
        <f t="shared" si="183"/>
        <v>0</v>
      </c>
      <c r="K174" s="185">
        <f t="shared" si="184"/>
        <v>0</v>
      </c>
      <c r="L174" s="317">
        <f t="shared" si="155"/>
        <v>13</v>
      </c>
      <c r="M174" s="317">
        <f t="shared" si="219"/>
        <v>158</v>
      </c>
      <c r="N174" s="185">
        <f t="shared" si="220"/>
        <v>535678.60000000021</v>
      </c>
      <c r="O174" s="185">
        <f t="shared" si="185"/>
        <v>6591.25</v>
      </c>
      <c r="P174" s="185">
        <f t="shared" si="228"/>
        <v>732.27000000000044</v>
      </c>
      <c r="Q174" s="185">
        <f t="shared" si="186"/>
        <v>5858.98</v>
      </c>
      <c r="R174" s="185">
        <f t="shared" si="173"/>
        <v>134.16999999999999</v>
      </c>
      <c r="S174" s="185">
        <f t="shared" si="174"/>
        <v>188.55</v>
      </c>
      <c r="T174" s="185">
        <f t="shared" si="171"/>
        <v>6913.97</v>
      </c>
      <c r="U174" s="185">
        <f t="shared" si="229"/>
        <v>55678.670000000013</v>
      </c>
      <c r="V174" s="185">
        <f t="shared" si="230"/>
        <v>992330.07999999984</v>
      </c>
      <c r="W174" s="185">
        <f t="shared" si="187"/>
        <v>534946.33000000019</v>
      </c>
      <c r="X174" s="401" t="str">
        <f t="shared" si="221"/>
        <v xml:space="preserve"> </v>
      </c>
      <c r="Y174" s="185">
        <f t="shared" si="188"/>
        <v>2287167.4700000002</v>
      </c>
      <c r="Z174" s="393">
        <f t="shared" si="213"/>
        <v>0.13125000000000001</v>
      </c>
      <c r="AA174" s="185">
        <f t="shared" si="214"/>
        <v>2810.15</v>
      </c>
      <c r="AB174" s="185">
        <f t="shared" si="189"/>
        <v>-22205.739999999998</v>
      </c>
      <c r="AC174" s="185">
        <f t="shared" si="215"/>
        <v>25015.89</v>
      </c>
      <c r="AD174" s="185">
        <f t="shared" ref="AD174:AE174" si="262">+AD173</f>
        <v>134.16999999999999</v>
      </c>
      <c r="AE174" s="185">
        <f t="shared" si="262"/>
        <v>188.55</v>
      </c>
      <c r="AF174" s="185">
        <f t="shared" si="191"/>
        <v>3132.8700000000017</v>
      </c>
      <c r="AG174" s="185">
        <f t="shared" si="192"/>
        <v>-1323273.2100000002</v>
      </c>
      <c r="AH174" s="185">
        <f t="shared" si="193"/>
        <v>2148229.8600000003</v>
      </c>
      <c r="AI174" s="411">
        <f t="shared" si="176"/>
        <v>223052.10000000036</v>
      </c>
      <c r="AJ174" s="411">
        <f t="shared" si="242"/>
        <v>-1774426.8800000004</v>
      </c>
      <c r="AK174" s="411">
        <f t="shared" si="177"/>
        <v>-1551374.78</v>
      </c>
      <c r="AL174" s="185">
        <f t="shared" si="194"/>
        <v>2309373.2100000004</v>
      </c>
      <c r="AM174" s="317">
        <f t="shared" si="223"/>
        <v>13</v>
      </c>
      <c r="AN174" s="14">
        <f t="shared" si="178"/>
        <v>6591.25</v>
      </c>
      <c r="AO174" s="14">
        <f t="shared" si="261"/>
        <v>930421.33</v>
      </c>
      <c r="AP174" s="14">
        <f t="shared" si="179"/>
        <v>2810.15</v>
      </c>
      <c r="AS174" s="14">
        <f t="shared" si="217"/>
        <v>6591.25</v>
      </c>
      <c r="AT174" s="14">
        <f t="shared" si="224"/>
        <v>1047528.19</v>
      </c>
      <c r="AU174" s="185">
        <f t="shared" si="225"/>
        <v>2196.1826688305659</v>
      </c>
      <c r="AV174" s="185">
        <f t="shared" si="226"/>
        <v>290044.25020105706</v>
      </c>
    </row>
    <row r="175" spans="1:48">
      <c r="A175" s="401" t="str">
        <f t="shared" si="181"/>
        <v xml:space="preserve"> </v>
      </c>
      <c r="B175" s="185">
        <f t="shared" si="218"/>
        <v>0</v>
      </c>
      <c r="C175" s="14">
        <f t="shared" si="211"/>
        <v>0</v>
      </c>
      <c r="D175" s="14">
        <f t="shared" si="227"/>
        <v>0</v>
      </c>
      <c r="E175" s="14">
        <f t="shared" si="212"/>
        <v>0</v>
      </c>
      <c r="F175" s="14">
        <f t="shared" si="170"/>
        <v>0</v>
      </c>
      <c r="G175" s="14">
        <f t="shared" si="167"/>
        <v>0</v>
      </c>
      <c r="H175" s="14">
        <f t="shared" si="168"/>
        <v>0</v>
      </c>
      <c r="I175" s="185">
        <f t="shared" si="182"/>
        <v>0</v>
      </c>
      <c r="J175" s="185">
        <f t="shared" si="183"/>
        <v>0</v>
      </c>
      <c r="K175" s="185">
        <f t="shared" si="184"/>
        <v>0</v>
      </c>
      <c r="L175" s="317">
        <f t="shared" ref="L175:L238" si="263">IF(MOD(M175,12)=0,M175/12,L174)</f>
        <v>13</v>
      </c>
      <c r="M175" s="317">
        <f t="shared" si="219"/>
        <v>159</v>
      </c>
      <c r="N175" s="185">
        <f t="shared" si="220"/>
        <v>534946.33000000019</v>
      </c>
      <c r="O175" s="185">
        <f t="shared" si="185"/>
        <v>6591.25</v>
      </c>
      <c r="P175" s="185">
        <f t="shared" si="228"/>
        <v>740.27000000000044</v>
      </c>
      <c r="Q175" s="185">
        <f t="shared" si="186"/>
        <v>5850.98</v>
      </c>
      <c r="R175" s="185">
        <f t="shared" si="173"/>
        <v>134.16999999999999</v>
      </c>
      <c r="S175" s="185">
        <f t="shared" si="174"/>
        <v>188.55</v>
      </c>
      <c r="T175" s="185">
        <f t="shared" si="171"/>
        <v>6913.97</v>
      </c>
      <c r="U175" s="185">
        <f t="shared" si="229"/>
        <v>56418.940000000017</v>
      </c>
      <c r="V175" s="185">
        <f t="shared" si="230"/>
        <v>998181.05999999982</v>
      </c>
      <c r="W175" s="185">
        <f t="shared" si="187"/>
        <v>534206.06000000017</v>
      </c>
      <c r="X175" s="401" t="str">
        <f t="shared" si="221"/>
        <v xml:space="preserve"> </v>
      </c>
      <c r="Y175" s="185">
        <f t="shared" si="188"/>
        <v>2309373.2100000004</v>
      </c>
      <c r="Z175" s="393">
        <f t="shared" si="213"/>
        <v>0.13125000000000001</v>
      </c>
      <c r="AA175" s="185">
        <f t="shared" si="214"/>
        <v>2810.15</v>
      </c>
      <c r="AB175" s="185">
        <f t="shared" si="189"/>
        <v>-22448.62</v>
      </c>
      <c r="AC175" s="185">
        <f t="shared" si="215"/>
        <v>25258.77</v>
      </c>
      <c r="AD175" s="185">
        <f t="shared" ref="AD175:AE175" si="264">+AD174</f>
        <v>134.16999999999999</v>
      </c>
      <c r="AE175" s="185">
        <f t="shared" si="264"/>
        <v>188.55</v>
      </c>
      <c r="AF175" s="185">
        <f t="shared" si="191"/>
        <v>3132.8700000000017</v>
      </c>
      <c r="AG175" s="185">
        <f t="shared" si="192"/>
        <v>-1345721.8300000003</v>
      </c>
      <c r="AH175" s="185">
        <f t="shared" si="193"/>
        <v>2173488.6300000004</v>
      </c>
      <c r="AI175" s="411">
        <f t="shared" si="176"/>
        <v>226833.20000000036</v>
      </c>
      <c r="AJ175" s="411">
        <f t="shared" si="242"/>
        <v>-1797615.7700000005</v>
      </c>
      <c r="AK175" s="411">
        <f t="shared" si="177"/>
        <v>-1570782.57</v>
      </c>
      <c r="AL175" s="185">
        <f t="shared" si="194"/>
        <v>2331821.8300000005</v>
      </c>
      <c r="AM175" s="317">
        <f t="shared" si="223"/>
        <v>13</v>
      </c>
      <c r="AN175" s="14">
        <f t="shared" si="178"/>
        <v>6591.25</v>
      </c>
      <c r="AO175" s="14">
        <f t="shared" si="261"/>
        <v>929681.05999999994</v>
      </c>
      <c r="AP175" s="14">
        <f t="shared" si="179"/>
        <v>2810.15</v>
      </c>
      <c r="AS175" s="14">
        <f t="shared" si="217"/>
        <v>6591.25</v>
      </c>
      <c r="AT175" s="14">
        <f t="shared" si="224"/>
        <v>1054119.44</v>
      </c>
      <c r="AU175" s="185">
        <f t="shared" si="225"/>
        <v>2201.6731255026425</v>
      </c>
      <c r="AV175" s="185">
        <f t="shared" si="226"/>
        <v>292245.92332655971</v>
      </c>
    </row>
    <row r="176" spans="1:48">
      <c r="A176" s="401" t="str">
        <f t="shared" si="181"/>
        <v xml:space="preserve"> </v>
      </c>
      <c r="B176" s="185">
        <f t="shared" si="218"/>
        <v>0</v>
      </c>
      <c r="C176" s="14">
        <f t="shared" si="211"/>
        <v>0</v>
      </c>
      <c r="D176" s="14">
        <f t="shared" si="227"/>
        <v>0</v>
      </c>
      <c r="E176" s="14">
        <f t="shared" si="212"/>
        <v>0</v>
      </c>
      <c r="F176" s="14">
        <f t="shared" si="170"/>
        <v>0</v>
      </c>
      <c r="G176" s="14">
        <f t="shared" si="167"/>
        <v>0</v>
      </c>
      <c r="H176" s="14">
        <f t="shared" si="168"/>
        <v>0</v>
      </c>
      <c r="I176" s="185">
        <f t="shared" si="182"/>
        <v>0</v>
      </c>
      <c r="J176" s="185">
        <f t="shared" si="183"/>
        <v>0</v>
      </c>
      <c r="K176" s="185">
        <f t="shared" si="184"/>
        <v>0</v>
      </c>
      <c r="L176" s="317">
        <f t="shared" si="263"/>
        <v>13</v>
      </c>
      <c r="M176" s="317">
        <f t="shared" si="219"/>
        <v>160</v>
      </c>
      <c r="N176" s="185">
        <f t="shared" si="220"/>
        <v>534206.06000000017</v>
      </c>
      <c r="O176" s="185">
        <f t="shared" si="185"/>
        <v>6591.25</v>
      </c>
      <c r="P176" s="185">
        <f t="shared" si="228"/>
        <v>748.36999999999989</v>
      </c>
      <c r="Q176" s="185">
        <f t="shared" si="186"/>
        <v>5842.88</v>
      </c>
      <c r="R176" s="185">
        <f t="shared" si="173"/>
        <v>134.16999999999999</v>
      </c>
      <c r="S176" s="185">
        <f t="shared" si="174"/>
        <v>188.55</v>
      </c>
      <c r="T176" s="185">
        <f t="shared" si="171"/>
        <v>6913.97</v>
      </c>
      <c r="U176" s="185">
        <f t="shared" si="229"/>
        <v>57167.310000000019</v>
      </c>
      <c r="V176" s="185">
        <f t="shared" si="230"/>
        <v>1004023.9399999998</v>
      </c>
      <c r="W176" s="185">
        <f t="shared" si="187"/>
        <v>533457.69000000018</v>
      </c>
      <c r="X176" s="401" t="str">
        <f t="shared" si="221"/>
        <v xml:space="preserve"> </v>
      </c>
      <c r="Y176" s="185">
        <f t="shared" si="188"/>
        <v>2331821.8300000005</v>
      </c>
      <c r="Z176" s="393">
        <f t="shared" si="213"/>
        <v>0.13125000000000001</v>
      </c>
      <c r="AA176" s="185">
        <f t="shared" si="214"/>
        <v>2810.15</v>
      </c>
      <c r="AB176" s="185">
        <f t="shared" si="189"/>
        <v>-22694.149999999998</v>
      </c>
      <c r="AC176" s="185">
        <f t="shared" si="215"/>
        <v>25504.3</v>
      </c>
      <c r="AD176" s="185">
        <f t="shared" ref="AD176:AE176" si="265">+AD175</f>
        <v>134.16999999999999</v>
      </c>
      <c r="AE176" s="185">
        <f t="shared" si="265"/>
        <v>188.55</v>
      </c>
      <c r="AF176" s="185">
        <f t="shared" si="191"/>
        <v>3132.8700000000017</v>
      </c>
      <c r="AG176" s="185">
        <f t="shared" si="192"/>
        <v>-1368415.9800000002</v>
      </c>
      <c r="AH176" s="185">
        <f t="shared" si="193"/>
        <v>2198992.9300000002</v>
      </c>
      <c r="AI176" s="411">
        <f t="shared" si="176"/>
        <v>230614.30000000037</v>
      </c>
      <c r="AJ176" s="411">
        <f t="shared" si="242"/>
        <v>-1821058.2900000003</v>
      </c>
      <c r="AK176" s="411">
        <f t="shared" si="177"/>
        <v>-1590443.99</v>
      </c>
      <c r="AL176" s="185">
        <f t="shared" si="194"/>
        <v>2354515.9800000004</v>
      </c>
      <c r="AM176" s="317">
        <f t="shared" si="223"/>
        <v>13</v>
      </c>
      <c r="AN176" s="14">
        <f t="shared" si="178"/>
        <v>6591.25</v>
      </c>
      <c r="AO176" s="14">
        <f t="shared" si="261"/>
        <v>928932.69</v>
      </c>
      <c r="AP176" s="14">
        <f t="shared" si="179"/>
        <v>2810.15</v>
      </c>
      <c r="AS176" s="14">
        <f t="shared" si="217"/>
        <v>6591.25</v>
      </c>
      <c r="AT176" s="14">
        <f t="shared" si="224"/>
        <v>1060710.69</v>
      </c>
      <c r="AU176" s="185">
        <f t="shared" si="225"/>
        <v>2207.1773083163994</v>
      </c>
      <c r="AV176" s="185">
        <f t="shared" si="226"/>
        <v>294453.10063487611</v>
      </c>
    </row>
    <row r="177" spans="1:48">
      <c r="A177" s="401" t="str">
        <f t="shared" si="181"/>
        <v xml:space="preserve"> </v>
      </c>
      <c r="B177" s="185">
        <f t="shared" si="218"/>
        <v>0</v>
      </c>
      <c r="C177" s="14">
        <f t="shared" si="211"/>
        <v>0</v>
      </c>
      <c r="D177" s="14">
        <f t="shared" si="227"/>
        <v>0</v>
      </c>
      <c r="E177" s="14">
        <f t="shared" si="212"/>
        <v>0</v>
      </c>
      <c r="F177" s="14">
        <f t="shared" si="170"/>
        <v>0</v>
      </c>
      <c r="G177" s="14">
        <f t="shared" si="167"/>
        <v>0</v>
      </c>
      <c r="H177" s="14">
        <f t="shared" si="168"/>
        <v>0</v>
      </c>
      <c r="I177" s="185">
        <f t="shared" si="182"/>
        <v>0</v>
      </c>
      <c r="J177" s="185">
        <f t="shared" si="183"/>
        <v>0</v>
      </c>
      <c r="K177" s="185">
        <f t="shared" si="184"/>
        <v>0</v>
      </c>
      <c r="L177" s="317">
        <f t="shared" si="263"/>
        <v>13</v>
      </c>
      <c r="M177" s="317">
        <f t="shared" si="219"/>
        <v>161</v>
      </c>
      <c r="N177" s="185">
        <f t="shared" si="220"/>
        <v>533457.69000000018</v>
      </c>
      <c r="O177" s="185">
        <f t="shared" si="185"/>
        <v>6591.25</v>
      </c>
      <c r="P177" s="185">
        <f t="shared" si="228"/>
        <v>756.5600000000004</v>
      </c>
      <c r="Q177" s="185">
        <f t="shared" si="186"/>
        <v>5834.69</v>
      </c>
      <c r="R177" s="185">
        <f t="shared" si="173"/>
        <v>134.16999999999999</v>
      </c>
      <c r="S177" s="185">
        <f t="shared" si="174"/>
        <v>188.55</v>
      </c>
      <c r="T177" s="185">
        <f t="shared" si="171"/>
        <v>6913.97</v>
      </c>
      <c r="U177" s="185">
        <f t="shared" si="229"/>
        <v>57923.870000000017</v>
      </c>
      <c r="V177" s="185">
        <f t="shared" si="230"/>
        <v>1009858.6299999998</v>
      </c>
      <c r="W177" s="185">
        <f t="shared" si="187"/>
        <v>532701.13000000012</v>
      </c>
      <c r="X177" s="401" t="str">
        <f t="shared" si="221"/>
        <v xml:space="preserve"> </v>
      </c>
      <c r="Y177" s="185">
        <f t="shared" si="188"/>
        <v>2354515.9800000004</v>
      </c>
      <c r="Z177" s="393">
        <f t="shared" si="213"/>
        <v>0.13125000000000001</v>
      </c>
      <c r="AA177" s="185">
        <f t="shared" si="214"/>
        <v>2810.15</v>
      </c>
      <c r="AB177" s="185">
        <f t="shared" si="189"/>
        <v>-22942.37</v>
      </c>
      <c r="AC177" s="185">
        <f t="shared" si="215"/>
        <v>25752.52</v>
      </c>
      <c r="AD177" s="185">
        <f t="shared" ref="AD177:AE177" si="266">+AD176</f>
        <v>134.16999999999999</v>
      </c>
      <c r="AE177" s="185">
        <f t="shared" si="266"/>
        <v>188.55</v>
      </c>
      <c r="AF177" s="185">
        <f t="shared" si="191"/>
        <v>3132.8700000000017</v>
      </c>
      <c r="AG177" s="185">
        <f t="shared" si="192"/>
        <v>-1391358.3500000003</v>
      </c>
      <c r="AH177" s="185">
        <f t="shared" si="193"/>
        <v>2224745.4500000002</v>
      </c>
      <c r="AI177" s="411">
        <f t="shared" si="176"/>
        <v>234395.40000000037</v>
      </c>
      <c r="AJ177" s="411">
        <f t="shared" si="242"/>
        <v>-1844757.2200000004</v>
      </c>
      <c r="AK177" s="411">
        <f t="shared" si="177"/>
        <v>-1610361.82</v>
      </c>
      <c r="AL177" s="185">
        <f t="shared" si="194"/>
        <v>2377458.3500000006</v>
      </c>
      <c r="AM177" s="317">
        <f t="shared" si="223"/>
        <v>13</v>
      </c>
      <c r="AN177" s="14">
        <f t="shared" si="178"/>
        <v>6591.25</v>
      </c>
      <c r="AO177" s="14">
        <f t="shared" si="261"/>
        <v>928176.13</v>
      </c>
      <c r="AP177" s="14">
        <f t="shared" si="179"/>
        <v>2810.15</v>
      </c>
      <c r="AS177" s="14">
        <f t="shared" si="217"/>
        <v>6591.25</v>
      </c>
      <c r="AT177" s="14">
        <f t="shared" si="224"/>
        <v>1067301.94</v>
      </c>
      <c r="AU177" s="185">
        <f t="shared" si="225"/>
        <v>2212.6952515871903</v>
      </c>
      <c r="AV177" s="185">
        <f t="shared" si="226"/>
        <v>296665.79588646331</v>
      </c>
    </row>
    <row r="178" spans="1:48">
      <c r="A178" s="401" t="str">
        <f t="shared" si="181"/>
        <v xml:space="preserve"> </v>
      </c>
      <c r="B178" s="185">
        <f t="shared" si="218"/>
        <v>0</v>
      </c>
      <c r="C178" s="14">
        <f t="shared" si="211"/>
        <v>0</v>
      </c>
      <c r="D178" s="14">
        <f t="shared" si="227"/>
        <v>0</v>
      </c>
      <c r="E178" s="14">
        <f t="shared" si="212"/>
        <v>0</v>
      </c>
      <c r="F178" s="14">
        <f t="shared" si="170"/>
        <v>0</v>
      </c>
      <c r="G178" s="14">
        <f t="shared" si="167"/>
        <v>0</v>
      </c>
      <c r="H178" s="14">
        <f t="shared" si="168"/>
        <v>0</v>
      </c>
      <c r="I178" s="185">
        <f t="shared" si="182"/>
        <v>0</v>
      </c>
      <c r="J178" s="185">
        <f t="shared" si="183"/>
        <v>0</v>
      </c>
      <c r="K178" s="185">
        <f t="shared" si="184"/>
        <v>0</v>
      </c>
      <c r="L178" s="317">
        <f t="shared" si="263"/>
        <v>13</v>
      </c>
      <c r="M178" s="317">
        <f t="shared" si="219"/>
        <v>162</v>
      </c>
      <c r="N178" s="185">
        <f t="shared" si="220"/>
        <v>532701.13000000012</v>
      </c>
      <c r="O178" s="185">
        <f t="shared" si="185"/>
        <v>6591.25</v>
      </c>
      <c r="P178" s="185">
        <f t="shared" si="228"/>
        <v>764.82999999999993</v>
      </c>
      <c r="Q178" s="185">
        <f t="shared" si="186"/>
        <v>5826.42</v>
      </c>
      <c r="R178" s="185">
        <f t="shared" si="173"/>
        <v>134.16999999999999</v>
      </c>
      <c r="S178" s="185">
        <f t="shared" si="174"/>
        <v>188.55</v>
      </c>
      <c r="T178" s="185">
        <f t="shared" si="171"/>
        <v>6913.97</v>
      </c>
      <c r="U178" s="185">
        <f t="shared" si="229"/>
        <v>58688.700000000019</v>
      </c>
      <c r="V178" s="185">
        <f t="shared" si="230"/>
        <v>1015685.0499999998</v>
      </c>
      <c r="W178" s="185">
        <f t="shared" si="187"/>
        <v>531936.30000000016</v>
      </c>
      <c r="X178" s="401" t="str">
        <f t="shared" si="221"/>
        <v xml:space="preserve"> </v>
      </c>
      <c r="Y178" s="185">
        <f t="shared" si="188"/>
        <v>2377458.3500000006</v>
      </c>
      <c r="Z178" s="393">
        <f t="shared" si="213"/>
        <v>0.13125000000000001</v>
      </c>
      <c r="AA178" s="185">
        <f t="shared" si="214"/>
        <v>2810.15</v>
      </c>
      <c r="AB178" s="185">
        <f t="shared" si="189"/>
        <v>-23193.3</v>
      </c>
      <c r="AC178" s="185">
        <f t="shared" si="215"/>
        <v>26003.45</v>
      </c>
      <c r="AD178" s="185">
        <f t="shared" ref="AD178:AE178" si="267">+AD177</f>
        <v>134.16999999999999</v>
      </c>
      <c r="AE178" s="185">
        <f t="shared" si="267"/>
        <v>188.55</v>
      </c>
      <c r="AF178" s="185">
        <f t="shared" si="191"/>
        <v>3132.8700000000017</v>
      </c>
      <c r="AG178" s="185">
        <f t="shared" si="192"/>
        <v>-1414551.6500000004</v>
      </c>
      <c r="AH178" s="185">
        <f t="shared" si="193"/>
        <v>2250748.9000000004</v>
      </c>
      <c r="AI178" s="411">
        <f t="shared" si="176"/>
        <v>238176.50000000038</v>
      </c>
      <c r="AJ178" s="411">
        <f t="shared" si="242"/>
        <v>-1868715.35</v>
      </c>
      <c r="AK178" s="411">
        <f t="shared" si="177"/>
        <v>-1630538.8499999996</v>
      </c>
      <c r="AL178" s="185">
        <f t="shared" si="194"/>
        <v>2400651.6500000004</v>
      </c>
      <c r="AM178" s="317">
        <f t="shared" si="223"/>
        <v>13</v>
      </c>
      <c r="AN178" s="14">
        <f t="shared" si="178"/>
        <v>6591.25</v>
      </c>
      <c r="AO178" s="14">
        <f t="shared" si="261"/>
        <v>927411.29999999993</v>
      </c>
      <c r="AP178" s="14">
        <f t="shared" si="179"/>
        <v>2810.15</v>
      </c>
      <c r="AS178" s="14">
        <f t="shared" si="217"/>
        <v>6591.25</v>
      </c>
      <c r="AT178" s="14">
        <f t="shared" si="224"/>
        <v>1073893.19</v>
      </c>
      <c r="AU178" s="185">
        <f t="shared" si="225"/>
        <v>2218.2269897161582</v>
      </c>
      <c r="AV178" s="185">
        <f t="shared" si="226"/>
        <v>298884.02287617949</v>
      </c>
    </row>
    <row r="179" spans="1:48">
      <c r="A179" s="401" t="str">
        <f t="shared" si="181"/>
        <v xml:space="preserve"> </v>
      </c>
      <c r="B179" s="185">
        <f t="shared" si="218"/>
        <v>0</v>
      </c>
      <c r="C179" s="14">
        <f t="shared" si="211"/>
        <v>0</v>
      </c>
      <c r="D179" s="14">
        <f t="shared" si="227"/>
        <v>0</v>
      </c>
      <c r="E179" s="14">
        <f t="shared" si="212"/>
        <v>0</v>
      </c>
      <c r="F179" s="14">
        <f t="shared" si="170"/>
        <v>0</v>
      </c>
      <c r="G179" s="14">
        <f t="shared" si="167"/>
        <v>0</v>
      </c>
      <c r="H179" s="14">
        <f t="shared" si="168"/>
        <v>0</v>
      </c>
      <c r="I179" s="185">
        <f t="shared" si="182"/>
        <v>0</v>
      </c>
      <c r="J179" s="185">
        <f t="shared" si="183"/>
        <v>0</v>
      </c>
      <c r="K179" s="185">
        <f t="shared" si="184"/>
        <v>0</v>
      </c>
      <c r="L179" s="317">
        <f t="shared" si="263"/>
        <v>13</v>
      </c>
      <c r="M179" s="317">
        <f t="shared" si="219"/>
        <v>163</v>
      </c>
      <c r="N179" s="185">
        <f t="shared" si="220"/>
        <v>531936.30000000016</v>
      </c>
      <c r="O179" s="185">
        <f t="shared" si="185"/>
        <v>6591.25</v>
      </c>
      <c r="P179" s="185">
        <f t="shared" si="228"/>
        <v>773.19999999999982</v>
      </c>
      <c r="Q179" s="185">
        <f t="shared" si="186"/>
        <v>5818.05</v>
      </c>
      <c r="R179" s="185">
        <f t="shared" si="173"/>
        <v>134.16999999999999</v>
      </c>
      <c r="S179" s="185">
        <f t="shared" si="174"/>
        <v>188.55</v>
      </c>
      <c r="T179" s="185">
        <f t="shared" si="171"/>
        <v>6913.97</v>
      </c>
      <c r="U179" s="185">
        <f t="shared" si="229"/>
        <v>59461.900000000016</v>
      </c>
      <c r="V179" s="185">
        <f t="shared" si="230"/>
        <v>1021503.0999999999</v>
      </c>
      <c r="W179" s="185">
        <f t="shared" si="187"/>
        <v>531163.10000000021</v>
      </c>
      <c r="X179" s="401" t="str">
        <f t="shared" si="221"/>
        <v xml:space="preserve"> </v>
      </c>
      <c r="Y179" s="185">
        <f t="shared" si="188"/>
        <v>2400651.6500000004</v>
      </c>
      <c r="Z179" s="393">
        <f t="shared" si="213"/>
        <v>0.13125000000000001</v>
      </c>
      <c r="AA179" s="185">
        <f t="shared" si="214"/>
        <v>2810.15</v>
      </c>
      <c r="AB179" s="185">
        <f t="shared" si="189"/>
        <v>-23446.98</v>
      </c>
      <c r="AC179" s="185">
        <f t="shared" si="215"/>
        <v>26257.13</v>
      </c>
      <c r="AD179" s="185">
        <f t="shared" ref="AD179:AE179" si="268">+AD178</f>
        <v>134.16999999999999</v>
      </c>
      <c r="AE179" s="185">
        <f t="shared" si="268"/>
        <v>188.55</v>
      </c>
      <c r="AF179" s="185">
        <f t="shared" si="191"/>
        <v>3132.8700000000017</v>
      </c>
      <c r="AG179" s="185">
        <f t="shared" si="192"/>
        <v>-1437998.6300000004</v>
      </c>
      <c r="AH179" s="185">
        <f t="shared" si="193"/>
        <v>2277006.0300000003</v>
      </c>
      <c r="AI179" s="411">
        <f t="shared" si="176"/>
        <v>241957.60000000038</v>
      </c>
      <c r="AJ179" s="411">
        <f t="shared" si="242"/>
        <v>-1892935.5300000003</v>
      </c>
      <c r="AK179" s="411">
        <f t="shared" si="177"/>
        <v>-1650977.93</v>
      </c>
      <c r="AL179" s="185">
        <f t="shared" si="194"/>
        <v>2424098.6300000004</v>
      </c>
      <c r="AM179" s="317">
        <f t="shared" si="223"/>
        <v>13</v>
      </c>
      <c r="AN179" s="14">
        <f t="shared" si="178"/>
        <v>6591.25</v>
      </c>
      <c r="AO179" s="14">
        <f t="shared" si="261"/>
        <v>926638.1</v>
      </c>
      <c r="AP179" s="14">
        <f t="shared" si="179"/>
        <v>2810.15</v>
      </c>
      <c r="AS179" s="14">
        <f t="shared" si="217"/>
        <v>6591.25</v>
      </c>
      <c r="AT179" s="14">
        <f t="shared" si="224"/>
        <v>1080484.44</v>
      </c>
      <c r="AU179" s="185">
        <f t="shared" si="225"/>
        <v>2223.7725571904489</v>
      </c>
      <c r="AV179" s="185">
        <f t="shared" si="226"/>
        <v>301107.79543336993</v>
      </c>
    </row>
    <row r="180" spans="1:48">
      <c r="A180" s="401" t="str">
        <f t="shared" si="181"/>
        <v xml:space="preserve"> </v>
      </c>
      <c r="B180" s="185">
        <f t="shared" si="218"/>
        <v>0</v>
      </c>
      <c r="C180" s="14">
        <f t="shared" si="211"/>
        <v>0</v>
      </c>
      <c r="D180" s="14">
        <f t="shared" si="227"/>
        <v>0</v>
      </c>
      <c r="E180" s="14">
        <f t="shared" si="212"/>
        <v>0</v>
      </c>
      <c r="F180" s="14">
        <f t="shared" si="170"/>
        <v>0</v>
      </c>
      <c r="G180" s="14">
        <f t="shared" si="167"/>
        <v>0</v>
      </c>
      <c r="H180" s="14">
        <f t="shared" si="168"/>
        <v>0</v>
      </c>
      <c r="I180" s="185">
        <f t="shared" si="182"/>
        <v>0</v>
      </c>
      <c r="J180" s="185">
        <f t="shared" si="183"/>
        <v>0</v>
      </c>
      <c r="K180" s="185">
        <f t="shared" si="184"/>
        <v>0</v>
      </c>
      <c r="L180" s="317">
        <f t="shared" si="263"/>
        <v>13</v>
      </c>
      <c r="M180" s="317">
        <f t="shared" si="219"/>
        <v>164</v>
      </c>
      <c r="N180" s="185">
        <f t="shared" si="220"/>
        <v>531163.10000000021</v>
      </c>
      <c r="O180" s="185">
        <f t="shared" si="185"/>
        <v>6591.25</v>
      </c>
      <c r="P180" s="185">
        <f t="shared" si="228"/>
        <v>781.64999999999964</v>
      </c>
      <c r="Q180" s="185">
        <f t="shared" si="186"/>
        <v>5809.6</v>
      </c>
      <c r="R180" s="185">
        <f t="shared" si="173"/>
        <v>134.16999999999999</v>
      </c>
      <c r="S180" s="185">
        <f t="shared" si="174"/>
        <v>188.55</v>
      </c>
      <c r="T180" s="185">
        <f t="shared" si="171"/>
        <v>6913.97</v>
      </c>
      <c r="U180" s="185">
        <f t="shared" si="229"/>
        <v>60243.550000000017</v>
      </c>
      <c r="V180" s="185">
        <f t="shared" si="230"/>
        <v>1027312.6999999998</v>
      </c>
      <c r="W180" s="185">
        <f t="shared" si="187"/>
        <v>530381.45000000019</v>
      </c>
      <c r="X180" s="401" t="str">
        <f t="shared" si="221"/>
        <v xml:space="preserve"> </v>
      </c>
      <c r="Y180" s="185">
        <f t="shared" si="188"/>
        <v>2424098.6300000004</v>
      </c>
      <c r="Z180" s="393">
        <f t="shared" si="213"/>
        <v>0.13125000000000001</v>
      </c>
      <c r="AA180" s="185">
        <f t="shared" si="214"/>
        <v>2810.15</v>
      </c>
      <c r="AB180" s="185">
        <f t="shared" si="189"/>
        <v>-23703.43</v>
      </c>
      <c r="AC180" s="185">
        <f t="shared" si="215"/>
        <v>26513.58</v>
      </c>
      <c r="AD180" s="185">
        <f t="shared" ref="AD180:AE180" si="269">+AD179</f>
        <v>134.16999999999999</v>
      </c>
      <c r="AE180" s="185">
        <f t="shared" si="269"/>
        <v>188.55</v>
      </c>
      <c r="AF180" s="185">
        <f t="shared" si="191"/>
        <v>3132.8700000000017</v>
      </c>
      <c r="AG180" s="185">
        <f t="shared" si="192"/>
        <v>-1461702.0600000003</v>
      </c>
      <c r="AH180" s="185">
        <f t="shared" si="193"/>
        <v>2303519.6100000003</v>
      </c>
      <c r="AI180" s="411">
        <f t="shared" si="176"/>
        <v>245738.70000000039</v>
      </c>
      <c r="AJ180" s="411">
        <f t="shared" si="242"/>
        <v>-1917420.6100000003</v>
      </c>
      <c r="AK180" s="411">
        <f t="shared" si="177"/>
        <v>-1671681.91</v>
      </c>
      <c r="AL180" s="185">
        <f t="shared" si="194"/>
        <v>2447802.0600000005</v>
      </c>
      <c r="AM180" s="317">
        <f t="shared" si="223"/>
        <v>13</v>
      </c>
      <c r="AN180" s="14">
        <f t="shared" si="178"/>
        <v>6591.25</v>
      </c>
      <c r="AO180" s="14">
        <f t="shared" si="261"/>
        <v>925856.45</v>
      </c>
      <c r="AP180" s="14">
        <f t="shared" si="179"/>
        <v>2810.15</v>
      </c>
      <c r="AS180" s="14">
        <f t="shared" si="217"/>
        <v>6591.25</v>
      </c>
      <c r="AT180" s="14">
        <f t="shared" si="224"/>
        <v>1087075.69</v>
      </c>
      <c r="AU180" s="185">
        <f t="shared" si="225"/>
        <v>2229.3319885834248</v>
      </c>
      <c r="AV180" s="185">
        <f t="shared" si="226"/>
        <v>303337.12742195337</v>
      </c>
    </row>
    <row r="181" spans="1:48">
      <c r="A181" s="401" t="str">
        <f t="shared" si="181"/>
        <v xml:space="preserve"> </v>
      </c>
      <c r="B181" s="185">
        <f t="shared" si="218"/>
        <v>0</v>
      </c>
      <c r="C181" s="14">
        <f t="shared" si="211"/>
        <v>0</v>
      </c>
      <c r="D181" s="14">
        <f t="shared" si="227"/>
        <v>0</v>
      </c>
      <c r="E181" s="14">
        <f t="shared" si="212"/>
        <v>0</v>
      </c>
      <c r="F181" s="14">
        <f t="shared" si="170"/>
        <v>0</v>
      </c>
      <c r="G181" s="14">
        <f t="shared" si="167"/>
        <v>0</v>
      </c>
      <c r="H181" s="14">
        <f t="shared" si="168"/>
        <v>0</v>
      </c>
      <c r="I181" s="185">
        <f t="shared" si="182"/>
        <v>0</v>
      </c>
      <c r="J181" s="185">
        <f t="shared" si="183"/>
        <v>0</v>
      </c>
      <c r="K181" s="185">
        <f t="shared" si="184"/>
        <v>0</v>
      </c>
      <c r="L181" s="317">
        <f t="shared" si="263"/>
        <v>13</v>
      </c>
      <c r="M181" s="317">
        <f t="shared" si="219"/>
        <v>165</v>
      </c>
      <c r="N181" s="185">
        <f t="shared" si="220"/>
        <v>530381.45000000019</v>
      </c>
      <c r="O181" s="185">
        <f t="shared" si="185"/>
        <v>6591.25</v>
      </c>
      <c r="P181" s="185">
        <f t="shared" si="228"/>
        <v>790.19999999999982</v>
      </c>
      <c r="Q181" s="185">
        <f t="shared" si="186"/>
        <v>5801.05</v>
      </c>
      <c r="R181" s="185">
        <f t="shared" si="173"/>
        <v>134.16999999999999</v>
      </c>
      <c r="S181" s="185">
        <f t="shared" si="174"/>
        <v>188.55</v>
      </c>
      <c r="T181" s="185">
        <f t="shared" si="171"/>
        <v>6913.97</v>
      </c>
      <c r="U181" s="185">
        <f t="shared" si="229"/>
        <v>61033.750000000015</v>
      </c>
      <c r="V181" s="185">
        <f t="shared" si="230"/>
        <v>1033113.7499999999</v>
      </c>
      <c r="W181" s="185">
        <f t="shared" si="187"/>
        <v>529591.25000000023</v>
      </c>
      <c r="X181" s="401" t="str">
        <f t="shared" si="221"/>
        <v xml:space="preserve"> </v>
      </c>
      <c r="Y181" s="185">
        <f t="shared" si="188"/>
        <v>2447802.0600000005</v>
      </c>
      <c r="Z181" s="393">
        <f t="shared" si="213"/>
        <v>0.13125000000000001</v>
      </c>
      <c r="AA181" s="185">
        <f t="shared" si="214"/>
        <v>2810.15</v>
      </c>
      <c r="AB181" s="185">
        <f t="shared" si="189"/>
        <v>-23962.69</v>
      </c>
      <c r="AC181" s="185">
        <f t="shared" si="215"/>
        <v>26772.84</v>
      </c>
      <c r="AD181" s="185">
        <f t="shared" ref="AD181:AE181" si="270">+AD180</f>
        <v>134.16999999999999</v>
      </c>
      <c r="AE181" s="185">
        <f t="shared" si="270"/>
        <v>188.55</v>
      </c>
      <c r="AF181" s="185">
        <f t="shared" si="191"/>
        <v>3132.8700000000017</v>
      </c>
      <c r="AG181" s="185">
        <f t="shared" si="192"/>
        <v>-1485664.7500000002</v>
      </c>
      <c r="AH181" s="185">
        <f t="shared" si="193"/>
        <v>2330292.4500000002</v>
      </c>
      <c r="AI181" s="411">
        <f t="shared" si="176"/>
        <v>249519.8000000004</v>
      </c>
      <c r="AJ181" s="411">
        <f t="shared" si="242"/>
        <v>-1942173.5000000002</v>
      </c>
      <c r="AK181" s="411">
        <f t="shared" si="177"/>
        <v>-1692653.6999999997</v>
      </c>
      <c r="AL181" s="185">
        <f t="shared" si="194"/>
        <v>2471764.7500000005</v>
      </c>
      <c r="AM181" s="317">
        <f t="shared" si="223"/>
        <v>13</v>
      </c>
      <c r="AN181" s="14">
        <f t="shared" si="178"/>
        <v>6591.25</v>
      </c>
      <c r="AO181" s="14">
        <f t="shared" si="261"/>
        <v>925066.25</v>
      </c>
      <c r="AP181" s="14">
        <f t="shared" si="179"/>
        <v>2810.15</v>
      </c>
      <c r="AS181" s="14">
        <f t="shared" si="217"/>
        <v>6591.25</v>
      </c>
      <c r="AT181" s="14">
        <f t="shared" si="224"/>
        <v>1093666.94</v>
      </c>
      <c r="AU181" s="185">
        <f t="shared" si="225"/>
        <v>2234.9053185548833</v>
      </c>
      <c r="AV181" s="185">
        <f t="shared" si="226"/>
        <v>305572.03274050826</v>
      </c>
    </row>
    <row r="182" spans="1:48" ht="15.75" thickBot="1">
      <c r="A182" s="404" t="str">
        <f t="shared" si="181"/>
        <v xml:space="preserve"> </v>
      </c>
      <c r="B182" s="237">
        <f t="shared" si="218"/>
        <v>0</v>
      </c>
      <c r="C182" s="21">
        <f t="shared" si="211"/>
        <v>0</v>
      </c>
      <c r="D182" s="21">
        <f t="shared" si="227"/>
        <v>0</v>
      </c>
      <c r="E182" s="21">
        <f t="shared" si="212"/>
        <v>0</v>
      </c>
      <c r="F182" s="21">
        <f t="shared" si="170"/>
        <v>0</v>
      </c>
      <c r="G182" s="21">
        <f t="shared" si="167"/>
        <v>0</v>
      </c>
      <c r="H182" s="21">
        <f t="shared" si="168"/>
        <v>0</v>
      </c>
      <c r="I182" s="237">
        <f t="shared" si="182"/>
        <v>0</v>
      </c>
      <c r="J182" s="237">
        <f t="shared" si="183"/>
        <v>0</v>
      </c>
      <c r="K182" s="237">
        <f t="shared" si="184"/>
        <v>0</v>
      </c>
      <c r="L182" s="318">
        <f t="shared" si="263"/>
        <v>13</v>
      </c>
      <c r="M182" s="318">
        <f t="shared" si="219"/>
        <v>166</v>
      </c>
      <c r="N182" s="237">
        <f t="shared" si="220"/>
        <v>529591.25000000023</v>
      </c>
      <c r="O182" s="237">
        <f t="shared" si="185"/>
        <v>6591.25</v>
      </c>
      <c r="P182" s="237">
        <f t="shared" si="228"/>
        <v>798.85000000000036</v>
      </c>
      <c r="Q182" s="237">
        <f t="shared" si="186"/>
        <v>5792.4</v>
      </c>
      <c r="R182" s="237">
        <f t="shared" si="173"/>
        <v>134.16999999999999</v>
      </c>
      <c r="S182" s="237">
        <f t="shared" si="174"/>
        <v>188.55</v>
      </c>
      <c r="T182" s="237">
        <f t="shared" si="171"/>
        <v>6913.97</v>
      </c>
      <c r="U182" s="237">
        <f t="shared" si="229"/>
        <v>61832.600000000013</v>
      </c>
      <c r="V182" s="237">
        <f t="shared" si="230"/>
        <v>1038906.1499999999</v>
      </c>
      <c r="W182" s="237">
        <f t="shared" si="187"/>
        <v>528792.40000000026</v>
      </c>
      <c r="X182" s="404" t="str">
        <f t="shared" si="221"/>
        <v xml:space="preserve"> </v>
      </c>
      <c r="Y182" s="237">
        <f t="shared" si="188"/>
        <v>2471764.7500000005</v>
      </c>
      <c r="Z182" s="394">
        <f t="shared" si="213"/>
        <v>0.13125000000000001</v>
      </c>
      <c r="AA182" s="237">
        <f t="shared" si="214"/>
        <v>2810.15</v>
      </c>
      <c r="AB182" s="237">
        <f t="shared" si="189"/>
        <v>-24224.78</v>
      </c>
      <c r="AC182" s="237">
        <f t="shared" si="215"/>
        <v>27034.93</v>
      </c>
      <c r="AD182" s="237">
        <f t="shared" ref="AD182:AE182" si="271">+AD181</f>
        <v>134.16999999999999</v>
      </c>
      <c r="AE182" s="237">
        <f t="shared" si="271"/>
        <v>188.55</v>
      </c>
      <c r="AF182" s="237">
        <f t="shared" si="191"/>
        <v>3132.8700000000017</v>
      </c>
      <c r="AG182" s="237">
        <f t="shared" si="192"/>
        <v>-1509889.5300000003</v>
      </c>
      <c r="AH182" s="237">
        <f t="shared" si="193"/>
        <v>2357327.3800000004</v>
      </c>
      <c r="AI182" s="412">
        <f t="shared" si="176"/>
        <v>253300.9000000004</v>
      </c>
      <c r="AJ182" s="412">
        <f t="shared" si="242"/>
        <v>-1967197.13</v>
      </c>
      <c r="AK182" s="411">
        <f t="shared" si="177"/>
        <v>-1713896.2299999995</v>
      </c>
      <c r="AL182" s="237">
        <f t="shared" si="194"/>
        <v>2495989.5300000003</v>
      </c>
      <c r="AM182" s="318">
        <f t="shared" si="223"/>
        <v>13</v>
      </c>
      <c r="AN182" s="21">
        <f t="shared" si="178"/>
        <v>6591.25</v>
      </c>
      <c r="AO182" s="21">
        <f t="shared" si="261"/>
        <v>924267.4</v>
      </c>
      <c r="AP182" s="21">
        <f t="shared" si="179"/>
        <v>2810.15</v>
      </c>
      <c r="AQ182" s="21"/>
      <c r="AR182" s="23"/>
      <c r="AS182" s="21">
        <f t="shared" si="217"/>
        <v>6591.25</v>
      </c>
      <c r="AT182" s="21">
        <f t="shared" si="224"/>
        <v>1100258.19</v>
      </c>
      <c r="AU182" s="237">
        <f t="shared" si="225"/>
        <v>2240.4925818512706</v>
      </c>
      <c r="AV182" s="237">
        <f t="shared" si="226"/>
        <v>307812.52532235952</v>
      </c>
    </row>
    <row r="183" spans="1:48">
      <c r="A183" s="401" t="str">
        <f t="shared" si="181"/>
        <v xml:space="preserve"> </v>
      </c>
      <c r="B183" s="185">
        <f t="shared" si="218"/>
        <v>0</v>
      </c>
      <c r="C183" s="14">
        <f t="shared" si="211"/>
        <v>0</v>
      </c>
      <c r="D183" s="14">
        <f t="shared" si="227"/>
        <v>0</v>
      </c>
      <c r="E183" s="14">
        <f t="shared" si="212"/>
        <v>0</v>
      </c>
      <c r="F183" s="14">
        <f t="shared" si="170"/>
        <v>0</v>
      </c>
      <c r="G183" s="14">
        <f t="shared" si="167"/>
        <v>0</v>
      </c>
      <c r="H183" s="14">
        <f t="shared" si="168"/>
        <v>0</v>
      </c>
      <c r="I183" s="185">
        <f t="shared" si="182"/>
        <v>0</v>
      </c>
      <c r="J183" s="185">
        <f t="shared" si="183"/>
        <v>0</v>
      </c>
      <c r="K183" s="185">
        <f t="shared" si="184"/>
        <v>0</v>
      </c>
      <c r="L183" s="317">
        <f t="shared" si="263"/>
        <v>13</v>
      </c>
      <c r="M183" s="317">
        <f t="shared" si="219"/>
        <v>167</v>
      </c>
      <c r="N183" s="185">
        <f t="shared" si="220"/>
        <v>528792.40000000026</v>
      </c>
      <c r="O183" s="185">
        <f t="shared" si="185"/>
        <v>6591.25</v>
      </c>
      <c r="P183" s="185">
        <f t="shared" si="228"/>
        <v>807.57999999999993</v>
      </c>
      <c r="Q183" s="185">
        <f t="shared" si="186"/>
        <v>5783.67</v>
      </c>
      <c r="R183" s="185">
        <f t="shared" si="173"/>
        <v>134.16999999999999</v>
      </c>
      <c r="S183" s="185">
        <f t="shared" si="174"/>
        <v>188.55</v>
      </c>
      <c r="T183" s="185">
        <f t="shared" si="171"/>
        <v>6913.97</v>
      </c>
      <c r="U183" s="185">
        <f t="shared" si="229"/>
        <v>62640.180000000015</v>
      </c>
      <c r="V183" s="185">
        <f t="shared" si="230"/>
        <v>1044689.82</v>
      </c>
      <c r="W183" s="185">
        <f t="shared" si="187"/>
        <v>527984.8200000003</v>
      </c>
      <c r="X183" s="401" t="str">
        <f t="shared" si="221"/>
        <v xml:space="preserve"> </v>
      </c>
      <c r="Y183" s="185">
        <f t="shared" si="188"/>
        <v>2495989.5300000003</v>
      </c>
      <c r="Z183" s="393">
        <f t="shared" si="213"/>
        <v>0.13125000000000001</v>
      </c>
      <c r="AA183" s="185">
        <f t="shared" si="214"/>
        <v>2810.15</v>
      </c>
      <c r="AB183" s="185">
        <f t="shared" si="189"/>
        <v>-24489.739999999998</v>
      </c>
      <c r="AC183" s="185">
        <f t="shared" si="215"/>
        <v>27299.89</v>
      </c>
      <c r="AD183" s="185">
        <f t="shared" ref="AD183:AE183" si="272">+AD182</f>
        <v>134.16999999999999</v>
      </c>
      <c r="AE183" s="185">
        <f t="shared" si="272"/>
        <v>188.55</v>
      </c>
      <c r="AF183" s="185">
        <f t="shared" si="191"/>
        <v>3132.8700000000017</v>
      </c>
      <c r="AG183" s="185">
        <f t="shared" si="192"/>
        <v>-1534379.2700000003</v>
      </c>
      <c r="AH183" s="185">
        <f t="shared" si="193"/>
        <v>2384627.2700000005</v>
      </c>
      <c r="AI183" s="411">
        <f t="shared" si="176"/>
        <v>257082.00000000041</v>
      </c>
      <c r="AJ183" s="411">
        <f t="shared" si="242"/>
        <v>-1992494.4500000002</v>
      </c>
      <c r="AK183" s="411">
        <f t="shared" si="177"/>
        <v>-1735412.4499999997</v>
      </c>
      <c r="AL183" s="185">
        <f t="shared" si="194"/>
        <v>2520479.2700000005</v>
      </c>
      <c r="AM183" s="317">
        <f t="shared" si="223"/>
        <v>13</v>
      </c>
      <c r="AN183" s="14">
        <f t="shared" si="178"/>
        <v>6591.25</v>
      </c>
      <c r="AO183" s="14">
        <f t="shared" si="261"/>
        <v>923459.82</v>
      </c>
      <c r="AP183" s="14">
        <f t="shared" si="179"/>
        <v>2810.15</v>
      </c>
      <c r="AS183" s="14">
        <f t="shared" si="217"/>
        <v>6591.25</v>
      </c>
      <c r="AT183" s="14">
        <f t="shared" si="224"/>
        <v>1106849.44</v>
      </c>
      <c r="AU183" s="185">
        <f t="shared" si="225"/>
        <v>2246.0938133058985</v>
      </c>
      <c r="AV183" s="185">
        <f t="shared" si="226"/>
        <v>310058.61913566542</v>
      </c>
    </row>
    <row r="184" spans="1:48">
      <c r="A184" s="401" t="str">
        <f t="shared" si="181"/>
        <v xml:space="preserve"> </v>
      </c>
      <c r="B184" s="185">
        <f t="shared" si="218"/>
        <v>0</v>
      </c>
      <c r="C184" s="14">
        <f t="shared" si="211"/>
        <v>0</v>
      </c>
      <c r="D184" s="14">
        <f t="shared" si="227"/>
        <v>0</v>
      </c>
      <c r="E184" s="14">
        <f t="shared" si="212"/>
        <v>0</v>
      </c>
      <c r="F184" s="14">
        <f t="shared" si="170"/>
        <v>0</v>
      </c>
      <c r="G184" s="14">
        <f t="shared" si="167"/>
        <v>0</v>
      </c>
      <c r="H184" s="14">
        <f t="shared" si="168"/>
        <v>0</v>
      </c>
      <c r="I184" s="185">
        <f t="shared" si="182"/>
        <v>0</v>
      </c>
      <c r="J184" s="185">
        <f t="shared" si="183"/>
        <v>0</v>
      </c>
      <c r="K184" s="185">
        <f t="shared" si="184"/>
        <v>0</v>
      </c>
      <c r="L184" s="317">
        <f t="shared" si="263"/>
        <v>14</v>
      </c>
      <c r="M184" s="317">
        <f t="shared" si="219"/>
        <v>168</v>
      </c>
      <c r="N184" s="185">
        <f t="shared" si="220"/>
        <v>527984.8200000003</v>
      </c>
      <c r="O184" s="185">
        <f t="shared" si="185"/>
        <v>6591.25</v>
      </c>
      <c r="P184" s="185">
        <f t="shared" si="228"/>
        <v>816.42000000000007</v>
      </c>
      <c r="Q184" s="185">
        <f t="shared" si="186"/>
        <v>5774.83</v>
      </c>
      <c r="R184" s="185">
        <f t="shared" si="173"/>
        <v>134.16999999999999</v>
      </c>
      <c r="S184" s="185">
        <f t="shared" si="174"/>
        <v>188.55</v>
      </c>
      <c r="T184" s="185">
        <f t="shared" si="171"/>
        <v>6913.97</v>
      </c>
      <c r="U184" s="185">
        <f t="shared" si="229"/>
        <v>63456.600000000013</v>
      </c>
      <c r="V184" s="185">
        <f t="shared" si="230"/>
        <v>1050464.6499999999</v>
      </c>
      <c r="W184" s="185">
        <f t="shared" si="187"/>
        <v>527168.40000000026</v>
      </c>
      <c r="X184" s="401" t="str">
        <f t="shared" si="221"/>
        <v xml:space="preserve"> </v>
      </c>
      <c r="Y184" s="185">
        <f t="shared" si="188"/>
        <v>2520479.2700000005</v>
      </c>
      <c r="Z184" s="393">
        <f t="shared" si="213"/>
        <v>0.13125000000000001</v>
      </c>
      <c r="AA184" s="185">
        <f t="shared" si="214"/>
        <v>2810.15</v>
      </c>
      <c r="AB184" s="185">
        <f t="shared" si="189"/>
        <v>-24757.59</v>
      </c>
      <c r="AC184" s="185">
        <f t="shared" si="215"/>
        <v>27567.74</v>
      </c>
      <c r="AD184" s="185">
        <f t="shared" ref="AD184:AE184" si="273">+AD183</f>
        <v>134.16999999999999</v>
      </c>
      <c r="AE184" s="185">
        <f t="shared" si="273"/>
        <v>188.55</v>
      </c>
      <c r="AF184" s="185">
        <f t="shared" si="191"/>
        <v>3132.8700000000017</v>
      </c>
      <c r="AG184" s="185">
        <f t="shared" si="192"/>
        <v>-1559136.8600000003</v>
      </c>
      <c r="AH184" s="185">
        <f t="shared" si="193"/>
        <v>2412195.0100000007</v>
      </c>
      <c r="AI184" s="411">
        <f t="shared" si="176"/>
        <v>260863.10000000041</v>
      </c>
      <c r="AJ184" s="411">
        <f t="shared" si="242"/>
        <v>-2018068.46</v>
      </c>
      <c r="AK184" s="411">
        <f t="shared" si="177"/>
        <v>-1757205.3599999996</v>
      </c>
      <c r="AL184" s="185">
        <f t="shared" si="194"/>
        <v>2545236.8600000003</v>
      </c>
      <c r="AM184" s="317">
        <f t="shared" si="223"/>
        <v>14</v>
      </c>
      <c r="AN184" s="14">
        <f t="shared" si="178"/>
        <v>6591.25</v>
      </c>
      <c r="AO184" s="14">
        <f t="shared" si="261"/>
        <v>922643.4</v>
      </c>
      <c r="AP184" s="14">
        <f t="shared" si="179"/>
        <v>2810.15</v>
      </c>
      <c r="AS184" s="14">
        <f t="shared" si="217"/>
        <v>6591.25</v>
      </c>
      <c r="AT184" s="14">
        <f t="shared" si="224"/>
        <v>1113440.69</v>
      </c>
      <c r="AU184" s="185">
        <f t="shared" si="225"/>
        <v>2251.7090478391633</v>
      </c>
      <c r="AV184" s="185">
        <f t="shared" si="226"/>
        <v>312310.32818350458</v>
      </c>
    </row>
    <row r="185" spans="1:48">
      <c r="A185" s="401" t="str">
        <f t="shared" si="181"/>
        <v xml:space="preserve"> </v>
      </c>
      <c r="B185" s="185">
        <f t="shared" si="218"/>
        <v>0</v>
      </c>
      <c r="C185" s="14">
        <f t="shared" si="211"/>
        <v>0</v>
      </c>
      <c r="D185" s="14">
        <f t="shared" si="227"/>
        <v>0</v>
      </c>
      <c r="E185" s="14">
        <f t="shared" si="212"/>
        <v>0</v>
      </c>
      <c r="F185" s="14">
        <f t="shared" si="170"/>
        <v>0</v>
      </c>
      <c r="G185" s="14">
        <f t="shared" si="167"/>
        <v>0</v>
      </c>
      <c r="H185" s="14">
        <f t="shared" si="168"/>
        <v>0</v>
      </c>
      <c r="I185" s="185">
        <f t="shared" si="182"/>
        <v>0</v>
      </c>
      <c r="J185" s="185">
        <f t="shared" si="183"/>
        <v>0</v>
      </c>
      <c r="K185" s="185">
        <f t="shared" si="184"/>
        <v>0</v>
      </c>
      <c r="L185" s="317">
        <f t="shared" si="263"/>
        <v>14</v>
      </c>
      <c r="M185" s="317">
        <f t="shared" si="219"/>
        <v>169</v>
      </c>
      <c r="N185" s="185">
        <f t="shared" si="220"/>
        <v>527168.40000000026</v>
      </c>
      <c r="O185" s="185">
        <f t="shared" si="185"/>
        <v>6591.25</v>
      </c>
      <c r="P185" s="185">
        <f t="shared" si="228"/>
        <v>825.35000000000036</v>
      </c>
      <c r="Q185" s="185">
        <f t="shared" si="186"/>
        <v>5765.9</v>
      </c>
      <c r="R185" s="185">
        <f t="shared" si="173"/>
        <v>134.16999999999999</v>
      </c>
      <c r="S185" s="185">
        <f t="shared" si="174"/>
        <v>188.55</v>
      </c>
      <c r="T185" s="185">
        <f t="shared" si="171"/>
        <v>6913.97</v>
      </c>
      <c r="U185" s="185">
        <f t="shared" si="229"/>
        <v>64281.950000000012</v>
      </c>
      <c r="V185" s="185">
        <f t="shared" si="230"/>
        <v>1056230.5499999998</v>
      </c>
      <c r="W185" s="185">
        <f t="shared" si="187"/>
        <v>526343.05000000028</v>
      </c>
      <c r="X185" s="401" t="str">
        <f t="shared" si="221"/>
        <v xml:space="preserve"> </v>
      </c>
      <c r="Y185" s="185">
        <f t="shared" si="188"/>
        <v>2545236.8600000003</v>
      </c>
      <c r="Z185" s="393">
        <f t="shared" si="213"/>
        <v>0.13125000000000001</v>
      </c>
      <c r="AA185" s="185">
        <f t="shared" si="214"/>
        <v>2810.15</v>
      </c>
      <c r="AB185" s="185">
        <f t="shared" si="189"/>
        <v>-25028.379999999997</v>
      </c>
      <c r="AC185" s="185">
        <f t="shared" si="215"/>
        <v>27838.53</v>
      </c>
      <c r="AD185" s="185">
        <f t="shared" ref="AD185:AE185" si="274">+AD184</f>
        <v>134.16999999999999</v>
      </c>
      <c r="AE185" s="185">
        <f t="shared" si="274"/>
        <v>188.55</v>
      </c>
      <c r="AF185" s="185">
        <f t="shared" si="191"/>
        <v>3132.8700000000017</v>
      </c>
      <c r="AG185" s="185">
        <f t="shared" si="192"/>
        <v>-1584165.2400000002</v>
      </c>
      <c r="AH185" s="185">
        <f t="shared" si="193"/>
        <v>2440033.5400000005</v>
      </c>
      <c r="AI185" s="411">
        <f t="shared" si="176"/>
        <v>264644.20000000042</v>
      </c>
      <c r="AJ185" s="411">
        <f t="shared" si="242"/>
        <v>-2043922.19</v>
      </c>
      <c r="AK185" s="411">
        <f t="shared" si="177"/>
        <v>-1779277.9899999995</v>
      </c>
      <c r="AL185" s="185">
        <f t="shared" si="194"/>
        <v>2570265.2400000002</v>
      </c>
      <c r="AM185" s="317">
        <f t="shared" si="223"/>
        <v>14</v>
      </c>
      <c r="AN185" s="14">
        <f t="shared" si="178"/>
        <v>6591.25</v>
      </c>
      <c r="AO185" s="14">
        <f t="shared" si="261"/>
        <v>921818.05</v>
      </c>
      <c r="AP185" s="14">
        <f t="shared" si="179"/>
        <v>2810.15</v>
      </c>
      <c r="AS185" s="14">
        <f t="shared" si="217"/>
        <v>6591.25</v>
      </c>
      <c r="AT185" s="14">
        <f t="shared" si="224"/>
        <v>1120031.94</v>
      </c>
      <c r="AU185" s="185">
        <f t="shared" si="225"/>
        <v>2257.3383204587612</v>
      </c>
      <c r="AV185" s="185">
        <f t="shared" si="226"/>
        <v>314567.66650396335</v>
      </c>
    </row>
    <row r="186" spans="1:48">
      <c r="A186" s="401" t="str">
        <f t="shared" si="181"/>
        <v xml:space="preserve"> </v>
      </c>
      <c r="B186" s="185">
        <f t="shared" si="218"/>
        <v>0</v>
      </c>
      <c r="C186" s="14">
        <f t="shared" si="211"/>
        <v>0</v>
      </c>
      <c r="D186" s="14">
        <f t="shared" si="227"/>
        <v>0</v>
      </c>
      <c r="E186" s="14">
        <f t="shared" si="212"/>
        <v>0</v>
      </c>
      <c r="F186" s="14">
        <f t="shared" si="170"/>
        <v>0</v>
      </c>
      <c r="G186" s="14">
        <f t="shared" ref="G186:G249" si="275">+G185</f>
        <v>0</v>
      </c>
      <c r="H186" s="14">
        <f t="shared" ref="H186:H249" si="276">SUM(D186:G186)</f>
        <v>0</v>
      </c>
      <c r="I186" s="185">
        <f t="shared" si="182"/>
        <v>0</v>
      </c>
      <c r="J186" s="185">
        <f t="shared" si="183"/>
        <v>0</v>
      </c>
      <c r="K186" s="185">
        <f t="shared" si="184"/>
        <v>0</v>
      </c>
      <c r="L186" s="317">
        <f t="shared" si="263"/>
        <v>14</v>
      </c>
      <c r="M186" s="317">
        <f t="shared" si="219"/>
        <v>170</v>
      </c>
      <c r="N186" s="185">
        <f t="shared" si="220"/>
        <v>526343.05000000028</v>
      </c>
      <c r="O186" s="185">
        <f t="shared" si="185"/>
        <v>6591.25</v>
      </c>
      <c r="P186" s="185">
        <f t="shared" si="228"/>
        <v>834.36999999999989</v>
      </c>
      <c r="Q186" s="185">
        <f t="shared" si="186"/>
        <v>5756.88</v>
      </c>
      <c r="R186" s="185">
        <f t="shared" si="173"/>
        <v>134.16999999999999</v>
      </c>
      <c r="S186" s="185">
        <f t="shared" si="174"/>
        <v>188.55</v>
      </c>
      <c r="T186" s="185">
        <f t="shared" si="171"/>
        <v>6913.97</v>
      </c>
      <c r="U186" s="185">
        <f t="shared" si="229"/>
        <v>65116.320000000014</v>
      </c>
      <c r="V186" s="185">
        <f t="shared" si="230"/>
        <v>1061987.4299999997</v>
      </c>
      <c r="W186" s="185">
        <f t="shared" si="187"/>
        <v>525508.68000000028</v>
      </c>
      <c r="X186" s="401" t="str">
        <f t="shared" si="221"/>
        <v xml:space="preserve"> </v>
      </c>
      <c r="Y186" s="185">
        <f t="shared" si="188"/>
        <v>2570265.2400000002</v>
      </c>
      <c r="Z186" s="393">
        <f t="shared" si="213"/>
        <v>0.13125000000000001</v>
      </c>
      <c r="AA186" s="185">
        <f t="shared" si="214"/>
        <v>2810.15</v>
      </c>
      <c r="AB186" s="185">
        <f t="shared" si="189"/>
        <v>-25302.129999999997</v>
      </c>
      <c r="AC186" s="185">
        <f t="shared" si="215"/>
        <v>28112.28</v>
      </c>
      <c r="AD186" s="185">
        <f t="shared" ref="AD186:AE186" si="277">+AD185</f>
        <v>134.16999999999999</v>
      </c>
      <c r="AE186" s="185">
        <f t="shared" si="277"/>
        <v>188.55</v>
      </c>
      <c r="AF186" s="185">
        <f t="shared" si="191"/>
        <v>3132.8700000000017</v>
      </c>
      <c r="AG186" s="185">
        <f t="shared" si="192"/>
        <v>-1609467.37</v>
      </c>
      <c r="AH186" s="185">
        <f t="shared" si="193"/>
        <v>2468145.8200000003</v>
      </c>
      <c r="AI186" s="411">
        <f t="shared" si="176"/>
        <v>268425.3000000004</v>
      </c>
      <c r="AJ186" s="411">
        <f t="shared" si="242"/>
        <v>-2070058.69</v>
      </c>
      <c r="AK186" s="411">
        <f t="shared" si="177"/>
        <v>-1801633.3899999997</v>
      </c>
      <c r="AL186" s="185">
        <f t="shared" si="194"/>
        <v>2595567.37</v>
      </c>
      <c r="AM186" s="317">
        <f t="shared" si="223"/>
        <v>14</v>
      </c>
      <c r="AN186" s="14">
        <f t="shared" si="178"/>
        <v>6591.25</v>
      </c>
      <c r="AO186" s="14">
        <f t="shared" si="261"/>
        <v>920983.67999999993</v>
      </c>
      <c r="AP186" s="14">
        <f t="shared" si="179"/>
        <v>2810.15</v>
      </c>
      <c r="AS186" s="14">
        <f t="shared" si="217"/>
        <v>6591.25</v>
      </c>
      <c r="AT186" s="14">
        <f t="shared" si="224"/>
        <v>1126623.19</v>
      </c>
      <c r="AU186" s="185">
        <f t="shared" si="225"/>
        <v>2262.9816662599083</v>
      </c>
      <c r="AV186" s="185">
        <f t="shared" si="226"/>
        <v>316830.64817022328</v>
      </c>
    </row>
    <row r="187" spans="1:48">
      <c r="A187" s="401" t="str">
        <f t="shared" si="181"/>
        <v xml:space="preserve"> </v>
      </c>
      <c r="B187" s="185">
        <f t="shared" si="218"/>
        <v>0</v>
      </c>
      <c r="C187" s="14">
        <f t="shared" si="211"/>
        <v>0</v>
      </c>
      <c r="D187" s="14">
        <f t="shared" si="227"/>
        <v>0</v>
      </c>
      <c r="E187" s="14">
        <f t="shared" si="212"/>
        <v>0</v>
      </c>
      <c r="F187" s="14">
        <f t="shared" ref="F187:F250" si="278">+F186</f>
        <v>0</v>
      </c>
      <c r="G187" s="14">
        <f t="shared" si="275"/>
        <v>0</v>
      </c>
      <c r="H187" s="14">
        <f t="shared" si="276"/>
        <v>0</v>
      </c>
      <c r="I187" s="185">
        <f t="shared" si="182"/>
        <v>0</v>
      </c>
      <c r="J187" s="185">
        <f t="shared" si="183"/>
        <v>0</v>
      </c>
      <c r="K187" s="185">
        <f t="shared" si="184"/>
        <v>0</v>
      </c>
      <c r="L187" s="317">
        <f t="shared" si="263"/>
        <v>14</v>
      </c>
      <c r="M187" s="317">
        <f t="shared" si="219"/>
        <v>171</v>
      </c>
      <c r="N187" s="185">
        <f t="shared" si="220"/>
        <v>525508.68000000028</v>
      </c>
      <c r="O187" s="185">
        <f t="shared" si="185"/>
        <v>6591.25</v>
      </c>
      <c r="P187" s="185">
        <f t="shared" si="228"/>
        <v>843.5</v>
      </c>
      <c r="Q187" s="185">
        <f t="shared" si="186"/>
        <v>5747.75</v>
      </c>
      <c r="R187" s="185">
        <f t="shared" si="173"/>
        <v>134.16999999999999</v>
      </c>
      <c r="S187" s="185">
        <f t="shared" si="174"/>
        <v>188.55</v>
      </c>
      <c r="T187" s="185">
        <f t="shared" ref="T187:T250" si="279">SUM(P187:S187)</f>
        <v>6913.97</v>
      </c>
      <c r="U187" s="185">
        <f t="shared" si="229"/>
        <v>65959.820000000007</v>
      </c>
      <c r="V187" s="185">
        <f t="shared" si="230"/>
        <v>1067735.1799999997</v>
      </c>
      <c r="W187" s="185">
        <f t="shared" si="187"/>
        <v>524665.18000000028</v>
      </c>
      <c r="X187" s="401" t="str">
        <f t="shared" si="221"/>
        <v xml:space="preserve"> </v>
      </c>
      <c r="Y187" s="185">
        <f t="shared" si="188"/>
        <v>2595567.37</v>
      </c>
      <c r="Z187" s="393">
        <f t="shared" si="213"/>
        <v>0.13125000000000001</v>
      </c>
      <c r="AA187" s="185">
        <f t="shared" si="214"/>
        <v>2810.15</v>
      </c>
      <c r="AB187" s="185">
        <f t="shared" si="189"/>
        <v>-25578.87</v>
      </c>
      <c r="AC187" s="185">
        <f t="shared" si="215"/>
        <v>28389.02</v>
      </c>
      <c r="AD187" s="185">
        <f t="shared" ref="AD187:AE187" si="280">+AD186</f>
        <v>134.16999999999999</v>
      </c>
      <c r="AE187" s="185">
        <f t="shared" si="280"/>
        <v>188.55</v>
      </c>
      <c r="AF187" s="185">
        <f t="shared" si="191"/>
        <v>3132.8700000000017</v>
      </c>
      <c r="AG187" s="185">
        <f t="shared" si="192"/>
        <v>-1635046.2400000002</v>
      </c>
      <c r="AH187" s="185">
        <f t="shared" si="193"/>
        <v>2496534.8400000003</v>
      </c>
      <c r="AI187" s="411">
        <f t="shared" si="176"/>
        <v>272206.40000000037</v>
      </c>
      <c r="AJ187" s="411">
        <f t="shared" si="242"/>
        <v>-2096481.06</v>
      </c>
      <c r="AK187" s="411">
        <f t="shared" si="177"/>
        <v>-1824274.6599999997</v>
      </c>
      <c r="AL187" s="185">
        <f t="shared" si="194"/>
        <v>2621146.2400000002</v>
      </c>
      <c r="AM187" s="317">
        <f t="shared" si="223"/>
        <v>14</v>
      </c>
      <c r="AN187" s="14">
        <f t="shared" si="178"/>
        <v>6591.25</v>
      </c>
      <c r="AO187" s="14">
        <f t="shared" si="261"/>
        <v>920140.17999999993</v>
      </c>
      <c r="AP187" s="14">
        <f t="shared" si="179"/>
        <v>2810.15</v>
      </c>
      <c r="AS187" s="14">
        <f t="shared" si="217"/>
        <v>6591.25</v>
      </c>
      <c r="AT187" s="14">
        <f t="shared" si="224"/>
        <v>1133214.44</v>
      </c>
      <c r="AU187" s="185">
        <f t="shared" si="225"/>
        <v>2268.6391204255578</v>
      </c>
      <c r="AV187" s="185">
        <f t="shared" si="226"/>
        <v>319099.28729064885</v>
      </c>
    </row>
    <row r="188" spans="1:48">
      <c r="A188" s="401" t="str">
        <f t="shared" si="181"/>
        <v xml:space="preserve"> </v>
      </c>
      <c r="B188" s="185">
        <f t="shared" si="218"/>
        <v>0</v>
      </c>
      <c r="C188" s="14">
        <f t="shared" si="211"/>
        <v>0</v>
      </c>
      <c r="D188" s="14">
        <f t="shared" si="227"/>
        <v>0</v>
      </c>
      <c r="E188" s="14">
        <f t="shared" si="212"/>
        <v>0</v>
      </c>
      <c r="F188" s="14">
        <f t="shared" si="278"/>
        <v>0</v>
      </c>
      <c r="G188" s="14">
        <f t="shared" si="275"/>
        <v>0</v>
      </c>
      <c r="H188" s="14">
        <f t="shared" si="276"/>
        <v>0</v>
      </c>
      <c r="I188" s="185">
        <f t="shared" si="182"/>
        <v>0</v>
      </c>
      <c r="J188" s="185">
        <f t="shared" si="183"/>
        <v>0</v>
      </c>
      <c r="K188" s="185">
        <f t="shared" si="184"/>
        <v>0</v>
      </c>
      <c r="L188" s="317">
        <f t="shared" si="263"/>
        <v>14</v>
      </c>
      <c r="M188" s="317">
        <f t="shared" si="219"/>
        <v>172</v>
      </c>
      <c r="N188" s="185">
        <f t="shared" si="220"/>
        <v>524665.18000000028</v>
      </c>
      <c r="O188" s="185">
        <f t="shared" si="185"/>
        <v>6591.25</v>
      </c>
      <c r="P188" s="185">
        <f t="shared" si="228"/>
        <v>852.72000000000025</v>
      </c>
      <c r="Q188" s="185">
        <f t="shared" si="186"/>
        <v>5738.53</v>
      </c>
      <c r="R188" s="185">
        <f t="shared" ref="R188:R251" si="281">+R187</f>
        <v>134.16999999999999</v>
      </c>
      <c r="S188" s="185">
        <f t="shared" ref="S188:S251" si="282">+S187</f>
        <v>188.55</v>
      </c>
      <c r="T188" s="185">
        <f t="shared" si="279"/>
        <v>6913.97</v>
      </c>
      <c r="U188" s="185">
        <f t="shared" si="229"/>
        <v>66812.540000000008</v>
      </c>
      <c r="V188" s="185">
        <f t="shared" si="230"/>
        <v>1073473.7099999997</v>
      </c>
      <c r="W188" s="185">
        <f t="shared" si="187"/>
        <v>523812.46000000031</v>
      </c>
      <c r="X188" s="401" t="str">
        <f t="shared" si="221"/>
        <v xml:space="preserve"> </v>
      </c>
      <c r="Y188" s="185">
        <f t="shared" si="188"/>
        <v>2621146.2400000002</v>
      </c>
      <c r="Z188" s="393">
        <f t="shared" si="213"/>
        <v>0.13125000000000001</v>
      </c>
      <c r="AA188" s="185">
        <f t="shared" si="214"/>
        <v>2810.15</v>
      </c>
      <c r="AB188" s="185">
        <f t="shared" si="189"/>
        <v>-25858.639999999999</v>
      </c>
      <c r="AC188" s="185">
        <f t="shared" si="215"/>
        <v>28668.79</v>
      </c>
      <c r="AD188" s="185">
        <f t="shared" ref="AD188:AE188" si="283">+AD187</f>
        <v>134.16999999999999</v>
      </c>
      <c r="AE188" s="185">
        <f t="shared" si="283"/>
        <v>188.55</v>
      </c>
      <c r="AF188" s="185">
        <f t="shared" si="191"/>
        <v>3132.8700000000017</v>
      </c>
      <c r="AG188" s="185">
        <f t="shared" si="192"/>
        <v>-1660904.8800000001</v>
      </c>
      <c r="AH188" s="185">
        <f t="shared" si="193"/>
        <v>2525203.6300000004</v>
      </c>
      <c r="AI188" s="411">
        <f t="shared" ref="AI188:AI251" si="284">O188-AA188+AI187</f>
        <v>275987.50000000035</v>
      </c>
      <c r="AJ188" s="411">
        <f t="shared" si="242"/>
        <v>-2123192.42</v>
      </c>
      <c r="AK188" s="411">
        <f t="shared" ref="AK188:AK251" si="285">SUM(AI188:AJ188)</f>
        <v>-1847204.9199999995</v>
      </c>
      <c r="AL188" s="185">
        <f t="shared" si="194"/>
        <v>2647004.8800000004</v>
      </c>
      <c r="AM188" s="317">
        <f t="shared" si="223"/>
        <v>14</v>
      </c>
      <c r="AN188" s="14">
        <f t="shared" ref="AN188:AN251" si="286">IF(O188=0,0,+O188-C188)</f>
        <v>6591.25</v>
      </c>
      <c r="AO188" s="14">
        <f t="shared" si="261"/>
        <v>919287.46</v>
      </c>
      <c r="AP188" s="14">
        <f t="shared" ref="AP188:AP251" si="287">IF($O188=0,0,+AA188-$C188)</f>
        <v>2810.15</v>
      </c>
      <c r="AS188" s="14">
        <f t="shared" si="217"/>
        <v>6591.25</v>
      </c>
      <c r="AT188" s="14">
        <f t="shared" si="224"/>
        <v>1139805.69</v>
      </c>
      <c r="AU188" s="185">
        <f t="shared" si="225"/>
        <v>2274.3107182266217</v>
      </c>
      <c r="AV188" s="185">
        <f t="shared" si="226"/>
        <v>321373.59800887544</v>
      </c>
    </row>
    <row r="189" spans="1:48">
      <c r="A189" s="401" t="str">
        <f t="shared" si="181"/>
        <v xml:space="preserve"> </v>
      </c>
      <c r="B189" s="185">
        <f t="shared" si="218"/>
        <v>0</v>
      </c>
      <c r="C189" s="14">
        <f t="shared" si="211"/>
        <v>0</v>
      </c>
      <c r="D189" s="14">
        <f t="shared" si="227"/>
        <v>0</v>
      </c>
      <c r="E189" s="14">
        <f t="shared" si="212"/>
        <v>0</v>
      </c>
      <c r="F189" s="14">
        <f t="shared" si="278"/>
        <v>0</v>
      </c>
      <c r="G189" s="14">
        <f t="shared" si="275"/>
        <v>0</v>
      </c>
      <c r="H189" s="14">
        <f t="shared" si="276"/>
        <v>0</v>
      </c>
      <c r="I189" s="185">
        <f t="shared" si="182"/>
        <v>0</v>
      </c>
      <c r="J189" s="185">
        <f t="shared" si="183"/>
        <v>0</v>
      </c>
      <c r="K189" s="185">
        <f t="shared" si="184"/>
        <v>0</v>
      </c>
      <c r="L189" s="317">
        <f t="shared" si="263"/>
        <v>14</v>
      </c>
      <c r="M189" s="317">
        <f t="shared" si="219"/>
        <v>173</v>
      </c>
      <c r="N189" s="185">
        <f t="shared" si="220"/>
        <v>523812.46000000031</v>
      </c>
      <c r="O189" s="185">
        <f t="shared" si="185"/>
        <v>6591.25</v>
      </c>
      <c r="P189" s="185">
        <f t="shared" si="228"/>
        <v>862.05000000000018</v>
      </c>
      <c r="Q189" s="185">
        <f t="shared" si="186"/>
        <v>5729.2</v>
      </c>
      <c r="R189" s="185">
        <f t="shared" si="281"/>
        <v>134.16999999999999</v>
      </c>
      <c r="S189" s="185">
        <f t="shared" si="282"/>
        <v>188.55</v>
      </c>
      <c r="T189" s="185">
        <f t="shared" si="279"/>
        <v>6913.97</v>
      </c>
      <c r="U189" s="185">
        <f t="shared" si="229"/>
        <v>67674.590000000011</v>
      </c>
      <c r="V189" s="185">
        <f t="shared" si="230"/>
        <v>1079202.9099999997</v>
      </c>
      <c r="W189" s="185">
        <f t="shared" si="187"/>
        <v>522950.41000000032</v>
      </c>
      <c r="X189" s="401" t="str">
        <f t="shared" si="221"/>
        <v xml:space="preserve"> </v>
      </c>
      <c r="Y189" s="185">
        <f t="shared" si="188"/>
        <v>2647004.8800000004</v>
      </c>
      <c r="Z189" s="393">
        <f t="shared" si="213"/>
        <v>0.13125000000000001</v>
      </c>
      <c r="AA189" s="185">
        <f t="shared" si="214"/>
        <v>2810.15</v>
      </c>
      <c r="AB189" s="185">
        <f t="shared" si="189"/>
        <v>-26141.469999999998</v>
      </c>
      <c r="AC189" s="185">
        <f t="shared" si="215"/>
        <v>28951.62</v>
      </c>
      <c r="AD189" s="185">
        <f t="shared" ref="AD189:AE189" si="288">+AD188</f>
        <v>134.16999999999999</v>
      </c>
      <c r="AE189" s="185">
        <f t="shared" si="288"/>
        <v>188.55</v>
      </c>
      <c r="AF189" s="185">
        <f t="shared" si="191"/>
        <v>3132.8700000000017</v>
      </c>
      <c r="AG189" s="185">
        <f t="shared" si="192"/>
        <v>-1687046.35</v>
      </c>
      <c r="AH189" s="185">
        <f t="shared" si="193"/>
        <v>2554155.2500000005</v>
      </c>
      <c r="AI189" s="411">
        <f t="shared" si="284"/>
        <v>279768.60000000033</v>
      </c>
      <c r="AJ189" s="411">
        <f t="shared" si="242"/>
        <v>-2150195.9400000004</v>
      </c>
      <c r="AK189" s="411">
        <f t="shared" si="285"/>
        <v>-1870427.34</v>
      </c>
      <c r="AL189" s="185">
        <f t="shared" si="194"/>
        <v>2673146.3500000006</v>
      </c>
      <c r="AM189" s="317">
        <f t="shared" si="223"/>
        <v>14</v>
      </c>
      <c r="AN189" s="14">
        <f t="shared" si="286"/>
        <v>6591.25</v>
      </c>
      <c r="AO189" s="14">
        <f t="shared" si="261"/>
        <v>918425.41</v>
      </c>
      <c r="AP189" s="14">
        <f t="shared" si="287"/>
        <v>2810.15</v>
      </c>
      <c r="AS189" s="14">
        <f t="shared" si="217"/>
        <v>6591.25</v>
      </c>
      <c r="AT189" s="14">
        <f t="shared" si="224"/>
        <v>1146396.94</v>
      </c>
      <c r="AU189" s="185">
        <f t="shared" si="225"/>
        <v>2279.9964950221888</v>
      </c>
      <c r="AV189" s="185">
        <f t="shared" si="226"/>
        <v>323653.59450389765</v>
      </c>
    </row>
    <row r="190" spans="1:48">
      <c r="A190" s="401" t="str">
        <f t="shared" ref="A190:A253" si="289">IF(K190&lt;=0," ",+A189+30)</f>
        <v xml:space="preserve"> </v>
      </c>
      <c r="B190" s="185">
        <f t="shared" si="218"/>
        <v>0</v>
      </c>
      <c r="C190" s="14">
        <f t="shared" si="211"/>
        <v>0</v>
      </c>
      <c r="D190" s="14">
        <f t="shared" si="227"/>
        <v>0</v>
      </c>
      <c r="E190" s="14">
        <f t="shared" si="212"/>
        <v>0</v>
      </c>
      <c r="F190" s="14">
        <f t="shared" si="278"/>
        <v>0</v>
      </c>
      <c r="G190" s="14">
        <f t="shared" si="275"/>
        <v>0</v>
      </c>
      <c r="H190" s="14">
        <f t="shared" si="276"/>
        <v>0</v>
      </c>
      <c r="I190" s="185">
        <f t="shared" ref="I190:I253" si="290">$D190+$I189</f>
        <v>0</v>
      </c>
      <c r="J190" s="185">
        <f t="shared" ref="J190:J253" si="291">$E190+$J189</f>
        <v>0</v>
      </c>
      <c r="K190" s="185">
        <f t="shared" ref="K190:K253" si="292">+B190-D190</f>
        <v>0</v>
      </c>
      <c r="L190" s="317">
        <f t="shared" si="263"/>
        <v>14</v>
      </c>
      <c r="M190" s="317">
        <f t="shared" si="219"/>
        <v>174</v>
      </c>
      <c r="N190" s="185">
        <f t="shared" si="220"/>
        <v>522950.41000000032</v>
      </c>
      <c r="O190" s="185">
        <f t="shared" ref="O190:O253" si="293">IF($O$9&lt;=A190,IF(+$W189&lt;=0,0,$O$8),0)</f>
        <v>6591.25</v>
      </c>
      <c r="P190" s="185">
        <f t="shared" si="228"/>
        <v>871.47999999999956</v>
      </c>
      <c r="Q190" s="185">
        <f t="shared" ref="Q190:Q253" si="294">IF($O$9&lt;=A190,ROUND(N190*($O$6/12),2),0)</f>
        <v>5719.77</v>
      </c>
      <c r="R190" s="185">
        <f t="shared" si="281"/>
        <v>134.16999999999999</v>
      </c>
      <c r="S190" s="185">
        <f t="shared" si="282"/>
        <v>188.55</v>
      </c>
      <c r="T190" s="185">
        <f t="shared" si="279"/>
        <v>6913.97</v>
      </c>
      <c r="U190" s="185">
        <f t="shared" si="229"/>
        <v>68546.070000000007</v>
      </c>
      <c r="V190" s="185">
        <f t="shared" si="230"/>
        <v>1084922.6799999997</v>
      </c>
      <c r="W190" s="185">
        <f t="shared" ref="W190:W253" si="295">+N190-P190</f>
        <v>522078.93000000034</v>
      </c>
      <c r="X190" s="401" t="str">
        <f t="shared" si="221"/>
        <v xml:space="preserve"> </v>
      </c>
      <c r="Y190" s="185">
        <f t="shared" ref="Y190:Y253" si="296">IF(+AL189&lt;0,0,+AL189)</f>
        <v>2673146.3500000006</v>
      </c>
      <c r="Z190" s="393">
        <f t="shared" si="213"/>
        <v>0.13125000000000001</v>
      </c>
      <c r="AA190" s="185">
        <f t="shared" si="214"/>
        <v>2810.15</v>
      </c>
      <c r="AB190" s="185">
        <f t="shared" ref="AB190:AB253" si="297">+AA190-AC190</f>
        <v>-26427.39</v>
      </c>
      <c r="AC190" s="185">
        <f t="shared" si="215"/>
        <v>29237.54</v>
      </c>
      <c r="AD190" s="185">
        <f t="shared" ref="AD190:AE190" si="298">+AD189</f>
        <v>134.16999999999999</v>
      </c>
      <c r="AE190" s="185">
        <f t="shared" si="298"/>
        <v>188.55</v>
      </c>
      <c r="AF190" s="185">
        <f t="shared" ref="AF190:AF253" si="299">SUM(AB190:AE190)</f>
        <v>3132.8700000000017</v>
      </c>
      <c r="AG190" s="185">
        <f t="shared" ref="AG190:AG253" si="300">+AB190+AG189</f>
        <v>-1713473.74</v>
      </c>
      <c r="AH190" s="185">
        <f t="shared" ref="AH190:AH253" si="301">+AH189+AC190</f>
        <v>2583392.7900000005</v>
      </c>
      <c r="AI190" s="411">
        <f t="shared" si="284"/>
        <v>283549.7000000003</v>
      </c>
      <c r="AJ190" s="411">
        <f t="shared" si="242"/>
        <v>-2177494.8100000005</v>
      </c>
      <c r="AK190" s="411">
        <f t="shared" si="285"/>
        <v>-1893945.1100000003</v>
      </c>
      <c r="AL190" s="185">
        <f t="shared" ref="AL190:AL253" si="302">+Y190-AB190</f>
        <v>2699573.7400000007</v>
      </c>
      <c r="AM190" s="317">
        <f t="shared" si="223"/>
        <v>14</v>
      </c>
      <c r="AN190" s="14">
        <f t="shared" si="286"/>
        <v>6591.25</v>
      </c>
      <c r="AO190" s="14">
        <f t="shared" si="261"/>
        <v>917553.92999999993</v>
      </c>
      <c r="AP190" s="14">
        <f t="shared" si="287"/>
        <v>2810.15</v>
      </c>
      <c r="AS190" s="14">
        <f t="shared" si="217"/>
        <v>6591.25</v>
      </c>
      <c r="AT190" s="14">
        <f t="shared" si="224"/>
        <v>1152988.19</v>
      </c>
      <c r="AU190" s="185">
        <f t="shared" si="225"/>
        <v>2285.6964862597442</v>
      </c>
      <c r="AV190" s="185">
        <f t="shared" si="226"/>
        <v>325939.2909901574</v>
      </c>
    </row>
    <row r="191" spans="1:48">
      <c r="A191" s="401" t="str">
        <f t="shared" si="289"/>
        <v xml:space="preserve"> </v>
      </c>
      <c r="B191" s="185">
        <f t="shared" si="218"/>
        <v>0</v>
      </c>
      <c r="C191" s="14">
        <f t="shared" si="211"/>
        <v>0</v>
      </c>
      <c r="D191" s="14">
        <f t="shared" si="227"/>
        <v>0</v>
      </c>
      <c r="E191" s="14">
        <f t="shared" si="212"/>
        <v>0</v>
      </c>
      <c r="F191" s="14">
        <f t="shared" si="278"/>
        <v>0</v>
      </c>
      <c r="G191" s="14">
        <f t="shared" si="275"/>
        <v>0</v>
      </c>
      <c r="H191" s="14">
        <f t="shared" si="276"/>
        <v>0</v>
      </c>
      <c r="I191" s="185">
        <f t="shared" si="290"/>
        <v>0</v>
      </c>
      <c r="J191" s="185">
        <f t="shared" si="291"/>
        <v>0</v>
      </c>
      <c r="K191" s="185">
        <f t="shared" si="292"/>
        <v>0</v>
      </c>
      <c r="L191" s="317">
        <f t="shared" si="263"/>
        <v>14</v>
      </c>
      <c r="M191" s="317">
        <f t="shared" si="219"/>
        <v>175</v>
      </c>
      <c r="N191" s="185">
        <f t="shared" si="220"/>
        <v>522078.93000000034</v>
      </c>
      <c r="O191" s="185">
        <f t="shared" si="293"/>
        <v>6591.25</v>
      </c>
      <c r="P191" s="185">
        <f t="shared" si="228"/>
        <v>881.01000000000022</v>
      </c>
      <c r="Q191" s="185">
        <f t="shared" si="294"/>
        <v>5710.24</v>
      </c>
      <c r="R191" s="185">
        <f t="shared" si="281"/>
        <v>134.16999999999999</v>
      </c>
      <c r="S191" s="185">
        <f t="shared" si="282"/>
        <v>188.55</v>
      </c>
      <c r="T191" s="185">
        <f t="shared" si="279"/>
        <v>6913.97</v>
      </c>
      <c r="U191" s="185">
        <f t="shared" si="229"/>
        <v>69427.08</v>
      </c>
      <c r="V191" s="185">
        <f t="shared" si="230"/>
        <v>1090632.9199999997</v>
      </c>
      <c r="W191" s="185">
        <f t="shared" si="295"/>
        <v>521197.92000000033</v>
      </c>
      <c r="X191" s="401" t="str">
        <f t="shared" si="221"/>
        <v xml:space="preserve"> </v>
      </c>
      <c r="Y191" s="185">
        <f t="shared" si="296"/>
        <v>2699573.7400000007</v>
      </c>
      <c r="Z191" s="393">
        <f t="shared" si="213"/>
        <v>0.13125000000000001</v>
      </c>
      <c r="AA191" s="185">
        <f t="shared" si="214"/>
        <v>2810.15</v>
      </c>
      <c r="AB191" s="185">
        <f t="shared" si="297"/>
        <v>-26716.44</v>
      </c>
      <c r="AC191" s="185">
        <f t="shared" si="215"/>
        <v>29526.59</v>
      </c>
      <c r="AD191" s="185">
        <f t="shared" ref="AD191:AE191" si="303">+AD190</f>
        <v>134.16999999999999</v>
      </c>
      <c r="AE191" s="185">
        <f t="shared" si="303"/>
        <v>188.55</v>
      </c>
      <c r="AF191" s="185">
        <f t="shared" si="299"/>
        <v>3132.8700000000017</v>
      </c>
      <c r="AG191" s="185">
        <f t="shared" si="300"/>
        <v>-1740190.18</v>
      </c>
      <c r="AH191" s="185">
        <f t="shared" si="301"/>
        <v>2612919.3800000004</v>
      </c>
      <c r="AI191" s="411">
        <f t="shared" si="284"/>
        <v>287330.80000000028</v>
      </c>
      <c r="AJ191" s="411">
        <f t="shared" si="242"/>
        <v>-2205092.2600000002</v>
      </c>
      <c r="AK191" s="411">
        <f t="shared" si="285"/>
        <v>-1917761.46</v>
      </c>
      <c r="AL191" s="185">
        <f t="shared" si="302"/>
        <v>2726290.1800000006</v>
      </c>
      <c r="AM191" s="317">
        <f t="shared" si="223"/>
        <v>14</v>
      </c>
      <c r="AN191" s="14">
        <f t="shared" si="286"/>
        <v>6591.25</v>
      </c>
      <c r="AO191" s="14">
        <f t="shared" si="261"/>
        <v>916672.92</v>
      </c>
      <c r="AP191" s="14">
        <f t="shared" si="287"/>
        <v>2810.15</v>
      </c>
      <c r="AS191" s="14">
        <f t="shared" si="217"/>
        <v>6591.25</v>
      </c>
      <c r="AT191" s="14">
        <f t="shared" si="224"/>
        <v>1159579.44</v>
      </c>
      <c r="AU191" s="185">
        <f t="shared" si="225"/>
        <v>2291.4107274753933</v>
      </c>
      <c r="AV191" s="185">
        <f t="shared" si="226"/>
        <v>328230.70171763282</v>
      </c>
    </row>
    <row r="192" spans="1:48">
      <c r="A192" s="401" t="str">
        <f t="shared" si="289"/>
        <v xml:space="preserve"> </v>
      </c>
      <c r="B192" s="185">
        <f t="shared" si="218"/>
        <v>0</v>
      </c>
      <c r="C192" s="14">
        <f t="shared" si="211"/>
        <v>0</v>
      </c>
      <c r="D192" s="14">
        <f t="shared" si="227"/>
        <v>0</v>
      </c>
      <c r="E192" s="14">
        <f t="shared" si="212"/>
        <v>0</v>
      </c>
      <c r="F192" s="14">
        <f t="shared" si="278"/>
        <v>0</v>
      </c>
      <c r="G192" s="14">
        <f t="shared" si="275"/>
        <v>0</v>
      </c>
      <c r="H192" s="14">
        <f t="shared" si="276"/>
        <v>0</v>
      </c>
      <c r="I192" s="185">
        <f t="shared" si="290"/>
        <v>0</v>
      </c>
      <c r="J192" s="185">
        <f t="shared" si="291"/>
        <v>0</v>
      </c>
      <c r="K192" s="185">
        <f t="shared" si="292"/>
        <v>0</v>
      </c>
      <c r="L192" s="317">
        <f t="shared" si="263"/>
        <v>14</v>
      </c>
      <c r="M192" s="317">
        <f t="shared" si="219"/>
        <v>176</v>
      </c>
      <c r="N192" s="185">
        <f t="shared" si="220"/>
        <v>521197.92000000033</v>
      </c>
      <c r="O192" s="185">
        <f t="shared" si="293"/>
        <v>6591.25</v>
      </c>
      <c r="P192" s="185">
        <f t="shared" si="228"/>
        <v>890.64999999999964</v>
      </c>
      <c r="Q192" s="185">
        <f t="shared" si="294"/>
        <v>5700.6</v>
      </c>
      <c r="R192" s="185">
        <f t="shared" si="281"/>
        <v>134.16999999999999</v>
      </c>
      <c r="S192" s="185">
        <f t="shared" si="282"/>
        <v>188.55</v>
      </c>
      <c r="T192" s="185">
        <f t="shared" si="279"/>
        <v>6913.97</v>
      </c>
      <c r="U192" s="185">
        <f t="shared" si="229"/>
        <v>70317.73</v>
      </c>
      <c r="V192" s="185">
        <f t="shared" si="230"/>
        <v>1096333.5199999998</v>
      </c>
      <c r="W192" s="185">
        <f t="shared" si="295"/>
        <v>520307.27000000031</v>
      </c>
      <c r="X192" s="401" t="str">
        <f t="shared" si="221"/>
        <v xml:space="preserve"> </v>
      </c>
      <c r="Y192" s="185">
        <f t="shared" si="296"/>
        <v>2726290.1800000006</v>
      </c>
      <c r="Z192" s="393">
        <f t="shared" si="213"/>
        <v>0.13125000000000001</v>
      </c>
      <c r="AA192" s="185">
        <f t="shared" si="214"/>
        <v>2810.15</v>
      </c>
      <c r="AB192" s="185">
        <f t="shared" si="297"/>
        <v>-27008.649999999998</v>
      </c>
      <c r="AC192" s="185">
        <f t="shared" si="215"/>
        <v>29818.799999999999</v>
      </c>
      <c r="AD192" s="185">
        <f t="shared" ref="AD192:AE192" si="304">+AD191</f>
        <v>134.16999999999999</v>
      </c>
      <c r="AE192" s="185">
        <f t="shared" si="304"/>
        <v>188.55</v>
      </c>
      <c r="AF192" s="185">
        <f t="shared" si="299"/>
        <v>3132.8700000000017</v>
      </c>
      <c r="AG192" s="185">
        <f t="shared" si="300"/>
        <v>-1767198.8299999998</v>
      </c>
      <c r="AH192" s="185">
        <f t="shared" si="301"/>
        <v>2642738.1800000002</v>
      </c>
      <c r="AI192" s="411">
        <f t="shared" si="284"/>
        <v>291111.90000000026</v>
      </c>
      <c r="AJ192" s="411">
        <f t="shared" si="242"/>
        <v>-2232991.56</v>
      </c>
      <c r="AK192" s="411">
        <f t="shared" si="285"/>
        <v>-1941879.6599999997</v>
      </c>
      <c r="AL192" s="185">
        <f t="shared" si="302"/>
        <v>2753298.8300000005</v>
      </c>
      <c r="AM192" s="317">
        <f t="shared" si="223"/>
        <v>14</v>
      </c>
      <c r="AN192" s="14">
        <f t="shared" si="286"/>
        <v>6591.25</v>
      </c>
      <c r="AO192" s="14">
        <f t="shared" si="261"/>
        <v>915782.27</v>
      </c>
      <c r="AP192" s="14">
        <f t="shared" si="287"/>
        <v>2810.15</v>
      </c>
      <c r="AS192" s="14">
        <f t="shared" si="217"/>
        <v>6591.25</v>
      </c>
      <c r="AT192" s="14">
        <f t="shared" si="224"/>
        <v>1166170.69</v>
      </c>
      <c r="AU192" s="185">
        <f t="shared" si="225"/>
        <v>2297.1392542940821</v>
      </c>
      <c r="AV192" s="185">
        <f t="shared" si="226"/>
        <v>330527.84097192693</v>
      </c>
    </row>
    <row r="193" spans="1:48">
      <c r="A193" s="401" t="str">
        <f t="shared" si="289"/>
        <v xml:space="preserve"> </v>
      </c>
      <c r="B193" s="185">
        <f t="shared" si="218"/>
        <v>0</v>
      </c>
      <c r="C193" s="14">
        <f t="shared" si="211"/>
        <v>0</v>
      </c>
      <c r="D193" s="14">
        <f t="shared" si="227"/>
        <v>0</v>
      </c>
      <c r="E193" s="14">
        <f t="shared" si="212"/>
        <v>0</v>
      </c>
      <c r="F193" s="14">
        <f t="shared" si="278"/>
        <v>0</v>
      </c>
      <c r="G193" s="14">
        <f t="shared" si="275"/>
        <v>0</v>
      </c>
      <c r="H193" s="14">
        <f t="shared" si="276"/>
        <v>0</v>
      </c>
      <c r="I193" s="185">
        <f t="shared" si="290"/>
        <v>0</v>
      </c>
      <c r="J193" s="185">
        <f t="shared" si="291"/>
        <v>0</v>
      </c>
      <c r="K193" s="185">
        <f t="shared" si="292"/>
        <v>0</v>
      </c>
      <c r="L193" s="317">
        <f t="shared" si="263"/>
        <v>14</v>
      </c>
      <c r="M193" s="317">
        <f t="shared" si="219"/>
        <v>177</v>
      </c>
      <c r="N193" s="185">
        <f t="shared" si="220"/>
        <v>520307.27000000031</v>
      </c>
      <c r="O193" s="185">
        <f t="shared" si="293"/>
        <v>6591.25</v>
      </c>
      <c r="P193" s="185">
        <f t="shared" si="228"/>
        <v>900.39000000000033</v>
      </c>
      <c r="Q193" s="185">
        <f t="shared" si="294"/>
        <v>5690.86</v>
      </c>
      <c r="R193" s="185">
        <f t="shared" si="281"/>
        <v>134.16999999999999</v>
      </c>
      <c r="S193" s="185">
        <f t="shared" si="282"/>
        <v>188.55</v>
      </c>
      <c r="T193" s="185">
        <f t="shared" si="279"/>
        <v>6913.97</v>
      </c>
      <c r="U193" s="185">
        <f t="shared" si="229"/>
        <v>71218.12</v>
      </c>
      <c r="V193" s="185">
        <f t="shared" si="230"/>
        <v>1102024.3799999999</v>
      </c>
      <c r="W193" s="185">
        <f t="shared" si="295"/>
        <v>519406.8800000003</v>
      </c>
      <c r="X193" s="401" t="str">
        <f t="shared" si="221"/>
        <v xml:space="preserve"> </v>
      </c>
      <c r="Y193" s="185">
        <f t="shared" si="296"/>
        <v>2753298.8300000005</v>
      </c>
      <c r="Z193" s="393">
        <f t="shared" si="213"/>
        <v>0.13125000000000001</v>
      </c>
      <c r="AA193" s="185">
        <f t="shared" si="214"/>
        <v>2810.15</v>
      </c>
      <c r="AB193" s="185">
        <f t="shared" si="297"/>
        <v>-27304.059999999998</v>
      </c>
      <c r="AC193" s="185">
        <f t="shared" si="215"/>
        <v>30114.21</v>
      </c>
      <c r="AD193" s="185">
        <f t="shared" ref="AD193:AE193" si="305">+AD192</f>
        <v>134.16999999999999</v>
      </c>
      <c r="AE193" s="185">
        <f t="shared" si="305"/>
        <v>188.55</v>
      </c>
      <c r="AF193" s="185">
        <f t="shared" si="299"/>
        <v>3132.8700000000017</v>
      </c>
      <c r="AG193" s="185">
        <f t="shared" si="300"/>
        <v>-1794502.89</v>
      </c>
      <c r="AH193" s="185">
        <f t="shared" si="301"/>
        <v>2672852.39</v>
      </c>
      <c r="AI193" s="411">
        <f t="shared" si="284"/>
        <v>294893.00000000023</v>
      </c>
      <c r="AJ193" s="411">
        <f t="shared" si="242"/>
        <v>-2261196.0100000002</v>
      </c>
      <c r="AK193" s="411">
        <f t="shared" si="285"/>
        <v>-1966303.01</v>
      </c>
      <c r="AL193" s="185">
        <f t="shared" si="302"/>
        <v>2780602.8900000006</v>
      </c>
      <c r="AM193" s="317">
        <f t="shared" si="223"/>
        <v>14</v>
      </c>
      <c r="AN193" s="14">
        <f t="shared" si="286"/>
        <v>6591.25</v>
      </c>
      <c r="AO193" s="14">
        <f t="shared" si="261"/>
        <v>914881.88</v>
      </c>
      <c r="AP193" s="14">
        <f t="shared" si="287"/>
        <v>2810.15</v>
      </c>
      <c r="AS193" s="14">
        <f t="shared" si="217"/>
        <v>6591.25</v>
      </c>
      <c r="AT193" s="14">
        <f t="shared" si="224"/>
        <v>1172761.94</v>
      </c>
      <c r="AU193" s="185">
        <f t="shared" si="225"/>
        <v>2302.8821024298172</v>
      </c>
      <c r="AV193" s="185">
        <f t="shared" si="226"/>
        <v>332830.72307435673</v>
      </c>
    </row>
    <row r="194" spans="1:48" ht="15.75" thickBot="1">
      <c r="A194" s="404" t="str">
        <f t="shared" si="289"/>
        <v xml:space="preserve"> </v>
      </c>
      <c r="B194" s="237">
        <f t="shared" si="218"/>
        <v>0</v>
      </c>
      <c r="C194" s="21">
        <f t="shared" si="211"/>
        <v>0</v>
      </c>
      <c r="D194" s="21">
        <f t="shared" si="227"/>
        <v>0</v>
      </c>
      <c r="E194" s="21">
        <f t="shared" si="212"/>
        <v>0</v>
      </c>
      <c r="F194" s="21">
        <f t="shared" si="278"/>
        <v>0</v>
      </c>
      <c r="G194" s="21">
        <f t="shared" si="275"/>
        <v>0</v>
      </c>
      <c r="H194" s="21">
        <f t="shared" si="276"/>
        <v>0</v>
      </c>
      <c r="I194" s="237">
        <f t="shared" si="290"/>
        <v>0</v>
      </c>
      <c r="J194" s="237">
        <f t="shared" si="291"/>
        <v>0</v>
      </c>
      <c r="K194" s="237">
        <f t="shared" si="292"/>
        <v>0</v>
      </c>
      <c r="L194" s="318">
        <f t="shared" si="263"/>
        <v>14</v>
      </c>
      <c r="M194" s="318">
        <f t="shared" si="219"/>
        <v>178</v>
      </c>
      <c r="N194" s="237">
        <f t="shared" si="220"/>
        <v>519406.8800000003</v>
      </c>
      <c r="O194" s="237">
        <f t="shared" si="293"/>
        <v>6591.25</v>
      </c>
      <c r="P194" s="237">
        <f t="shared" si="228"/>
        <v>910.23999999999978</v>
      </c>
      <c r="Q194" s="237">
        <f t="shared" si="294"/>
        <v>5681.01</v>
      </c>
      <c r="R194" s="237">
        <f t="shared" si="281"/>
        <v>134.16999999999999</v>
      </c>
      <c r="S194" s="237">
        <f t="shared" si="282"/>
        <v>188.55</v>
      </c>
      <c r="T194" s="237">
        <f t="shared" si="279"/>
        <v>6913.97</v>
      </c>
      <c r="U194" s="237">
        <f t="shared" si="229"/>
        <v>72128.36</v>
      </c>
      <c r="V194" s="237">
        <f t="shared" si="230"/>
        <v>1107705.3899999999</v>
      </c>
      <c r="W194" s="237">
        <f t="shared" si="295"/>
        <v>518496.64000000031</v>
      </c>
      <c r="X194" s="404" t="str">
        <f t="shared" si="221"/>
        <v xml:space="preserve"> </v>
      </c>
      <c r="Y194" s="237">
        <f t="shared" si="296"/>
        <v>2780602.8900000006</v>
      </c>
      <c r="Z194" s="394">
        <f t="shared" si="213"/>
        <v>0.13125000000000001</v>
      </c>
      <c r="AA194" s="237">
        <f t="shared" si="214"/>
        <v>2810.15</v>
      </c>
      <c r="AB194" s="237">
        <f t="shared" si="297"/>
        <v>-27602.69</v>
      </c>
      <c r="AC194" s="237">
        <f t="shared" si="215"/>
        <v>30412.84</v>
      </c>
      <c r="AD194" s="237">
        <f t="shared" ref="AD194:AE194" si="306">+AD193</f>
        <v>134.16999999999999</v>
      </c>
      <c r="AE194" s="237">
        <f t="shared" si="306"/>
        <v>188.55</v>
      </c>
      <c r="AF194" s="237">
        <f t="shared" si="299"/>
        <v>3132.8700000000017</v>
      </c>
      <c r="AG194" s="237">
        <f t="shared" si="300"/>
        <v>-1822105.5799999998</v>
      </c>
      <c r="AH194" s="237">
        <f t="shared" si="301"/>
        <v>2703265.23</v>
      </c>
      <c r="AI194" s="412">
        <f t="shared" si="284"/>
        <v>298674.10000000021</v>
      </c>
      <c r="AJ194" s="412">
        <f t="shared" si="242"/>
        <v>-2289708.9400000004</v>
      </c>
      <c r="AK194" s="411">
        <f t="shared" si="285"/>
        <v>-1991034.8400000003</v>
      </c>
      <c r="AL194" s="237">
        <f t="shared" si="302"/>
        <v>2808205.5800000005</v>
      </c>
      <c r="AM194" s="318">
        <f t="shared" si="223"/>
        <v>14</v>
      </c>
      <c r="AN194" s="21">
        <f t="shared" si="286"/>
        <v>6591.25</v>
      </c>
      <c r="AO194" s="21">
        <f t="shared" si="261"/>
        <v>913971.64</v>
      </c>
      <c r="AP194" s="21">
        <f t="shared" si="287"/>
        <v>2810.15</v>
      </c>
      <c r="AQ194" s="21"/>
      <c r="AR194" s="23"/>
      <c r="AS194" s="21">
        <f t="shared" si="217"/>
        <v>6591.25</v>
      </c>
      <c r="AT194" s="21">
        <f t="shared" si="224"/>
        <v>1179353.19</v>
      </c>
      <c r="AU194" s="237">
        <f t="shared" si="225"/>
        <v>2308.6393076858917</v>
      </c>
      <c r="AV194" s="237">
        <f t="shared" si="226"/>
        <v>335139.36238204263</v>
      </c>
    </row>
    <row r="195" spans="1:48">
      <c r="A195" s="401" t="str">
        <f t="shared" si="289"/>
        <v xml:space="preserve"> </v>
      </c>
      <c r="B195" s="185">
        <f t="shared" si="218"/>
        <v>0</v>
      </c>
      <c r="C195" s="14">
        <f t="shared" si="211"/>
        <v>0</v>
      </c>
      <c r="D195" s="14">
        <f t="shared" si="227"/>
        <v>0</v>
      </c>
      <c r="E195" s="14">
        <f t="shared" si="212"/>
        <v>0</v>
      </c>
      <c r="F195" s="14">
        <f t="shared" si="278"/>
        <v>0</v>
      </c>
      <c r="G195" s="14">
        <f t="shared" si="275"/>
        <v>0</v>
      </c>
      <c r="H195" s="14">
        <f t="shared" si="276"/>
        <v>0</v>
      </c>
      <c r="I195" s="185">
        <f t="shared" si="290"/>
        <v>0</v>
      </c>
      <c r="J195" s="185">
        <f t="shared" si="291"/>
        <v>0</v>
      </c>
      <c r="K195" s="185">
        <f t="shared" si="292"/>
        <v>0</v>
      </c>
      <c r="L195" s="317">
        <f t="shared" si="263"/>
        <v>14</v>
      </c>
      <c r="M195" s="317">
        <f t="shared" si="219"/>
        <v>179</v>
      </c>
      <c r="N195" s="185">
        <f t="shared" si="220"/>
        <v>518496.64000000031</v>
      </c>
      <c r="O195" s="185">
        <f t="shared" si="293"/>
        <v>6591.25</v>
      </c>
      <c r="P195" s="185">
        <f t="shared" si="228"/>
        <v>920.1899999999996</v>
      </c>
      <c r="Q195" s="185">
        <f t="shared" si="294"/>
        <v>5671.06</v>
      </c>
      <c r="R195" s="185">
        <f t="shared" si="281"/>
        <v>134.16999999999999</v>
      </c>
      <c r="S195" s="185">
        <f t="shared" si="282"/>
        <v>188.55</v>
      </c>
      <c r="T195" s="185">
        <f t="shared" si="279"/>
        <v>6913.97</v>
      </c>
      <c r="U195" s="185">
        <f t="shared" si="229"/>
        <v>73048.55</v>
      </c>
      <c r="V195" s="185">
        <f t="shared" si="230"/>
        <v>1113376.45</v>
      </c>
      <c r="W195" s="185">
        <f t="shared" si="295"/>
        <v>517576.4500000003</v>
      </c>
      <c r="X195" s="401" t="str">
        <f t="shared" si="221"/>
        <v xml:space="preserve"> </v>
      </c>
      <c r="Y195" s="185">
        <f t="shared" si="296"/>
        <v>2808205.5800000005</v>
      </c>
      <c r="Z195" s="393">
        <f t="shared" si="213"/>
        <v>0.13125000000000001</v>
      </c>
      <c r="AA195" s="185">
        <f t="shared" si="214"/>
        <v>2810.15</v>
      </c>
      <c r="AB195" s="185">
        <f t="shared" si="297"/>
        <v>-27904.6</v>
      </c>
      <c r="AC195" s="185">
        <f t="shared" si="215"/>
        <v>30714.75</v>
      </c>
      <c r="AD195" s="185">
        <f t="shared" ref="AD195:AE195" si="307">+AD194</f>
        <v>134.16999999999999</v>
      </c>
      <c r="AE195" s="185">
        <f t="shared" si="307"/>
        <v>188.55</v>
      </c>
      <c r="AF195" s="185">
        <f t="shared" si="299"/>
        <v>3132.8700000000017</v>
      </c>
      <c r="AG195" s="185">
        <f t="shared" si="300"/>
        <v>-1850010.18</v>
      </c>
      <c r="AH195" s="185">
        <f t="shared" si="301"/>
        <v>2733979.98</v>
      </c>
      <c r="AI195" s="411">
        <f t="shared" si="284"/>
        <v>302455.20000000019</v>
      </c>
      <c r="AJ195" s="411">
        <f t="shared" si="242"/>
        <v>-2318533.7300000004</v>
      </c>
      <c r="AK195" s="411">
        <f t="shared" si="285"/>
        <v>-2016078.5300000003</v>
      </c>
      <c r="AL195" s="185">
        <f t="shared" si="302"/>
        <v>2836110.1800000006</v>
      </c>
      <c r="AM195" s="317">
        <f t="shared" si="223"/>
        <v>14</v>
      </c>
      <c r="AN195" s="14">
        <f t="shared" si="286"/>
        <v>6591.25</v>
      </c>
      <c r="AO195" s="14">
        <f t="shared" si="261"/>
        <v>913051.45</v>
      </c>
      <c r="AP195" s="14">
        <f t="shared" si="287"/>
        <v>2810.15</v>
      </c>
      <c r="AS195" s="14">
        <f t="shared" si="217"/>
        <v>6591.25</v>
      </c>
      <c r="AT195" s="14">
        <f t="shared" si="224"/>
        <v>1185944.44</v>
      </c>
      <c r="AU195" s="185">
        <f t="shared" si="225"/>
        <v>2314.4109059551065</v>
      </c>
      <c r="AV195" s="185">
        <f t="shared" si="226"/>
        <v>337453.77328799776</v>
      </c>
    </row>
    <row r="196" spans="1:48">
      <c r="A196" s="401" t="str">
        <f t="shared" si="289"/>
        <v xml:space="preserve"> </v>
      </c>
      <c r="B196" s="185">
        <f t="shared" si="218"/>
        <v>0</v>
      </c>
      <c r="C196" s="14">
        <f t="shared" si="211"/>
        <v>0</v>
      </c>
      <c r="D196" s="14">
        <f t="shared" si="227"/>
        <v>0</v>
      </c>
      <c r="E196" s="14">
        <f t="shared" si="212"/>
        <v>0</v>
      </c>
      <c r="F196" s="14">
        <f t="shared" si="278"/>
        <v>0</v>
      </c>
      <c r="G196" s="14">
        <f t="shared" si="275"/>
        <v>0</v>
      </c>
      <c r="H196" s="14">
        <f t="shared" si="276"/>
        <v>0</v>
      </c>
      <c r="I196" s="185">
        <f t="shared" si="290"/>
        <v>0</v>
      </c>
      <c r="J196" s="185">
        <f t="shared" si="291"/>
        <v>0</v>
      </c>
      <c r="K196" s="185">
        <f t="shared" si="292"/>
        <v>0</v>
      </c>
      <c r="L196" s="317">
        <f t="shared" si="263"/>
        <v>15</v>
      </c>
      <c r="M196" s="317">
        <f t="shared" si="219"/>
        <v>180</v>
      </c>
      <c r="N196" s="185">
        <f t="shared" si="220"/>
        <v>517576.4500000003</v>
      </c>
      <c r="O196" s="185">
        <f t="shared" si="293"/>
        <v>6591.25</v>
      </c>
      <c r="P196" s="185">
        <f t="shared" si="228"/>
        <v>930.26000000000022</v>
      </c>
      <c r="Q196" s="185">
        <f t="shared" si="294"/>
        <v>5660.99</v>
      </c>
      <c r="R196" s="185">
        <f t="shared" si="281"/>
        <v>134.16999999999999</v>
      </c>
      <c r="S196" s="185">
        <f t="shared" si="282"/>
        <v>188.55</v>
      </c>
      <c r="T196" s="185">
        <f t="shared" si="279"/>
        <v>6913.97</v>
      </c>
      <c r="U196" s="185">
        <f t="shared" si="229"/>
        <v>73978.81</v>
      </c>
      <c r="V196" s="185">
        <f t="shared" si="230"/>
        <v>1119037.4399999999</v>
      </c>
      <c r="W196" s="185">
        <f t="shared" si="295"/>
        <v>516646.19000000029</v>
      </c>
      <c r="X196" s="401" t="str">
        <f t="shared" si="221"/>
        <v xml:space="preserve"> </v>
      </c>
      <c r="Y196" s="185">
        <f t="shared" si="296"/>
        <v>2836110.1800000006</v>
      </c>
      <c r="Z196" s="393">
        <f t="shared" si="213"/>
        <v>0.13125000000000001</v>
      </c>
      <c r="AA196" s="185">
        <f t="shared" si="214"/>
        <v>2810.15</v>
      </c>
      <c r="AB196" s="185">
        <f t="shared" si="297"/>
        <v>-28209.809999999998</v>
      </c>
      <c r="AC196" s="185">
        <f t="shared" si="215"/>
        <v>31019.96</v>
      </c>
      <c r="AD196" s="185">
        <f t="shared" ref="AD196:AE196" si="308">+AD195</f>
        <v>134.16999999999999</v>
      </c>
      <c r="AE196" s="185">
        <f t="shared" si="308"/>
        <v>188.55</v>
      </c>
      <c r="AF196" s="185">
        <f t="shared" si="299"/>
        <v>3132.8700000000017</v>
      </c>
      <c r="AG196" s="185">
        <f t="shared" si="300"/>
        <v>-1878219.99</v>
      </c>
      <c r="AH196" s="185">
        <f t="shared" si="301"/>
        <v>2764999.94</v>
      </c>
      <c r="AI196" s="411">
        <f t="shared" si="284"/>
        <v>306236.30000000016</v>
      </c>
      <c r="AJ196" s="411">
        <f t="shared" si="242"/>
        <v>-2347673.8000000003</v>
      </c>
      <c r="AK196" s="411">
        <f t="shared" si="285"/>
        <v>-2041437.5</v>
      </c>
      <c r="AL196" s="185">
        <f t="shared" si="302"/>
        <v>2864319.9900000007</v>
      </c>
      <c r="AM196" s="317">
        <f t="shared" si="223"/>
        <v>15</v>
      </c>
      <c r="AN196" s="14">
        <f t="shared" si="286"/>
        <v>6591.25</v>
      </c>
      <c r="AO196" s="14">
        <f t="shared" si="261"/>
        <v>912121.19</v>
      </c>
      <c r="AP196" s="14">
        <f t="shared" si="287"/>
        <v>2810.15</v>
      </c>
      <c r="AS196" s="14">
        <f t="shared" si="217"/>
        <v>6591.25</v>
      </c>
      <c r="AT196" s="14">
        <f t="shared" si="224"/>
        <v>1192535.69</v>
      </c>
      <c r="AU196" s="185">
        <f t="shared" si="225"/>
        <v>2320.1969332199947</v>
      </c>
      <c r="AV196" s="185">
        <f t="shared" si="226"/>
        <v>339773.97022121772</v>
      </c>
    </row>
    <row r="197" spans="1:48">
      <c r="A197" s="401" t="str">
        <f t="shared" si="289"/>
        <v xml:space="preserve"> </v>
      </c>
      <c r="B197" s="185">
        <f t="shared" si="218"/>
        <v>0</v>
      </c>
      <c r="C197" s="14">
        <f t="shared" si="211"/>
        <v>0</v>
      </c>
      <c r="D197" s="14">
        <f t="shared" si="227"/>
        <v>0</v>
      </c>
      <c r="E197" s="14">
        <f t="shared" si="212"/>
        <v>0</v>
      </c>
      <c r="F197" s="14">
        <f t="shared" si="278"/>
        <v>0</v>
      </c>
      <c r="G197" s="14">
        <f t="shared" si="275"/>
        <v>0</v>
      </c>
      <c r="H197" s="14">
        <f t="shared" si="276"/>
        <v>0</v>
      </c>
      <c r="I197" s="185">
        <f t="shared" si="290"/>
        <v>0</v>
      </c>
      <c r="J197" s="185">
        <f t="shared" si="291"/>
        <v>0</v>
      </c>
      <c r="K197" s="185">
        <f t="shared" si="292"/>
        <v>0</v>
      </c>
      <c r="L197" s="317">
        <f t="shared" si="263"/>
        <v>15</v>
      </c>
      <c r="M197" s="317">
        <f t="shared" si="219"/>
        <v>181</v>
      </c>
      <c r="N197" s="185">
        <f t="shared" si="220"/>
        <v>516646.19000000029</v>
      </c>
      <c r="O197" s="185">
        <f t="shared" si="293"/>
        <v>6591.25</v>
      </c>
      <c r="P197" s="185">
        <f t="shared" si="228"/>
        <v>940.43000000000029</v>
      </c>
      <c r="Q197" s="185">
        <f t="shared" si="294"/>
        <v>5650.82</v>
      </c>
      <c r="R197" s="185">
        <f t="shared" si="281"/>
        <v>134.16999999999999</v>
      </c>
      <c r="S197" s="185">
        <f t="shared" si="282"/>
        <v>188.55</v>
      </c>
      <c r="T197" s="185">
        <f t="shared" si="279"/>
        <v>6913.97</v>
      </c>
      <c r="U197" s="185">
        <f t="shared" si="229"/>
        <v>74919.239999999991</v>
      </c>
      <c r="V197" s="185">
        <f t="shared" si="230"/>
        <v>1124688.26</v>
      </c>
      <c r="W197" s="185">
        <f t="shared" si="295"/>
        <v>515705.7600000003</v>
      </c>
      <c r="X197" s="401" t="str">
        <f t="shared" si="221"/>
        <v xml:space="preserve"> </v>
      </c>
      <c r="Y197" s="185">
        <f t="shared" si="296"/>
        <v>2864319.9900000007</v>
      </c>
      <c r="Z197" s="393">
        <f t="shared" si="213"/>
        <v>0.13125000000000001</v>
      </c>
      <c r="AA197" s="185">
        <f t="shared" si="214"/>
        <v>2810.15</v>
      </c>
      <c r="AB197" s="185">
        <f t="shared" si="297"/>
        <v>-28518.35</v>
      </c>
      <c r="AC197" s="185">
        <f t="shared" si="215"/>
        <v>31328.5</v>
      </c>
      <c r="AD197" s="185">
        <f t="shared" ref="AD197:AE197" si="309">+AD196</f>
        <v>134.16999999999999</v>
      </c>
      <c r="AE197" s="185">
        <f t="shared" si="309"/>
        <v>188.55</v>
      </c>
      <c r="AF197" s="185">
        <f t="shared" si="299"/>
        <v>3132.8700000000017</v>
      </c>
      <c r="AG197" s="185">
        <f t="shared" si="300"/>
        <v>-1906738.34</v>
      </c>
      <c r="AH197" s="185">
        <f t="shared" si="301"/>
        <v>2796328.44</v>
      </c>
      <c r="AI197" s="411">
        <f t="shared" si="284"/>
        <v>310017.40000000014</v>
      </c>
      <c r="AJ197" s="411">
        <f t="shared" si="242"/>
        <v>-2377132.5800000005</v>
      </c>
      <c r="AK197" s="411">
        <f t="shared" si="285"/>
        <v>-2067115.1800000004</v>
      </c>
      <c r="AL197" s="185">
        <f t="shared" si="302"/>
        <v>2892838.3400000008</v>
      </c>
      <c r="AM197" s="317">
        <f t="shared" si="223"/>
        <v>15</v>
      </c>
      <c r="AN197" s="14">
        <f t="shared" si="286"/>
        <v>6591.25</v>
      </c>
      <c r="AO197" s="14">
        <f t="shared" si="261"/>
        <v>911180.76</v>
      </c>
      <c r="AP197" s="14">
        <f t="shared" si="287"/>
        <v>2810.15</v>
      </c>
      <c r="AS197" s="14">
        <f t="shared" si="217"/>
        <v>6591.25</v>
      </c>
      <c r="AT197" s="14">
        <f t="shared" si="224"/>
        <v>1199126.94</v>
      </c>
      <c r="AU197" s="185">
        <f t="shared" si="225"/>
        <v>2325.9974255530442</v>
      </c>
      <c r="AV197" s="185">
        <f t="shared" si="226"/>
        <v>342099.96764677076</v>
      </c>
    </row>
    <row r="198" spans="1:48">
      <c r="A198" s="401" t="str">
        <f t="shared" si="289"/>
        <v xml:space="preserve"> </v>
      </c>
      <c r="B198" s="185">
        <f t="shared" si="218"/>
        <v>0</v>
      </c>
      <c r="C198" s="14">
        <f t="shared" si="211"/>
        <v>0</v>
      </c>
      <c r="D198" s="14">
        <f t="shared" si="227"/>
        <v>0</v>
      </c>
      <c r="E198" s="14">
        <f t="shared" si="212"/>
        <v>0</v>
      </c>
      <c r="F198" s="14">
        <f t="shared" si="278"/>
        <v>0</v>
      </c>
      <c r="G198" s="14">
        <f t="shared" si="275"/>
        <v>0</v>
      </c>
      <c r="H198" s="14">
        <f t="shared" si="276"/>
        <v>0</v>
      </c>
      <c r="I198" s="185">
        <f t="shared" si="290"/>
        <v>0</v>
      </c>
      <c r="J198" s="185">
        <f t="shared" si="291"/>
        <v>0</v>
      </c>
      <c r="K198" s="185">
        <f t="shared" si="292"/>
        <v>0</v>
      </c>
      <c r="L198" s="317">
        <f t="shared" si="263"/>
        <v>15</v>
      </c>
      <c r="M198" s="317">
        <f t="shared" si="219"/>
        <v>182</v>
      </c>
      <c r="N198" s="185">
        <f t="shared" si="220"/>
        <v>515705.7600000003</v>
      </c>
      <c r="O198" s="185">
        <f t="shared" si="293"/>
        <v>6591.25</v>
      </c>
      <c r="P198" s="185">
        <f t="shared" si="228"/>
        <v>950.72000000000025</v>
      </c>
      <c r="Q198" s="185">
        <f t="shared" si="294"/>
        <v>5640.53</v>
      </c>
      <c r="R198" s="185">
        <f t="shared" si="281"/>
        <v>134.16999999999999</v>
      </c>
      <c r="S198" s="185">
        <f t="shared" si="282"/>
        <v>188.55</v>
      </c>
      <c r="T198" s="185">
        <f t="shared" si="279"/>
        <v>6913.97</v>
      </c>
      <c r="U198" s="185">
        <f t="shared" si="229"/>
        <v>75869.959999999992</v>
      </c>
      <c r="V198" s="185">
        <f t="shared" si="230"/>
        <v>1130328.79</v>
      </c>
      <c r="W198" s="185">
        <f t="shared" si="295"/>
        <v>514755.04000000033</v>
      </c>
      <c r="X198" s="401" t="str">
        <f t="shared" si="221"/>
        <v xml:space="preserve"> </v>
      </c>
      <c r="Y198" s="185">
        <f t="shared" si="296"/>
        <v>2892838.3400000008</v>
      </c>
      <c r="Z198" s="393">
        <f t="shared" si="213"/>
        <v>0.13125000000000001</v>
      </c>
      <c r="AA198" s="185">
        <f t="shared" si="214"/>
        <v>2810.15</v>
      </c>
      <c r="AB198" s="185">
        <f t="shared" si="297"/>
        <v>-28830.269999999997</v>
      </c>
      <c r="AC198" s="185">
        <f t="shared" si="215"/>
        <v>31640.42</v>
      </c>
      <c r="AD198" s="185">
        <f t="shared" ref="AD198:AE198" si="310">+AD197</f>
        <v>134.16999999999999</v>
      </c>
      <c r="AE198" s="185">
        <f t="shared" si="310"/>
        <v>188.55</v>
      </c>
      <c r="AF198" s="185">
        <f t="shared" si="299"/>
        <v>3132.8700000000017</v>
      </c>
      <c r="AG198" s="185">
        <f t="shared" si="300"/>
        <v>-1935568.61</v>
      </c>
      <c r="AH198" s="185">
        <f t="shared" si="301"/>
        <v>2827968.86</v>
      </c>
      <c r="AI198" s="411">
        <f t="shared" si="284"/>
        <v>313798.50000000012</v>
      </c>
      <c r="AJ198" s="411">
        <f t="shared" si="242"/>
        <v>-2406913.5700000003</v>
      </c>
      <c r="AK198" s="411">
        <f t="shared" si="285"/>
        <v>-2093115.0700000003</v>
      </c>
      <c r="AL198" s="185">
        <f t="shared" si="302"/>
        <v>2921668.6100000008</v>
      </c>
      <c r="AM198" s="317">
        <f t="shared" si="223"/>
        <v>15</v>
      </c>
      <c r="AN198" s="14">
        <f t="shared" si="286"/>
        <v>6591.25</v>
      </c>
      <c r="AO198" s="14">
        <f t="shared" si="261"/>
        <v>910230.04</v>
      </c>
      <c r="AP198" s="14">
        <f t="shared" si="287"/>
        <v>2810.15</v>
      </c>
      <c r="AS198" s="14">
        <f t="shared" si="217"/>
        <v>6591.25</v>
      </c>
      <c r="AT198" s="14">
        <f t="shared" si="224"/>
        <v>1205718.19</v>
      </c>
      <c r="AU198" s="185">
        <f t="shared" si="225"/>
        <v>2331.8124191169268</v>
      </c>
      <c r="AV198" s="185">
        <f t="shared" si="226"/>
        <v>344431.78006588767</v>
      </c>
    </row>
    <row r="199" spans="1:48">
      <c r="A199" s="401" t="str">
        <f t="shared" si="289"/>
        <v xml:space="preserve"> </v>
      </c>
      <c r="B199" s="185">
        <f t="shared" si="218"/>
        <v>0</v>
      </c>
      <c r="C199" s="14">
        <f t="shared" si="211"/>
        <v>0</v>
      </c>
      <c r="D199" s="14">
        <f t="shared" si="227"/>
        <v>0</v>
      </c>
      <c r="E199" s="14">
        <f t="shared" si="212"/>
        <v>0</v>
      </c>
      <c r="F199" s="14">
        <f t="shared" si="278"/>
        <v>0</v>
      </c>
      <c r="G199" s="14">
        <f t="shared" si="275"/>
        <v>0</v>
      </c>
      <c r="H199" s="14">
        <f t="shared" si="276"/>
        <v>0</v>
      </c>
      <c r="I199" s="185">
        <f t="shared" si="290"/>
        <v>0</v>
      </c>
      <c r="J199" s="185">
        <f t="shared" si="291"/>
        <v>0</v>
      </c>
      <c r="K199" s="185">
        <f t="shared" si="292"/>
        <v>0</v>
      </c>
      <c r="L199" s="317">
        <f t="shared" si="263"/>
        <v>15</v>
      </c>
      <c r="M199" s="317">
        <f t="shared" si="219"/>
        <v>183</v>
      </c>
      <c r="N199" s="185">
        <f t="shared" si="220"/>
        <v>514755.04000000033</v>
      </c>
      <c r="O199" s="185">
        <f t="shared" si="293"/>
        <v>6591.25</v>
      </c>
      <c r="P199" s="185">
        <f t="shared" si="228"/>
        <v>961.11999999999989</v>
      </c>
      <c r="Q199" s="185">
        <f t="shared" si="294"/>
        <v>5630.13</v>
      </c>
      <c r="R199" s="185">
        <f t="shared" si="281"/>
        <v>134.16999999999999</v>
      </c>
      <c r="S199" s="185">
        <f t="shared" si="282"/>
        <v>188.55</v>
      </c>
      <c r="T199" s="185">
        <f t="shared" si="279"/>
        <v>6913.97</v>
      </c>
      <c r="U199" s="185">
        <f t="shared" si="229"/>
        <v>76831.079999999987</v>
      </c>
      <c r="V199" s="185">
        <f t="shared" si="230"/>
        <v>1135958.92</v>
      </c>
      <c r="W199" s="185">
        <f t="shared" si="295"/>
        <v>513793.92000000033</v>
      </c>
      <c r="X199" s="401" t="str">
        <f t="shared" si="221"/>
        <v xml:space="preserve"> </v>
      </c>
      <c r="Y199" s="185">
        <f t="shared" si="296"/>
        <v>2921668.6100000008</v>
      </c>
      <c r="Z199" s="393">
        <f t="shared" si="213"/>
        <v>0.13125000000000001</v>
      </c>
      <c r="AA199" s="185">
        <f t="shared" si="214"/>
        <v>2810.15</v>
      </c>
      <c r="AB199" s="185">
        <f t="shared" si="297"/>
        <v>-29145.599999999999</v>
      </c>
      <c r="AC199" s="185">
        <f t="shared" si="215"/>
        <v>31955.75</v>
      </c>
      <c r="AD199" s="185">
        <f t="shared" ref="AD199:AE199" si="311">+AD198</f>
        <v>134.16999999999999</v>
      </c>
      <c r="AE199" s="185">
        <f t="shared" si="311"/>
        <v>188.55</v>
      </c>
      <c r="AF199" s="185">
        <f t="shared" si="299"/>
        <v>3132.8700000000017</v>
      </c>
      <c r="AG199" s="185">
        <f t="shared" si="300"/>
        <v>-1964714.2100000002</v>
      </c>
      <c r="AH199" s="185">
        <f t="shared" si="301"/>
        <v>2859924.61</v>
      </c>
      <c r="AI199" s="411">
        <f t="shared" si="284"/>
        <v>317579.60000000009</v>
      </c>
      <c r="AJ199" s="411">
        <f t="shared" si="242"/>
        <v>-2437020.2900000005</v>
      </c>
      <c r="AK199" s="411">
        <f t="shared" si="285"/>
        <v>-2119440.6900000004</v>
      </c>
      <c r="AL199" s="185">
        <f t="shared" si="302"/>
        <v>2950814.2100000009</v>
      </c>
      <c r="AM199" s="317">
        <f t="shared" si="223"/>
        <v>15</v>
      </c>
      <c r="AN199" s="14">
        <f t="shared" si="286"/>
        <v>6591.25</v>
      </c>
      <c r="AO199" s="14">
        <f t="shared" si="261"/>
        <v>909268.92</v>
      </c>
      <c r="AP199" s="14">
        <f t="shared" si="287"/>
        <v>2810.15</v>
      </c>
      <c r="AS199" s="14">
        <f t="shared" si="217"/>
        <v>6591.25</v>
      </c>
      <c r="AT199" s="14">
        <f t="shared" si="224"/>
        <v>1212309.44</v>
      </c>
      <c r="AU199" s="185">
        <f t="shared" si="225"/>
        <v>2337.6419501647192</v>
      </c>
      <c r="AV199" s="185">
        <f t="shared" si="226"/>
        <v>346769.42201605241</v>
      </c>
    </row>
    <row r="200" spans="1:48">
      <c r="A200" s="401" t="str">
        <f t="shared" si="289"/>
        <v xml:space="preserve"> </v>
      </c>
      <c r="B200" s="185">
        <f t="shared" si="218"/>
        <v>0</v>
      </c>
      <c r="C200" s="14">
        <f t="shared" si="211"/>
        <v>0</v>
      </c>
      <c r="D200" s="14">
        <f t="shared" si="227"/>
        <v>0</v>
      </c>
      <c r="E200" s="14">
        <f t="shared" si="212"/>
        <v>0</v>
      </c>
      <c r="F200" s="14">
        <f t="shared" si="278"/>
        <v>0</v>
      </c>
      <c r="G200" s="14">
        <f t="shared" si="275"/>
        <v>0</v>
      </c>
      <c r="H200" s="14">
        <f t="shared" si="276"/>
        <v>0</v>
      </c>
      <c r="I200" s="185">
        <f t="shared" si="290"/>
        <v>0</v>
      </c>
      <c r="J200" s="185">
        <f t="shared" si="291"/>
        <v>0</v>
      </c>
      <c r="K200" s="185">
        <f t="shared" si="292"/>
        <v>0</v>
      </c>
      <c r="L200" s="317">
        <f t="shared" si="263"/>
        <v>15</v>
      </c>
      <c r="M200" s="317">
        <f t="shared" si="219"/>
        <v>184</v>
      </c>
      <c r="N200" s="185">
        <f t="shared" si="220"/>
        <v>513793.92000000033</v>
      </c>
      <c r="O200" s="185">
        <f t="shared" si="293"/>
        <v>6591.25</v>
      </c>
      <c r="P200" s="185">
        <f t="shared" si="228"/>
        <v>971.63000000000011</v>
      </c>
      <c r="Q200" s="185">
        <f t="shared" si="294"/>
        <v>5619.62</v>
      </c>
      <c r="R200" s="185">
        <f t="shared" si="281"/>
        <v>134.16999999999999</v>
      </c>
      <c r="S200" s="185">
        <f t="shared" si="282"/>
        <v>188.55</v>
      </c>
      <c r="T200" s="185">
        <f t="shared" si="279"/>
        <v>6913.97</v>
      </c>
      <c r="U200" s="185">
        <f t="shared" si="229"/>
        <v>77802.709999999992</v>
      </c>
      <c r="V200" s="185">
        <f t="shared" si="230"/>
        <v>1141578.54</v>
      </c>
      <c r="W200" s="185">
        <f t="shared" si="295"/>
        <v>512822.29000000033</v>
      </c>
      <c r="X200" s="401" t="str">
        <f t="shared" si="221"/>
        <v xml:space="preserve"> </v>
      </c>
      <c r="Y200" s="185">
        <f t="shared" si="296"/>
        <v>2950814.2100000009</v>
      </c>
      <c r="Z200" s="393">
        <f t="shared" si="213"/>
        <v>0.13125000000000001</v>
      </c>
      <c r="AA200" s="185">
        <f t="shared" si="214"/>
        <v>2810.15</v>
      </c>
      <c r="AB200" s="185">
        <f t="shared" si="297"/>
        <v>-29464.379999999997</v>
      </c>
      <c r="AC200" s="185">
        <f t="shared" si="215"/>
        <v>32274.53</v>
      </c>
      <c r="AD200" s="185">
        <f t="shared" ref="AD200:AE200" si="312">+AD199</f>
        <v>134.16999999999999</v>
      </c>
      <c r="AE200" s="185">
        <f t="shared" si="312"/>
        <v>188.55</v>
      </c>
      <c r="AF200" s="185">
        <f t="shared" si="299"/>
        <v>3132.8700000000017</v>
      </c>
      <c r="AG200" s="185">
        <f t="shared" si="300"/>
        <v>-1994178.59</v>
      </c>
      <c r="AH200" s="185">
        <f t="shared" si="301"/>
        <v>2892199.1399999997</v>
      </c>
      <c r="AI200" s="411">
        <f t="shared" si="284"/>
        <v>321360.70000000007</v>
      </c>
      <c r="AJ200" s="411">
        <f t="shared" si="242"/>
        <v>-2467456.3000000003</v>
      </c>
      <c r="AK200" s="411">
        <f t="shared" si="285"/>
        <v>-2146095.6</v>
      </c>
      <c r="AL200" s="185">
        <f t="shared" si="302"/>
        <v>2980278.5900000008</v>
      </c>
      <c r="AM200" s="317">
        <f t="shared" si="223"/>
        <v>15</v>
      </c>
      <c r="AN200" s="14">
        <f t="shared" si="286"/>
        <v>6591.25</v>
      </c>
      <c r="AO200" s="14">
        <f t="shared" si="261"/>
        <v>908297.29</v>
      </c>
      <c r="AP200" s="14">
        <f t="shared" si="287"/>
        <v>2810.15</v>
      </c>
      <c r="AS200" s="14">
        <f t="shared" si="217"/>
        <v>6591.25</v>
      </c>
      <c r="AT200" s="14">
        <f t="shared" si="224"/>
        <v>1218900.69</v>
      </c>
      <c r="AU200" s="185">
        <f t="shared" si="225"/>
        <v>2343.4860550401309</v>
      </c>
      <c r="AV200" s="185">
        <f t="shared" si="226"/>
        <v>349112.90807109256</v>
      </c>
    </row>
    <row r="201" spans="1:48">
      <c r="A201" s="401" t="str">
        <f t="shared" si="289"/>
        <v xml:space="preserve"> </v>
      </c>
      <c r="B201" s="185">
        <f t="shared" si="218"/>
        <v>0</v>
      </c>
      <c r="C201" s="14">
        <f t="shared" si="211"/>
        <v>0</v>
      </c>
      <c r="D201" s="14">
        <f t="shared" si="227"/>
        <v>0</v>
      </c>
      <c r="E201" s="14">
        <f t="shared" si="212"/>
        <v>0</v>
      </c>
      <c r="F201" s="14">
        <f t="shared" si="278"/>
        <v>0</v>
      </c>
      <c r="G201" s="14">
        <f t="shared" si="275"/>
        <v>0</v>
      </c>
      <c r="H201" s="14">
        <f t="shared" si="276"/>
        <v>0</v>
      </c>
      <c r="I201" s="185">
        <f t="shared" si="290"/>
        <v>0</v>
      </c>
      <c r="J201" s="185">
        <f t="shared" si="291"/>
        <v>0</v>
      </c>
      <c r="K201" s="185">
        <f t="shared" si="292"/>
        <v>0</v>
      </c>
      <c r="L201" s="317">
        <f t="shared" si="263"/>
        <v>15</v>
      </c>
      <c r="M201" s="317">
        <f t="shared" si="219"/>
        <v>185</v>
      </c>
      <c r="N201" s="185">
        <f t="shared" si="220"/>
        <v>512822.29000000033</v>
      </c>
      <c r="O201" s="185">
        <f t="shared" si="293"/>
        <v>6591.25</v>
      </c>
      <c r="P201" s="185">
        <f t="shared" si="228"/>
        <v>982.26000000000022</v>
      </c>
      <c r="Q201" s="185">
        <f t="shared" si="294"/>
        <v>5608.99</v>
      </c>
      <c r="R201" s="185">
        <f t="shared" si="281"/>
        <v>134.16999999999999</v>
      </c>
      <c r="S201" s="185">
        <f t="shared" si="282"/>
        <v>188.55</v>
      </c>
      <c r="T201" s="185">
        <f t="shared" si="279"/>
        <v>6913.97</v>
      </c>
      <c r="U201" s="185">
        <f t="shared" si="229"/>
        <v>78784.969999999987</v>
      </c>
      <c r="V201" s="185">
        <f t="shared" si="230"/>
        <v>1147187.53</v>
      </c>
      <c r="W201" s="185">
        <f t="shared" si="295"/>
        <v>511840.03000000032</v>
      </c>
      <c r="X201" s="401" t="str">
        <f t="shared" si="221"/>
        <v xml:space="preserve"> </v>
      </c>
      <c r="Y201" s="185">
        <f t="shared" si="296"/>
        <v>2980278.5900000008</v>
      </c>
      <c r="Z201" s="393">
        <f t="shared" si="213"/>
        <v>0.13125000000000001</v>
      </c>
      <c r="AA201" s="185">
        <f t="shared" si="214"/>
        <v>2810.15</v>
      </c>
      <c r="AB201" s="185">
        <f t="shared" si="297"/>
        <v>-29786.649999999998</v>
      </c>
      <c r="AC201" s="185">
        <f t="shared" si="215"/>
        <v>32596.799999999999</v>
      </c>
      <c r="AD201" s="185">
        <f t="shared" ref="AD201:AE201" si="313">+AD200</f>
        <v>134.16999999999999</v>
      </c>
      <c r="AE201" s="185">
        <f t="shared" si="313"/>
        <v>188.55</v>
      </c>
      <c r="AF201" s="185">
        <f t="shared" si="299"/>
        <v>3132.8700000000017</v>
      </c>
      <c r="AG201" s="185">
        <f t="shared" si="300"/>
        <v>-2023965.24</v>
      </c>
      <c r="AH201" s="185">
        <f t="shared" si="301"/>
        <v>2924795.9399999995</v>
      </c>
      <c r="AI201" s="411">
        <f t="shared" si="284"/>
        <v>325141.80000000005</v>
      </c>
      <c r="AJ201" s="411">
        <f t="shared" si="242"/>
        <v>-2498225.2100000004</v>
      </c>
      <c r="AK201" s="411">
        <f t="shared" si="285"/>
        <v>-2173083.41</v>
      </c>
      <c r="AL201" s="185">
        <f t="shared" si="302"/>
        <v>3010065.2400000007</v>
      </c>
      <c r="AM201" s="317">
        <f t="shared" si="223"/>
        <v>15</v>
      </c>
      <c r="AN201" s="14">
        <f t="shared" si="286"/>
        <v>6591.25</v>
      </c>
      <c r="AO201" s="14">
        <f t="shared" si="261"/>
        <v>907315.03</v>
      </c>
      <c r="AP201" s="14">
        <f t="shared" si="287"/>
        <v>2810.15</v>
      </c>
      <c r="AS201" s="14">
        <f t="shared" si="217"/>
        <v>6591.25</v>
      </c>
      <c r="AT201" s="14">
        <f t="shared" si="224"/>
        <v>1225491.94</v>
      </c>
      <c r="AU201" s="185">
        <f t="shared" si="225"/>
        <v>2349.3447701777313</v>
      </c>
      <c r="AV201" s="185">
        <f t="shared" si="226"/>
        <v>351462.2528412703</v>
      </c>
    </row>
    <row r="202" spans="1:48">
      <c r="A202" s="401" t="str">
        <f t="shared" si="289"/>
        <v xml:space="preserve"> </v>
      </c>
      <c r="B202" s="185">
        <f t="shared" si="218"/>
        <v>0</v>
      </c>
      <c r="C202" s="14">
        <f t="shared" si="211"/>
        <v>0</v>
      </c>
      <c r="D202" s="14">
        <f t="shared" si="227"/>
        <v>0</v>
      </c>
      <c r="E202" s="14">
        <f t="shared" si="212"/>
        <v>0</v>
      </c>
      <c r="F202" s="14">
        <f t="shared" si="278"/>
        <v>0</v>
      </c>
      <c r="G202" s="14">
        <f t="shared" si="275"/>
        <v>0</v>
      </c>
      <c r="H202" s="14">
        <f t="shared" si="276"/>
        <v>0</v>
      </c>
      <c r="I202" s="185">
        <f t="shared" si="290"/>
        <v>0</v>
      </c>
      <c r="J202" s="185">
        <f t="shared" si="291"/>
        <v>0</v>
      </c>
      <c r="K202" s="185">
        <f t="shared" si="292"/>
        <v>0</v>
      </c>
      <c r="L202" s="317">
        <f t="shared" si="263"/>
        <v>15</v>
      </c>
      <c r="M202" s="317">
        <f t="shared" si="219"/>
        <v>186</v>
      </c>
      <c r="N202" s="185">
        <f t="shared" si="220"/>
        <v>511840.03000000032</v>
      </c>
      <c r="O202" s="185">
        <f t="shared" si="293"/>
        <v>6591.25</v>
      </c>
      <c r="P202" s="185">
        <f t="shared" si="228"/>
        <v>993</v>
      </c>
      <c r="Q202" s="185">
        <f t="shared" si="294"/>
        <v>5598.25</v>
      </c>
      <c r="R202" s="185">
        <f t="shared" si="281"/>
        <v>134.16999999999999</v>
      </c>
      <c r="S202" s="185">
        <f t="shared" si="282"/>
        <v>188.55</v>
      </c>
      <c r="T202" s="185">
        <f t="shared" si="279"/>
        <v>6913.97</v>
      </c>
      <c r="U202" s="185">
        <f t="shared" si="229"/>
        <v>79777.969999999987</v>
      </c>
      <c r="V202" s="185">
        <f t="shared" si="230"/>
        <v>1152785.78</v>
      </c>
      <c r="W202" s="185">
        <f t="shared" si="295"/>
        <v>510847.03000000032</v>
      </c>
      <c r="X202" s="401" t="str">
        <f t="shared" si="221"/>
        <v xml:space="preserve"> </v>
      </c>
      <c r="Y202" s="185">
        <f t="shared" si="296"/>
        <v>3010065.2400000007</v>
      </c>
      <c r="Z202" s="393">
        <f t="shared" si="213"/>
        <v>0.13125000000000001</v>
      </c>
      <c r="AA202" s="185">
        <f t="shared" si="214"/>
        <v>2810.15</v>
      </c>
      <c r="AB202" s="185">
        <f t="shared" si="297"/>
        <v>-30112.439999999995</v>
      </c>
      <c r="AC202" s="185">
        <f t="shared" si="215"/>
        <v>32922.589999999997</v>
      </c>
      <c r="AD202" s="185">
        <f t="shared" ref="AD202:AE202" si="314">+AD201</f>
        <v>134.16999999999999</v>
      </c>
      <c r="AE202" s="185">
        <f t="shared" si="314"/>
        <v>188.55</v>
      </c>
      <c r="AF202" s="185">
        <f t="shared" si="299"/>
        <v>3132.8700000000017</v>
      </c>
      <c r="AG202" s="185">
        <f t="shared" si="300"/>
        <v>-2054077.68</v>
      </c>
      <c r="AH202" s="185">
        <f t="shared" si="301"/>
        <v>2957718.5299999993</v>
      </c>
      <c r="AI202" s="411">
        <f t="shared" si="284"/>
        <v>328922.90000000002</v>
      </c>
      <c r="AJ202" s="411">
        <f t="shared" si="242"/>
        <v>-2529330.6500000004</v>
      </c>
      <c r="AK202" s="411">
        <f t="shared" si="285"/>
        <v>-2200407.7500000005</v>
      </c>
      <c r="AL202" s="185">
        <f t="shared" si="302"/>
        <v>3040177.6800000006</v>
      </c>
      <c r="AM202" s="317">
        <f t="shared" si="223"/>
        <v>15</v>
      </c>
      <c r="AN202" s="14">
        <f t="shared" si="286"/>
        <v>6591.25</v>
      </c>
      <c r="AO202" s="14">
        <f t="shared" si="261"/>
        <v>906322.03</v>
      </c>
      <c r="AP202" s="14">
        <f t="shared" si="287"/>
        <v>2810.15</v>
      </c>
      <c r="AS202" s="14">
        <f t="shared" si="217"/>
        <v>6591.25</v>
      </c>
      <c r="AT202" s="14">
        <f t="shared" si="224"/>
        <v>1232083.19</v>
      </c>
      <c r="AU202" s="185">
        <f t="shared" si="225"/>
        <v>2355.2181321031758</v>
      </c>
      <c r="AV202" s="185">
        <f t="shared" si="226"/>
        <v>353817.47097337345</v>
      </c>
    </row>
    <row r="203" spans="1:48">
      <c r="A203" s="401" t="str">
        <f t="shared" si="289"/>
        <v xml:space="preserve"> </v>
      </c>
      <c r="B203" s="185">
        <f t="shared" si="218"/>
        <v>0</v>
      </c>
      <c r="C203" s="14">
        <f t="shared" si="211"/>
        <v>0</v>
      </c>
      <c r="D203" s="14">
        <f t="shared" si="227"/>
        <v>0</v>
      </c>
      <c r="E203" s="14">
        <f t="shared" si="212"/>
        <v>0</v>
      </c>
      <c r="F203" s="14">
        <f t="shared" si="278"/>
        <v>0</v>
      </c>
      <c r="G203" s="14">
        <f t="shared" si="275"/>
        <v>0</v>
      </c>
      <c r="H203" s="14">
        <f t="shared" si="276"/>
        <v>0</v>
      </c>
      <c r="I203" s="185">
        <f t="shared" si="290"/>
        <v>0</v>
      </c>
      <c r="J203" s="185">
        <f t="shared" si="291"/>
        <v>0</v>
      </c>
      <c r="K203" s="185">
        <f t="shared" si="292"/>
        <v>0</v>
      </c>
      <c r="L203" s="317">
        <f t="shared" si="263"/>
        <v>15</v>
      </c>
      <c r="M203" s="317">
        <f t="shared" si="219"/>
        <v>187</v>
      </c>
      <c r="N203" s="185">
        <f t="shared" si="220"/>
        <v>510847.03000000032</v>
      </c>
      <c r="O203" s="185">
        <f t="shared" si="293"/>
        <v>6591.25</v>
      </c>
      <c r="P203" s="185">
        <f t="shared" si="228"/>
        <v>1003.8599999999997</v>
      </c>
      <c r="Q203" s="185">
        <f t="shared" si="294"/>
        <v>5587.39</v>
      </c>
      <c r="R203" s="185">
        <f t="shared" si="281"/>
        <v>134.16999999999999</v>
      </c>
      <c r="S203" s="185">
        <f t="shared" si="282"/>
        <v>188.55</v>
      </c>
      <c r="T203" s="185">
        <f t="shared" si="279"/>
        <v>6913.97</v>
      </c>
      <c r="U203" s="185">
        <f t="shared" si="229"/>
        <v>80781.829999999987</v>
      </c>
      <c r="V203" s="185">
        <f t="shared" si="230"/>
        <v>1158373.17</v>
      </c>
      <c r="W203" s="185">
        <f t="shared" si="295"/>
        <v>509843.17000000033</v>
      </c>
      <c r="X203" s="401" t="str">
        <f t="shared" si="221"/>
        <v xml:space="preserve"> </v>
      </c>
      <c r="Y203" s="185">
        <f t="shared" si="296"/>
        <v>3040177.6800000006</v>
      </c>
      <c r="Z203" s="393">
        <f t="shared" si="213"/>
        <v>0.13125000000000001</v>
      </c>
      <c r="AA203" s="185">
        <f t="shared" si="214"/>
        <v>2810.15</v>
      </c>
      <c r="AB203" s="185">
        <f t="shared" si="297"/>
        <v>-30441.79</v>
      </c>
      <c r="AC203" s="185">
        <f t="shared" si="215"/>
        <v>33251.94</v>
      </c>
      <c r="AD203" s="185">
        <f t="shared" ref="AD203:AE203" si="315">+AD202</f>
        <v>134.16999999999999</v>
      </c>
      <c r="AE203" s="185">
        <f t="shared" si="315"/>
        <v>188.55</v>
      </c>
      <c r="AF203" s="185">
        <f t="shared" si="299"/>
        <v>3132.8700000000017</v>
      </c>
      <c r="AG203" s="185">
        <f t="shared" si="300"/>
        <v>-2084519.47</v>
      </c>
      <c r="AH203" s="185">
        <f t="shared" si="301"/>
        <v>2990970.4699999993</v>
      </c>
      <c r="AI203" s="411">
        <f t="shared" si="284"/>
        <v>332704</v>
      </c>
      <c r="AJ203" s="411">
        <f t="shared" si="242"/>
        <v>-2560776.3000000003</v>
      </c>
      <c r="AK203" s="411">
        <f t="shared" si="285"/>
        <v>-2228072.3000000003</v>
      </c>
      <c r="AL203" s="185">
        <f t="shared" si="302"/>
        <v>3070619.4700000007</v>
      </c>
      <c r="AM203" s="317">
        <f t="shared" si="223"/>
        <v>15</v>
      </c>
      <c r="AN203" s="14">
        <f t="shared" si="286"/>
        <v>6591.25</v>
      </c>
      <c r="AO203" s="14">
        <f t="shared" si="261"/>
        <v>905318.17</v>
      </c>
      <c r="AP203" s="14">
        <f t="shared" si="287"/>
        <v>2810.15</v>
      </c>
      <c r="AS203" s="14">
        <f t="shared" si="217"/>
        <v>6591.25</v>
      </c>
      <c r="AT203" s="14">
        <f t="shared" si="224"/>
        <v>1238674.44</v>
      </c>
      <c r="AU203" s="185">
        <f t="shared" si="225"/>
        <v>2361.1061774334335</v>
      </c>
      <c r="AV203" s="185">
        <f t="shared" si="226"/>
        <v>356178.5771508069</v>
      </c>
    </row>
    <row r="204" spans="1:48">
      <c r="A204" s="401" t="str">
        <f t="shared" si="289"/>
        <v xml:space="preserve"> </v>
      </c>
      <c r="B204" s="185">
        <f t="shared" si="218"/>
        <v>0</v>
      </c>
      <c r="C204" s="14">
        <f t="shared" si="211"/>
        <v>0</v>
      </c>
      <c r="D204" s="14">
        <f t="shared" si="227"/>
        <v>0</v>
      </c>
      <c r="E204" s="14">
        <f t="shared" si="212"/>
        <v>0</v>
      </c>
      <c r="F204" s="14">
        <f t="shared" si="278"/>
        <v>0</v>
      </c>
      <c r="G204" s="14">
        <f t="shared" si="275"/>
        <v>0</v>
      </c>
      <c r="H204" s="14">
        <f t="shared" si="276"/>
        <v>0</v>
      </c>
      <c r="I204" s="185">
        <f t="shared" si="290"/>
        <v>0</v>
      </c>
      <c r="J204" s="185">
        <f t="shared" si="291"/>
        <v>0</v>
      </c>
      <c r="K204" s="185">
        <f t="shared" si="292"/>
        <v>0</v>
      </c>
      <c r="L204" s="317">
        <f t="shared" si="263"/>
        <v>15</v>
      </c>
      <c r="M204" s="317">
        <f t="shared" si="219"/>
        <v>188</v>
      </c>
      <c r="N204" s="185">
        <f t="shared" si="220"/>
        <v>509843.17000000033</v>
      </c>
      <c r="O204" s="185">
        <f t="shared" si="293"/>
        <v>6591.25</v>
      </c>
      <c r="P204" s="185">
        <f t="shared" si="228"/>
        <v>1014.8400000000001</v>
      </c>
      <c r="Q204" s="185">
        <f t="shared" si="294"/>
        <v>5576.41</v>
      </c>
      <c r="R204" s="185">
        <f t="shared" si="281"/>
        <v>134.16999999999999</v>
      </c>
      <c r="S204" s="185">
        <f t="shared" si="282"/>
        <v>188.55</v>
      </c>
      <c r="T204" s="185">
        <f t="shared" si="279"/>
        <v>6913.97</v>
      </c>
      <c r="U204" s="185">
        <f t="shared" si="229"/>
        <v>81796.669999999984</v>
      </c>
      <c r="V204" s="185">
        <f t="shared" si="230"/>
        <v>1163949.5799999998</v>
      </c>
      <c r="W204" s="185">
        <f t="shared" si="295"/>
        <v>508828.33000000031</v>
      </c>
      <c r="X204" s="401" t="str">
        <f t="shared" si="221"/>
        <v xml:space="preserve"> </v>
      </c>
      <c r="Y204" s="185">
        <f t="shared" si="296"/>
        <v>3070619.4700000007</v>
      </c>
      <c r="Z204" s="393">
        <f t="shared" si="213"/>
        <v>0.13125000000000001</v>
      </c>
      <c r="AA204" s="185">
        <f t="shared" si="214"/>
        <v>2810.15</v>
      </c>
      <c r="AB204" s="185">
        <f t="shared" si="297"/>
        <v>-30774.75</v>
      </c>
      <c r="AC204" s="185">
        <f t="shared" si="215"/>
        <v>33584.9</v>
      </c>
      <c r="AD204" s="185">
        <f t="shared" ref="AD204:AE204" si="316">+AD203</f>
        <v>134.16999999999999</v>
      </c>
      <c r="AE204" s="185">
        <f t="shared" si="316"/>
        <v>188.55</v>
      </c>
      <c r="AF204" s="185">
        <f t="shared" si="299"/>
        <v>3132.8700000000017</v>
      </c>
      <c r="AG204" s="185">
        <f t="shared" si="300"/>
        <v>-2115294.2199999997</v>
      </c>
      <c r="AH204" s="185">
        <f t="shared" si="301"/>
        <v>3024555.3699999992</v>
      </c>
      <c r="AI204" s="411">
        <f t="shared" si="284"/>
        <v>336485.1</v>
      </c>
      <c r="AJ204" s="411">
        <f t="shared" si="242"/>
        <v>-2592565.8900000006</v>
      </c>
      <c r="AK204" s="411">
        <f t="shared" si="285"/>
        <v>-2256080.7900000005</v>
      </c>
      <c r="AL204" s="185">
        <f t="shared" si="302"/>
        <v>3101394.2200000007</v>
      </c>
      <c r="AM204" s="317">
        <f t="shared" si="223"/>
        <v>15</v>
      </c>
      <c r="AN204" s="14">
        <f t="shared" si="286"/>
        <v>6591.25</v>
      </c>
      <c r="AO204" s="14">
        <f t="shared" si="261"/>
        <v>904303.33000000007</v>
      </c>
      <c r="AP204" s="14">
        <f t="shared" si="287"/>
        <v>2810.15</v>
      </c>
      <c r="AS204" s="14">
        <f t="shared" si="217"/>
        <v>6591.25</v>
      </c>
      <c r="AT204" s="14">
        <f t="shared" si="224"/>
        <v>1245265.69</v>
      </c>
      <c r="AU204" s="185">
        <f t="shared" si="225"/>
        <v>2367.008942877017</v>
      </c>
      <c r="AV204" s="185">
        <f t="shared" si="226"/>
        <v>358545.5860936839</v>
      </c>
    </row>
    <row r="205" spans="1:48">
      <c r="A205" s="401" t="str">
        <f t="shared" si="289"/>
        <v xml:space="preserve"> </v>
      </c>
      <c r="B205" s="185">
        <f t="shared" si="218"/>
        <v>0</v>
      </c>
      <c r="C205" s="14">
        <f t="shared" si="211"/>
        <v>0</v>
      </c>
      <c r="D205" s="14">
        <f t="shared" si="227"/>
        <v>0</v>
      </c>
      <c r="E205" s="14">
        <f t="shared" si="212"/>
        <v>0</v>
      </c>
      <c r="F205" s="14">
        <f t="shared" si="278"/>
        <v>0</v>
      </c>
      <c r="G205" s="14">
        <f t="shared" si="275"/>
        <v>0</v>
      </c>
      <c r="H205" s="14">
        <f t="shared" si="276"/>
        <v>0</v>
      </c>
      <c r="I205" s="185">
        <f t="shared" si="290"/>
        <v>0</v>
      </c>
      <c r="J205" s="185">
        <f t="shared" si="291"/>
        <v>0</v>
      </c>
      <c r="K205" s="185">
        <f t="shared" si="292"/>
        <v>0</v>
      </c>
      <c r="L205" s="317">
        <f t="shared" si="263"/>
        <v>15</v>
      </c>
      <c r="M205" s="317">
        <f t="shared" si="219"/>
        <v>189</v>
      </c>
      <c r="N205" s="185">
        <f t="shared" si="220"/>
        <v>508828.33000000031</v>
      </c>
      <c r="O205" s="185">
        <f t="shared" si="293"/>
        <v>6591.25</v>
      </c>
      <c r="P205" s="185">
        <f t="shared" si="228"/>
        <v>1025.9399999999996</v>
      </c>
      <c r="Q205" s="185">
        <f t="shared" si="294"/>
        <v>5565.31</v>
      </c>
      <c r="R205" s="185">
        <f t="shared" si="281"/>
        <v>134.16999999999999</v>
      </c>
      <c r="S205" s="185">
        <f t="shared" si="282"/>
        <v>188.55</v>
      </c>
      <c r="T205" s="185">
        <f t="shared" si="279"/>
        <v>6913.97</v>
      </c>
      <c r="U205" s="185">
        <f t="shared" si="229"/>
        <v>82822.609999999986</v>
      </c>
      <c r="V205" s="185">
        <f t="shared" si="230"/>
        <v>1169514.8899999999</v>
      </c>
      <c r="W205" s="185">
        <f t="shared" si="295"/>
        <v>507802.39000000031</v>
      </c>
      <c r="X205" s="401" t="str">
        <f t="shared" si="221"/>
        <v xml:space="preserve"> </v>
      </c>
      <c r="Y205" s="185">
        <f t="shared" si="296"/>
        <v>3101394.2200000007</v>
      </c>
      <c r="Z205" s="393">
        <f t="shared" si="213"/>
        <v>0.13125000000000001</v>
      </c>
      <c r="AA205" s="185">
        <f t="shared" si="214"/>
        <v>2810.15</v>
      </c>
      <c r="AB205" s="185">
        <f t="shared" si="297"/>
        <v>-31111.35</v>
      </c>
      <c r="AC205" s="185">
        <f t="shared" si="215"/>
        <v>33921.5</v>
      </c>
      <c r="AD205" s="185">
        <f t="shared" ref="AD205:AE205" si="317">+AD204</f>
        <v>134.16999999999999</v>
      </c>
      <c r="AE205" s="185">
        <f t="shared" si="317"/>
        <v>188.55</v>
      </c>
      <c r="AF205" s="185">
        <f t="shared" si="299"/>
        <v>3132.8700000000017</v>
      </c>
      <c r="AG205" s="185">
        <f t="shared" si="300"/>
        <v>-2146405.5699999998</v>
      </c>
      <c r="AH205" s="185">
        <f t="shared" si="301"/>
        <v>3058476.8699999992</v>
      </c>
      <c r="AI205" s="411">
        <f t="shared" si="284"/>
        <v>340266.19999999995</v>
      </c>
      <c r="AJ205" s="411">
        <f t="shared" si="242"/>
        <v>-2624703.1800000006</v>
      </c>
      <c r="AK205" s="411">
        <f t="shared" si="285"/>
        <v>-2284436.9800000004</v>
      </c>
      <c r="AL205" s="185">
        <f t="shared" si="302"/>
        <v>3132505.5700000008</v>
      </c>
      <c r="AM205" s="317">
        <f t="shared" si="223"/>
        <v>15</v>
      </c>
      <c r="AN205" s="14">
        <f t="shared" si="286"/>
        <v>6591.25</v>
      </c>
      <c r="AO205" s="14">
        <f t="shared" si="261"/>
        <v>903277.39</v>
      </c>
      <c r="AP205" s="14">
        <f t="shared" si="287"/>
        <v>2810.15</v>
      </c>
      <c r="AS205" s="14">
        <f t="shared" si="217"/>
        <v>6591.25</v>
      </c>
      <c r="AT205" s="14">
        <f t="shared" si="224"/>
        <v>1251856.94</v>
      </c>
      <c r="AU205" s="185">
        <f t="shared" si="225"/>
        <v>2372.9264652342099</v>
      </c>
      <c r="AV205" s="185">
        <f t="shared" si="226"/>
        <v>360918.5125589181</v>
      </c>
    </row>
    <row r="206" spans="1:48" ht="15.75" thickBot="1">
      <c r="A206" s="404" t="str">
        <f t="shared" si="289"/>
        <v xml:space="preserve"> </v>
      </c>
      <c r="B206" s="237">
        <f t="shared" si="218"/>
        <v>0</v>
      </c>
      <c r="C206" s="21">
        <f t="shared" si="211"/>
        <v>0</v>
      </c>
      <c r="D206" s="21">
        <f t="shared" si="227"/>
        <v>0</v>
      </c>
      <c r="E206" s="21">
        <f t="shared" si="212"/>
        <v>0</v>
      </c>
      <c r="F206" s="21">
        <f t="shared" si="278"/>
        <v>0</v>
      </c>
      <c r="G206" s="21">
        <f t="shared" si="275"/>
        <v>0</v>
      </c>
      <c r="H206" s="21">
        <f t="shared" si="276"/>
        <v>0</v>
      </c>
      <c r="I206" s="237">
        <f t="shared" si="290"/>
        <v>0</v>
      </c>
      <c r="J206" s="237">
        <f t="shared" si="291"/>
        <v>0</v>
      </c>
      <c r="K206" s="237">
        <f t="shared" si="292"/>
        <v>0</v>
      </c>
      <c r="L206" s="318">
        <f t="shared" si="263"/>
        <v>15</v>
      </c>
      <c r="M206" s="318">
        <f t="shared" si="219"/>
        <v>190</v>
      </c>
      <c r="N206" s="237">
        <f t="shared" si="220"/>
        <v>507802.39000000031</v>
      </c>
      <c r="O206" s="237">
        <f t="shared" si="293"/>
        <v>6591.25</v>
      </c>
      <c r="P206" s="237">
        <f t="shared" si="228"/>
        <v>1037.1599999999999</v>
      </c>
      <c r="Q206" s="237">
        <f t="shared" si="294"/>
        <v>5554.09</v>
      </c>
      <c r="R206" s="237">
        <f t="shared" si="281"/>
        <v>134.16999999999999</v>
      </c>
      <c r="S206" s="237">
        <f t="shared" si="282"/>
        <v>188.55</v>
      </c>
      <c r="T206" s="237">
        <f t="shared" si="279"/>
        <v>6913.97</v>
      </c>
      <c r="U206" s="237">
        <f t="shared" si="229"/>
        <v>83859.76999999999</v>
      </c>
      <c r="V206" s="237">
        <f t="shared" si="230"/>
        <v>1175068.98</v>
      </c>
      <c r="W206" s="237">
        <f t="shared" si="295"/>
        <v>506765.23000000033</v>
      </c>
      <c r="X206" s="404" t="str">
        <f t="shared" si="221"/>
        <v xml:space="preserve"> </v>
      </c>
      <c r="Y206" s="237">
        <f t="shared" si="296"/>
        <v>3132505.5700000008</v>
      </c>
      <c r="Z206" s="394">
        <f t="shared" si="213"/>
        <v>0.13125000000000001</v>
      </c>
      <c r="AA206" s="237">
        <f t="shared" si="214"/>
        <v>2810.15</v>
      </c>
      <c r="AB206" s="237">
        <f t="shared" si="297"/>
        <v>-31451.629999999997</v>
      </c>
      <c r="AC206" s="237">
        <f t="shared" si="215"/>
        <v>34261.78</v>
      </c>
      <c r="AD206" s="237">
        <f t="shared" ref="AD206:AE206" si="318">+AD205</f>
        <v>134.16999999999999</v>
      </c>
      <c r="AE206" s="237">
        <f t="shared" si="318"/>
        <v>188.55</v>
      </c>
      <c r="AF206" s="237">
        <f t="shared" si="299"/>
        <v>3132.8700000000017</v>
      </c>
      <c r="AG206" s="237">
        <f t="shared" si="300"/>
        <v>-2177857.1999999997</v>
      </c>
      <c r="AH206" s="237">
        <f t="shared" si="301"/>
        <v>3092738.649999999</v>
      </c>
      <c r="AI206" s="412">
        <f t="shared" si="284"/>
        <v>344047.29999999993</v>
      </c>
      <c r="AJ206" s="412">
        <f t="shared" si="242"/>
        <v>-2657191.9700000002</v>
      </c>
      <c r="AK206" s="411">
        <f t="shared" si="285"/>
        <v>-2313144.6700000004</v>
      </c>
      <c r="AL206" s="237">
        <f t="shared" si="302"/>
        <v>3163957.2000000007</v>
      </c>
      <c r="AM206" s="318">
        <f t="shared" si="223"/>
        <v>15</v>
      </c>
      <c r="AN206" s="21">
        <f t="shared" si="286"/>
        <v>6591.25</v>
      </c>
      <c r="AO206" s="21">
        <f t="shared" si="261"/>
        <v>902240.23</v>
      </c>
      <c r="AP206" s="21">
        <f t="shared" si="287"/>
        <v>2810.15</v>
      </c>
      <c r="AQ206" s="21"/>
      <c r="AR206" s="23"/>
      <c r="AS206" s="21">
        <f t="shared" si="217"/>
        <v>6591.25</v>
      </c>
      <c r="AT206" s="21">
        <f t="shared" si="224"/>
        <v>1258448.19</v>
      </c>
      <c r="AU206" s="237">
        <f t="shared" si="225"/>
        <v>2378.8587813972949</v>
      </c>
      <c r="AV206" s="237">
        <f t="shared" si="226"/>
        <v>363297.37134031538</v>
      </c>
    </row>
    <row r="207" spans="1:48">
      <c r="A207" s="401" t="str">
        <f t="shared" si="289"/>
        <v xml:space="preserve"> </v>
      </c>
      <c r="B207" s="185">
        <f t="shared" si="218"/>
        <v>0</v>
      </c>
      <c r="C207" s="14">
        <f t="shared" ref="C207:C270" si="319">IF(+$K206&lt;=0,0,$C$5)</f>
        <v>0</v>
      </c>
      <c r="D207" s="14">
        <f t="shared" si="227"/>
        <v>0</v>
      </c>
      <c r="E207" s="14">
        <f t="shared" ref="E207:E270" si="320">ROUND($B207*($C$3/12), 2)</f>
        <v>0</v>
      </c>
      <c r="F207" s="14">
        <f t="shared" si="278"/>
        <v>0</v>
      </c>
      <c r="G207" s="14">
        <f t="shared" si="275"/>
        <v>0</v>
      </c>
      <c r="H207" s="14">
        <f t="shared" si="276"/>
        <v>0</v>
      </c>
      <c r="I207" s="185">
        <f t="shared" si="290"/>
        <v>0</v>
      </c>
      <c r="J207" s="185">
        <f t="shared" si="291"/>
        <v>0</v>
      </c>
      <c r="K207" s="185">
        <f t="shared" si="292"/>
        <v>0</v>
      </c>
      <c r="L207" s="317">
        <f t="shared" si="263"/>
        <v>15</v>
      </c>
      <c r="M207" s="317">
        <f t="shared" si="219"/>
        <v>191</v>
      </c>
      <c r="N207" s="185">
        <f t="shared" si="220"/>
        <v>506765.23000000033</v>
      </c>
      <c r="O207" s="185">
        <f t="shared" si="293"/>
        <v>6591.25</v>
      </c>
      <c r="P207" s="185">
        <f t="shared" si="228"/>
        <v>1048.5100000000002</v>
      </c>
      <c r="Q207" s="185">
        <f t="shared" si="294"/>
        <v>5542.74</v>
      </c>
      <c r="R207" s="185">
        <f t="shared" si="281"/>
        <v>134.16999999999999</v>
      </c>
      <c r="S207" s="185">
        <f t="shared" si="282"/>
        <v>188.55</v>
      </c>
      <c r="T207" s="185">
        <f t="shared" si="279"/>
        <v>6913.97</v>
      </c>
      <c r="U207" s="185">
        <f t="shared" si="229"/>
        <v>84908.279999999984</v>
      </c>
      <c r="V207" s="185">
        <f t="shared" si="230"/>
        <v>1180611.72</v>
      </c>
      <c r="W207" s="185">
        <f t="shared" si="295"/>
        <v>505716.72000000032</v>
      </c>
      <c r="X207" s="401" t="str">
        <f t="shared" si="221"/>
        <v xml:space="preserve"> </v>
      </c>
      <c r="Y207" s="185">
        <f t="shared" si="296"/>
        <v>3163957.2000000007</v>
      </c>
      <c r="Z207" s="393">
        <f t="shared" ref="Z207:Z270" si="321">IF(L207&gt;4,$AA$9,$AA$8)</f>
        <v>0.13125000000000001</v>
      </c>
      <c r="AA207" s="185">
        <f t="shared" ref="AA207:AA270" si="322">IF($O$9&lt;=$A207,IF(+AL206&lt;=0,0,IF(Z207=$AA$8,$Z$8,$Z$9)),0)</f>
        <v>2810.15</v>
      </c>
      <c r="AB207" s="185">
        <f t="shared" si="297"/>
        <v>-31795.629999999997</v>
      </c>
      <c r="AC207" s="185">
        <f t="shared" ref="AC207:AC270" si="323">IF($O$9&lt;=$A207,ROUND(Y207*(Z207/12),2),0)</f>
        <v>34605.78</v>
      </c>
      <c r="AD207" s="185">
        <f t="shared" ref="AD207:AE207" si="324">+AD206</f>
        <v>134.16999999999999</v>
      </c>
      <c r="AE207" s="185">
        <f t="shared" si="324"/>
        <v>188.55</v>
      </c>
      <c r="AF207" s="185">
        <f t="shared" si="299"/>
        <v>3132.8700000000017</v>
      </c>
      <c r="AG207" s="185">
        <f t="shared" si="300"/>
        <v>-2209652.8299999996</v>
      </c>
      <c r="AH207" s="185">
        <f t="shared" si="301"/>
        <v>3127344.4299999988</v>
      </c>
      <c r="AI207" s="411">
        <f t="shared" si="284"/>
        <v>347828.39999999991</v>
      </c>
      <c r="AJ207" s="411">
        <f t="shared" si="242"/>
        <v>-2690036.1100000003</v>
      </c>
      <c r="AK207" s="411">
        <f t="shared" si="285"/>
        <v>-2342207.7100000004</v>
      </c>
      <c r="AL207" s="185">
        <f t="shared" si="302"/>
        <v>3195752.8300000005</v>
      </c>
      <c r="AM207" s="317">
        <f t="shared" si="223"/>
        <v>15</v>
      </c>
      <c r="AN207" s="14">
        <f t="shared" si="286"/>
        <v>6591.25</v>
      </c>
      <c r="AO207" s="14">
        <f t="shared" si="261"/>
        <v>901191.72</v>
      </c>
      <c r="AP207" s="14">
        <f t="shared" si="287"/>
        <v>2810.15</v>
      </c>
      <c r="AS207" s="14">
        <f t="shared" ref="AS207:AS270" si="325">+AN207-AR207</f>
        <v>6591.25</v>
      </c>
      <c r="AT207" s="14">
        <f t="shared" si="224"/>
        <v>1265039.44</v>
      </c>
      <c r="AU207" s="185">
        <f t="shared" si="225"/>
        <v>2384.8059283507882</v>
      </c>
      <c r="AV207" s="185">
        <f t="shared" si="226"/>
        <v>365682.17726866616</v>
      </c>
    </row>
    <row r="208" spans="1:48">
      <c r="A208" s="401" t="str">
        <f t="shared" si="289"/>
        <v xml:space="preserve"> </v>
      </c>
      <c r="B208" s="185">
        <f t="shared" ref="B208:B271" si="326">IF(+K207&lt;0,0,+K207)</f>
        <v>0</v>
      </c>
      <c r="C208" s="14">
        <f t="shared" si="319"/>
        <v>0</v>
      </c>
      <c r="D208" s="14">
        <f t="shared" si="227"/>
        <v>0</v>
      </c>
      <c r="E208" s="14">
        <f t="shared" si="320"/>
        <v>0</v>
      </c>
      <c r="F208" s="14">
        <f t="shared" si="278"/>
        <v>0</v>
      </c>
      <c r="G208" s="14">
        <f t="shared" si="275"/>
        <v>0</v>
      </c>
      <c r="H208" s="14">
        <f t="shared" si="276"/>
        <v>0</v>
      </c>
      <c r="I208" s="185">
        <f t="shared" si="290"/>
        <v>0</v>
      </c>
      <c r="J208" s="185">
        <f t="shared" si="291"/>
        <v>0</v>
      </c>
      <c r="K208" s="185">
        <f t="shared" si="292"/>
        <v>0</v>
      </c>
      <c r="L208" s="317">
        <f t="shared" si="263"/>
        <v>16</v>
      </c>
      <c r="M208" s="317">
        <f t="shared" ref="M208:M271" si="327">IF(N208&lt;&gt;"",IF(N208=$O$5,0,+M207+1),0)</f>
        <v>192</v>
      </c>
      <c r="N208" s="185">
        <f t="shared" ref="N208:N271" si="328">IF(+W207&lt;0,0,+W207)</f>
        <v>505716.72000000032</v>
      </c>
      <c r="O208" s="185">
        <f t="shared" si="293"/>
        <v>6591.25</v>
      </c>
      <c r="P208" s="185">
        <f t="shared" si="228"/>
        <v>1059.9700000000003</v>
      </c>
      <c r="Q208" s="185">
        <f t="shared" si="294"/>
        <v>5531.28</v>
      </c>
      <c r="R208" s="185">
        <f t="shared" si="281"/>
        <v>134.16999999999999</v>
      </c>
      <c r="S208" s="185">
        <f t="shared" si="282"/>
        <v>188.55</v>
      </c>
      <c r="T208" s="185">
        <f t="shared" si="279"/>
        <v>6913.97</v>
      </c>
      <c r="U208" s="185">
        <f t="shared" si="229"/>
        <v>85968.249999999985</v>
      </c>
      <c r="V208" s="185">
        <f t="shared" si="230"/>
        <v>1186143</v>
      </c>
      <c r="W208" s="185">
        <f t="shared" si="295"/>
        <v>504656.75000000035</v>
      </c>
      <c r="X208" s="401" t="str">
        <f t="shared" ref="X208:X271" si="329">+A208</f>
        <v xml:space="preserve"> </v>
      </c>
      <c r="Y208" s="185">
        <f t="shared" si="296"/>
        <v>3195752.8300000005</v>
      </c>
      <c r="Z208" s="393">
        <f t="shared" si="321"/>
        <v>0.13125000000000001</v>
      </c>
      <c r="AA208" s="185">
        <f t="shared" si="322"/>
        <v>2810.15</v>
      </c>
      <c r="AB208" s="185">
        <f t="shared" si="297"/>
        <v>-32143.4</v>
      </c>
      <c r="AC208" s="185">
        <f t="shared" si="323"/>
        <v>34953.550000000003</v>
      </c>
      <c r="AD208" s="185">
        <f t="shared" ref="AD208:AE208" si="330">+AD207</f>
        <v>134.16999999999999</v>
      </c>
      <c r="AE208" s="185">
        <f t="shared" si="330"/>
        <v>188.55</v>
      </c>
      <c r="AF208" s="185">
        <f t="shared" si="299"/>
        <v>3132.8700000000017</v>
      </c>
      <c r="AG208" s="185">
        <f t="shared" si="300"/>
        <v>-2241796.2299999995</v>
      </c>
      <c r="AH208" s="185">
        <f t="shared" si="301"/>
        <v>3162297.9799999986</v>
      </c>
      <c r="AI208" s="411">
        <f t="shared" si="284"/>
        <v>351609.49999999988</v>
      </c>
      <c r="AJ208" s="411">
        <f t="shared" si="242"/>
        <v>-2723239.48</v>
      </c>
      <c r="AK208" s="411">
        <f t="shared" si="285"/>
        <v>-2371629.98</v>
      </c>
      <c r="AL208" s="185">
        <f t="shared" si="302"/>
        <v>3227896.2300000004</v>
      </c>
      <c r="AM208" s="317">
        <f t="shared" ref="AM208:AM271" si="331">+L208</f>
        <v>16</v>
      </c>
      <c r="AN208" s="14">
        <f t="shared" si="286"/>
        <v>6591.25</v>
      </c>
      <c r="AO208" s="14">
        <f t="shared" si="261"/>
        <v>900131.75</v>
      </c>
      <c r="AP208" s="14">
        <f t="shared" si="287"/>
        <v>2810.15</v>
      </c>
      <c r="AS208" s="14">
        <f t="shared" si="325"/>
        <v>6591.25</v>
      </c>
      <c r="AT208" s="14">
        <f t="shared" ref="AT208:AT271" si="332">IF(W208&lt;=0,0,+AS208+AT207)</f>
        <v>1271630.69</v>
      </c>
      <c r="AU208" s="185">
        <f t="shared" ref="AU208:AU271" si="333">IF(W208&lt;=0,0,+($O$5+AV207)*$AQ$2/12)</f>
        <v>2390.7679431716656</v>
      </c>
      <c r="AV208" s="185">
        <f t="shared" ref="AV208:AV271" si="334">IF(W208&lt;=0,0,+AV207+AU208)</f>
        <v>368072.94521183782</v>
      </c>
    </row>
    <row r="209" spans="1:48">
      <c r="A209" s="401" t="str">
        <f t="shared" si="289"/>
        <v xml:space="preserve"> </v>
      </c>
      <c r="B209" s="185">
        <f t="shared" si="326"/>
        <v>0</v>
      </c>
      <c r="C209" s="14">
        <f t="shared" si="319"/>
        <v>0</v>
      </c>
      <c r="D209" s="14">
        <f t="shared" ref="D209:D272" si="335">+C209-E209</f>
        <v>0</v>
      </c>
      <c r="E209" s="14">
        <f t="shared" si="320"/>
        <v>0</v>
      </c>
      <c r="F209" s="14">
        <f t="shared" si="278"/>
        <v>0</v>
      </c>
      <c r="G209" s="14">
        <f t="shared" si="275"/>
        <v>0</v>
      </c>
      <c r="H209" s="14">
        <f t="shared" si="276"/>
        <v>0</v>
      </c>
      <c r="I209" s="185">
        <f t="shared" si="290"/>
        <v>0</v>
      </c>
      <c r="J209" s="185">
        <f t="shared" si="291"/>
        <v>0</v>
      </c>
      <c r="K209" s="185">
        <f t="shared" si="292"/>
        <v>0</v>
      </c>
      <c r="L209" s="317">
        <f t="shared" si="263"/>
        <v>16</v>
      </c>
      <c r="M209" s="317">
        <f t="shared" si="327"/>
        <v>193</v>
      </c>
      <c r="N209" s="185">
        <f t="shared" si="328"/>
        <v>504656.75000000035</v>
      </c>
      <c r="O209" s="185">
        <f t="shared" si="293"/>
        <v>6591.25</v>
      </c>
      <c r="P209" s="185">
        <f t="shared" ref="P209:P272" si="336">+O209-Q209</f>
        <v>1071.5699999999997</v>
      </c>
      <c r="Q209" s="185">
        <f t="shared" si="294"/>
        <v>5519.68</v>
      </c>
      <c r="R209" s="185">
        <f t="shared" si="281"/>
        <v>134.16999999999999</v>
      </c>
      <c r="S209" s="185">
        <f t="shared" si="282"/>
        <v>188.55</v>
      </c>
      <c r="T209" s="185">
        <f t="shared" si="279"/>
        <v>6913.97</v>
      </c>
      <c r="U209" s="185">
        <f t="shared" ref="U209:U272" si="337">+P209+U208</f>
        <v>87039.819999999978</v>
      </c>
      <c r="V209" s="185">
        <f t="shared" ref="V209:V272" si="338">+V208+Q209</f>
        <v>1191662.68</v>
      </c>
      <c r="W209" s="185">
        <f t="shared" si="295"/>
        <v>503585.18000000034</v>
      </c>
      <c r="X209" s="401" t="str">
        <f t="shared" si="329"/>
        <v xml:space="preserve"> </v>
      </c>
      <c r="Y209" s="185">
        <f t="shared" si="296"/>
        <v>3227896.2300000004</v>
      </c>
      <c r="Z209" s="393">
        <f t="shared" si="321"/>
        <v>0.13125000000000001</v>
      </c>
      <c r="AA209" s="185">
        <f t="shared" si="322"/>
        <v>2810.15</v>
      </c>
      <c r="AB209" s="185">
        <f t="shared" si="297"/>
        <v>-32494.97</v>
      </c>
      <c r="AC209" s="185">
        <f t="shared" si="323"/>
        <v>35305.120000000003</v>
      </c>
      <c r="AD209" s="185">
        <f t="shared" ref="AD209:AE209" si="339">+AD208</f>
        <v>134.16999999999999</v>
      </c>
      <c r="AE209" s="185">
        <f t="shared" si="339"/>
        <v>188.55</v>
      </c>
      <c r="AF209" s="185">
        <f t="shared" si="299"/>
        <v>3132.8700000000017</v>
      </c>
      <c r="AG209" s="185">
        <f t="shared" si="300"/>
        <v>-2274291.1999999997</v>
      </c>
      <c r="AH209" s="185">
        <f t="shared" si="301"/>
        <v>3197603.0999999987</v>
      </c>
      <c r="AI209" s="411">
        <f t="shared" si="284"/>
        <v>355390.59999999986</v>
      </c>
      <c r="AJ209" s="411">
        <f t="shared" si="242"/>
        <v>-2756806.0200000005</v>
      </c>
      <c r="AK209" s="411">
        <f t="shared" si="285"/>
        <v>-2401415.4200000009</v>
      </c>
      <c r="AL209" s="185">
        <f t="shared" si="302"/>
        <v>3260391.2000000007</v>
      </c>
      <c r="AM209" s="317">
        <f t="shared" si="331"/>
        <v>16</v>
      </c>
      <c r="AN209" s="14">
        <f t="shared" si="286"/>
        <v>6591.25</v>
      </c>
      <c r="AO209" s="14">
        <f t="shared" si="261"/>
        <v>899060.18</v>
      </c>
      <c r="AP209" s="14">
        <f t="shared" si="287"/>
        <v>2810.15</v>
      </c>
      <c r="AS209" s="14">
        <f t="shared" si="325"/>
        <v>6591.25</v>
      </c>
      <c r="AT209" s="14">
        <f t="shared" si="332"/>
        <v>1278221.94</v>
      </c>
      <c r="AU209" s="185">
        <f t="shared" si="333"/>
        <v>2396.7448630295944</v>
      </c>
      <c r="AV209" s="185">
        <f t="shared" si="334"/>
        <v>370469.69007486739</v>
      </c>
    </row>
    <row r="210" spans="1:48">
      <c r="A210" s="401" t="str">
        <f t="shared" si="289"/>
        <v xml:space="preserve"> </v>
      </c>
      <c r="B210" s="185">
        <f t="shared" si="326"/>
        <v>0</v>
      </c>
      <c r="C210" s="14">
        <f t="shared" si="319"/>
        <v>0</v>
      </c>
      <c r="D210" s="14">
        <f t="shared" si="335"/>
        <v>0</v>
      </c>
      <c r="E210" s="14">
        <f t="shared" si="320"/>
        <v>0</v>
      </c>
      <c r="F210" s="14">
        <f t="shared" si="278"/>
        <v>0</v>
      </c>
      <c r="G210" s="14">
        <f t="shared" si="275"/>
        <v>0</v>
      </c>
      <c r="H210" s="14">
        <f t="shared" si="276"/>
        <v>0</v>
      </c>
      <c r="I210" s="185">
        <f t="shared" si="290"/>
        <v>0</v>
      </c>
      <c r="J210" s="185">
        <f t="shared" si="291"/>
        <v>0</v>
      </c>
      <c r="K210" s="185">
        <f t="shared" si="292"/>
        <v>0</v>
      </c>
      <c r="L210" s="317">
        <f t="shared" si="263"/>
        <v>16</v>
      </c>
      <c r="M210" s="317">
        <f t="shared" si="327"/>
        <v>194</v>
      </c>
      <c r="N210" s="185">
        <f t="shared" si="328"/>
        <v>503585.18000000034</v>
      </c>
      <c r="O210" s="185">
        <f t="shared" si="293"/>
        <v>6591.25</v>
      </c>
      <c r="P210" s="185">
        <f t="shared" si="336"/>
        <v>1083.29</v>
      </c>
      <c r="Q210" s="185">
        <f t="shared" si="294"/>
        <v>5507.96</v>
      </c>
      <c r="R210" s="185">
        <f t="shared" si="281"/>
        <v>134.16999999999999</v>
      </c>
      <c r="S210" s="185">
        <f t="shared" si="282"/>
        <v>188.55</v>
      </c>
      <c r="T210" s="185">
        <f t="shared" si="279"/>
        <v>6913.97</v>
      </c>
      <c r="U210" s="185">
        <f t="shared" si="337"/>
        <v>88123.109999999971</v>
      </c>
      <c r="V210" s="185">
        <f t="shared" si="338"/>
        <v>1197170.6399999999</v>
      </c>
      <c r="W210" s="185">
        <f t="shared" si="295"/>
        <v>502501.89000000036</v>
      </c>
      <c r="X210" s="401" t="str">
        <f t="shared" si="329"/>
        <v xml:space="preserve"> </v>
      </c>
      <c r="Y210" s="185">
        <f t="shared" si="296"/>
        <v>3260391.2000000007</v>
      </c>
      <c r="Z210" s="393">
        <f t="shared" si="321"/>
        <v>0.13125000000000001</v>
      </c>
      <c r="AA210" s="185">
        <f t="shared" si="322"/>
        <v>2810.15</v>
      </c>
      <c r="AB210" s="185">
        <f t="shared" si="297"/>
        <v>-32850.379999999997</v>
      </c>
      <c r="AC210" s="185">
        <f t="shared" si="323"/>
        <v>35660.53</v>
      </c>
      <c r="AD210" s="185">
        <f t="shared" ref="AD210:AE210" si="340">+AD209</f>
        <v>134.16999999999999</v>
      </c>
      <c r="AE210" s="185">
        <f t="shared" si="340"/>
        <v>188.55</v>
      </c>
      <c r="AF210" s="185">
        <f t="shared" si="299"/>
        <v>3132.8700000000017</v>
      </c>
      <c r="AG210" s="185">
        <f t="shared" si="300"/>
        <v>-2307141.5799999996</v>
      </c>
      <c r="AH210" s="185">
        <f t="shared" si="301"/>
        <v>3233263.6299999985</v>
      </c>
      <c r="AI210" s="411">
        <f t="shared" si="284"/>
        <v>359171.69999999984</v>
      </c>
      <c r="AJ210" s="411">
        <f t="shared" si="242"/>
        <v>-2790739.6900000004</v>
      </c>
      <c r="AK210" s="411">
        <f t="shared" si="285"/>
        <v>-2431567.9900000007</v>
      </c>
      <c r="AL210" s="185">
        <f t="shared" si="302"/>
        <v>3293241.5800000005</v>
      </c>
      <c r="AM210" s="317">
        <f t="shared" si="331"/>
        <v>16</v>
      </c>
      <c r="AN210" s="14">
        <f t="shared" si="286"/>
        <v>6591.25</v>
      </c>
      <c r="AO210" s="14">
        <f t="shared" si="261"/>
        <v>897976.89</v>
      </c>
      <c r="AP210" s="14">
        <f t="shared" si="287"/>
        <v>2810.15</v>
      </c>
      <c r="AS210" s="14">
        <f t="shared" si="325"/>
        <v>6591.25</v>
      </c>
      <c r="AT210" s="14">
        <f t="shared" si="332"/>
        <v>1284813.19</v>
      </c>
      <c r="AU210" s="185">
        <f t="shared" si="333"/>
        <v>2402.7367251871683</v>
      </c>
      <c r="AV210" s="185">
        <f t="shared" si="334"/>
        <v>372872.42680005456</v>
      </c>
    </row>
    <row r="211" spans="1:48">
      <c r="A211" s="401" t="str">
        <f t="shared" si="289"/>
        <v xml:space="preserve"> </v>
      </c>
      <c r="B211" s="185">
        <f t="shared" si="326"/>
        <v>0</v>
      </c>
      <c r="C211" s="14">
        <f t="shared" si="319"/>
        <v>0</v>
      </c>
      <c r="D211" s="14">
        <f t="shared" si="335"/>
        <v>0</v>
      </c>
      <c r="E211" s="14">
        <f t="shared" si="320"/>
        <v>0</v>
      </c>
      <c r="F211" s="14">
        <f t="shared" si="278"/>
        <v>0</v>
      </c>
      <c r="G211" s="14">
        <f t="shared" si="275"/>
        <v>0</v>
      </c>
      <c r="H211" s="14">
        <f t="shared" si="276"/>
        <v>0</v>
      </c>
      <c r="I211" s="185">
        <f t="shared" si="290"/>
        <v>0</v>
      </c>
      <c r="J211" s="185">
        <f t="shared" si="291"/>
        <v>0</v>
      </c>
      <c r="K211" s="185">
        <f t="shared" si="292"/>
        <v>0</v>
      </c>
      <c r="L211" s="317">
        <f t="shared" si="263"/>
        <v>16</v>
      </c>
      <c r="M211" s="317">
        <f t="shared" si="327"/>
        <v>195</v>
      </c>
      <c r="N211" s="185">
        <f t="shared" si="328"/>
        <v>502501.89000000036</v>
      </c>
      <c r="O211" s="185">
        <f t="shared" si="293"/>
        <v>6591.25</v>
      </c>
      <c r="P211" s="185">
        <f t="shared" si="336"/>
        <v>1095.1400000000003</v>
      </c>
      <c r="Q211" s="185">
        <f t="shared" si="294"/>
        <v>5496.11</v>
      </c>
      <c r="R211" s="185">
        <f t="shared" si="281"/>
        <v>134.16999999999999</v>
      </c>
      <c r="S211" s="185">
        <f t="shared" si="282"/>
        <v>188.55</v>
      </c>
      <c r="T211" s="185">
        <f t="shared" si="279"/>
        <v>6913.97</v>
      </c>
      <c r="U211" s="185">
        <f t="shared" si="337"/>
        <v>89218.249999999971</v>
      </c>
      <c r="V211" s="185">
        <f t="shared" si="338"/>
        <v>1202666.75</v>
      </c>
      <c r="W211" s="185">
        <f t="shared" si="295"/>
        <v>501406.75000000035</v>
      </c>
      <c r="X211" s="401" t="str">
        <f t="shared" si="329"/>
        <v xml:space="preserve"> </v>
      </c>
      <c r="Y211" s="185">
        <f t="shared" si="296"/>
        <v>3293241.5800000005</v>
      </c>
      <c r="Z211" s="393">
        <f t="shared" si="321"/>
        <v>0.13125000000000001</v>
      </c>
      <c r="AA211" s="185">
        <f t="shared" si="322"/>
        <v>2810.15</v>
      </c>
      <c r="AB211" s="185">
        <f t="shared" si="297"/>
        <v>-33209.68</v>
      </c>
      <c r="AC211" s="185">
        <f t="shared" si="323"/>
        <v>36019.83</v>
      </c>
      <c r="AD211" s="185">
        <f t="shared" ref="AD211:AE211" si="341">+AD210</f>
        <v>134.16999999999999</v>
      </c>
      <c r="AE211" s="185">
        <f t="shared" si="341"/>
        <v>188.55</v>
      </c>
      <c r="AF211" s="185">
        <f t="shared" si="299"/>
        <v>3132.8700000000017</v>
      </c>
      <c r="AG211" s="185">
        <f t="shared" si="300"/>
        <v>-2340351.2599999998</v>
      </c>
      <c r="AH211" s="185">
        <f t="shared" si="301"/>
        <v>3269283.4599999986</v>
      </c>
      <c r="AI211" s="411">
        <f t="shared" si="284"/>
        <v>362952.79999999981</v>
      </c>
      <c r="AJ211" s="411">
        <f t="shared" si="242"/>
        <v>-2825044.5100000002</v>
      </c>
      <c r="AK211" s="411">
        <f t="shared" si="285"/>
        <v>-2462091.7100000004</v>
      </c>
      <c r="AL211" s="185">
        <f t="shared" si="302"/>
        <v>3326451.2600000007</v>
      </c>
      <c r="AM211" s="317">
        <f t="shared" si="331"/>
        <v>16</v>
      </c>
      <c r="AN211" s="14">
        <f t="shared" si="286"/>
        <v>6591.25</v>
      </c>
      <c r="AO211" s="14">
        <f t="shared" si="261"/>
        <v>896881.75</v>
      </c>
      <c r="AP211" s="14">
        <f t="shared" si="287"/>
        <v>2810.15</v>
      </c>
      <c r="AS211" s="14">
        <f t="shared" si="325"/>
        <v>6591.25</v>
      </c>
      <c r="AT211" s="14">
        <f t="shared" si="332"/>
        <v>1291404.44</v>
      </c>
      <c r="AU211" s="185">
        <f t="shared" si="333"/>
        <v>2408.7435670001364</v>
      </c>
      <c r="AV211" s="185">
        <f t="shared" si="334"/>
        <v>375281.1703670547</v>
      </c>
    </row>
    <row r="212" spans="1:48">
      <c r="A212" s="401" t="str">
        <f t="shared" si="289"/>
        <v xml:space="preserve"> </v>
      </c>
      <c r="B212" s="185">
        <f t="shared" si="326"/>
        <v>0</v>
      </c>
      <c r="C212" s="14">
        <f t="shared" si="319"/>
        <v>0</v>
      </c>
      <c r="D212" s="14">
        <f t="shared" si="335"/>
        <v>0</v>
      </c>
      <c r="E212" s="14">
        <f t="shared" si="320"/>
        <v>0</v>
      </c>
      <c r="F212" s="14">
        <f t="shared" si="278"/>
        <v>0</v>
      </c>
      <c r="G212" s="14">
        <f t="shared" si="275"/>
        <v>0</v>
      </c>
      <c r="H212" s="14">
        <f t="shared" si="276"/>
        <v>0</v>
      </c>
      <c r="I212" s="185">
        <f t="shared" si="290"/>
        <v>0</v>
      </c>
      <c r="J212" s="185">
        <f t="shared" si="291"/>
        <v>0</v>
      </c>
      <c r="K212" s="185">
        <f t="shared" si="292"/>
        <v>0</v>
      </c>
      <c r="L212" s="317">
        <f t="shared" si="263"/>
        <v>16</v>
      </c>
      <c r="M212" s="317">
        <f t="shared" si="327"/>
        <v>196</v>
      </c>
      <c r="N212" s="185">
        <f t="shared" si="328"/>
        <v>501406.75000000035</v>
      </c>
      <c r="O212" s="185">
        <f t="shared" si="293"/>
        <v>6591.25</v>
      </c>
      <c r="P212" s="185">
        <f t="shared" si="336"/>
        <v>1107.1099999999997</v>
      </c>
      <c r="Q212" s="185">
        <f t="shared" si="294"/>
        <v>5484.14</v>
      </c>
      <c r="R212" s="185">
        <f t="shared" si="281"/>
        <v>134.16999999999999</v>
      </c>
      <c r="S212" s="185">
        <f t="shared" si="282"/>
        <v>188.55</v>
      </c>
      <c r="T212" s="185">
        <f t="shared" si="279"/>
        <v>6913.97</v>
      </c>
      <c r="U212" s="185">
        <f t="shared" si="337"/>
        <v>90325.359999999971</v>
      </c>
      <c r="V212" s="185">
        <f t="shared" si="338"/>
        <v>1208150.8899999999</v>
      </c>
      <c r="W212" s="185">
        <f t="shared" si="295"/>
        <v>500299.64000000036</v>
      </c>
      <c r="X212" s="401" t="str">
        <f t="shared" si="329"/>
        <v xml:space="preserve"> </v>
      </c>
      <c r="Y212" s="185">
        <f t="shared" si="296"/>
        <v>3326451.2600000007</v>
      </c>
      <c r="Z212" s="393">
        <f t="shared" si="321"/>
        <v>0.13125000000000001</v>
      </c>
      <c r="AA212" s="185">
        <f t="shared" si="322"/>
        <v>2810.15</v>
      </c>
      <c r="AB212" s="185">
        <f t="shared" si="297"/>
        <v>-33572.909999999996</v>
      </c>
      <c r="AC212" s="185">
        <f t="shared" si="323"/>
        <v>36383.06</v>
      </c>
      <c r="AD212" s="185">
        <f t="shared" ref="AD212:AE212" si="342">+AD211</f>
        <v>134.16999999999999</v>
      </c>
      <c r="AE212" s="185">
        <f t="shared" si="342"/>
        <v>188.55</v>
      </c>
      <c r="AF212" s="185">
        <f t="shared" si="299"/>
        <v>3132.8700000000017</v>
      </c>
      <c r="AG212" s="185">
        <f t="shared" si="300"/>
        <v>-2373924.17</v>
      </c>
      <c r="AH212" s="185">
        <f t="shared" si="301"/>
        <v>3305666.5199999986</v>
      </c>
      <c r="AI212" s="411">
        <f t="shared" si="284"/>
        <v>366733.89999999979</v>
      </c>
      <c r="AJ212" s="411">
        <f t="shared" si="242"/>
        <v>-2859724.5300000003</v>
      </c>
      <c r="AK212" s="411">
        <f t="shared" si="285"/>
        <v>-2492990.6300000004</v>
      </c>
      <c r="AL212" s="185">
        <f t="shared" si="302"/>
        <v>3360024.1700000009</v>
      </c>
      <c r="AM212" s="317">
        <f t="shared" si="331"/>
        <v>16</v>
      </c>
      <c r="AN212" s="14">
        <f t="shared" si="286"/>
        <v>6591.25</v>
      </c>
      <c r="AO212" s="14">
        <f t="shared" si="261"/>
        <v>895774.64</v>
      </c>
      <c r="AP212" s="14">
        <f t="shared" si="287"/>
        <v>2810.15</v>
      </c>
      <c r="AS212" s="14">
        <f t="shared" si="325"/>
        <v>6591.25</v>
      </c>
      <c r="AT212" s="14">
        <f t="shared" si="332"/>
        <v>1297995.69</v>
      </c>
      <c r="AU212" s="185">
        <f t="shared" si="333"/>
        <v>2414.7654259176365</v>
      </c>
      <c r="AV212" s="185">
        <f t="shared" si="334"/>
        <v>377695.93579297233</v>
      </c>
    </row>
    <row r="213" spans="1:48">
      <c r="A213" s="401" t="str">
        <f t="shared" si="289"/>
        <v xml:space="preserve"> </v>
      </c>
      <c r="B213" s="185">
        <f t="shared" si="326"/>
        <v>0</v>
      </c>
      <c r="C213" s="14">
        <f t="shared" si="319"/>
        <v>0</v>
      </c>
      <c r="D213" s="14">
        <f t="shared" si="335"/>
        <v>0</v>
      </c>
      <c r="E213" s="14">
        <f t="shared" si="320"/>
        <v>0</v>
      </c>
      <c r="F213" s="14">
        <f t="shared" si="278"/>
        <v>0</v>
      </c>
      <c r="G213" s="14">
        <f t="shared" si="275"/>
        <v>0</v>
      </c>
      <c r="H213" s="14">
        <f t="shared" si="276"/>
        <v>0</v>
      </c>
      <c r="I213" s="185">
        <f t="shared" si="290"/>
        <v>0</v>
      </c>
      <c r="J213" s="185">
        <f t="shared" si="291"/>
        <v>0</v>
      </c>
      <c r="K213" s="185">
        <f t="shared" si="292"/>
        <v>0</v>
      </c>
      <c r="L213" s="317">
        <f t="shared" si="263"/>
        <v>16</v>
      </c>
      <c r="M213" s="317">
        <f t="shared" si="327"/>
        <v>197</v>
      </c>
      <c r="N213" s="185">
        <f t="shared" si="328"/>
        <v>500299.64000000036</v>
      </c>
      <c r="O213" s="185">
        <f t="shared" si="293"/>
        <v>6591.25</v>
      </c>
      <c r="P213" s="185">
        <f t="shared" si="336"/>
        <v>1119.2200000000003</v>
      </c>
      <c r="Q213" s="185">
        <f t="shared" si="294"/>
        <v>5472.03</v>
      </c>
      <c r="R213" s="185">
        <f t="shared" si="281"/>
        <v>134.16999999999999</v>
      </c>
      <c r="S213" s="185">
        <f t="shared" si="282"/>
        <v>188.55</v>
      </c>
      <c r="T213" s="185">
        <f t="shared" si="279"/>
        <v>6913.97</v>
      </c>
      <c r="U213" s="185">
        <f t="shared" si="337"/>
        <v>91444.579999999973</v>
      </c>
      <c r="V213" s="185">
        <f t="shared" si="338"/>
        <v>1213622.92</v>
      </c>
      <c r="W213" s="185">
        <f t="shared" si="295"/>
        <v>499180.42000000039</v>
      </c>
      <c r="X213" s="401" t="str">
        <f t="shared" si="329"/>
        <v xml:space="preserve"> </v>
      </c>
      <c r="Y213" s="185">
        <f t="shared" si="296"/>
        <v>3360024.1700000009</v>
      </c>
      <c r="Z213" s="393">
        <f t="shared" si="321"/>
        <v>0.13125000000000001</v>
      </c>
      <c r="AA213" s="185">
        <f t="shared" si="322"/>
        <v>2810.15</v>
      </c>
      <c r="AB213" s="185">
        <f t="shared" si="297"/>
        <v>-33940.11</v>
      </c>
      <c r="AC213" s="185">
        <f t="shared" si="323"/>
        <v>36750.26</v>
      </c>
      <c r="AD213" s="185">
        <f t="shared" ref="AD213:AE213" si="343">+AD212</f>
        <v>134.16999999999999</v>
      </c>
      <c r="AE213" s="185">
        <f t="shared" si="343"/>
        <v>188.55</v>
      </c>
      <c r="AF213" s="185">
        <f t="shared" si="299"/>
        <v>3132.8700000000017</v>
      </c>
      <c r="AG213" s="185">
        <f t="shared" si="300"/>
        <v>-2407864.2799999998</v>
      </c>
      <c r="AH213" s="185">
        <f t="shared" si="301"/>
        <v>3342416.7799999984</v>
      </c>
      <c r="AI213" s="411">
        <f t="shared" si="284"/>
        <v>370514.99999999977</v>
      </c>
      <c r="AJ213" s="411">
        <f t="shared" si="242"/>
        <v>-2894783.8600000003</v>
      </c>
      <c r="AK213" s="411">
        <f t="shared" si="285"/>
        <v>-2524268.8600000003</v>
      </c>
      <c r="AL213" s="185">
        <f t="shared" si="302"/>
        <v>3393964.2800000007</v>
      </c>
      <c r="AM213" s="317">
        <f t="shared" si="331"/>
        <v>16</v>
      </c>
      <c r="AN213" s="14">
        <f t="shared" si="286"/>
        <v>6591.25</v>
      </c>
      <c r="AO213" s="14">
        <f t="shared" si="261"/>
        <v>894655.42</v>
      </c>
      <c r="AP213" s="14">
        <f t="shared" si="287"/>
        <v>2810.15</v>
      </c>
      <c r="AS213" s="14">
        <f t="shared" si="325"/>
        <v>6591.25</v>
      </c>
      <c r="AT213" s="14">
        <f t="shared" si="332"/>
        <v>1304586.94</v>
      </c>
      <c r="AU213" s="185">
        <f t="shared" si="333"/>
        <v>2420.8023394824309</v>
      </c>
      <c r="AV213" s="185">
        <f t="shared" si="334"/>
        <v>380116.73813245475</v>
      </c>
    </row>
    <row r="214" spans="1:48">
      <c r="A214" s="401" t="str">
        <f t="shared" si="289"/>
        <v xml:space="preserve"> </v>
      </c>
      <c r="B214" s="185">
        <f t="shared" si="326"/>
        <v>0</v>
      </c>
      <c r="C214" s="14">
        <f t="shared" si="319"/>
        <v>0</v>
      </c>
      <c r="D214" s="14">
        <f t="shared" si="335"/>
        <v>0</v>
      </c>
      <c r="E214" s="14">
        <f t="shared" si="320"/>
        <v>0</v>
      </c>
      <c r="F214" s="14">
        <f t="shared" si="278"/>
        <v>0</v>
      </c>
      <c r="G214" s="14">
        <f t="shared" si="275"/>
        <v>0</v>
      </c>
      <c r="H214" s="14">
        <f t="shared" si="276"/>
        <v>0</v>
      </c>
      <c r="I214" s="185">
        <f t="shared" si="290"/>
        <v>0</v>
      </c>
      <c r="J214" s="185">
        <f t="shared" si="291"/>
        <v>0</v>
      </c>
      <c r="K214" s="185">
        <f t="shared" si="292"/>
        <v>0</v>
      </c>
      <c r="L214" s="317">
        <f t="shared" si="263"/>
        <v>16</v>
      </c>
      <c r="M214" s="317">
        <f t="shared" si="327"/>
        <v>198</v>
      </c>
      <c r="N214" s="185">
        <f t="shared" si="328"/>
        <v>499180.42000000039</v>
      </c>
      <c r="O214" s="185">
        <f t="shared" si="293"/>
        <v>6591.25</v>
      </c>
      <c r="P214" s="185">
        <f t="shared" si="336"/>
        <v>1131.46</v>
      </c>
      <c r="Q214" s="185">
        <f t="shared" si="294"/>
        <v>5459.79</v>
      </c>
      <c r="R214" s="185">
        <f t="shared" si="281"/>
        <v>134.16999999999999</v>
      </c>
      <c r="S214" s="185">
        <f t="shared" si="282"/>
        <v>188.55</v>
      </c>
      <c r="T214" s="185">
        <f t="shared" si="279"/>
        <v>6913.97</v>
      </c>
      <c r="U214" s="185">
        <f t="shared" si="337"/>
        <v>92576.039999999979</v>
      </c>
      <c r="V214" s="185">
        <f t="shared" si="338"/>
        <v>1219082.71</v>
      </c>
      <c r="W214" s="185">
        <f t="shared" si="295"/>
        <v>498048.96000000037</v>
      </c>
      <c r="X214" s="401" t="str">
        <f t="shared" si="329"/>
        <v xml:space="preserve"> </v>
      </c>
      <c r="Y214" s="185">
        <f t="shared" si="296"/>
        <v>3393964.2800000007</v>
      </c>
      <c r="Z214" s="393">
        <f t="shared" si="321"/>
        <v>0.13125000000000001</v>
      </c>
      <c r="AA214" s="185">
        <f t="shared" si="322"/>
        <v>2810.15</v>
      </c>
      <c r="AB214" s="185">
        <f t="shared" si="297"/>
        <v>-34311.33</v>
      </c>
      <c r="AC214" s="185">
        <f t="shared" si="323"/>
        <v>37121.480000000003</v>
      </c>
      <c r="AD214" s="185">
        <f t="shared" ref="AD214:AE214" si="344">+AD213</f>
        <v>134.16999999999999</v>
      </c>
      <c r="AE214" s="185">
        <f t="shared" si="344"/>
        <v>188.55</v>
      </c>
      <c r="AF214" s="185">
        <f t="shared" si="299"/>
        <v>3132.8700000000017</v>
      </c>
      <c r="AG214" s="185">
        <f t="shared" si="300"/>
        <v>-2442175.61</v>
      </c>
      <c r="AH214" s="185">
        <f t="shared" si="301"/>
        <v>3379538.2599999984</v>
      </c>
      <c r="AI214" s="411">
        <f t="shared" si="284"/>
        <v>374296.09999999974</v>
      </c>
      <c r="AJ214" s="411">
        <f t="shared" si="242"/>
        <v>-2930226.6500000004</v>
      </c>
      <c r="AK214" s="411">
        <f t="shared" si="285"/>
        <v>-2555930.5500000007</v>
      </c>
      <c r="AL214" s="185">
        <f t="shared" si="302"/>
        <v>3428275.6100000008</v>
      </c>
      <c r="AM214" s="317">
        <f t="shared" si="331"/>
        <v>16</v>
      </c>
      <c r="AN214" s="14">
        <f t="shared" si="286"/>
        <v>6591.25</v>
      </c>
      <c r="AO214" s="14">
        <f t="shared" si="261"/>
        <v>893523.96</v>
      </c>
      <c r="AP214" s="14">
        <f t="shared" si="287"/>
        <v>2810.15</v>
      </c>
      <c r="AS214" s="14">
        <f t="shared" si="325"/>
        <v>6591.25</v>
      </c>
      <c r="AT214" s="14">
        <f t="shared" si="332"/>
        <v>1311178.19</v>
      </c>
      <c r="AU214" s="185">
        <f t="shared" si="333"/>
        <v>2426.8543453311368</v>
      </c>
      <c r="AV214" s="185">
        <f t="shared" si="334"/>
        <v>382543.59247778589</v>
      </c>
    </row>
    <row r="215" spans="1:48">
      <c r="A215" s="401" t="str">
        <f t="shared" si="289"/>
        <v xml:space="preserve"> </v>
      </c>
      <c r="B215" s="185">
        <f t="shared" si="326"/>
        <v>0</v>
      </c>
      <c r="C215" s="14">
        <f t="shared" si="319"/>
        <v>0</v>
      </c>
      <c r="D215" s="14">
        <f t="shared" si="335"/>
        <v>0</v>
      </c>
      <c r="E215" s="14">
        <f t="shared" si="320"/>
        <v>0</v>
      </c>
      <c r="F215" s="14">
        <f t="shared" si="278"/>
        <v>0</v>
      </c>
      <c r="G215" s="14">
        <f t="shared" si="275"/>
        <v>0</v>
      </c>
      <c r="H215" s="14">
        <f t="shared" si="276"/>
        <v>0</v>
      </c>
      <c r="I215" s="185">
        <f t="shared" si="290"/>
        <v>0</v>
      </c>
      <c r="J215" s="185">
        <f t="shared" si="291"/>
        <v>0</v>
      </c>
      <c r="K215" s="185">
        <f t="shared" si="292"/>
        <v>0</v>
      </c>
      <c r="L215" s="317">
        <f t="shared" si="263"/>
        <v>16</v>
      </c>
      <c r="M215" s="317">
        <f t="shared" si="327"/>
        <v>199</v>
      </c>
      <c r="N215" s="185">
        <f t="shared" si="328"/>
        <v>498048.96000000037</v>
      </c>
      <c r="O215" s="185">
        <f t="shared" si="293"/>
        <v>6591.25</v>
      </c>
      <c r="P215" s="185">
        <f t="shared" si="336"/>
        <v>1143.8400000000001</v>
      </c>
      <c r="Q215" s="185">
        <f t="shared" si="294"/>
        <v>5447.41</v>
      </c>
      <c r="R215" s="185">
        <f t="shared" si="281"/>
        <v>134.16999999999999</v>
      </c>
      <c r="S215" s="185">
        <f t="shared" si="282"/>
        <v>188.55</v>
      </c>
      <c r="T215" s="185">
        <f t="shared" si="279"/>
        <v>6913.97</v>
      </c>
      <c r="U215" s="185">
        <f t="shared" si="337"/>
        <v>93719.879999999976</v>
      </c>
      <c r="V215" s="185">
        <f t="shared" si="338"/>
        <v>1224530.1199999999</v>
      </c>
      <c r="W215" s="185">
        <f t="shared" si="295"/>
        <v>496905.12000000034</v>
      </c>
      <c r="X215" s="401" t="str">
        <f t="shared" si="329"/>
        <v xml:space="preserve"> </v>
      </c>
      <c r="Y215" s="185">
        <f t="shared" si="296"/>
        <v>3428275.6100000008</v>
      </c>
      <c r="Z215" s="393">
        <f t="shared" si="321"/>
        <v>0.13125000000000001</v>
      </c>
      <c r="AA215" s="185">
        <f t="shared" si="322"/>
        <v>2810.15</v>
      </c>
      <c r="AB215" s="185">
        <f t="shared" si="297"/>
        <v>-34686.61</v>
      </c>
      <c r="AC215" s="185">
        <f t="shared" si="323"/>
        <v>37496.76</v>
      </c>
      <c r="AD215" s="185">
        <f t="shared" ref="AD215:AE215" si="345">+AD214</f>
        <v>134.16999999999999</v>
      </c>
      <c r="AE215" s="185">
        <f t="shared" si="345"/>
        <v>188.55</v>
      </c>
      <c r="AF215" s="185">
        <f t="shared" si="299"/>
        <v>3132.8700000000017</v>
      </c>
      <c r="AG215" s="185">
        <f t="shared" si="300"/>
        <v>-2476862.2199999997</v>
      </c>
      <c r="AH215" s="185">
        <f t="shared" si="301"/>
        <v>3417035.0199999982</v>
      </c>
      <c r="AI215" s="411">
        <f t="shared" si="284"/>
        <v>378077.19999999972</v>
      </c>
      <c r="AJ215" s="411">
        <f t="shared" si="242"/>
        <v>-2966057.1000000006</v>
      </c>
      <c r="AK215" s="411">
        <f t="shared" si="285"/>
        <v>-2587979.9000000008</v>
      </c>
      <c r="AL215" s="185">
        <f t="shared" si="302"/>
        <v>3462962.2200000007</v>
      </c>
      <c r="AM215" s="317">
        <f t="shared" si="331"/>
        <v>16</v>
      </c>
      <c r="AN215" s="14">
        <f t="shared" si="286"/>
        <v>6591.25</v>
      </c>
      <c r="AO215" s="14">
        <f t="shared" si="261"/>
        <v>892380.12</v>
      </c>
      <c r="AP215" s="14">
        <f t="shared" si="287"/>
        <v>2810.15</v>
      </c>
      <c r="AS215" s="14">
        <f t="shared" si="325"/>
        <v>6591.25</v>
      </c>
      <c r="AT215" s="14">
        <f t="shared" si="332"/>
        <v>1317769.44</v>
      </c>
      <c r="AU215" s="185">
        <f t="shared" si="333"/>
        <v>2432.9214811944644</v>
      </c>
      <c r="AV215" s="185">
        <f t="shared" si="334"/>
        <v>384976.51395898033</v>
      </c>
    </row>
    <row r="216" spans="1:48">
      <c r="A216" s="401" t="str">
        <f t="shared" si="289"/>
        <v xml:space="preserve"> </v>
      </c>
      <c r="B216" s="185">
        <f t="shared" si="326"/>
        <v>0</v>
      </c>
      <c r="C216" s="14">
        <f t="shared" si="319"/>
        <v>0</v>
      </c>
      <c r="D216" s="14">
        <f t="shared" si="335"/>
        <v>0</v>
      </c>
      <c r="E216" s="14">
        <f t="shared" si="320"/>
        <v>0</v>
      </c>
      <c r="F216" s="14">
        <f t="shared" si="278"/>
        <v>0</v>
      </c>
      <c r="G216" s="14">
        <f t="shared" si="275"/>
        <v>0</v>
      </c>
      <c r="H216" s="14">
        <f t="shared" si="276"/>
        <v>0</v>
      </c>
      <c r="I216" s="185">
        <f t="shared" si="290"/>
        <v>0</v>
      </c>
      <c r="J216" s="185">
        <f t="shared" si="291"/>
        <v>0</v>
      </c>
      <c r="K216" s="185">
        <f t="shared" si="292"/>
        <v>0</v>
      </c>
      <c r="L216" s="317">
        <f t="shared" si="263"/>
        <v>16</v>
      </c>
      <c r="M216" s="317">
        <f t="shared" si="327"/>
        <v>200</v>
      </c>
      <c r="N216" s="185">
        <f t="shared" si="328"/>
        <v>496905.12000000034</v>
      </c>
      <c r="O216" s="185">
        <f t="shared" si="293"/>
        <v>6591.25</v>
      </c>
      <c r="P216" s="185">
        <f t="shared" si="336"/>
        <v>1156.3500000000004</v>
      </c>
      <c r="Q216" s="185">
        <f t="shared" si="294"/>
        <v>5434.9</v>
      </c>
      <c r="R216" s="185">
        <f t="shared" si="281"/>
        <v>134.16999999999999</v>
      </c>
      <c r="S216" s="185">
        <f t="shared" si="282"/>
        <v>188.55</v>
      </c>
      <c r="T216" s="185">
        <f t="shared" si="279"/>
        <v>6913.97</v>
      </c>
      <c r="U216" s="185">
        <f t="shared" si="337"/>
        <v>94876.229999999981</v>
      </c>
      <c r="V216" s="185">
        <f t="shared" si="338"/>
        <v>1229965.0199999998</v>
      </c>
      <c r="W216" s="185">
        <f t="shared" si="295"/>
        <v>495748.77000000037</v>
      </c>
      <c r="X216" s="401" t="str">
        <f t="shared" si="329"/>
        <v xml:space="preserve"> </v>
      </c>
      <c r="Y216" s="185">
        <f t="shared" si="296"/>
        <v>3462962.2200000007</v>
      </c>
      <c r="Z216" s="393">
        <f t="shared" si="321"/>
        <v>0.13125000000000001</v>
      </c>
      <c r="AA216" s="185">
        <f t="shared" si="322"/>
        <v>2810.15</v>
      </c>
      <c r="AB216" s="185">
        <f t="shared" si="297"/>
        <v>-35066</v>
      </c>
      <c r="AC216" s="185">
        <f t="shared" si="323"/>
        <v>37876.15</v>
      </c>
      <c r="AD216" s="185">
        <f t="shared" ref="AD216:AE216" si="346">+AD215</f>
        <v>134.16999999999999</v>
      </c>
      <c r="AE216" s="185">
        <f t="shared" si="346"/>
        <v>188.55</v>
      </c>
      <c r="AF216" s="185">
        <f t="shared" si="299"/>
        <v>3132.8700000000017</v>
      </c>
      <c r="AG216" s="185">
        <f t="shared" si="300"/>
        <v>-2511928.2199999997</v>
      </c>
      <c r="AH216" s="185">
        <f t="shared" si="301"/>
        <v>3454911.1699999981</v>
      </c>
      <c r="AI216" s="411">
        <f t="shared" si="284"/>
        <v>381858.2999999997</v>
      </c>
      <c r="AJ216" s="411">
        <f t="shared" si="242"/>
        <v>-3002279.45</v>
      </c>
      <c r="AK216" s="411">
        <f t="shared" si="285"/>
        <v>-2620421.1500000004</v>
      </c>
      <c r="AL216" s="185">
        <f t="shared" si="302"/>
        <v>3498028.2200000007</v>
      </c>
      <c r="AM216" s="317">
        <f t="shared" si="331"/>
        <v>16</v>
      </c>
      <c r="AN216" s="14">
        <f t="shared" si="286"/>
        <v>6591.25</v>
      </c>
      <c r="AO216" s="14">
        <f t="shared" si="261"/>
        <v>891223.77</v>
      </c>
      <c r="AP216" s="14">
        <f t="shared" si="287"/>
        <v>2810.15</v>
      </c>
      <c r="AS216" s="14">
        <f t="shared" si="325"/>
        <v>6591.25</v>
      </c>
      <c r="AT216" s="14">
        <f t="shared" si="332"/>
        <v>1324360.69</v>
      </c>
      <c r="AU216" s="185">
        <f t="shared" si="333"/>
        <v>2439.0037848974507</v>
      </c>
      <c r="AV216" s="185">
        <f t="shared" si="334"/>
        <v>387415.51774387778</v>
      </c>
    </row>
    <row r="217" spans="1:48">
      <c r="A217" s="401" t="str">
        <f t="shared" si="289"/>
        <v xml:space="preserve"> </v>
      </c>
      <c r="B217" s="185">
        <f t="shared" si="326"/>
        <v>0</v>
      </c>
      <c r="C217" s="14">
        <f t="shared" si="319"/>
        <v>0</v>
      </c>
      <c r="D217" s="14">
        <f t="shared" si="335"/>
        <v>0</v>
      </c>
      <c r="E217" s="14">
        <f t="shared" si="320"/>
        <v>0</v>
      </c>
      <c r="F217" s="14">
        <f t="shared" si="278"/>
        <v>0</v>
      </c>
      <c r="G217" s="14">
        <f t="shared" si="275"/>
        <v>0</v>
      </c>
      <c r="H217" s="14">
        <f t="shared" si="276"/>
        <v>0</v>
      </c>
      <c r="I217" s="185">
        <f t="shared" si="290"/>
        <v>0</v>
      </c>
      <c r="J217" s="185">
        <f t="shared" si="291"/>
        <v>0</v>
      </c>
      <c r="K217" s="185">
        <f t="shared" si="292"/>
        <v>0</v>
      </c>
      <c r="L217" s="317">
        <f t="shared" si="263"/>
        <v>16</v>
      </c>
      <c r="M217" s="317">
        <f t="shared" si="327"/>
        <v>201</v>
      </c>
      <c r="N217" s="185">
        <f t="shared" si="328"/>
        <v>495748.77000000037</v>
      </c>
      <c r="O217" s="185">
        <f t="shared" si="293"/>
        <v>6591.25</v>
      </c>
      <c r="P217" s="185">
        <f t="shared" si="336"/>
        <v>1169</v>
      </c>
      <c r="Q217" s="185">
        <f t="shared" si="294"/>
        <v>5422.25</v>
      </c>
      <c r="R217" s="185">
        <f t="shared" si="281"/>
        <v>134.16999999999999</v>
      </c>
      <c r="S217" s="185">
        <f t="shared" si="282"/>
        <v>188.55</v>
      </c>
      <c r="T217" s="185">
        <f t="shared" si="279"/>
        <v>6913.97</v>
      </c>
      <c r="U217" s="185">
        <f t="shared" si="337"/>
        <v>96045.229999999981</v>
      </c>
      <c r="V217" s="185">
        <f t="shared" si="338"/>
        <v>1235387.2699999998</v>
      </c>
      <c r="W217" s="185">
        <f t="shared" si="295"/>
        <v>494579.77000000037</v>
      </c>
      <c r="X217" s="401" t="str">
        <f t="shared" si="329"/>
        <v xml:space="preserve"> </v>
      </c>
      <c r="Y217" s="185">
        <f t="shared" si="296"/>
        <v>3498028.2200000007</v>
      </c>
      <c r="Z217" s="393">
        <f t="shared" si="321"/>
        <v>0.13125000000000001</v>
      </c>
      <c r="AA217" s="185">
        <f t="shared" si="322"/>
        <v>2810.15</v>
      </c>
      <c r="AB217" s="185">
        <f t="shared" si="297"/>
        <v>-35449.53</v>
      </c>
      <c r="AC217" s="185">
        <f t="shared" si="323"/>
        <v>38259.68</v>
      </c>
      <c r="AD217" s="185">
        <f t="shared" ref="AD217:AE217" si="347">+AD216</f>
        <v>134.16999999999999</v>
      </c>
      <c r="AE217" s="185">
        <f t="shared" si="347"/>
        <v>188.55</v>
      </c>
      <c r="AF217" s="185">
        <f t="shared" si="299"/>
        <v>3132.8700000000017</v>
      </c>
      <c r="AG217" s="185">
        <f t="shared" si="300"/>
        <v>-2547377.7499999995</v>
      </c>
      <c r="AH217" s="185">
        <f t="shared" si="301"/>
        <v>3493170.8499999982</v>
      </c>
      <c r="AI217" s="411">
        <f t="shared" si="284"/>
        <v>385639.39999999967</v>
      </c>
      <c r="AJ217" s="411">
        <f t="shared" si="242"/>
        <v>-3038897.98</v>
      </c>
      <c r="AK217" s="411">
        <f t="shared" si="285"/>
        <v>-2653258.58</v>
      </c>
      <c r="AL217" s="185">
        <f t="shared" si="302"/>
        <v>3533477.7500000005</v>
      </c>
      <c r="AM217" s="317">
        <f t="shared" si="331"/>
        <v>16</v>
      </c>
      <c r="AN217" s="14">
        <f t="shared" si="286"/>
        <v>6591.25</v>
      </c>
      <c r="AO217" s="14">
        <f t="shared" si="261"/>
        <v>890054.77</v>
      </c>
      <c r="AP217" s="14">
        <f t="shared" si="287"/>
        <v>2810.15</v>
      </c>
      <c r="AS217" s="14">
        <f t="shared" si="325"/>
        <v>6591.25</v>
      </c>
      <c r="AT217" s="14">
        <f t="shared" si="332"/>
        <v>1330951.94</v>
      </c>
      <c r="AU217" s="185">
        <f t="shared" si="333"/>
        <v>2445.1012943596947</v>
      </c>
      <c r="AV217" s="185">
        <f t="shared" si="334"/>
        <v>389860.61903823749</v>
      </c>
    </row>
    <row r="218" spans="1:48" ht="15.75" thickBot="1">
      <c r="A218" s="404" t="str">
        <f t="shared" si="289"/>
        <v xml:space="preserve"> </v>
      </c>
      <c r="B218" s="237">
        <f t="shared" si="326"/>
        <v>0</v>
      </c>
      <c r="C218" s="21">
        <f t="shared" si="319"/>
        <v>0</v>
      </c>
      <c r="D218" s="21">
        <f t="shared" si="335"/>
        <v>0</v>
      </c>
      <c r="E218" s="21">
        <f t="shared" si="320"/>
        <v>0</v>
      </c>
      <c r="F218" s="21">
        <f t="shared" si="278"/>
        <v>0</v>
      </c>
      <c r="G218" s="21">
        <f t="shared" si="275"/>
        <v>0</v>
      </c>
      <c r="H218" s="21">
        <f t="shared" si="276"/>
        <v>0</v>
      </c>
      <c r="I218" s="237">
        <f t="shared" si="290"/>
        <v>0</v>
      </c>
      <c r="J218" s="237">
        <f t="shared" si="291"/>
        <v>0</v>
      </c>
      <c r="K218" s="237">
        <f t="shared" si="292"/>
        <v>0</v>
      </c>
      <c r="L218" s="318">
        <f t="shared" si="263"/>
        <v>16</v>
      </c>
      <c r="M218" s="318">
        <f t="shared" si="327"/>
        <v>202</v>
      </c>
      <c r="N218" s="237">
        <f t="shared" si="328"/>
        <v>494579.77000000037</v>
      </c>
      <c r="O218" s="237">
        <f t="shared" si="293"/>
        <v>6591.25</v>
      </c>
      <c r="P218" s="237">
        <f t="shared" si="336"/>
        <v>1181.7799999999997</v>
      </c>
      <c r="Q218" s="237">
        <f t="shared" si="294"/>
        <v>5409.47</v>
      </c>
      <c r="R218" s="237">
        <f t="shared" si="281"/>
        <v>134.16999999999999</v>
      </c>
      <c r="S218" s="237">
        <f t="shared" si="282"/>
        <v>188.55</v>
      </c>
      <c r="T218" s="237">
        <f t="shared" si="279"/>
        <v>6913.97</v>
      </c>
      <c r="U218" s="237">
        <f t="shared" si="337"/>
        <v>97227.00999999998</v>
      </c>
      <c r="V218" s="237">
        <f t="shared" si="338"/>
        <v>1240796.7399999998</v>
      </c>
      <c r="W218" s="237">
        <f t="shared" si="295"/>
        <v>493397.99000000034</v>
      </c>
      <c r="X218" s="404" t="str">
        <f t="shared" si="329"/>
        <v xml:space="preserve"> </v>
      </c>
      <c r="Y218" s="237">
        <f t="shared" si="296"/>
        <v>3533477.7500000005</v>
      </c>
      <c r="Z218" s="394">
        <f t="shared" si="321"/>
        <v>0.13125000000000001</v>
      </c>
      <c r="AA218" s="237">
        <f t="shared" si="322"/>
        <v>2810.15</v>
      </c>
      <c r="AB218" s="237">
        <f t="shared" si="297"/>
        <v>-35837.26</v>
      </c>
      <c r="AC218" s="237">
        <f t="shared" si="323"/>
        <v>38647.410000000003</v>
      </c>
      <c r="AD218" s="237">
        <f t="shared" ref="AD218:AE218" si="348">+AD217</f>
        <v>134.16999999999999</v>
      </c>
      <c r="AE218" s="237">
        <f t="shared" si="348"/>
        <v>188.55</v>
      </c>
      <c r="AF218" s="237">
        <f t="shared" si="299"/>
        <v>3132.8700000000017</v>
      </c>
      <c r="AG218" s="237">
        <f t="shared" si="300"/>
        <v>-2583215.0099999993</v>
      </c>
      <c r="AH218" s="237">
        <f t="shared" si="301"/>
        <v>3531818.2599999984</v>
      </c>
      <c r="AI218" s="412">
        <f t="shared" si="284"/>
        <v>389420.49999999965</v>
      </c>
      <c r="AJ218" s="412">
        <f t="shared" si="242"/>
        <v>-3075917.02</v>
      </c>
      <c r="AK218" s="411">
        <f t="shared" si="285"/>
        <v>-2686496.5200000005</v>
      </c>
      <c r="AL218" s="237">
        <f t="shared" si="302"/>
        <v>3569315.0100000002</v>
      </c>
      <c r="AM218" s="318">
        <f t="shared" si="331"/>
        <v>16</v>
      </c>
      <c r="AN218" s="21">
        <f t="shared" si="286"/>
        <v>6591.25</v>
      </c>
      <c r="AO218" s="21">
        <f t="shared" si="261"/>
        <v>888872.99</v>
      </c>
      <c r="AP218" s="21">
        <f t="shared" si="287"/>
        <v>2810.15</v>
      </c>
      <c r="AQ218" s="21"/>
      <c r="AR218" s="23"/>
      <c r="AS218" s="21">
        <f t="shared" si="325"/>
        <v>6591.25</v>
      </c>
      <c r="AT218" s="21">
        <f t="shared" si="332"/>
        <v>1337543.19</v>
      </c>
      <c r="AU218" s="237">
        <f t="shared" si="333"/>
        <v>2451.2140475955935</v>
      </c>
      <c r="AV218" s="237">
        <f t="shared" si="334"/>
        <v>392311.83308583306</v>
      </c>
    </row>
    <row r="219" spans="1:48">
      <c r="A219" s="401" t="str">
        <f t="shared" si="289"/>
        <v xml:space="preserve"> </v>
      </c>
      <c r="B219" s="185">
        <f t="shared" si="326"/>
        <v>0</v>
      </c>
      <c r="C219" s="14">
        <f t="shared" si="319"/>
        <v>0</v>
      </c>
      <c r="D219" s="14">
        <f t="shared" si="335"/>
        <v>0</v>
      </c>
      <c r="E219" s="14">
        <f t="shared" si="320"/>
        <v>0</v>
      </c>
      <c r="F219" s="14">
        <f t="shared" si="278"/>
        <v>0</v>
      </c>
      <c r="G219" s="14">
        <f t="shared" si="275"/>
        <v>0</v>
      </c>
      <c r="H219" s="14">
        <f t="shared" si="276"/>
        <v>0</v>
      </c>
      <c r="I219" s="185">
        <f t="shared" si="290"/>
        <v>0</v>
      </c>
      <c r="J219" s="185">
        <f t="shared" si="291"/>
        <v>0</v>
      </c>
      <c r="K219" s="185">
        <f t="shared" si="292"/>
        <v>0</v>
      </c>
      <c r="L219" s="317">
        <f t="shared" si="263"/>
        <v>16</v>
      </c>
      <c r="M219" s="317">
        <f t="shared" si="327"/>
        <v>203</v>
      </c>
      <c r="N219" s="185">
        <f t="shared" si="328"/>
        <v>493397.99000000034</v>
      </c>
      <c r="O219" s="185">
        <f t="shared" si="293"/>
        <v>6591.25</v>
      </c>
      <c r="P219" s="185">
        <f t="shared" si="336"/>
        <v>1194.71</v>
      </c>
      <c r="Q219" s="185">
        <f t="shared" si="294"/>
        <v>5396.54</v>
      </c>
      <c r="R219" s="185">
        <f t="shared" si="281"/>
        <v>134.16999999999999</v>
      </c>
      <c r="S219" s="185">
        <f t="shared" si="282"/>
        <v>188.55</v>
      </c>
      <c r="T219" s="185">
        <f t="shared" si="279"/>
        <v>6913.97</v>
      </c>
      <c r="U219" s="185">
        <f t="shared" si="337"/>
        <v>98421.719999999987</v>
      </c>
      <c r="V219" s="185">
        <f t="shared" si="338"/>
        <v>1246193.2799999998</v>
      </c>
      <c r="W219" s="185">
        <f t="shared" si="295"/>
        <v>492203.28000000032</v>
      </c>
      <c r="X219" s="401" t="str">
        <f t="shared" si="329"/>
        <v xml:space="preserve"> </v>
      </c>
      <c r="Y219" s="185">
        <f t="shared" si="296"/>
        <v>3569315.0100000002</v>
      </c>
      <c r="Z219" s="393">
        <f t="shared" si="321"/>
        <v>0.13125000000000001</v>
      </c>
      <c r="AA219" s="185">
        <f t="shared" si="322"/>
        <v>2810.15</v>
      </c>
      <c r="AB219" s="185">
        <f t="shared" si="297"/>
        <v>-36229.229999999996</v>
      </c>
      <c r="AC219" s="185">
        <f t="shared" si="323"/>
        <v>39039.379999999997</v>
      </c>
      <c r="AD219" s="185">
        <f t="shared" ref="AD219:AE219" si="349">+AD218</f>
        <v>134.16999999999999</v>
      </c>
      <c r="AE219" s="185">
        <f t="shared" si="349"/>
        <v>188.55</v>
      </c>
      <c r="AF219" s="185">
        <f t="shared" si="299"/>
        <v>3132.8700000000017</v>
      </c>
      <c r="AG219" s="185">
        <f t="shared" si="300"/>
        <v>-2619444.2399999993</v>
      </c>
      <c r="AH219" s="185">
        <f t="shared" si="301"/>
        <v>3570857.6399999983</v>
      </c>
      <c r="AI219" s="411">
        <f t="shared" si="284"/>
        <v>393201.59999999963</v>
      </c>
      <c r="AJ219" s="411">
        <f t="shared" ref="AJ219:AJ282" si="350">+W219-AL219</f>
        <v>-3113340.96</v>
      </c>
      <c r="AK219" s="411">
        <f t="shared" si="285"/>
        <v>-2720139.3600000003</v>
      </c>
      <c r="AL219" s="185">
        <f t="shared" si="302"/>
        <v>3605544.24</v>
      </c>
      <c r="AM219" s="317">
        <f t="shared" si="331"/>
        <v>16</v>
      </c>
      <c r="AN219" s="14">
        <f t="shared" si="286"/>
        <v>6591.25</v>
      </c>
      <c r="AO219" s="14">
        <f t="shared" si="261"/>
        <v>887678.28</v>
      </c>
      <c r="AP219" s="14">
        <f t="shared" si="287"/>
        <v>2810.15</v>
      </c>
      <c r="AS219" s="14">
        <f t="shared" si="325"/>
        <v>6591.25</v>
      </c>
      <c r="AT219" s="14">
        <f t="shared" si="332"/>
        <v>1344134.44</v>
      </c>
      <c r="AU219" s="185">
        <f t="shared" si="333"/>
        <v>2457.3420827145828</v>
      </c>
      <c r="AV219" s="185">
        <f t="shared" si="334"/>
        <v>394769.17516854766</v>
      </c>
    </row>
    <row r="220" spans="1:48">
      <c r="A220" s="401" t="str">
        <f t="shared" si="289"/>
        <v xml:space="preserve"> </v>
      </c>
      <c r="B220" s="185">
        <f t="shared" si="326"/>
        <v>0</v>
      </c>
      <c r="C220" s="14">
        <f t="shared" si="319"/>
        <v>0</v>
      </c>
      <c r="D220" s="14">
        <f t="shared" si="335"/>
        <v>0</v>
      </c>
      <c r="E220" s="14">
        <f t="shared" si="320"/>
        <v>0</v>
      </c>
      <c r="F220" s="14">
        <f t="shared" si="278"/>
        <v>0</v>
      </c>
      <c r="G220" s="14">
        <f t="shared" si="275"/>
        <v>0</v>
      </c>
      <c r="H220" s="14">
        <f t="shared" si="276"/>
        <v>0</v>
      </c>
      <c r="I220" s="185">
        <f t="shared" si="290"/>
        <v>0</v>
      </c>
      <c r="J220" s="185">
        <f t="shared" si="291"/>
        <v>0</v>
      </c>
      <c r="K220" s="185">
        <f t="shared" si="292"/>
        <v>0</v>
      </c>
      <c r="L220" s="317">
        <f t="shared" si="263"/>
        <v>17</v>
      </c>
      <c r="M220" s="317">
        <f t="shared" si="327"/>
        <v>204</v>
      </c>
      <c r="N220" s="185">
        <f t="shared" si="328"/>
        <v>492203.28000000032</v>
      </c>
      <c r="O220" s="185">
        <f t="shared" si="293"/>
        <v>6591.25</v>
      </c>
      <c r="P220" s="185">
        <f t="shared" si="336"/>
        <v>1207.7799999999997</v>
      </c>
      <c r="Q220" s="185">
        <f t="shared" si="294"/>
        <v>5383.47</v>
      </c>
      <c r="R220" s="185">
        <f t="shared" si="281"/>
        <v>134.16999999999999</v>
      </c>
      <c r="S220" s="185">
        <f t="shared" si="282"/>
        <v>188.55</v>
      </c>
      <c r="T220" s="185">
        <f t="shared" si="279"/>
        <v>6913.97</v>
      </c>
      <c r="U220" s="185">
        <f t="shared" si="337"/>
        <v>99629.499999999985</v>
      </c>
      <c r="V220" s="185">
        <f t="shared" si="338"/>
        <v>1251576.7499999998</v>
      </c>
      <c r="W220" s="185">
        <f t="shared" si="295"/>
        <v>490995.50000000029</v>
      </c>
      <c r="X220" s="401" t="str">
        <f t="shared" si="329"/>
        <v xml:space="preserve"> </v>
      </c>
      <c r="Y220" s="185">
        <f t="shared" si="296"/>
        <v>3605544.24</v>
      </c>
      <c r="Z220" s="393">
        <f t="shared" si="321"/>
        <v>0.13125000000000001</v>
      </c>
      <c r="AA220" s="185">
        <f t="shared" si="322"/>
        <v>2810.15</v>
      </c>
      <c r="AB220" s="185">
        <f t="shared" si="297"/>
        <v>-36625.49</v>
      </c>
      <c r="AC220" s="185">
        <f t="shared" si="323"/>
        <v>39435.64</v>
      </c>
      <c r="AD220" s="185">
        <f t="shared" ref="AD220:AE220" si="351">+AD219</f>
        <v>134.16999999999999</v>
      </c>
      <c r="AE220" s="185">
        <f t="shared" si="351"/>
        <v>188.55</v>
      </c>
      <c r="AF220" s="185">
        <f t="shared" si="299"/>
        <v>3132.8700000000017</v>
      </c>
      <c r="AG220" s="185">
        <f t="shared" si="300"/>
        <v>-2656069.7299999995</v>
      </c>
      <c r="AH220" s="185">
        <f t="shared" si="301"/>
        <v>3610293.2799999984</v>
      </c>
      <c r="AI220" s="411">
        <f t="shared" si="284"/>
        <v>396982.6999999996</v>
      </c>
      <c r="AJ220" s="411">
        <f t="shared" si="350"/>
        <v>-3151174.23</v>
      </c>
      <c r="AK220" s="411">
        <f t="shared" si="285"/>
        <v>-2754191.5300000003</v>
      </c>
      <c r="AL220" s="185">
        <f t="shared" si="302"/>
        <v>3642169.7300000004</v>
      </c>
      <c r="AM220" s="317">
        <f t="shared" si="331"/>
        <v>17</v>
      </c>
      <c r="AN220" s="14">
        <f t="shared" si="286"/>
        <v>6591.25</v>
      </c>
      <c r="AO220" s="14">
        <f t="shared" si="261"/>
        <v>886470.5</v>
      </c>
      <c r="AP220" s="14">
        <f t="shared" si="287"/>
        <v>2810.15</v>
      </c>
      <c r="AS220" s="14">
        <f t="shared" si="325"/>
        <v>6591.25</v>
      </c>
      <c r="AT220" s="14">
        <f t="shared" si="332"/>
        <v>1350725.69</v>
      </c>
      <c r="AU220" s="185">
        <f t="shared" si="333"/>
        <v>2463.4854379213689</v>
      </c>
      <c r="AV220" s="185">
        <f t="shared" si="334"/>
        <v>397232.66060646903</v>
      </c>
    </row>
    <row r="221" spans="1:48">
      <c r="A221" s="401" t="str">
        <f t="shared" si="289"/>
        <v xml:space="preserve"> </v>
      </c>
      <c r="B221" s="185">
        <f t="shared" si="326"/>
        <v>0</v>
      </c>
      <c r="C221" s="14">
        <f t="shared" si="319"/>
        <v>0</v>
      </c>
      <c r="D221" s="14">
        <f t="shared" si="335"/>
        <v>0</v>
      </c>
      <c r="E221" s="14">
        <f t="shared" si="320"/>
        <v>0</v>
      </c>
      <c r="F221" s="14">
        <f t="shared" si="278"/>
        <v>0</v>
      </c>
      <c r="G221" s="14">
        <f t="shared" si="275"/>
        <v>0</v>
      </c>
      <c r="H221" s="14">
        <f t="shared" si="276"/>
        <v>0</v>
      </c>
      <c r="I221" s="185">
        <f t="shared" si="290"/>
        <v>0</v>
      </c>
      <c r="J221" s="185">
        <f t="shared" si="291"/>
        <v>0</v>
      </c>
      <c r="K221" s="185">
        <f t="shared" si="292"/>
        <v>0</v>
      </c>
      <c r="L221" s="317">
        <f t="shared" si="263"/>
        <v>17</v>
      </c>
      <c r="M221" s="317">
        <f t="shared" si="327"/>
        <v>205</v>
      </c>
      <c r="N221" s="185">
        <f t="shared" si="328"/>
        <v>490995.50000000029</v>
      </c>
      <c r="O221" s="185">
        <f t="shared" si="293"/>
        <v>6591.25</v>
      </c>
      <c r="P221" s="185">
        <f t="shared" si="336"/>
        <v>1220.9899999999998</v>
      </c>
      <c r="Q221" s="185">
        <f t="shared" si="294"/>
        <v>5370.26</v>
      </c>
      <c r="R221" s="185">
        <f t="shared" si="281"/>
        <v>134.16999999999999</v>
      </c>
      <c r="S221" s="185">
        <f t="shared" si="282"/>
        <v>188.55</v>
      </c>
      <c r="T221" s="185">
        <f t="shared" si="279"/>
        <v>6913.97</v>
      </c>
      <c r="U221" s="185">
        <f t="shared" si="337"/>
        <v>100850.48999999999</v>
      </c>
      <c r="V221" s="185">
        <f t="shared" si="338"/>
        <v>1256947.0099999998</v>
      </c>
      <c r="W221" s="185">
        <f t="shared" si="295"/>
        <v>489774.5100000003</v>
      </c>
      <c r="X221" s="401" t="str">
        <f t="shared" si="329"/>
        <v xml:space="preserve"> </v>
      </c>
      <c r="Y221" s="185">
        <f t="shared" si="296"/>
        <v>3642169.7300000004</v>
      </c>
      <c r="Z221" s="393">
        <f t="shared" si="321"/>
        <v>0.13125000000000001</v>
      </c>
      <c r="AA221" s="185">
        <f t="shared" si="322"/>
        <v>2810.15</v>
      </c>
      <c r="AB221" s="185">
        <f t="shared" si="297"/>
        <v>-37026.080000000002</v>
      </c>
      <c r="AC221" s="185">
        <f t="shared" si="323"/>
        <v>39836.230000000003</v>
      </c>
      <c r="AD221" s="185">
        <f t="shared" ref="AD221:AE221" si="352">+AD220</f>
        <v>134.16999999999999</v>
      </c>
      <c r="AE221" s="185">
        <f t="shared" si="352"/>
        <v>188.55</v>
      </c>
      <c r="AF221" s="185">
        <f t="shared" si="299"/>
        <v>3132.8700000000017</v>
      </c>
      <c r="AG221" s="185">
        <f t="shared" si="300"/>
        <v>-2693095.8099999996</v>
      </c>
      <c r="AH221" s="185">
        <f t="shared" si="301"/>
        <v>3650129.5099999984</v>
      </c>
      <c r="AI221" s="411">
        <f t="shared" si="284"/>
        <v>400763.79999999958</v>
      </c>
      <c r="AJ221" s="411">
        <f t="shared" si="350"/>
        <v>-3189421.3000000003</v>
      </c>
      <c r="AK221" s="411">
        <f t="shared" si="285"/>
        <v>-2788657.5000000009</v>
      </c>
      <c r="AL221" s="185">
        <f t="shared" si="302"/>
        <v>3679195.8100000005</v>
      </c>
      <c r="AM221" s="317">
        <f t="shared" si="331"/>
        <v>17</v>
      </c>
      <c r="AN221" s="14">
        <f t="shared" si="286"/>
        <v>6591.25</v>
      </c>
      <c r="AO221" s="14">
        <f t="shared" si="261"/>
        <v>885249.51</v>
      </c>
      <c r="AP221" s="14">
        <f t="shared" si="287"/>
        <v>2810.15</v>
      </c>
      <c r="AS221" s="14">
        <f t="shared" si="325"/>
        <v>6591.25</v>
      </c>
      <c r="AT221" s="14">
        <f t="shared" si="332"/>
        <v>1357316.94</v>
      </c>
      <c r="AU221" s="185">
        <f t="shared" si="333"/>
        <v>2469.6441515161728</v>
      </c>
      <c r="AV221" s="185">
        <f t="shared" si="334"/>
        <v>399702.30475798523</v>
      </c>
    </row>
    <row r="222" spans="1:48">
      <c r="A222" s="401" t="str">
        <f t="shared" si="289"/>
        <v xml:space="preserve"> </v>
      </c>
      <c r="B222" s="185">
        <f t="shared" si="326"/>
        <v>0</v>
      </c>
      <c r="C222" s="14">
        <f t="shared" si="319"/>
        <v>0</v>
      </c>
      <c r="D222" s="14">
        <f t="shared" si="335"/>
        <v>0</v>
      </c>
      <c r="E222" s="14">
        <f t="shared" si="320"/>
        <v>0</v>
      </c>
      <c r="F222" s="14">
        <f t="shared" si="278"/>
        <v>0</v>
      </c>
      <c r="G222" s="14">
        <f t="shared" si="275"/>
        <v>0</v>
      </c>
      <c r="H222" s="14">
        <f t="shared" si="276"/>
        <v>0</v>
      </c>
      <c r="I222" s="185">
        <f t="shared" si="290"/>
        <v>0</v>
      </c>
      <c r="J222" s="185">
        <f t="shared" si="291"/>
        <v>0</v>
      </c>
      <c r="K222" s="185">
        <f t="shared" si="292"/>
        <v>0</v>
      </c>
      <c r="L222" s="317">
        <f t="shared" si="263"/>
        <v>17</v>
      </c>
      <c r="M222" s="317">
        <f t="shared" si="327"/>
        <v>206</v>
      </c>
      <c r="N222" s="185">
        <f t="shared" si="328"/>
        <v>489774.5100000003</v>
      </c>
      <c r="O222" s="185">
        <f t="shared" si="293"/>
        <v>6591.25</v>
      </c>
      <c r="P222" s="185">
        <f t="shared" si="336"/>
        <v>1234.3400000000001</v>
      </c>
      <c r="Q222" s="185">
        <f t="shared" si="294"/>
        <v>5356.91</v>
      </c>
      <c r="R222" s="185">
        <f t="shared" si="281"/>
        <v>134.16999999999999</v>
      </c>
      <c r="S222" s="185">
        <f t="shared" si="282"/>
        <v>188.55</v>
      </c>
      <c r="T222" s="185">
        <f t="shared" si="279"/>
        <v>6913.97</v>
      </c>
      <c r="U222" s="185">
        <f t="shared" si="337"/>
        <v>102084.82999999999</v>
      </c>
      <c r="V222" s="185">
        <f t="shared" si="338"/>
        <v>1262303.9199999997</v>
      </c>
      <c r="W222" s="185">
        <f t="shared" si="295"/>
        <v>488540.17000000027</v>
      </c>
      <c r="X222" s="401" t="str">
        <f t="shared" si="329"/>
        <v xml:space="preserve"> </v>
      </c>
      <c r="Y222" s="185">
        <f t="shared" si="296"/>
        <v>3679195.8100000005</v>
      </c>
      <c r="Z222" s="393">
        <f t="shared" si="321"/>
        <v>0.13125000000000001</v>
      </c>
      <c r="AA222" s="185">
        <f t="shared" si="322"/>
        <v>2810.15</v>
      </c>
      <c r="AB222" s="185">
        <f t="shared" si="297"/>
        <v>-37431.049999999996</v>
      </c>
      <c r="AC222" s="185">
        <f t="shared" si="323"/>
        <v>40241.199999999997</v>
      </c>
      <c r="AD222" s="185">
        <f t="shared" ref="AD222:AE222" si="353">+AD221</f>
        <v>134.16999999999999</v>
      </c>
      <c r="AE222" s="185">
        <f t="shared" si="353"/>
        <v>188.55</v>
      </c>
      <c r="AF222" s="185">
        <f t="shared" si="299"/>
        <v>3132.8700000000017</v>
      </c>
      <c r="AG222" s="185">
        <f t="shared" si="300"/>
        <v>-2730526.8599999994</v>
      </c>
      <c r="AH222" s="185">
        <f t="shared" si="301"/>
        <v>3690370.7099999986</v>
      </c>
      <c r="AI222" s="411">
        <f t="shared" si="284"/>
        <v>404544.89999999956</v>
      </c>
      <c r="AJ222" s="411">
        <f t="shared" si="350"/>
        <v>-3228086.69</v>
      </c>
      <c r="AK222" s="411">
        <f t="shared" si="285"/>
        <v>-2823541.7900000005</v>
      </c>
      <c r="AL222" s="185">
        <f t="shared" si="302"/>
        <v>3716626.8600000003</v>
      </c>
      <c r="AM222" s="317">
        <f t="shared" si="331"/>
        <v>17</v>
      </c>
      <c r="AN222" s="14">
        <f t="shared" si="286"/>
        <v>6591.25</v>
      </c>
      <c r="AO222" s="14">
        <f t="shared" si="261"/>
        <v>884015.17</v>
      </c>
      <c r="AP222" s="14">
        <f t="shared" si="287"/>
        <v>2810.15</v>
      </c>
      <c r="AS222" s="14">
        <f t="shared" si="325"/>
        <v>6591.25</v>
      </c>
      <c r="AT222" s="14">
        <f t="shared" si="332"/>
        <v>1363908.19</v>
      </c>
      <c r="AU222" s="185">
        <f t="shared" si="333"/>
        <v>2475.8182618949631</v>
      </c>
      <c r="AV222" s="185">
        <f t="shared" si="334"/>
        <v>402178.12301988021</v>
      </c>
    </row>
    <row r="223" spans="1:48">
      <c r="A223" s="401" t="str">
        <f t="shared" si="289"/>
        <v xml:space="preserve"> </v>
      </c>
      <c r="B223" s="185">
        <f t="shared" si="326"/>
        <v>0</v>
      </c>
      <c r="C223" s="14">
        <f t="shared" si="319"/>
        <v>0</v>
      </c>
      <c r="D223" s="14">
        <f t="shared" si="335"/>
        <v>0</v>
      </c>
      <c r="E223" s="14">
        <f t="shared" si="320"/>
        <v>0</v>
      </c>
      <c r="F223" s="14">
        <f t="shared" si="278"/>
        <v>0</v>
      </c>
      <c r="G223" s="14">
        <f t="shared" si="275"/>
        <v>0</v>
      </c>
      <c r="H223" s="14">
        <f t="shared" si="276"/>
        <v>0</v>
      </c>
      <c r="I223" s="185">
        <f t="shared" si="290"/>
        <v>0</v>
      </c>
      <c r="J223" s="185">
        <f t="shared" si="291"/>
        <v>0</v>
      </c>
      <c r="K223" s="185">
        <f t="shared" si="292"/>
        <v>0</v>
      </c>
      <c r="L223" s="317">
        <f t="shared" si="263"/>
        <v>17</v>
      </c>
      <c r="M223" s="317">
        <f t="shared" si="327"/>
        <v>207</v>
      </c>
      <c r="N223" s="185">
        <f t="shared" si="328"/>
        <v>488540.17000000027</v>
      </c>
      <c r="O223" s="185">
        <f t="shared" si="293"/>
        <v>6591.25</v>
      </c>
      <c r="P223" s="185">
        <f t="shared" si="336"/>
        <v>1247.8400000000001</v>
      </c>
      <c r="Q223" s="185">
        <f t="shared" si="294"/>
        <v>5343.41</v>
      </c>
      <c r="R223" s="185">
        <f t="shared" si="281"/>
        <v>134.16999999999999</v>
      </c>
      <c r="S223" s="185">
        <f t="shared" si="282"/>
        <v>188.55</v>
      </c>
      <c r="T223" s="185">
        <f t="shared" si="279"/>
        <v>6913.97</v>
      </c>
      <c r="U223" s="185">
        <f t="shared" si="337"/>
        <v>103332.66999999998</v>
      </c>
      <c r="V223" s="185">
        <f t="shared" si="338"/>
        <v>1267647.3299999996</v>
      </c>
      <c r="W223" s="185">
        <f t="shared" si="295"/>
        <v>487292.33000000025</v>
      </c>
      <c r="X223" s="401" t="str">
        <f t="shared" si="329"/>
        <v xml:space="preserve"> </v>
      </c>
      <c r="Y223" s="185">
        <f t="shared" si="296"/>
        <v>3716626.8600000003</v>
      </c>
      <c r="Z223" s="393">
        <f t="shared" si="321"/>
        <v>0.13125000000000001</v>
      </c>
      <c r="AA223" s="185">
        <f t="shared" si="322"/>
        <v>2810.15</v>
      </c>
      <c r="AB223" s="185">
        <f t="shared" si="297"/>
        <v>-37840.46</v>
      </c>
      <c r="AC223" s="185">
        <f t="shared" si="323"/>
        <v>40650.61</v>
      </c>
      <c r="AD223" s="185">
        <f t="shared" ref="AD223:AE223" si="354">+AD222</f>
        <v>134.16999999999999</v>
      </c>
      <c r="AE223" s="185">
        <f t="shared" si="354"/>
        <v>188.55</v>
      </c>
      <c r="AF223" s="185">
        <f t="shared" si="299"/>
        <v>3132.8700000000017</v>
      </c>
      <c r="AG223" s="185">
        <f t="shared" si="300"/>
        <v>-2768367.3199999994</v>
      </c>
      <c r="AH223" s="185">
        <f t="shared" si="301"/>
        <v>3731021.3199999984</v>
      </c>
      <c r="AI223" s="411">
        <f t="shared" si="284"/>
        <v>408325.99999999953</v>
      </c>
      <c r="AJ223" s="411">
        <f t="shared" si="350"/>
        <v>-3267174.99</v>
      </c>
      <c r="AK223" s="411">
        <f t="shared" si="285"/>
        <v>-2858848.9900000007</v>
      </c>
      <c r="AL223" s="185">
        <f t="shared" si="302"/>
        <v>3754467.3200000003</v>
      </c>
      <c r="AM223" s="317">
        <f t="shared" si="331"/>
        <v>17</v>
      </c>
      <c r="AN223" s="14">
        <f t="shared" si="286"/>
        <v>6591.25</v>
      </c>
      <c r="AO223" s="14">
        <f t="shared" si="261"/>
        <v>882767.33000000007</v>
      </c>
      <c r="AP223" s="14">
        <f t="shared" si="287"/>
        <v>2810.15</v>
      </c>
      <c r="AS223" s="14">
        <f t="shared" si="325"/>
        <v>6591.25</v>
      </c>
      <c r="AT223" s="14">
        <f t="shared" si="332"/>
        <v>1370499.44</v>
      </c>
      <c r="AU223" s="185">
        <f t="shared" si="333"/>
        <v>2482.0078075497004</v>
      </c>
      <c r="AV223" s="185">
        <f t="shared" si="334"/>
        <v>404660.13082742994</v>
      </c>
    </row>
    <row r="224" spans="1:48">
      <c r="A224" s="401" t="str">
        <f t="shared" si="289"/>
        <v xml:space="preserve"> </v>
      </c>
      <c r="B224" s="185">
        <f t="shared" si="326"/>
        <v>0</v>
      </c>
      <c r="C224" s="14">
        <f t="shared" si="319"/>
        <v>0</v>
      </c>
      <c r="D224" s="14">
        <f t="shared" si="335"/>
        <v>0</v>
      </c>
      <c r="E224" s="14">
        <f t="shared" si="320"/>
        <v>0</v>
      </c>
      <c r="F224" s="14">
        <f t="shared" si="278"/>
        <v>0</v>
      </c>
      <c r="G224" s="14">
        <f t="shared" si="275"/>
        <v>0</v>
      </c>
      <c r="H224" s="14">
        <f t="shared" si="276"/>
        <v>0</v>
      </c>
      <c r="I224" s="185">
        <f t="shared" si="290"/>
        <v>0</v>
      </c>
      <c r="J224" s="185">
        <f t="shared" si="291"/>
        <v>0</v>
      </c>
      <c r="K224" s="185">
        <f t="shared" si="292"/>
        <v>0</v>
      </c>
      <c r="L224" s="317">
        <f t="shared" si="263"/>
        <v>17</v>
      </c>
      <c r="M224" s="317">
        <f t="shared" si="327"/>
        <v>208</v>
      </c>
      <c r="N224" s="185">
        <f t="shared" si="328"/>
        <v>487292.33000000025</v>
      </c>
      <c r="O224" s="185">
        <f t="shared" si="293"/>
        <v>6591.25</v>
      </c>
      <c r="P224" s="185">
        <f t="shared" si="336"/>
        <v>1261.4899999999998</v>
      </c>
      <c r="Q224" s="185">
        <f t="shared" si="294"/>
        <v>5329.76</v>
      </c>
      <c r="R224" s="185">
        <f t="shared" si="281"/>
        <v>134.16999999999999</v>
      </c>
      <c r="S224" s="185">
        <f t="shared" si="282"/>
        <v>188.55</v>
      </c>
      <c r="T224" s="185">
        <f t="shared" si="279"/>
        <v>6913.97</v>
      </c>
      <c r="U224" s="185">
        <f t="shared" si="337"/>
        <v>104594.15999999999</v>
      </c>
      <c r="V224" s="185">
        <f t="shared" si="338"/>
        <v>1272977.0899999996</v>
      </c>
      <c r="W224" s="185">
        <f t="shared" si="295"/>
        <v>486030.84000000026</v>
      </c>
      <c r="X224" s="401" t="str">
        <f t="shared" si="329"/>
        <v xml:space="preserve"> </v>
      </c>
      <c r="Y224" s="185">
        <f t="shared" si="296"/>
        <v>3754467.3200000003</v>
      </c>
      <c r="Z224" s="393">
        <f t="shared" si="321"/>
        <v>0.13125000000000001</v>
      </c>
      <c r="AA224" s="185">
        <f t="shared" si="322"/>
        <v>2810.15</v>
      </c>
      <c r="AB224" s="185">
        <f t="shared" si="297"/>
        <v>-38254.339999999997</v>
      </c>
      <c r="AC224" s="185">
        <f t="shared" si="323"/>
        <v>41064.49</v>
      </c>
      <c r="AD224" s="185">
        <f t="shared" ref="AD224:AE224" si="355">+AD223</f>
        <v>134.16999999999999</v>
      </c>
      <c r="AE224" s="185">
        <f t="shared" si="355"/>
        <v>188.55</v>
      </c>
      <c r="AF224" s="185">
        <f t="shared" si="299"/>
        <v>3132.8700000000017</v>
      </c>
      <c r="AG224" s="185">
        <f t="shared" si="300"/>
        <v>-2806621.6599999992</v>
      </c>
      <c r="AH224" s="185">
        <f t="shared" si="301"/>
        <v>3772085.8099999987</v>
      </c>
      <c r="AI224" s="411">
        <f t="shared" si="284"/>
        <v>412107.09999999951</v>
      </c>
      <c r="AJ224" s="411">
        <f t="shared" si="350"/>
        <v>-3306690.82</v>
      </c>
      <c r="AK224" s="411">
        <f t="shared" si="285"/>
        <v>-2894583.72</v>
      </c>
      <c r="AL224" s="185">
        <f t="shared" si="302"/>
        <v>3792721.66</v>
      </c>
      <c r="AM224" s="317">
        <f t="shared" si="331"/>
        <v>17</v>
      </c>
      <c r="AN224" s="14">
        <f t="shared" si="286"/>
        <v>6591.25</v>
      </c>
      <c r="AO224" s="14">
        <f t="shared" si="261"/>
        <v>881505.84</v>
      </c>
      <c r="AP224" s="14">
        <f t="shared" si="287"/>
        <v>2810.15</v>
      </c>
      <c r="AS224" s="14">
        <f t="shared" si="325"/>
        <v>6591.25</v>
      </c>
      <c r="AT224" s="14">
        <f t="shared" si="332"/>
        <v>1377090.69</v>
      </c>
      <c r="AU224" s="185">
        <f t="shared" si="333"/>
        <v>2488.2128270685748</v>
      </c>
      <c r="AV224" s="185">
        <f t="shared" si="334"/>
        <v>407148.34365449852</v>
      </c>
    </row>
    <row r="225" spans="1:48">
      <c r="A225" s="401" t="str">
        <f t="shared" si="289"/>
        <v xml:space="preserve"> </v>
      </c>
      <c r="B225" s="185">
        <f t="shared" si="326"/>
        <v>0</v>
      </c>
      <c r="C225" s="14">
        <f t="shared" si="319"/>
        <v>0</v>
      </c>
      <c r="D225" s="14">
        <f t="shared" si="335"/>
        <v>0</v>
      </c>
      <c r="E225" s="14">
        <f t="shared" si="320"/>
        <v>0</v>
      </c>
      <c r="F225" s="14">
        <f t="shared" si="278"/>
        <v>0</v>
      </c>
      <c r="G225" s="14">
        <f t="shared" si="275"/>
        <v>0</v>
      </c>
      <c r="H225" s="14">
        <f t="shared" si="276"/>
        <v>0</v>
      </c>
      <c r="I225" s="185">
        <f t="shared" si="290"/>
        <v>0</v>
      </c>
      <c r="J225" s="185">
        <f t="shared" si="291"/>
        <v>0</v>
      </c>
      <c r="K225" s="185">
        <f t="shared" si="292"/>
        <v>0</v>
      </c>
      <c r="L225" s="317">
        <f t="shared" si="263"/>
        <v>17</v>
      </c>
      <c r="M225" s="317">
        <f t="shared" si="327"/>
        <v>209</v>
      </c>
      <c r="N225" s="185">
        <f t="shared" si="328"/>
        <v>486030.84000000026</v>
      </c>
      <c r="O225" s="185">
        <f t="shared" si="293"/>
        <v>6591.25</v>
      </c>
      <c r="P225" s="185">
        <f t="shared" si="336"/>
        <v>1275.29</v>
      </c>
      <c r="Q225" s="185">
        <f t="shared" si="294"/>
        <v>5315.96</v>
      </c>
      <c r="R225" s="185">
        <f t="shared" si="281"/>
        <v>134.16999999999999</v>
      </c>
      <c r="S225" s="185">
        <f t="shared" si="282"/>
        <v>188.55</v>
      </c>
      <c r="T225" s="185">
        <f t="shared" si="279"/>
        <v>6913.97</v>
      </c>
      <c r="U225" s="185">
        <f t="shared" si="337"/>
        <v>105869.44999999998</v>
      </c>
      <c r="V225" s="185">
        <f t="shared" si="338"/>
        <v>1278293.0499999996</v>
      </c>
      <c r="W225" s="185">
        <f t="shared" si="295"/>
        <v>484755.55000000028</v>
      </c>
      <c r="X225" s="401" t="str">
        <f t="shared" si="329"/>
        <v xml:space="preserve"> </v>
      </c>
      <c r="Y225" s="185">
        <f t="shared" si="296"/>
        <v>3792721.66</v>
      </c>
      <c r="Z225" s="393">
        <f t="shared" si="321"/>
        <v>0.13125000000000001</v>
      </c>
      <c r="AA225" s="185">
        <f t="shared" si="322"/>
        <v>2810.15</v>
      </c>
      <c r="AB225" s="185">
        <f t="shared" si="297"/>
        <v>-38672.74</v>
      </c>
      <c r="AC225" s="185">
        <f t="shared" si="323"/>
        <v>41482.89</v>
      </c>
      <c r="AD225" s="185">
        <f t="shared" ref="AD225:AE225" si="356">+AD224</f>
        <v>134.16999999999999</v>
      </c>
      <c r="AE225" s="185">
        <f t="shared" si="356"/>
        <v>188.55</v>
      </c>
      <c r="AF225" s="185">
        <f t="shared" si="299"/>
        <v>3132.8700000000017</v>
      </c>
      <c r="AG225" s="185">
        <f t="shared" si="300"/>
        <v>-2845294.3999999994</v>
      </c>
      <c r="AH225" s="185">
        <f t="shared" si="301"/>
        <v>3813568.6999999988</v>
      </c>
      <c r="AI225" s="411">
        <f t="shared" si="284"/>
        <v>415888.19999999949</v>
      </c>
      <c r="AJ225" s="411">
        <f t="shared" si="350"/>
        <v>-3346638.85</v>
      </c>
      <c r="AK225" s="411">
        <f t="shared" si="285"/>
        <v>-2930750.6500000004</v>
      </c>
      <c r="AL225" s="185">
        <f t="shared" si="302"/>
        <v>3831394.4000000004</v>
      </c>
      <c r="AM225" s="317">
        <f t="shared" si="331"/>
        <v>17</v>
      </c>
      <c r="AN225" s="14">
        <f t="shared" si="286"/>
        <v>6591.25</v>
      </c>
      <c r="AO225" s="14">
        <f t="shared" si="261"/>
        <v>880230.55</v>
      </c>
      <c r="AP225" s="14">
        <f t="shared" si="287"/>
        <v>2810.15</v>
      </c>
      <c r="AS225" s="14">
        <f t="shared" si="325"/>
        <v>6591.25</v>
      </c>
      <c r="AT225" s="14">
        <f t="shared" si="332"/>
        <v>1383681.94</v>
      </c>
      <c r="AU225" s="185">
        <f t="shared" si="333"/>
        <v>2494.4333591362461</v>
      </c>
      <c r="AV225" s="185">
        <f t="shared" si="334"/>
        <v>409642.77701363474</v>
      </c>
    </row>
    <row r="226" spans="1:48">
      <c r="A226" s="401" t="str">
        <f t="shared" si="289"/>
        <v xml:space="preserve"> </v>
      </c>
      <c r="B226" s="185">
        <f t="shared" si="326"/>
        <v>0</v>
      </c>
      <c r="C226" s="14">
        <f t="shared" si="319"/>
        <v>0</v>
      </c>
      <c r="D226" s="14">
        <f t="shared" si="335"/>
        <v>0</v>
      </c>
      <c r="E226" s="14">
        <f t="shared" si="320"/>
        <v>0</v>
      </c>
      <c r="F226" s="14">
        <f t="shared" si="278"/>
        <v>0</v>
      </c>
      <c r="G226" s="14">
        <f t="shared" si="275"/>
        <v>0</v>
      </c>
      <c r="H226" s="14">
        <f t="shared" si="276"/>
        <v>0</v>
      </c>
      <c r="I226" s="185">
        <f t="shared" si="290"/>
        <v>0</v>
      </c>
      <c r="J226" s="185">
        <f t="shared" si="291"/>
        <v>0</v>
      </c>
      <c r="K226" s="185">
        <f t="shared" si="292"/>
        <v>0</v>
      </c>
      <c r="L226" s="317">
        <f t="shared" si="263"/>
        <v>17</v>
      </c>
      <c r="M226" s="317">
        <f t="shared" si="327"/>
        <v>210</v>
      </c>
      <c r="N226" s="185">
        <f t="shared" si="328"/>
        <v>484755.55000000028</v>
      </c>
      <c r="O226" s="185">
        <f t="shared" si="293"/>
        <v>6591.25</v>
      </c>
      <c r="P226" s="185">
        <f t="shared" si="336"/>
        <v>1289.2399999999998</v>
      </c>
      <c r="Q226" s="185">
        <f t="shared" si="294"/>
        <v>5302.01</v>
      </c>
      <c r="R226" s="185">
        <f t="shared" si="281"/>
        <v>134.16999999999999</v>
      </c>
      <c r="S226" s="185">
        <f t="shared" si="282"/>
        <v>188.55</v>
      </c>
      <c r="T226" s="185">
        <f t="shared" si="279"/>
        <v>6913.97</v>
      </c>
      <c r="U226" s="185">
        <f t="shared" si="337"/>
        <v>107158.68999999999</v>
      </c>
      <c r="V226" s="185">
        <f t="shared" si="338"/>
        <v>1283595.0599999996</v>
      </c>
      <c r="W226" s="185">
        <f t="shared" si="295"/>
        <v>483466.31000000029</v>
      </c>
      <c r="X226" s="401" t="str">
        <f t="shared" si="329"/>
        <v xml:space="preserve"> </v>
      </c>
      <c r="Y226" s="185">
        <f t="shared" si="296"/>
        <v>3831394.4000000004</v>
      </c>
      <c r="Z226" s="393">
        <f t="shared" si="321"/>
        <v>0.13125000000000001</v>
      </c>
      <c r="AA226" s="185">
        <f t="shared" si="322"/>
        <v>2810.15</v>
      </c>
      <c r="AB226" s="185">
        <f t="shared" si="297"/>
        <v>-39095.729999999996</v>
      </c>
      <c r="AC226" s="185">
        <f t="shared" si="323"/>
        <v>41905.879999999997</v>
      </c>
      <c r="AD226" s="185">
        <f t="shared" ref="AD226:AE226" si="357">+AD225</f>
        <v>134.16999999999999</v>
      </c>
      <c r="AE226" s="185">
        <f t="shared" si="357"/>
        <v>188.55</v>
      </c>
      <c r="AF226" s="185">
        <f t="shared" si="299"/>
        <v>3132.8700000000017</v>
      </c>
      <c r="AG226" s="185">
        <f t="shared" si="300"/>
        <v>-2884390.1299999994</v>
      </c>
      <c r="AH226" s="185">
        <f t="shared" si="301"/>
        <v>3855474.5799999987</v>
      </c>
      <c r="AI226" s="411">
        <f t="shared" si="284"/>
        <v>419669.29999999946</v>
      </c>
      <c r="AJ226" s="411">
        <f t="shared" si="350"/>
        <v>-3387023.8200000003</v>
      </c>
      <c r="AK226" s="411">
        <f t="shared" si="285"/>
        <v>-2967354.5200000009</v>
      </c>
      <c r="AL226" s="185">
        <f t="shared" si="302"/>
        <v>3870490.1300000004</v>
      </c>
      <c r="AM226" s="317">
        <f t="shared" si="331"/>
        <v>17</v>
      </c>
      <c r="AN226" s="14">
        <f t="shared" si="286"/>
        <v>6591.25</v>
      </c>
      <c r="AO226" s="14">
        <f t="shared" si="261"/>
        <v>878941.31</v>
      </c>
      <c r="AP226" s="14">
        <f t="shared" si="287"/>
        <v>2810.15</v>
      </c>
      <c r="AS226" s="14">
        <f t="shared" si="325"/>
        <v>6591.25</v>
      </c>
      <c r="AT226" s="14">
        <f t="shared" si="332"/>
        <v>1390273.19</v>
      </c>
      <c r="AU226" s="185">
        <f t="shared" si="333"/>
        <v>2500.669442534087</v>
      </c>
      <c r="AV226" s="185">
        <f t="shared" si="334"/>
        <v>412143.44645616884</v>
      </c>
    </row>
    <row r="227" spans="1:48">
      <c r="A227" s="401" t="str">
        <f t="shared" si="289"/>
        <v xml:space="preserve"> </v>
      </c>
      <c r="B227" s="185">
        <f t="shared" si="326"/>
        <v>0</v>
      </c>
      <c r="C227" s="14">
        <f t="shared" si="319"/>
        <v>0</v>
      </c>
      <c r="D227" s="14">
        <f t="shared" si="335"/>
        <v>0</v>
      </c>
      <c r="E227" s="14">
        <f t="shared" si="320"/>
        <v>0</v>
      </c>
      <c r="F227" s="14">
        <f t="shared" si="278"/>
        <v>0</v>
      </c>
      <c r="G227" s="14">
        <f t="shared" si="275"/>
        <v>0</v>
      </c>
      <c r="H227" s="14">
        <f t="shared" si="276"/>
        <v>0</v>
      </c>
      <c r="I227" s="185">
        <f t="shared" si="290"/>
        <v>0</v>
      </c>
      <c r="J227" s="185">
        <f t="shared" si="291"/>
        <v>0</v>
      </c>
      <c r="K227" s="185">
        <f t="shared" si="292"/>
        <v>0</v>
      </c>
      <c r="L227" s="317">
        <f t="shared" si="263"/>
        <v>17</v>
      </c>
      <c r="M227" s="317">
        <f t="shared" si="327"/>
        <v>211</v>
      </c>
      <c r="N227" s="185">
        <f t="shared" si="328"/>
        <v>483466.31000000029</v>
      </c>
      <c r="O227" s="185">
        <f t="shared" si="293"/>
        <v>6591.25</v>
      </c>
      <c r="P227" s="185">
        <f t="shared" si="336"/>
        <v>1303.3400000000001</v>
      </c>
      <c r="Q227" s="185">
        <f t="shared" si="294"/>
        <v>5287.91</v>
      </c>
      <c r="R227" s="185">
        <f t="shared" si="281"/>
        <v>134.16999999999999</v>
      </c>
      <c r="S227" s="185">
        <f t="shared" si="282"/>
        <v>188.55</v>
      </c>
      <c r="T227" s="185">
        <f t="shared" si="279"/>
        <v>6913.97</v>
      </c>
      <c r="U227" s="185">
        <f t="shared" si="337"/>
        <v>108462.02999999998</v>
      </c>
      <c r="V227" s="185">
        <f t="shared" si="338"/>
        <v>1288882.9699999995</v>
      </c>
      <c r="W227" s="185">
        <f t="shared" si="295"/>
        <v>482162.97000000026</v>
      </c>
      <c r="X227" s="401" t="str">
        <f t="shared" si="329"/>
        <v xml:space="preserve"> </v>
      </c>
      <c r="Y227" s="185">
        <f t="shared" si="296"/>
        <v>3870490.1300000004</v>
      </c>
      <c r="Z227" s="393">
        <f t="shared" si="321"/>
        <v>0.13125000000000001</v>
      </c>
      <c r="AA227" s="185">
        <f t="shared" si="322"/>
        <v>2810.15</v>
      </c>
      <c r="AB227" s="185">
        <f t="shared" si="297"/>
        <v>-39523.339999999997</v>
      </c>
      <c r="AC227" s="185">
        <f t="shared" si="323"/>
        <v>42333.49</v>
      </c>
      <c r="AD227" s="185">
        <f t="shared" ref="AD227:AE227" si="358">+AD226</f>
        <v>134.16999999999999</v>
      </c>
      <c r="AE227" s="185">
        <f t="shared" si="358"/>
        <v>188.55</v>
      </c>
      <c r="AF227" s="185">
        <f t="shared" si="299"/>
        <v>3132.8700000000017</v>
      </c>
      <c r="AG227" s="185">
        <f t="shared" si="300"/>
        <v>-2923913.4699999993</v>
      </c>
      <c r="AH227" s="185">
        <f t="shared" si="301"/>
        <v>3897808.0699999989</v>
      </c>
      <c r="AI227" s="411">
        <f t="shared" si="284"/>
        <v>423450.39999999944</v>
      </c>
      <c r="AJ227" s="411">
        <f t="shared" si="350"/>
        <v>-3427850.5</v>
      </c>
      <c r="AK227" s="411">
        <f t="shared" si="285"/>
        <v>-3004400.1000000006</v>
      </c>
      <c r="AL227" s="185">
        <f t="shared" si="302"/>
        <v>3910013.47</v>
      </c>
      <c r="AM227" s="317">
        <f t="shared" si="331"/>
        <v>17</v>
      </c>
      <c r="AN227" s="14">
        <f t="shared" si="286"/>
        <v>6591.25</v>
      </c>
      <c r="AO227" s="14">
        <f t="shared" si="261"/>
        <v>877637.97</v>
      </c>
      <c r="AP227" s="14">
        <f t="shared" si="287"/>
        <v>2810.15</v>
      </c>
      <c r="AS227" s="14">
        <f t="shared" si="325"/>
        <v>6591.25</v>
      </c>
      <c r="AT227" s="14">
        <f t="shared" si="332"/>
        <v>1396864.44</v>
      </c>
      <c r="AU227" s="185">
        <f t="shared" si="333"/>
        <v>2506.9211161404219</v>
      </c>
      <c r="AV227" s="185">
        <f t="shared" si="334"/>
        <v>414650.36757230927</v>
      </c>
    </row>
    <row r="228" spans="1:48">
      <c r="A228" s="401" t="str">
        <f t="shared" si="289"/>
        <v xml:space="preserve"> </v>
      </c>
      <c r="B228" s="185">
        <f t="shared" si="326"/>
        <v>0</v>
      </c>
      <c r="C228" s="14">
        <f t="shared" si="319"/>
        <v>0</v>
      </c>
      <c r="D228" s="14">
        <f t="shared" si="335"/>
        <v>0</v>
      </c>
      <c r="E228" s="14">
        <f t="shared" si="320"/>
        <v>0</v>
      </c>
      <c r="F228" s="14">
        <f t="shared" si="278"/>
        <v>0</v>
      </c>
      <c r="G228" s="14">
        <f t="shared" si="275"/>
        <v>0</v>
      </c>
      <c r="H228" s="14">
        <f t="shared" si="276"/>
        <v>0</v>
      </c>
      <c r="I228" s="185">
        <f t="shared" si="290"/>
        <v>0</v>
      </c>
      <c r="J228" s="185">
        <f t="shared" si="291"/>
        <v>0</v>
      </c>
      <c r="K228" s="185">
        <f t="shared" si="292"/>
        <v>0</v>
      </c>
      <c r="L228" s="317">
        <f t="shared" si="263"/>
        <v>17</v>
      </c>
      <c r="M228" s="317">
        <f t="shared" si="327"/>
        <v>212</v>
      </c>
      <c r="N228" s="185">
        <f t="shared" si="328"/>
        <v>482162.97000000026</v>
      </c>
      <c r="O228" s="185">
        <f t="shared" si="293"/>
        <v>6591.25</v>
      </c>
      <c r="P228" s="185">
        <f t="shared" si="336"/>
        <v>1317.5900000000001</v>
      </c>
      <c r="Q228" s="185">
        <f t="shared" si="294"/>
        <v>5273.66</v>
      </c>
      <c r="R228" s="185">
        <f t="shared" si="281"/>
        <v>134.16999999999999</v>
      </c>
      <c r="S228" s="185">
        <f t="shared" si="282"/>
        <v>188.55</v>
      </c>
      <c r="T228" s="185">
        <f t="shared" si="279"/>
        <v>6913.97</v>
      </c>
      <c r="U228" s="185">
        <f t="shared" si="337"/>
        <v>109779.61999999998</v>
      </c>
      <c r="V228" s="185">
        <f t="shared" si="338"/>
        <v>1294156.6299999994</v>
      </c>
      <c r="W228" s="185">
        <f t="shared" si="295"/>
        <v>480845.38000000024</v>
      </c>
      <c r="X228" s="401" t="str">
        <f t="shared" si="329"/>
        <v xml:space="preserve"> </v>
      </c>
      <c r="Y228" s="185">
        <f t="shared" si="296"/>
        <v>3910013.47</v>
      </c>
      <c r="Z228" s="393">
        <f t="shared" si="321"/>
        <v>0.13125000000000001</v>
      </c>
      <c r="AA228" s="185">
        <f t="shared" si="322"/>
        <v>2810.15</v>
      </c>
      <c r="AB228" s="185">
        <f t="shared" si="297"/>
        <v>-39955.619999999995</v>
      </c>
      <c r="AC228" s="185">
        <f t="shared" si="323"/>
        <v>42765.77</v>
      </c>
      <c r="AD228" s="185">
        <f t="shared" ref="AD228:AE228" si="359">+AD227</f>
        <v>134.16999999999999</v>
      </c>
      <c r="AE228" s="185">
        <f t="shared" si="359"/>
        <v>188.55</v>
      </c>
      <c r="AF228" s="185">
        <f t="shared" si="299"/>
        <v>3132.8700000000017</v>
      </c>
      <c r="AG228" s="185">
        <f t="shared" si="300"/>
        <v>-2963869.0899999994</v>
      </c>
      <c r="AH228" s="185">
        <f t="shared" si="301"/>
        <v>3940573.8399999989</v>
      </c>
      <c r="AI228" s="411">
        <f t="shared" si="284"/>
        <v>427231.49999999942</v>
      </c>
      <c r="AJ228" s="411">
        <f t="shared" si="350"/>
        <v>-3469123.71</v>
      </c>
      <c r="AK228" s="411">
        <f t="shared" si="285"/>
        <v>-3041892.2100000004</v>
      </c>
      <c r="AL228" s="185">
        <f t="shared" si="302"/>
        <v>3949969.0900000003</v>
      </c>
      <c r="AM228" s="317">
        <f t="shared" si="331"/>
        <v>17</v>
      </c>
      <c r="AN228" s="14">
        <f t="shared" si="286"/>
        <v>6591.25</v>
      </c>
      <c r="AO228" s="14">
        <f t="shared" si="261"/>
        <v>876320.38</v>
      </c>
      <c r="AP228" s="14">
        <f t="shared" si="287"/>
        <v>2810.15</v>
      </c>
      <c r="AS228" s="14">
        <f t="shared" si="325"/>
        <v>6591.25</v>
      </c>
      <c r="AT228" s="14">
        <f t="shared" si="332"/>
        <v>1403455.69</v>
      </c>
      <c r="AU228" s="185">
        <f t="shared" si="333"/>
        <v>2513.188418930773</v>
      </c>
      <c r="AV228" s="185">
        <f t="shared" si="334"/>
        <v>417163.55599124002</v>
      </c>
    </row>
    <row r="229" spans="1:48">
      <c r="A229" s="401" t="str">
        <f t="shared" si="289"/>
        <v xml:space="preserve"> </v>
      </c>
      <c r="B229" s="185">
        <f t="shared" si="326"/>
        <v>0</v>
      </c>
      <c r="C229" s="14">
        <f t="shared" si="319"/>
        <v>0</v>
      </c>
      <c r="D229" s="14">
        <f t="shared" si="335"/>
        <v>0</v>
      </c>
      <c r="E229" s="14">
        <f t="shared" si="320"/>
        <v>0</v>
      </c>
      <c r="F229" s="14">
        <f t="shared" si="278"/>
        <v>0</v>
      </c>
      <c r="G229" s="14">
        <f t="shared" si="275"/>
        <v>0</v>
      </c>
      <c r="H229" s="14">
        <f t="shared" si="276"/>
        <v>0</v>
      </c>
      <c r="I229" s="185">
        <f t="shared" si="290"/>
        <v>0</v>
      </c>
      <c r="J229" s="185">
        <f t="shared" si="291"/>
        <v>0</v>
      </c>
      <c r="K229" s="185">
        <f t="shared" si="292"/>
        <v>0</v>
      </c>
      <c r="L229" s="317">
        <f t="shared" si="263"/>
        <v>17</v>
      </c>
      <c r="M229" s="317">
        <f t="shared" si="327"/>
        <v>213</v>
      </c>
      <c r="N229" s="185">
        <f t="shared" si="328"/>
        <v>480845.38000000024</v>
      </c>
      <c r="O229" s="185">
        <f t="shared" si="293"/>
        <v>6591.25</v>
      </c>
      <c r="P229" s="185">
        <f t="shared" si="336"/>
        <v>1332</v>
      </c>
      <c r="Q229" s="185">
        <f t="shared" si="294"/>
        <v>5259.25</v>
      </c>
      <c r="R229" s="185">
        <f t="shared" si="281"/>
        <v>134.16999999999999</v>
      </c>
      <c r="S229" s="185">
        <f t="shared" si="282"/>
        <v>188.55</v>
      </c>
      <c r="T229" s="185">
        <f t="shared" si="279"/>
        <v>6913.97</v>
      </c>
      <c r="U229" s="185">
        <f t="shared" si="337"/>
        <v>111111.61999999998</v>
      </c>
      <c r="V229" s="185">
        <f t="shared" si="338"/>
        <v>1299415.8799999994</v>
      </c>
      <c r="W229" s="185">
        <f t="shared" si="295"/>
        <v>479513.38000000024</v>
      </c>
      <c r="X229" s="401" t="str">
        <f t="shared" si="329"/>
        <v xml:space="preserve"> </v>
      </c>
      <c r="Y229" s="185">
        <f t="shared" si="296"/>
        <v>3949969.0900000003</v>
      </c>
      <c r="Z229" s="393">
        <f t="shared" si="321"/>
        <v>0.13125000000000001</v>
      </c>
      <c r="AA229" s="185">
        <f t="shared" si="322"/>
        <v>2810.15</v>
      </c>
      <c r="AB229" s="185">
        <f t="shared" si="297"/>
        <v>-40392.639999999999</v>
      </c>
      <c r="AC229" s="185">
        <f t="shared" si="323"/>
        <v>43202.79</v>
      </c>
      <c r="AD229" s="185">
        <f t="shared" ref="AD229:AE229" si="360">+AD228</f>
        <v>134.16999999999999</v>
      </c>
      <c r="AE229" s="185">
        <f t="shared" si="360"/>
        <v>188.55</v>
      </c>
      <c r="AF229" s="185">
        <f t="shared" si="299"/>
        <v>3132.8700000000017</v>
      </c>
      <c r="AG229" s="185">
        <f t="shared" si="300"/>
        <v>-3004261.7299999995</v>
      </c>
      <c r="AH229" s="185">
        <f t="shared" si="301"/>
        <v>3983776.629999999</v>
      </c>
      <c r="AI229" s="411">
        <f t="shared" si="284"/>
        <v>431012.59999999939</v>
      </c>
      <c r="AJ229" s="411">
        <f t="shared" si="350"/>
        <v>-3510848.35</v>
      </c>
      <c r="AK229" s="411">
        <f t="shared" si="285"/>
        <v>-3079835.7500000009</v>
      </c>
      <c r="AL229" s="185">
        <f t="shared" si="302"/>
        <v>3990361.7300000004</v>
      </c>
      <c r="AM229" s="317">
        <f t="shared" si="331"/>
        <v>17</v>
      </c>
      <c r="AN229" s="14">
        <f t="shared" si="286"/>
        <v>6591.25</v>
      </c>
      <c r="AO229" s="14">
        <f t="shared" si="261"/>
        <v>874988.38</v>
      </c>
      <c r="AP229" s="14">
        <f t="shared" si="287"/>
        <v>2810.15</v>
      </c>
      <c r="AS229" s="14">
        <f t="shared" si="325"/>
        <v>6591.25</v>
      </c>
      <c r="AT229" s="14">
        <f t="shared" si="332"/>
        <v>1410046.94</v>
      </c>
      <c r="AU229" s="185">
        <f t="shared" si="333"/>
        <v>2519.4713899781</v>
      </c>
      <c r="AV229" s="185">
        <f t="shared" si="334"/>
        <v>419683.0273812181</v>
      </c>
    </row>
    <row r="230" spans="1:48" ht="15.75" thickBot="1">
      <c r="A230" s="404" t="str">
        <f t="shared" si="289"/>
        <v xml:space="preserve"> </v>
      </c>
      <c r="B230" s="237">
        <f t="shared" si="326"/>
        <v>0</v>
      </c>
      <c r="C230" s="21">
        <f t="shared" si="319"/>
        <v>0</v>
      </c>
      <c r="D230" s="21">
        <f t="shared" si="335"/>
        <v>0</v>
      </c>
      <c r="E230" s="21">
        <f t="shared" si="320"/>
        <v>0</v>
      </c>
      <c r="F230" s="21">
        <f t="shared" si="278"/>
        <v>0</v>
      </c>
      <c r="G230" s="21">
        <f t="shared" si="275"/>
        <v>0</v>
      </c>
      <c r="H230" s="21">
        <f t="shared" si="276"/>
        <v>0</v>
      </c>
      <c r="I230" s="237">
        <f t="shared" si="290"/>
        <v>0</v>
      </c>
      <c r="J230" s="237">
        <f t="shared" si="291"/>
        <v>0</v>
      </c>
      <c r="K230" s="237">
        <f t="shared" si="292"/>
        <v>0</v>
      </c>
      <c r="L230" s="318">
        <f t="shared" si="263"/>
        <v>17</v>
      </c>
      <c r="M230" s="318">
        <f t="shared" si="327"/>
        <v>214</v>
      </c>
      <c r="N230" s="237">
        <f t="shared" si="328"/>
        <v>479513.38000000024</v>
      </c>
      <c r="O230" s="237">
        <f t="shared" si="293"/>
        <v>6591.25</v>
      </c>
      <c r="P230" s="237">
        <f t="shared" si="336"/>
        <v>1346.5699999999997</v>
      </c>
      <c r="Q230" s="237">
        <f t="shared" si="294"/>
        <v>5244.68</v>
      </c>
      <c r="R230" s="237">
        <f t="shared" si="281"/>
        <v>134.16999999999999</v>
      </c>
      <c r="S230" s="237">
        <f t="shared" si="282"/>
        <v>188.55</v>
      </c>
      <c r="T230" s="237">
        <f t="shared" si="279"/>
        <v>6913.97</v>
      </c>
      <c r="U230" s="237">
        <f t="shared" si="337"/>
        <v>112458.18999999997</v>
      </c>
      <c r="V230" s="237">
        <f t="shared" si="338"/>
        <v>1304660.5599999994</v>
      </c>
      <c r="W230" s="237">
        <f t="shared" si="295"/>
        <v>478166.81000000023</v>
      </c>
      <c r="X230" s="404" t="str">
        <f t="shared" si="329"/>
        <v xml:space="preserve"> </v>
      </c>
      <c r="Y230" s="237">
        <f t="shared" si="296"/>
        <v>3990361.7300000004</v>
      </c>
      <c r="Z230" s="394">
        <f t="shared" si="321"/>
        <v>0.13125000000000001</v>
      </c>
      <c r="AA230" s="237">
        <f t="shared" si="322"/>
        <v>2810.15</v>
      </c>
      <c r="AB230" s="237">
        <f t="shared" si="297"/>
        <v>-40834.43</v>
      </c>
      <c r="AC230" s="237">
        <f t="shared" si="323"/>
        <v>43644.58</v>
      </c>
      <c r="AD230" s="237">
        <f t="shared" ref="AD230:AE230" si="361">+AD229</f>
        <v>134.16999999999999</v>
      </c>
      <c r="AE230" s="237">
        <f t="shared" si="361"/>
        <v>188.55</v>
      </c>
      <c r="AF230" s="237">
        <f t="shared" si="299"/>
        <v>3132.8700000000017</v>
      </c>
      <c r="AG230" s="237">
        <f t="shared" si="300"/>
        <v>-3045096.1599999997</v>
      </c>
      <c r="AH230" s="237">
        <f t="shared" si="301"/>
        <v>4027421.209999999</v>
      </c>
      <c r="AI230" s="412">
        <f t="shared" si="284"/>
        <v>434793.69999999937</v>
      </c>
      <c r="AJ230" s="412">
        <f t="shared" si="350"/>
        <v>-3553029.3500000006</v>
      </c>
      <c r="AK230" s="411">
        <f t="shared" si="285"/>
        <v>-3118235.6500000013</v>
      </c>
      <c r="AL230" s="237">
        <f t="shared" si="302"/>
        <v>4031196.1600000006</v>
      </c>
      <c r="AM230" s="318">
        <f t="shared" si="331"/>
        <v>17</v>
      </c>
      <c r="AN230" s="21">
        <f t="shared" si="286"/>
        <v>6591.25</v>
      </c>
      <c r="AO230" s="21">
        <f t="shared" si="261"/>
        <v>873641.81</v>
      </c>
      <c r="AP230" s="21">
        <f t="shared" si="287"/>
        <v>2810.15</v>
      </c>
      <c r="AQ230" s="21"/>
      <c r="AR230" s="23"/>
      <c r="AS230" s="21">
        <f t="shared" si="325"/>
        <v>6591.25</v>
      </c>
      <c r="AT230" s="21">
        <f t="shared" si="332"/>
        <v>1416638.19</v>
      </c>
      <c r="AU230" s="237">
        <f t="shared" si="333"/>
        <v>2525.770068453045</v>
      </c>
      <c r="AV230" s="237">
        <f t="shared" si="334"/>
        <v>422208.79744967114</v>
      </c>
    </row>
    <row r="231" spans="1:48">
      <c r="A231" s="401" t="str">
        <f t="shared" si="289"/>
        <v xml:space="preserve"> </v>
      </c>
      <c r="B231" s="185">
        <f t="shared" si="326"/>
        <v>0</v>
      </c>
      <c r="C231" s="14">
        <f t="shared" si="319"/>
        <v>0</v>
      </c>
      <c r="D231" s="14">
        <f t="shared" si="335"/>
        <v>0</v>
      </c>
      <c r="E231" s="14">
        <f t="shared" si="320"/>
        <v>0</v>
      </c>
      <c r="F231" s="14">
        <f t="shared" si="278"/>
        <v>0</v>
      </c>
      <c r="G231" s="14">
        <f t="shared" si="275"/>
        <v>0</v>
      </c>
      <c r="H231" s="14">
        <f t="shared" si="276"/>
        <v>0</v>
      </c>
      <c r="I231" s="185">
        <f t="shared" si="290"/>
        <v>0</v>
      </c>
      <c r="J231" s="185">
        <f t="shared" si="291"/>
        <v>0</v>
      </c>
      <c r="K231" s="185">
        <f t="shared" si="292"/>
        <v>0</v>
      </c>
      <c r="L231" s="317">
        <f t="shared" si="263"/>
        <v>17</v>
      </c>
      <c r="M231" s="317">
        <f t="shared" si="327"/>
        <v>215</v>
      </c>
      <c r="N231" s="185">
        <f t="shared" si="328"/>
        <v>478166.81000000023</v>
      </c>
      <c r="O231" s="185">
        <f t="shared" si="293"/>
        <v>6591.25</v>
      </c>
      <c r="P231" s="185">
        <f t="shared" si="336"/>
        <v>1361.3000000000002</v>
      </c>
      <c r="Q231" s="185">
        <f t="shared" si="294"/>
        <v>5229.95</v>
      </c>
      <c r="R231" s="185">
        <f t="shared" si="281"/>
        <v>134.16999999999999</v>
      </c>
      <c r="S231" s="185">
        <f t="shared" si="282"/>
        <v>188.55</v>
      </c>
      <c r="T231" s="185">
        <f t="shared" si="279"/>
        <v>6913.97</v>
      </c>
      <c r="U231" s="185">
        <f t="shared" si="337"/>
        <v>113819.48999999998</v>
      </c>
      <c r="V231" s="185">
        <f t="shared" si="338"/>
        <v>1309890.5099999993</v>
      </c>
      <c r="W231" s="185">
        <f t="shared" si="295"/>
        <v>476805.51000000024</v>
      </c>
      <c r="X231" s="401" t="str">
        <f t="shared" si="329"/>
        <v xml:space="preserve"> </v>
      </c>
      <c r="Y231" s="185">
        <f t="shared" si="296"/>
        <v>4031196.1600000006</v>
      </c>
      <c r="Z231" s="393">
        <f t="shared" si="321"/>
        <v>0.13125000000000001</v>
      </c>
      <c r="AA231" s="185">
        <f t="shared" si="322"/>
        <v>2810.15</v>
      </c>
      <c r="AB231" s="185">
        <f t="shared" si="297"/>
        <v>-41281.06</v>
      </c>
      <c r="AC231" s="185">
        <f t="shared" si="323"/>
        <v>44091.21</v>
      </c>
      <c r="AD231" s="185">
        <f t="shared" ref="AD231:AE231" si="362">+AD230</f>
        <v>134.16999999999999</v>
      </c>
      <c r="AE231" s="185">
        <f t="shared" si="362"/>
        <v>188.55</v>
      </c>
      <c r="AF231" s="185">
        <f t="shared" si="299"/>
        <v>3132.8700000000017</v>
      </c>
      <c r="AG231" s="185">
        <f t="shared" si="300"/>
        <v>-3086377.2199999997</v>
      </c>
      <c r="AH231" s="185">
        <f t="shared" si="301"/>
        <v>4071512.419999999</v>
      </c>
      <c r="AI231" s="411">
        <f t="shared" si="284"/>
        <v>438574.79999999935</v>
      </c>
      <c r="AJ231" s="411">
        <f t="shared" si="350"/>
        <v>-3595671.7100000004</v>
      </c>
      <c r="AK231" s="411">
        <f t="shared" si="285"/>
        <v>-3157096.9100000011</v>
      </c>
      <c r="AL231" s="185">
        <f t="shared" si="302"/>
        <v>4072477.2200000007</v>
      </c>
      <c r="AM231" s="317">
        <f t="shared" si="331"/>
        <v>17</v>
      </c>
      <c r="AN231" s="14">
        <f t="shared" si="286"/>
        <v>6591.25</v>
      </c>
      <c r="AO231" s="14">
        <f t="shared" si="261"/>
        <v>872280.51</v>
      </c>
      <c r="AP231" s="14">
        <f t="shared" si="287"/>
        <v>2810.15</v>
      </c>
      <c r="AS231" s="14">
        <f t="shared" si="325"/>
        <v>6591.25</v>
      </c>
      <c r="AT231" s="14">
        <f t="shared" si="332"/>
        <v>1423229.44</v>
      </c>
      <c r="AU231" s="185">
        <f t="shared" si="333"/>
        <v>2532.0844936241779</v>
      </c>
      <c r="AV231" s="185">
        <f t="shared" si="334"/>
        <v>424740.8819432953</v>
      </c>
    </row>
    <row r="232" spans="1:48">
      <c r="A232" s="401" t="str">
        <f t="shared" si="289"/>
        <v xml:space="preserve"> </v>
      </c>
      <c r="B232" s="185">
        <f t="shared" si="326"/>
        <v>0</v>
      </c>
      <c r="C232" s="14">
        <f t="shared" si="319"/>
        <v>0</v>
      </c>
      <c r="D232" s="14">
        <f t="shared" si="335"/>
        <v>0</v>
      </c>
      <c r="E232" s="14">
        <f t="shared" si="320"/>
        <v>0</v>
      </c>
      <c r="F232" s="14">
        <f t="shared" si="278"/>
        <v>0</v>
      </c>
      <c r="G232" s="14">
        <f t="shared" si="275"/>
        <v>0</v>
      </c>
      <c r="H232" s="14">
        <f t="shared" si="276"/>
        <v>0</v>
      </c>
      <c r="I232" s="185">
        <f t="shared" si="290"/>
        <v>0</v>
      </c>
      <c r="J232" s="185">
        <f t="shared" si="291"/>
        <v>0</v>
      </c>
      <c r="K232" s="185">
        <f t="shared" si="292"/>
        <v>0</v>
      </c>
      <c r="L232" s="317">
        <f t="shared" si="263"/>
        <v>18</v>
      </c>
      <c r="M232" s="317">
        <f t="shared" si="327"/>
        <v>216</v>
      </c>
      <c r="N232" s="185">
        <f t="shared" si="328"/>
        <v>476805.51000000024</v>
      </c>
      <c r="O232" s="185">
        <f t="shared" si="293"/>
        <v>6591.25</v>
      </c>
      <c r="P232" s="185">
        <f t="shared" si="336"/>
        <v>1376.1899999999996</v>
      </c>
      <c r="Q232" s="185">
        <f t="shared" si="294"/>
        <v>5215.0600000000004</v>
      </c>
      <c r="R232" s="185">
        <f t="shared" si="281"/>
        <v>134.16999999999999</v>
      </c>
      <c r="S232" s="185">
        <f t="shared" si="282"/>
        <v>188.55</v>
      </c>
      <c r="T232" s="185">
        <f t="shared" si="279"/>
        <v>6913.97</v>
      </c>
      <c r="U232" s="185">
        <f t="shared" si="337"/>
        <v>115195.67999999998</v>
      </c>
      <c r="V232" s="185">
        <f t="shared" si="338"/>
        <v>1315105.5699999994</v>
      </c>
      <c r="W232" s="185">
        <f t="shared" si="295"/>
        <v>475429.32000000024</v>
      </c>
      <c r="X232" s="401" t="str">
        <f t="shared" si="329"/>
        <v xml:space="preserve"> </v>
      </c>
      <c r="Y232" s="185">
        <f t="shared" si="296"/>
        <v>4072477.2200000007</v>
      </c>
      <c r="Z232" s="393">
        <f t="shared" si="321"/>
        <v>0.13125000000000001</v>
      </c>
      <c r="AA232" s="185">
        <f t="shared" si="322"/>
        <v>2810.15</v>
      </c>
      <c r="AB232" s="185">
        <f t="shared" si="297"/>
        <v>-41732.57</v>
      </c>
      <c r="AC232" s="185">
        <f t="shared" si="323"/>
        <v>44542.720000000001</v>
      </c>
      <c r="AD232" s="185">
        <f t="shared" ref="AD232:AE232" si="363">+AD231</f>
        <v>134.16999999999999</v>
      </c>
      <c r="AE232" s="185">
        <f t="shared" si="363"/>
        <v>188.55</v>
      </c>
      <c r="AF232" s="185">
        <f t="shared" si="299"/>
        <v>3132.8700000000017</v>
      </c>
      <c r="AG232" s="185">
        <f t="shared" si="300"/>
        <v>-3128109.7899999996</v>
      </c>
      <c r="AH232" s="185">
        <f t="shared" si="301"/>
        <v>4116055.1399999992</v>
      </c>
      <c r="AI232" s="411">
        <f t="shared" si="284"/>
        <v>442355.89999999932</v>
      </c>
      <c r="AJ232" s="411">
        <f t="shared" si="350"/>
        <v>-3638780.47</v>
      </c>
      <c r="AK232" s="411">
        <f t="shared" si="285"/>
        <v>-3196424.5700000008</v>
      </c>
      <c r="AL232" s="185">
        <f t="shared" si="302"/>
        <v>4114209.7900000005</v>
      </c>
      <c r="AM232" s="317">
        <f t="shared" si="331"/>
        <v>18</v>
      </c>
      <c r="AN232" s="14">
        <f t="shared" si="286"/>
        <v>6591.25</v>
      </c>
      <c r="AO232" s="14">
        <f t="shared" si="261"/>
        <v>870904.32000000007</v>
      </c>
      <c r="AP232" s="14">
        <f t="shared" si="287"/>
        <v>2810.15</v>
      </c>
      <c r="AS232" s="14">
        <f t="shared" si="325"/>
        <v>6591.25</v>
      </c>
      <c r="AT232" s="14">
        <f t="shared" si="332"/>
        <v>1429820.69</v>
      </c>
      <c r="AU232" s="185">
        <f t="shared" si="333"/>
        <v>2538.4147048582381</v>
      </c>
      <c r="AV232" s="185">
        <f t="shared" si="334"/>
        <v>427279.29664815357</v>
      </c>
    </row>
    <row r="233" spans="1:48">
      <c r="A233" s="401" t="str">
        <f t="shared" si="289"/>
        <v xml:space="preserve"> </v>
      </c>
      <c r="B233" s="185">
        <f t="shared" si="326"/>
        <v>0</v>
      </c>
      <c r="C233" s="14">
        <f t="shared" si="319"/>
        <v>0</v>
      </c>
      <c r="D233" s="14">
        <f t="shared" si="335"/>
        <v>0</v>
      </c>
      <c r="E233" s="14">
        <f t="shared" si="320"/>
        <v>0</v>
      </c>
      <c r="F233" s="14">
        <f t="shared" si="278"/>
        <v>0</v>
      </c>
      <c r="G233" s="14">
        <f t="shared" si="275"/>
        <v>0</v>
      </c>
      <c r="H233" s="14">
        <f t="shared" si="276"/>
        <v>0</v>
      </c>
      <c r="I233" s="185">
        <f t="shared" si="290"/>
        <v>0</v>
      </c>
      <c r="J233" s="185">
        <f t="shared" si="291"/>
        <v>0</v>
      </c>
      <c r="K233" s="185">
        <f t="shared" si="292"/>
        <v>0</v>
      </c>
      <c r="L233" s="317">
        <f t="shared" si="263"/>
        <v>18</v>
      </c>
      <c r="M233" s="317">
        <f t="shared" si="327"/>
        <v>217</v>
      </c>
      <c r="N233" s="185">
        <f t="shared" si="328"/>
        <v>475429.32000000024</v>
      </c>
      <c r="O233" s="185">
        <f t="shared" si="293"/>
        <v>6591.25</v>
      </c>
      <c r="P233" s="185">
        <f t="shared" si="336"/>
        <v>1391.2399999999998</v>
      </c>
      <c r="Q233" s="185">
        <f t="shared" si="294"/>
        <v>5200.01</v>
      </c>
      <c r="R233" s="185">
        <f t="shared" si="281"/>
        <v>134.16999999999999</v>
      </c>
      <c r="S233" s="185">
        <f t="shared" si="282"/>
        <v>188.55</v>
      </c>
      <c r="T233" s="185">
        <f t="shared" si="279"/>
        <v>6913.97</v>
      </c>
      <c r="U233" s="185">
        <f t="shared" si="337"/>
        <v>116586.91999999998</v>
      </c>
      <c r="V233" s="185">
        <f t="shared" si="338"/>
        <v>1320305.5799999994</v>
      </c>
      <c r="W233" s="185">
        <f t="shared" si="295"/>
        <v>474038.08000000025</v>
      </c>
      <c r="X233" s="401" t="str">
        <f t="shared" si="329"/>
        <v xml:space="preserve"> </v>
      </c>
      <c r="Y233" s="185">
        <f t="shared" si="296"/>
        <v>4114209.7900000005</v>
      </c>
      <c r="Z233" s="393">
        <f t="shared" si="321"/>
        <v>0.13125000000000001</v>
      </c>
      <c r="AA233" s="185">
        <f t="shared" si="322"/>
        <v>2810.15</v>
      </c>
      <c r="AB233" s="185">
        <f t="shared" si="297"/>
        <v>-42189.02</v>
      </c>
      <c r="AC233" s="185">
        <f t="shared" si="323"/>
        <v>44999.17</v>
      </c>
      <c r="AD233" s="185">
        <f t="shared" ref="AD233:AE233" si="364">+AD232</f>
        <v>134.16999999999999</v>
      </c>
      <c r="AE233" s="185">
        <f t="shared" si="364"/>
        <v>188.55</v>
      </c>
      <c r="AF233" s="185">
        <f t="shared" si="299"/>
        <v>3132.8700000000017</v>
      </c>
      <c r="AG233" s="185">
        <f t="shared" si="300"/>
        <v>-3170298.8099999996</v>
      </c>
      <c r="AH233" s="185">
        <f t="shared" si="301"/>
        <v>4161054.3099999991</v>
      </c>
      <c r="AI233" s="411">
        <f t="shared" si="284"/>
        <v>446136.9999999993</v>
      </c>
      <c r="AJ233" s="411">
        <f t="shared" si="350"/>
        <v>-3682360.7300000004</v>
      </c>
      <c r="AK233" s="411">
        <f t="shared" si="285"/>
        <v>-3236223.7300000014</v>
      </c>
      <c r="AL233" s="185">
        <f t="shared" si="302"/>
        <v>4156398.8100000005</v>
      </c>
      <c r="AM233" s="317">
        <f t="shared" si="331"/>
        <v>18</v>
      </c>
      <c r="AN233" s="14">
        <f t="shared" si="286"/>
        <v>6591.25</v>
      </c>
      <c r="AO233" s="14">
        <f t="shared" si="261"/>
        <v>869513.08000000007</v>
      </c>
      <c r="AP233" s="14">
        <f t="shared" si="287"/>
        <v>2810.15</v>
      </c>
      <c r="AS233" s="14">
        <f t="shared" si="325"/>
        <v>6591.25</v>
      </c>
      <c r="AT233" s="14">
        <f t="shared" si="332"/>
        <v>1436411.94</v>
      </c>
      <c r="AU233" s="185">
        <f t="shared" si="333"/>
        <v>2544.7607416203841</v>
      </c>
      <c r="AV233" s="185">
        <f t="shared" si="334"/>
        <v>429824.05738977395</v>
      </c>
    </row>
    <row r="234" spans="1:48">
      <c r="A234" s="401" t="str">
        <f t="shared" si="289"/>
        <v xml:space="preserve"> </v>
      </c>
      <c r="B234" s="185">
        <f t="shared" si="326"/>
        <v>0</v>
      </c>
      <c r="C234" s="14">
        <f t="shared" si="319"/>
        <v>0</v>
      </c>
      <c r="D234" s="14">
        <f t="shared" si="335"/>
        <v>0</v>
      </c>
      <c r="E234" s="14">
        <f t="shared" si="320"/>
        <v>0</v>
      </c>
      <c r="F234" s="14">
        <f t="shared" si="278"/>
        <v>0</v>
      </c>
      <c r="G234" s="14">
        <f t="shared" si="275"/>
        <v>0</v>
      </c>
      <c r="H234" s="14">
        <f t="shared" si="276"/>
        <v>0</v>
      </c>
      <c r="I234" s="185">
        <f t="shared" si="290"/>
        <v>0</v>
      </c>
      <c r="J234" s="185">
        <f t="shared" si="291"/>
        <v>0</v>
      </c>
      <c r="K234" s="185">
        <f t="shared" si="292"/>
        <v>0</v>
      </c>
      <c r="L234" s="317">
        <f t="shared" si="263"/>
        <v>18</v>
      </c>
      <c r="M234" s="317">
        <f t="shared" si="327"/>
        <v>218</v>
      </c>
      <c r="N234" s="185">
        <f t="shared" si="328"/>
        <v>474038.08000000025</v>
      </c>
      <c r="O234" s="185">
        <f t="shared" si="293"/>
        <v>6591.25</v>
      </c>
      <c r="P234" s="185">
        <f t="shared" si="336"/>
        <v>1406.46</v>
      </c>
      <c r="Q234" s="185">
        <f t="shared" si="294"/>
        <v>5184.79</v>
      </c>
      <c r="R234" s="185">
        <f t="shared" si="281"/>
        <v>134.16999999999999</v>
      </c>
      <c r="S234" s="185">
        <f t="shared" si="282"/>
        <v>188.55</v>
      </c>
      <c r="T234" s="185">
        <f t="shared" si="279"/>
        <v>6913.97</v>
      </c>
      <c r="U234" s="185">
        <f t="shared" si="337"/>
        <v>117993.37999999999</v>
      </c>
      <c r="V234" s="185">
        <f t="shared" si="338"/>
        <v>1325490.3699999994</v>
      </c>
      <c r="W234" s="185">
        <f t="shared" si="295"/>
        <v>472631.62000000023</v>
      </c>
      <c r="X234" s="401" t="str">
        <f t="shared" si="329"/>
        <v xml:space="preserve"> </v>
      </c>
      <c r="Y234" s="185">
        <f t="shared" si="296"/>
        <v>4156398.8100000005</v>
      </c>
      <c r="Z234" s="393">
        <f t="shared" si="321"/>
        <v>0.13125000000000001</v>
      </c>
      <c r="AA234" s="185">
        <f t="shared" si="322"/>
        <v>2810.15</v>
      </c>
      <c r="AB234" s="185">
        <f t="shared" si="297"/>
        <v>-42650.46</v>
      </c>
      <c r="AC234" s="185">
        <f t="shared" si="323"/>
        <v>45460.61</v>
      </c>
      <c r="AD234" s="185">
        <f t="shared" ref="AD234:AE234" si="365">+AD233</f>
        <v>134.16999999999999</v>
      </c>
      <c r="AE234" s="185">
        <f t="shared" si="365"/>
        <v>188.55</v>
      </c>
      <c r="AF234" s="185">
        <f t="shared" si="299"/>
        <v>3132.8700000000017</v>
      </c>
      <c r="AG234" s="185">
        <f t="shared" si="300"/>
        <v>-3212949.2699999996</v>
      </c>
      <c r="AH234" s="185">
        <f t="shared" si="301"/>
        <v>4206514.919999999</v>
      </c>
      <c r="AI234" s="411">
        <f t="shared" si="284"/>
        <v>449918.09999999928</v>
      </c>
      <c r="AJ234" s="411">
        <f t="shared" si="350"/>
        <v>-3726417.6500000004</v>
      </c>
      <c r="AK234" s="411">
        <f t="shared" si="285"/>
        <v>-3276499.5500000012</v>
      </c>
      <c r="AL234" s="185">
        <f t="shared" si="302"/>
        <v>4199049.2700000005</v>
      </c>
      <c r="AM234" s="317">
        <f t="shared" si="331"/>
        <v>18</v>
      </c>
      <c r="AN234" s="14">
        <f t="shared" si="286"/>
        <v>6591.25</v>
      </c>
      <c r="AO234" s="14">
        <f t="shared" si="261"/>
        <v>868106.62</v>
      </c>
      <c r="AP234" s="14">
        <f t="shared" si="287"/>
        <v>2810.15</v>
      </c>
      <c r="AS234" s="14">
        <f t="shared" si="325"/>
        <v>6591.25</v>
      </c>
      <c r="AT234" s="14">
        <f t="shared" si="332"/>
        <v>1443003.19</v>
      </c>
      <c r="AU234" s="185">
        <f t="shared" si="333"/>
        <v>2551.1226434744344</v>
      </c>
      <c r="AV234" s="185">
        <f t="shared" si="334"/>
        <v>432375.18003324838</v>
      </c>
    </row>
    <row r="235" spans="1:48">
      <c r="A235" s="401" t="str">
        <f t="shared" si="289"/>
        <v xml:space="preserve"> </v>
      </c>
      <c r="B235" s="185">
        <f t="shared" si="326"/>
        <v>0</v>
      </c>
      <c r="C235" s="14">
        <f t="shared" si="319"/>
        <v>0</v>
      </c>
      <c r="D235" s="14">
        <f t="shared" si="335"/>
        <v>0</v>
      </c>
      <c r="E235" s="14">
        <f t="shared" si="320"/>
        <v>0</v>
      </c>
      <c r="F235" s="14">
        <f t="shared" si="278"/>
        <v>0</v>
      </c>
      <c r="G235" s="14">
        <f t="shared" si="275"/>
        <v>0</v>
      </c>
      <c r="H235" s="14">
        <f t="shared" si="276"/>
        <v>0</v>
      </c>
      <c r="I235" s="185">
        <f t="shared" si="290"/>
        <v>0</v>
      </c>
      <c r="J235" s="185">
        <f t="shared" si="291"/>
        <v>0</v>
      </c>
      <c r="K235" s="185">
        <f t="shared" si="292"/>
        <v>0</v>
      </c>
      <c r="L235" s="317">
        <f t="shared" si="263"/>
        <v>18</v>
      </c>
      <c r="M235" s="317">
        <f t="shared" si="327"/>
        <v>219</v>
      </c>
      <c r="N235" s="185">
        <f t="shared" si="328"/>
        <v>472631.62000000023</v>
      </c>
      <c r="O235" s="185">
        <f t="shared" si="293"/>
        <v>6591.25</v>
      </c>
      <c r="P235" s="185">
        <f t="shared" si="336"/>
        <v>1421.8400000000001</v>
      </c>
      <c r="Q235" s="185">
        <f t="shared" si="294"/>
        <v>5169.41</v>
      </c>
      <c r="R235" s="185">
        <f t="shared" si="281"/>
        <v>134.16999999999999</v>
      </c>
      <c r="S235" s="185">
        <f t="shared" si="282"/>
        <v>188.55</v>
      </c>
      <c r="T235" s="185">
        <f t="shared" si="279"/>
        <v>6913.97</v>
      </c>
      <c r="U235" s="185">
        <f t="shared" si="337"/>
        <v>119415.21999999999</v>
      </c>
      <c r="V235" s="185">
        <f t="shared" si="338"/>
        <v>1330659.7799999993</v>
      </c>
      <c r="W235" s="185">
        <f t="shared" si="295"/>
        <v>471209.7800000002</v>
      </c>
      <c r="X235" s="401" t="str">
        <f t="shared" si="329"/>
        <v xml:space="preserve"> </v>
      </c>
      <c r="Y235" s="185">
        <f t="shared" si="296"/>
        <v>4199049.2700000005</v>
      </c>
      <c r="Z235" s="393">
        <f t="shared" si="321"/>
        <v>0.13125000000000001</v>
      </c>
      <c r="AA235" s="185">
        <f t="shared" si="322"/>
        <v>2810.15</v>
      </c>
      <c r="AB235" s="185">
        <f t="shared" si="297"/>
        <v>-43116.95</v>
      </c>
      <c r="AC235" s="185">
        <f t="shared" si="323"/>
        <v>45927.1</v>
      </c>
      <c r="AD235" s="185">
        <f t="shared" ref="AD235:AE235" si="366">+AD234</f>
        <v>134.16999999999999</v>
      </c>
      <c r="AE235" s="185">
        <f t="shared" si="366"/>
        <v>188.55</v>
      </c>
      <c r="AF235" s="185">
        <f t="shared" si="299"/>
        <v>3132.8700000000017</v>
      </c>
      <c r="AG235" s="185">
        <f t="shared" si="300"/>
        <v>-3256066.2199999997</v>
      </c>
      <c r="AH235" s="185">
        <f t="shared" si="301"/>
        <v>4252442.0199999986</v>
      </c>
      <c r="AI235" s="411">
        <f t="shared" si="284"/>
        <v>453699.19999999925</v>
      </c>
      <c r="AJ235" s="411">
        <f t="shared" si="350"/>
        <v>-3770956.4400000004</v>
      </c>
      <c r="AK235" s="411">
        <f t="shared" si="285"/>
        <v>-3317257.2400000012</v>
      </c>
      <c r="AL235" s="185">
        <f t="shared" si="302"/>
        <v>4242166.2200000007</v>
      </c>
      <c r="AM235" s="317">
        <f t="shared" si="331"/>
        <v>18</v>
      </c>
      <c r="AN235" s="14">
        <f t="shared" si="286"/>
        <v>6591.25</v>
      </c>
      <c r="AO235" s="14">
        <f t="shared" si="261"/>
        <v>866684.78</v>
      </c>
      <c r="AP235" s="14">
        <f t="shared" si="287"/>
        <v>2810.15</v>
      </c>
      <c r="AS235" s="14">
        <f t="shared" si="325"/>
        <v>6591.25</v>
      </c>
      <c r="AT235" s="14">
        <f t="shared" si="332"/>
        <v>1449594.44</v>
      </c>
      <c r="AU235" s="185">
        <f t="shared" si="333"/>
        <v>2557.500450083121</v>
      </c>
      <c r="AV235" s="185">
        <f t="shared" si="334"/>
        <v>434932.6804833315</v>
      </c>
    </row>
    <row r="236" spans="1:48">
      <c r="A236" s="401" t="str">
        <f t="shared" si="289"/>
        <v xml:space="preserve"> </v>
      </c>
      <c r="B236" s="185">
        <f t="shared" si="326"/>
        <v>0</v>
      </c>
      <c r="C236" s="14">
        <f t="shared" si="319"/>
        <v>0</v>
      </c>
      <c r="D236" s="14">
        <f t="shared" si="335"/>
        <v>0</v>
      </c>
      <c r="E236" s="14">
        <f t="shared" si="320"/>
        <v>0</v>
      </c>
      <c r="F236" s="14">
        <f t="shared" si="278"/>
        <v>0</v>
      </c>
      <c r="G236" s="14">
        <f t="shared" si="275"/>
        <v>0</v>
      </c>
      <c r="H236" s="14">
        <f t="shared" si="276"/>
        <v>0</v>
      </c>
      <c r="I236" s="185">
        <f t="shared" si="290"/>
        <v>0</v>
      </c>
      <c r="J236" s="185">
        <f t="shared" si="291"/>
        <v>0</v>
      </c>
      <c r="K236" s="185">
        <f t="shared" si="292"/>
        <v>0</v>
      </c>
      <c r="L236" s="317">
        <f t="shared" si="263"/>
        <v>18</v>
      </c>
      <c r="M236" s="317">
        <f t="shared" si="327"/>
        <v>220</v>
      </c>
      <c r="N236" s="185">
        <f t="shared" si="328"/>
        <v>471209.7800000002</v>
      </c>
      <c r="O236" s="185">
        <f t="shared" si="293"/>
        <v>6591.25</v>
      </c>
      <c r="P236" s="185">
        <f t="shared" si="336"/>
        <v>1437.3900000000003</v>
      </c>
      <c r="Q236" s="185">
        <f t="shared" si="294"/>
        <v>5153.8599999999997</v>
      </c>
      <c r="R236" s="185">
        <f t="shared" si="281"/>
        <v>134.16999999999999</v>
      </c>
      <c r="S236" s="185">
        <f t="shared" si="282"/>
        <v>188.55</v>
      </c>
      <c r="T236" s="185">
        <f t="shared" si="279"/>
        <v>6913.97</v>
      </c>
      <c r="U236" s="185">
        <f t="shared" si="337"/>
        <v>120852.60999999999</v>
      </c>
      <c r="V236" s="185">
        <f t="shared" si="338"/>
        <v>1335813.6399999994</v>
      </c>
      <c r="W236" s="185">
        <f t="shared" si="295"/>
        <v>469772.39000000019</v>
      </c>
      <c r="X236" s="401" t="str">
        <f t="shared" si="329"/>
        <v xml:space="preserve"> </v>
      </c>
      <c r="Y236" s="185">
        <f t="shared" si="296"/>
        <v>4242166.2200000007</v>
      </c>
      <c r="Z236" s="393">
        <f t="shared" si="321"/>
        <v>0.13125000000000001</v>
      </c>
      <c r="AA236" s="185">
        <f t="shared" si="322"/>
        <v>2810.15</v>
      </c>
      <c r="AB236" s="185">
        <f t="shared" si="297"/>
        <v>-43588.54</v>
      </c>
      <c r="AC236" s="185">
        <f t="shared" si="323"/>
        <v>46398.69</v>
      </c>
      <c r="AD236" s="185">
        <f t="shared" ref="AD236:AE236" si="367">+AD235</f>
        <v>134.16999999999999</v>
      </c>
      <c r="AE236" s="185">
        <f t="shared" si="367"/>
        <v>188.55</v>
      </c>
      <c r="AF236" s="185">
        <f t="shared" si="299"/>
        <v>3132.8700000000017</v>
      </c>
      <c r="AG236" s="185">
        <f t="shared" si="300"/>
        <v>-3299654.76</v>
      </c>
      <c r="AH236" s="185">
        <f t="shared" si="301"/>
        <v>4298840.709999999</v>
      </c>
      <c r="AI236" s="411">
        <f t="shared" si="284"/>
        <v>457480.29999999923</v>
      </c>
      <c r="AJ236" s="411">
        <f t="shared" si="350"/>
        <v>-3815982.3700000006</v>
      </c>
      <c r="AK236" s="411">
        <f t="shared" si="285"/>
        <v>-3358502.0700000012</v>
      </c>
      <c r="AL236" s="185">
        <f t="shared" si="302"/>
        <v>4285754.7600000007</v>
      </c>
      <c r="AM236" s="317">
        <f t="shared" si="331"/>
        <v>18</v>
      </c>
      <c r="AN236" s="14">
        <f t="shared" si="286"/>
        <v>6591.25</v>
      </c>
      <c r="AO236" s="14">
        <f t="shared" si="261"/>
        <v>865247.39</v>
      </c>
      <c r="AP236" s="14">
        <f t="shared" si="287"/>
        <v>2810.15</v>
      </c>
      <c r="AS236" s="14">
        <f t="shared" si="325"/>
        <v>6591.25</v>
      </c>
      <c r="AT236" s="14">
        <f t="shared" si="332"/>
        <v>1456185.69</v>
      </c>
      <c r="AU236" s="185">
        <f t="shared" si="333"/>
        <v>2563.8942012083285</v>
      </c>
      <c r="AV236" s="185">
        <f t="shared" si="334"/>
        <v>437496.57468453981</v>
      </c>
    </row>
    <row r="237" spans="1:48">
      <c r="A237" s="401" t="str">
        <f t="shared" si="289"/>
        <v xml:space="preserve"> </v>
      </c>
      <c r="B237" s="185">
        <f t="shared" si="326"/>
        <v>0</v>
      </c>
      <c r="C237" s="14">
        <f t="shared" si="319"/>
        <v>0</v>
      </c>
      <c r="D237" s="14">
        <f t="shared" si="335"/>
        <v>0</v>
      </c>
      <c r="E237" s="14">
        <f t="shared" si="320"/>
        <v>0</v>
      </c>
      <c r="F237" s="14">
        <f t="shared" si="278"/>
        <v>0</v>
      </c>
      <c r="G237" s="14">
        <f t="shared" si="275"/>
        <v>0</v>
      </c>
      <c r="H237" s="14">
        <f t="shared" si="276"/>
        <v>0</v>
      </c>
      <c r="I237" s="185">
        <f t="shared" si="290"/>
        <v>0</v>
      </c>
      <c r="J237" s="185">
        <f t="shared" si="291"/>
        <v>0</v>
      </c>
      <c r="K237" s="185">
        <f t="shared" si="292"/>
        <v>0</v>
      </c>
      <c r="L237" s="317">
        <f t="shared" si="263"/>
        <v>18</v>
      </c>
      <c r="M237" s="317">
        <f t="shared" si="327"/>
        <v>221</v>
      </c>
      <c r="N237" s="185">
        <f t="shared" si="328"/>
        <v>469772.39000000019</v>
      </c>
      <c r="O237" s="185">
        <f t="shared" si="293"/>
        <v>6591.25</v>
      </c>
      <c r="P237" s="185">
        <f t="shared" si="336"/>
        <v>1453.1099999999997</v>
      </c>
      <c r="Q237" s="185">
        <f t="shared" si="294"/>
        <v>5138.1400000000003</v>
      </c>
      <c r="R237" s="185">
        <f t="shared" si="281"/>
        <v>134.16999999999999</v>
      </c>
      <c r="S237" s="185">
        <f t="shared" si="282"/>
        <v>188.55</v>
      </c>
      <c r="T237" s="185">
        <f t="shared" si="279"/>
        <v>6913.97</v>
      </c>
      <c r="U237" s="185">
        <f t="shared" si="337"/>
        <v>122305.71999999999</v>
      </c>
      <c r="V237" s="185">
        <f t="shared" si="338"/>
        <v>1340951.7799999993</v>
      </c>
      <c r="W237" s="185">
        <f t="shared" si="295"/>
        <v>468319.2800000002</v>
      </c>
      <c r="X237" s="401" t="str">
        <f t="shared" si="329"/>
        <v xml:space="preserve"> </v>
      </c>
      <c r="Y237" s="185">
        <f t="shared" si="296"/>
        <v>4285754.7600000007</v>
      </c>
      <c r="Z237" s="393">
        <f t="shared" si="321"/>
        <v>0.13125000000000001</v>
      </c>
      <c r="AA237" s="185">
        <f t="shared" si="322"/>
        <v>2810.15</v>
      </c>
      <c r="AB237" s="185">
        <f t="shared" si="297"/>
        <v>-44065.29</v>
      </c>
      <c r="AC237" s="185">
        <f t="shared" si="323"/>
        <v>46875.44</v>
      </c>
      <c r="AD237" s="185">
        <f t="shared" ref="AD237:AE237" si="368">+AD236</f>
        <v>134.16999999999999</v>
      </c>
      <c r="AE237" s="185">
        <f t="shared" si="368"/>
        <v>188.55</v>
      </c>
      <c r="AF237" s="185">
        <f t="shared" si="299"/>
        <v>3132.8700000000017</v>
      </c>
      <c r="AG237" s="185">
        <f t="shared" si="300"/>
        <v>-3343720.05</v>
      </c>
      <c r="AH237" s="185">
        <f t="shared" si="301"/>
        <v>4345716.1499999994</v>
      </c>
      <c r="AI237" s="411">
        <f t="shared" si="284"/>
        <v>461261.39999999921</v>
      </c>
      <c r="AJ237" s="411">
        <f t="shared" si="350"/>
        <v>-3861500.7700000005</v>
      </c>
      <c r="AK237" s="411">
        <f t="shared" si="285"/>
        <v>-3400239.370000001</v>
      </c>
      <c r="AL237" s="185">
        <f t="shared" si="302"/>
        <v>4329820.0500000007</v>
      </c>
      <c r="AM237" s="317">
        <f t="shared" si="331"/>
        <v>18</v>
      </c>
      <c r="AN237" s="14">
        <f t="shared" si="286"/>
        <v>6591.25</v>
      </c>
      <c r="AO237" s="14">
        <f t="shared" ref="AO237:AO300" si="369">IF(W237&lt;=0,0,+$AA$5-$C$2+I237-U237)</f>
        <v>863794.28</v>
      </c>
      <c r="AP237" s="14">
        <f t="shared" si="287"/>
        <v>2810.15</v>
      </c>
      <c r="AS237" s="14">
        <f t="shared" si="325"/>
        <v>6591.25</v>
      </c>
      <c r="AT237" s="14">
        <f t="shared" si="332"/>
        <v>1462776.94</v>
      </c>
      <c r="AU237" s="185">
        <f t="shared" si="333"/>
        <v>2570.3039367113493</v>
      </c>
      <c r="AV237" s="185">
        <f t="shared" si="334"/>
        <v>440066.87862125115</v>
      </c>
    </row>
    <row r="238" spans="1:48">
      <c r="A238" s="401" t="str">
        <f t="shared" si="289"/>
        <v xml:space="preserve"> </v>
      </c>
      <c r="B238" s="185">
        <f t="shared" si="326"/>
        <v>0</v>
      </c>
      <c r="C238" s="14">
        <f t="shared" si="319"/>
        <v>0</v>
      </c>
      <c r="D238" s="14">
        <f t="shared" si="335"/>
        <v>0</v>
      </c>
      <c r="E238" s="14">
        <f t="shared" si="320"/>
        <v>0</v>
      </c>
      <c r="F238" s="14">
        <f t="shared" si="278"/>
        <v>0</v>
      </c>
      <c r="G238" s="14">
        <f t="shared" si="275"/>
        <v>0</v>
      </c>
      <c r="H238" s="14">
        <f t="shared" si="276"/>
        <v>0</v>
      </c>
      <c r="I238" s="185">
        <f t="shared" si="290"/>
        <v>0</v>
      </c>
      <c r="J238" s="185">
        <f t="shared" si="291"/>
        <v>0</v>
      </c>
      <c r="K238" s="185">
        <f t="shared" si="292"/>
        <v>0</v>
      </c>
      <c r="L238" s="317">
        <f t="shared" si="263"/>
        <v>18</v>
      </c>
      <c r="M238" s="317">
        <f t="shared" si="327"/>
        <v>222</v>
      </c>
      <c r="N238" s="185">
        <f t="shared" si="328"/>
        <v>468319.2800000002</v>
      </c>
      <c r="O238" s="185">
        <f t="shared" si="293"/>
        <v>6591.25</v>
      </c>
      <c r="P238" s="185">
        <f t="shared" si="336"/>
        <v>1469.0100000000002</v>
      </c>
      <c r="Q238" s="185">
        <f t="shared" si="294"/>
        <v>5122.24</v>
      </c>
      <c r="R238" s="185">
        <f t="shared" si="281"/>
        <v>134.16999999999999</v>
      </c>
      <c r="S238" s="185">
        <f t="shared" si="282"/>
        <v>188.55</v>
      </c>
      <c r="T238" s="185">
        <f t="shared" si="279"/>
        <v>6913.97</v>
      </c>
      <c r="U238" s="185">
        <f t="shared" si="337"/>
        <v>123774.72999999998</v>
      </c>
      <c r="V238" s="185">
        <f t="shared" si="338"/>
        <v>1346074.0199999993</v>
      </c>
      <c r="W238" s="185">
        <f t="shared" si="295"/>
        <v>466850.27000000019</v>
      </c>
      <c r="X238" s="401" t="str">
        <f t="shared" si="329"/>
        <v xml:space="preserve"> </v>
      </c>
      <c r="Y238" s="185">
        <f t="shared" si="296"/>
        <v>4329820.0500000007</v>
      </c>
      <c r="Z238" s="393">
        <f t="shared" si="321"/>
        <v>0.13125000000000001</v>
      </c>
      <c r="AA238" s="185">
        <f t="shared" si="322"/>
        <v>2810.15</v>
      </c>
      <c r="AB238" s="185">
        <f t="shared" si="297"/>
        <v>-44547.26</v>
      </c>
      <c r="AC238" s="185">
        <f t="shared" si="323"/>
        <v>47357.41</v>
      </c>
      <c r="AD238" s="185">
        <f t="shared" ref="AD238:AE238" si="370">+AD237</f>
        <v>134.16999999999999</v>
      </c>
      <c r="AE238" s="185">
        <f t="shared" si="370"/>
        <v>188.55</v>
      </c>
      <c r="AF238" s="185">
        <f t="shared" si="299"/>
        <v>3132.8700000000017</v>
      </c>
      <c r="AG238" s="185">
        <f t="shared" si="300"/>
        <v>-3388267.3099999996</v>
      </c>
      <c r="AH238" s="185">
        <f t="shared" si="301"/>
        <v>4393073.5599999996</v>
      </c>
      <c r="AI238" s="411">
        <f t="shared" si="284"/>
        <v>465042.49999999919</v>
      </c>
      <c r="AJ238" s="411">
        <f t="shared" si="350"/>
        <v>-3907517.0400000005</v>
      </c>
      <c r="AK238" s="411">
        <f t="shared" si="285"/>
        <v>-3442474.5400000014</v>
      </c>
      <c r="AL238" s="185">
        <f t="shared" si="302"/>
        <v>4374367.3100000005</v>
      </c>
      <c r="AM238" s="317">
        <f t="shared" si="331"/>
        <v>18</v>
      </c>
      <c r="AN238" s="14">
        <f t="shared" si="286"/>
        <v>6591.25</v>
      </c>
      <c r="AO238" s="14">
        <f t="shared" si="369"/>
        <v>862325.27</v>
      </c>
      <c r="AP238" s="14">
        <f t="shared" si="287"/>
        <v>2810.15</v>
      </c>
      <c r="AS238" s="14">
        <f t="shared" si="325"/>
        <v>6591.25</v>
      </c>
      <c r="AT238" s="14">
        <f t="shared" si="332"/>
        <v>1469368.19</v>
      </c>
      <c r="AU238" s="185">
        <f t="shared" si="333"/>
        <v>2576.7296965531277</v>
      </c>
      <c r="AV238" s="185">
        <f t="shared" si="334"/>
        <v>442643.60831780429</v>
      </c>
    </row>
    <row r="239" spans="1:48">
      <c r="A239" s="401" t="str">
        <f t="shared" si="289"/>
        <v xml:space="preserve"> </v>
      </c>
      <c r="B239" s="185">
        <f t="shared" si="326"/>
        <v>0</v>
      </c>
      <c r="C239" s="14">
        <f t="shared" si="319"/>
        <v>0</v>
      </c>
      <c r="D239" s="14">
        <f t="shared" si="335"/>
        <v>0</v>
      </c>
      <c r="E239" s="14">
        <f t="shared" si="320"/>
        <v>0</v>
      </c>
      <c r="F239" s="14">
        <f t="shared" si="278"/>
        <v>0</v>
      </c>
      <c r="G239" s="14">
        <f t="shared" si="275"/>
        <v>0</v>
      </c>
      <c r="H239" s="14">
        <f t="shared" si="276"/>
        <v>0</v>
      </c>
      <c r="I239" s="185">
        <f t="shared" si="290"/>
        <v>0</v>
      </c>
      <c r="J239" s="185">
        <f t="shared" si="291"/>
        <v>0</v>
      </c>
      <c r="K239" s="185">
        <f t="shared" si="292"/>
        <v>0</v>
      </c>
      <c r="L239" s="317">
        <f t="shared" ref="L239:L302" si="371">IF(MOD(M239,12)=0,M239/12,L238)</f>
        <v>18</v>
      </c>
      <c r="M239" s="317">
        <f t="shared" si="327"/>
        <v>223</v>
      </c>
      <c r="N239" s="185">
        <f t="shared" si="328"/>
        <v>466850.27000000019</v>
      </c>
      <c r="O239" s="185">
        <f t="shared" si="293"/>
        <v>6591.25</v>
      </c>
      <c r="P239" s="185">
        <f t="shared" si="336"/>
        <v>1485.08</v>
      </c>
      <c r="Q239" s="185">
        <f t="shared" si="294"/>
        <v>5106.17</v>
      </c>
      <c r="R239" s="185">
        <f t="shared" si="281"/>
        <v>134.16999999999999</v>
      </c>
      <c r="S239" s="185">
        <f t="shared" si="282"/>
        <v>188.55</v>
      </c>
      <c r="T239" s="185">
        <f t="shared" si="279"/>
        <v>6913.97</v>
      </c>
      <c r="U239" s="185">
        <f t="shared" si="337"/>
        <v>125259.80999999998</v>
      </c>
      <c r="V239" s="185">
        <f t="shared" si="338"/>
        <v>1351180.1899999992</v>
      </c>
      <c r="W239" s="185">
        <f t="shared" si="295"/>
        <v>465365.19000000018</v>
      </c>
      <c r="X239" s="401" t="str">
        <f t="shared" si="329"/>
        <v xml:space="preserve"> </v>
      </c>
      <c r="Y239" s="185">
        <f t="shared" si="296"/>
        <v>4374367.3100000005</v>
      </c>
      <c r="Z239" s="393">
        <f t="shared" si="321"/>
        <v>0.13125000000000001</v>
      </c>
      <c r="AA239" s="185">
        <f t="shared" si="322"/>
        <v>2810.15</v>
      </c>
      <c r="AB239" s="185">
        <f t="shared" si="297"/>
        <v>-45034.49</v>
      </c>
      <c r="AC239" s="185">
        <f t="shared" si="323"/>
        <v>47844.639999999999</v>
      </c>
      <c r="AD239" s="185">
        <f t="shared" ref="AD239:AE239" si="372">+AD238</f>
        <v>134.16999999999999</v>
      </c>
      <c r="AE239" s="185">
        <f t="shared" si="372"/>
        <v>188.55</v>
      </c>
      <c r="AF239" s="185">
        <f t="shared" si="299"/>
        <v>3132.8700000000017</v>
      </c>
      <c r="AG239" s="185">
        <f t="shared" si="300"/>
        <v>-3433301.8</v>
      </c>
      <c r="AH239" s="185">
        <f t="shared" si="301"/>
        <v>4440918.1999999993</v>
      </c>
      <c r="AI239" s="411">
        <f t="shared" si="284"/>
        <v>468823.59999999916</v>
      </c>
      <c r="AJ239" s="411">
        <f t="shared" si="350"/>
        <v>-3954036.6100000003</v>
      </c>
      <c r="AK239" s="411">
        <f t="shared" si="285"/>
        <v>-3485213.0100000012</v>
      </c>
      <c r="AL239" s="185">
        <f t="shared" si="302"/>
        <v>4419401.8000000007</v>
      </c>
      <c r="AM239" s="317">
        <f t="shared" si="331"/>
        <v>18</v>
      </c>
      <c r="AN239" s="14">
        <f t="shared" si="286"/>
        <v>6591.25</v>
      </c>
      <c r="AO239" s="14">
        <f t="shared" si="369"/>
        <v>860840.19000000006</v>
      </c>
      <c r="AP239" s="14">
        <f t="shared" si="287"/>
        <v>2810.15</v>
      </c>
      <c r="AS239" s="14">
        <f t="shared" si="325"/>
        <v>6591.25</v>
      </c>
      <c r="AT239" s="14">
        <f t="shared" si="332"/>
        <v>1475959.44</v>
      </c>
      <c r="AU239" s="185">
        <f t="shared" si="333"/>
        <v>2583.1715207945103</v>
      </c>
      <c r="AV239" s="185">
        <f t="shared" si="334"/>
        <v>445226.7798385988</v>
      </c>
    </row>
    <row r="240" spans="1:48">
      <c r="A240" s="401" t="str">
        <f t="shared" si="289"/>
        <v xml:space="preserve"> </v>
      </c>
      <c r="B240" s="185">
        <f t="shared" si="326"/>
        <v>0</v>
      </c>
      <c r="C240" s="14">
        <f t="shared" si="319"/>
        <v>0</v>
      </c>
      <c r="D240" s="14">
        <f t="shared" si="335"/>
        <v>0</v>
      </c>
      <c r="E240" s="14">
        <f t="shared" si="320"/>
        <v>0</v>
      </c>
      <c r="F240" s="14">
        <f t="shared" si="278"/>
        <v>0</v>
      </c>
      <c r="G240" s="14">
        <f t="shared" si="275"/>
        <v>0</v>
      </c>
      <c r="H240" s="14">
        <f t="shared" si="276"/>
        <v>0</v>
      </c>
      <c r="I240" s="185">
        <f t="shared" si="290"/>
        <v>0</v>
      </c>
      <c r="J240" s="185">
        <f t="shared" si="291"/>
        <v>0</v>
      </c>
      <c r="K240" s="185">
        <f t="shared" si="292"/>
        <v>0</v>
      </c>
      <c r="L240" s="317">
        <f t="shared" si="371"/>
        <v>18</v>
      </c>
      <c r="M240" s="317">
        <f t="shared" si="327"/>
        <v>224</v>
      </c>
      <c r="N240" s="185">
        <f t="shared" si="328"/>
        <v>465365.19000000018</v>
      </c>
      <c r="O240" s="185">
        <f t="shared" si="293"/>
        <v>6591.25</v>
      </c>
      <c r="P240" s="185">
        <f t="shared" si="336"/>
        <v>1501.3199999999997</v>
      </c>
      <c r="Q240" s="185">
        <f t="shared" si="294"/>
        <v>5089.93</v>
      </c>
      <c r="R240" s="185">
        <f t="shared" si="281"/>
        <v>134.16999999999999</v>
      </c>
      <c r="S240" s="185">
        <f t="shared" si="282"/>
        <v>188.55</v>
      </c>
      <c r="T240" s="185">
        <f t="shared" si="279"/>
        <v>6913.97</v>
      </c>
      <c r="U240" s="185">
        <f t="shared" si="337"/>
        <v>126761.12999999998</v>
      </c>
      <c r="V240" s="185">
        <f t="shared" si="338"/>
        <v>1356270.1199999992</v>
      </c>
      <c r="W240" s="185">
        <f t="shared" si="295"/>
        <v>463863.87000000017</v>
      </c>
      <c r="X240" s="401" t="str">
        <f t="shared" si="329"/>
        <v xml:space="preserve"> </v>
      </c>
      <c r="Y240" s="185">
        <f t="shared" si="296"/>
        <v>4419401.8000000007</v>
      </c>
      <c r="Z240" s="393">
        <f t="shared" si="321"/>
        <v>0.13125000000000001</v>
      </c>
      <c r="AA240" s="185">
        <f t="shared" si="322"/>
        <v>2810.15</v>
      </c>
      <c r="AB240" s="185">
        <f t="shared" si="297"/>
        <v>-45527.06</v>
      </c>
      <c r="AC240" s="185">
        <f t="shared" si="323"/>
        <v>48337.21</v>
      </c>
      <c r="AD240" s="185">
        <f t="shared" ref="AD240:AE240" si="373">+AD239</f>
        <v>134.16999999999999</v>
      </c>
      <c r="AE240" s="185">
        <f t="shared" si="373"/>
        <v>188.55</v>
      </c>
      <c r="AF240" s="185">
        <f t="shared" si="299"/>
        <v>3132.8700000000017</v>
      </c>
      <c r="AG240" s="185">
        <f t="shared" si="300"/>
        <v>-3478828.86</v>
      </c>
      <c r="AH240" s="185">
        <f t="shared" si="301"/>
        <v>4489255.4099999992</v>
      </c>
      <c r="AI240" s="411">
        <f t="shared" si="284"/>
        <v>472604.69999999914</v>
      </c>
      <c r="AJ240" s="411">
        <f t="shared" si="350"/>
        <v>-4001064.99</v>
      </c>
      <c r="AK240" s="411">
        <f t="shared" si="285"/>
        <v>-3528460.290000001</v>
      </c>
      <c r="AL240" s="185">
        <f t="shared" si="302"/>
        <v>4464928.8600000003</v>
      </c>
      <c r="AM240" s="317">
        <f t="shared" si="331"/>
        <v>18</v>
      </c>
      <c r="AN240" s="14">
        <f t="shared" si="286"/>
        <v>6591.25</v>
      </c>
      <c r="AO240" s="14">
        <f t="shared" si="369"/>
        <v>859338.87</v>
      </c>
      <c r="AP240" s="14">
        <f t="shared" si="287"/>
        <v>2810.15</v>
      </c>
      <c r="AS240" s="14">
        <f t="shared" si="325"/>
        <v>6591.25</v>
      </c>
      <c r="AT240" s="14">
        <f t="shared" si="332"/>
        <v>1482550.69</v>
      </c>
      <c r="AU240" s="185">
        <f t="shared" si="333"/>
        <v>2589.6294495964971</v>
      </c>
      <c r="AV240" s="185">
        <f t="shared" si="334"/>
        <v>447816.40928819531</v>
      </c>
    </row>
    <row r="241" spans="1:48">
      <c r="A241" s="401" t="str">
        <f t="shared" si="289"/>
        <v xml:space="preserve"> </v>
      </c>
      <c r="B241" s="185">
        <f t="shared" si="326"/>
        <v>0</v>
      </c>
      <c r="C241" s="14">
        <f t="shared" si="319"/>
        <v>0</v>
      </c>
      <c r="D241" s="14">
        <f t="shared" si="335"/>
        <v>0</v>
      </c>
      <c r="E241" s="14">
        <f t="shared" si="320"/>
        <v>0</v>
      </c>
      <c r="F241" s="14">
        <f t="shared" si="278"/>
        <v>0</v>
      </c>
      <c r="G241" s="14">
        <f t="shared" si="275"/>
        <v>0</v>
      </c>
      <c r="H241" s="14">
        <f t="shared" si="276"/>
        <v>0</v>
      </c>
      <c r="I241" s="185">
        <f t="shared" si="290"/>
        <v>0</v>
      </c>
      <c r="J241" s="185">
        <f t="shared" si="291"/>
        <v>0</v>
      </c>
      <c r="K241" s="185">
        <f t="shared" si="292"/>
        <v>0</v>
      </c>
      <c r="L241" s="317">
        <f t="shared" si="371"/>
        <v>18</v>
      </c>
      <c r="M241" s="317">
        <f t="shared" si="327"/>
        <v>225</v>
      </c>
      <c r="N241" s="185">
        <f t="shared" si="328"/>
        <v>463863.87000000017</v>
      </c>
      <c r="O241" s="185">
        <f t="shared" si="293"/>
        <v>6591.25</v>
      </c>
      <c r="P241" s="185">
        <f t="shared" si="336"/>
        <v>1517.7399999999998</v>
      </c>
      <c r="Q241" s="185">
        <f t="shared" si="294"/>
        <v>5073.51</v>
      </c>
      <c r="R241" s="185">
        <f t="shared" si="281"/>
        <v>134.16999999999999</v>
      </c>
      <c r="S241" s="185">
        <f t="shared" si="282"/>
        <v>188.55</v>
      </c>
      <c r="T241" s="185">
        <f t="shared" si="279"/>
        <v>6913.97</v>
      </c>
      <c r="U241" s="185">
        <f t="shared" si="337"/>
        <v>128278.86999999998</v>
      </c>
      <c r="V241" s="185">
        <f t="shared" si="338"/>
        <v>1361343.6299999992</v>
      </c>
      <c r="W241" s="185">
        <f t="shared" si="295"/>
        <v>462346.13000000018</v>
      </c>
      <c r="X241" s="401" t="str">
        <f t="shared" si="329"/>
        <v xml:space="preserve"> </v>
      </c>
      <c r="Y241" s="185">
        <f t="shared" si="296"/>
        <v>4464928.8600000003</v>
      </c>
      <c r="Z241" s="393">
        <f t="shared" si="321"/>
        <v>0.13125000000000001</v>
      </c>
      <c r="AA241" s="185">
        <f t="shared" si="322"/>
        <v>2810.15</v>
      </c>
      <c r="AB241" s="185">
        <f t="shared" si="297"/>
        <v>-46025.01</v>
      </c>
      <c r="AC241" s="185">
        <f t="shared" si="323"/>
        <v>48835.16</v>
      </c>
      <c r="AD241" s="185">
        <f t="shared" ref="AD241:AE241" si="374">+AD240</f>
        <v>134.16999999999999</v>
      </c>
      <c r="AE241" s="185">
        <f t="shared" si="374"/>
        <v>188.55</v>
      </c>
      <c r="AF241" s="185">
        <f t="shared" si="299"/>
        <v>3132.8700000000017</v>
      </c>
      <c r="AG241" s="185">
        <f t="shared" si="300"/>
        <v>-3524853.8699999996</v>
      </c>
      <c r="AH241" s="185">
        <f t="shared" si="301"/>
        <v>4538090.5699999994</v>
      </c>
      <c r="AI241" s="411">
        <f t="shared" si="284"/>
        <v>476385.79999999912</v>
      </c>
      <c r="AJ241" s="411">
        <f t="shared" si="350"/>
        <v>-4048607.7399999998</v>
      </c>
      <c r="AK241" s="411">
        <f t="shared" si="285"/>
        <v>-3572221.9400000004</v>
      </c>
      <c r="AL241" s="185">
        <f t="shared" si="302"/>
        <v>4510953.87</v>
      </c>
      <c r="AM241" s="317">
        <f t="shared" si="331"/>
        <v>18</v>
      </c>
      <c r="AN241" s="14">
        <f t="shared" si="286"/>
        <v>6591.25</v>
      </c>
      <c r="AO241" s="14">
        <f t="shared" si="369"/>
        <v>857821.13</v>
      </c>
      <c r="AP241" s="14">
        <f t="shared" si="287"/>
        <v>2810.15</v>
      </c>
      <c r="AS241" s="14">
        <f t="shared" si="325"/>
        <v>6591.25</v>
      </c>
      <c r="AT241" s="14">
        <f t="shared" si="332"/>
        <v>1489141.94</v>
      </c>
      <c r="AU241" s="185">
        <f t="shared" si="333"/>
        <v>2596.1035232204881</v>
      </c>
      <c r="AV241" s="185">
        <f t="shared" si="334"/>
        <v>450412.51281141577</v>
      </c>
    </row>
    <row r="242" spans="1:48" ht="15.75" thickBot="1">
      <c r="A242" s="404" t="str">
        <f t="shared" si="289"/>
        <v xml:space="preserve"> </v>
      </c>
      <c r="B242" s="237">
        <f t="shared" si="326"/>
        <v>0</v>
      </c>
      <c r="C242" s="21">
        <f t="shared" si="319"/>
        <v>0</v>
      </c>
      <c r="D242" s="21">
        <f t="shared" si="335"/>
        <v>0</v>
      </c>
      <c r="E242" s="21">
        <f t="shared" si="320"/>
        <v>0</v>
      </c>
      <c r="F242" s="21">
        <f t="shared" si="278"/>
        <v>0</v>
      </c>
      <c r="G242" s="21">
        <f t="shared" si="275"/>
        <v>0</v>
      </c>
      <c r="H242" s="21">
        <f t="shared" si="276"/>
        <v>0</v>
      </c>
      <c r="I242" s="237">
        <f t="shared" si="290"/>
        <v>0</v>
      </c>
      <c r="J242" s="237">
        <f t="shared" si="291"/>
        <v>0</v>
      </c>
      <c r="K242" s="237">
        <f t="shared" si="292"/>
        <v>0</v>
      </c>
      <c r="L242" s="318">
        <f t="shared" si="371"/>
        <v>18</v>
      </c>
      <c r="M242" s="318">
        <f t="shared" si="327"/>
        <v>226</v>
      </c>
      <c r="N242" s="237">
        <f t="shared" si="328"/>
        <v>462346.13000000018</v>
      </c>
      <c r="O242" s="237">
        <f t="shared" si="293"/>
        <v>6591.25</v>
      </c>
      <c r="P242" s="237">
        <f t="shared" si="336"/>
        <v>1534.3400000000001</v>
      </c>
      <c r="Q242" s="237">
        <f t="shared" si="294"/>
        <v>5056.91</v>
      </c>
      <c r="R242" s="237">
        <f t="shared" si="281"/>
        <v>134.16999999999999</v>
      </c>
      <c r="S242" s="237">
        <f t="shared" si="282"/>
        <v>188.55</v>
      </c>
      <c r="T242" s="237">
        <f t="shared" si="279"/>
        <v>6913.97</v>
      </c>
      <c r="U242" s="237">
        <f t="shared" si="337"/>
        <v>129813.20999999998</v>
      </c>
      <c r="V242" s="237">
        <f t="shared" si="338"/>
        <v>1366400.5399999991</v>
      </c>
      <c r="W242" s="237">
        <f t="shared" si="295"/>
        <v>460811.79000000015</v>
      </c>
      <c r="X242" s="404" t="str">
        <f t="shared" si="329"/>
        <v xml:space="preserve"> </v>
      </c>
      <c r="Y242" s="237">
        <f t="shared" si="296"/>
        <v>4510953.87</v>
      </c>
      <c r="Z242" s="394">
        <f t="shared" si="321"/>
        <v>0.13125000000000001</v>
      </c>
      <c r="AA242" s="237">
        <f t="shared" si="322"/>
        <v>2810.15</v>
      </c>
      <c r="AB242" s="237">
        <f t="shared" si="297"/>
        <v>-46528.409999999996</v>
      </c>
      <c r="AC242" s="237">
        <f t="shared" si="323"/>
        <v>49338.559999999998</v>
      </c>
      <c r="AD242" s="237">
        <f t="shared" ref="AD242:AE242" si="375">+AD241</f>
        <v>134.16999999999999</v>
      </c>
      <c r="AE242" s="237">
        <f t="shared" si="375"/>
        <v>188.55</v>
      </c>
      <c r="AF242" s="237">
        <f t="shared" si="299"/>
        <v>3132.8700000000017</v>
      </c>
      <c r="AG242" s="237">
        <f t="shared" si="300"/>
        <v>-3571382.28</v>
      </c>
      <c r="AH242" s="237">
        <f t="shared" si="301"/>
        <v>4587429.129999999</v>
      </c>
      <c r="AI242" s="412">
        <f t="shared" si="284"/>
        <v>480166.89999999909</v>
      </c>
      <c r="AJ242" s="412">
        <f t="shared" si="350"/>
        <v>-4096670.49</v>
      </c>
      <c r="AK242" s="411">
        <f t="shared" si="285"/>
        <v>-3616503.5900000012</v>
      </c>
      <c r="AL242" s="237">
        <f t="shared" si="302"/>
        <v>4557482.28</v>
      </c>
      <c r="AM242" s="318">
        <f t="shared" si="331"/>
        <v>18</v>
      </c>
      <c r="AN242" s="21">
        <f t="shared" si="286"/>
        <v>6591.25</v>
      </c>
      <c r="AO242" s="21">
        <f t="shared" si="369"/>
        <v>856286.79</v>
      </c>
      <c r="AP242" s="21">
        <f t="shared" si="287"/>
        <v>2810.15</v>
      </c>
      <c r="AQ242" s="21"/>
      <c r="AR242" s="23"/>
      <c r="AS242" s="21">
        <f t="shared" si="325"/>
        <v>6591.25</v>
      </c>
      <c r="AT242" s="21">
        <f t="shared" si="332"/>
        <v>1495733.19</v>
      </c>
      <c r="AU242" s="237">
        <f t="shared" si="333"/>
        <v>2602.5937820285394</v>
      </c>
      <c r="AV242" s="237">
        <f t="shared" si="334"/>
        <v>453015.1065934443</v>
      </c>
    </row>
    <row r="243" spans="1:48">
      <c r="A243" s="401" t="str">
        <f t="shared" si="289"/>
        <v xml:space="preserve"> </v>
      </c>
      <c r="B243" s="185">
        <f t="shared" si="326"/>
        <v>0</v>
      </c>
      <c r="C243" s="14">
        <f t="shared" si="319"/>
        <v>0</v>
      </c>
      <c r="D243" s="14">
        <f t="shared" si="335"/>
        <v>0</v>
      </c>
      <c r="E243" s="14">
        <f t="shared" si="320"/>
        <v>0</v>
      </c>
      <c r="F243" s="14">
        <f t="shared" si="278"/>
        <v>0</v>
      </c>
      <c r="G243" s="14">
        <f t="shared" si="275"/>
        <v>0</v>
      </c>
      <c r="H243" s="14">
        <f t="shared" si="276"/>
        <v>0</v>
      </c>
      <c r="I243" s="185">
        <f t="shared" si="290"/>
        <v>0</v>
      </c>
      <c r="J243" s="185">
        <f t="shared" si="291"/>
        <v>0</v>
      </c>
      <c r="K243" s="185">
        <f t="shared" si="292"/>
        <v>0</v>
      </c>
      <c r="L243" s="317">
        <f t="shared" si="371"/>
        <v>18</v>
      </c>
      <c r="M243" s="317">
        <f t="shared" si="327"/>
        <v>227</v>
      </c>
      <c r="N243" s="185">
        <f t="shared" si="328"/>
        <v>460811.79000000015</v>
      </c>
      <c r="O243" s="185">
        <f t="shared" si="293"/>
        <v>6591.25</v>
      </c>
      <c r="P243" s="185">
        <f t="shared" si="336"/>
        <v>1551.12</v>
      </c>
      <c r="Q243" s="185">
        <f t="shared" si="294"/>
        <v>5040.13</v>
      </c>
      <c r="R243" s="185">
        <f t="shared" si="281"/>
        <v>134.16999999999999</v>
      </c>
      <c r="S243" s="185">
        <f t="shared" si="282"/>
        <v>188.55</v>
      </c>
      <c r="T243" s="185">
        <f t="shared" si="279"/>
        <v>6913.97</v>
      </c>
      <c r="U243" s="185">
        <f t="shared" si="337"/>
        <v>131364.32999999999</v>
      </c>
      <c r="V243" s="185">
        <f t="shared" si="338"/>
        <v>1371440.669999999</v>
      </c>
      <c r="W243" s="185">
        <f t="shared" si="295"/>
        <v>459260.67000000016</v>
      </c>
      <c r="X243" s="401" t="str">
        <f t="shared" si="329"/>
        <v xml:space="preserve"> </v>
      </c>
      <c r="Y243" s="185">
        <f t="shared" si="296"/>
        <v>4557482.28</v>
      </c>
      <c r="Z243" s="393">
        <f t="shared" si="321"/>
        <v>0.13125000000000001</v>
      </c>
      <c r="AA243" s="185">
        <f t="shared" si="322"/>
        <v>2810.15</v>
      </c>
      <c r="AB243" s="185">
        <f t="shared" si="297"/>
        <v>-47037.31</v>
      </c>
      <c r="AC243" s="185">
        <f t="shared" si="323"/>
        <v>49847.46</v>
      </c>
      <c r="AD243" s="185">
        <f t="shared" ref="AD243:AE243" si="376">+AD242</f>
        <v>134.16999999999999</v>
      </c>
      <c r="AE243" s="185">
        <f t="shared" si="376"/>
        <v>188.55</v>
      </c>
      <c r="AF243" s="185">
        <f t="shared" si="299"/>
        <v>3132.8700000000017</v>
      </c>
      <c r="AG243" s="185">
        <f t="shared" si="300"/>
        <v>-3618419.59</v>
      </c>
      <c r="AH243" s="185">
        <f t="shared" si="301"/>
        <v>4637276.5899999989</v>
      </c>
      <c r="AI243" s="411">
        <f t="shared" si="284"/>
        <v>483947.99999999907</v>
      </c>
      <c r="AJ243" s="411">
        <f t="shared" si="350"/>
        <v>-4145258.92</v>
      </c>
      <c r="AK243" s="411">
        <f t="shared" si="285"/>
        <v>-3661310.9200000009</v>
      </c>
      <c r="AL243" s="185">
        <f t="shared" si="302"/>
        <v>4604519.59</v>
      </c>
      <c r="AM243" s="317">
        <f t="shared" si="331"/>
        <v>18</v>
      </c>
      <c r="AN243" s="14">
        <f t="shared" si="286"/>
        <v>6591.25</v>
      </c>
      <c r="AO243" s="14">
        <f t="shared" si="369"/>
        <v>854735.67</v>
      </c>
      <c r="AP243" s="14">
        <f t="shared" si="287"/>
        <v>2810.15</v>
      </c>
      <c r="AS243" s="14">
        <f t="shared" si="325"/>
        <v>6591.25</v>
      </c>
      <c r="AT243" s="14">
        <f t="shared" si="332"/>
        <v>1502324.44</v>
      </c>
      <c r="AU243" s="185">
        <f t="shared" si="333"/>
        <v>2609.1002664836105</v>
      </c>
      <c r="AV243" s="185">
        <f t="shared" si="334"/>
        <v>455624.20685992792</v>
      </c>
    </row>
    <row r="244" spans="1:48">
      <c r="A244" s="401" t="str">
        <f t="shared" si="289"/>
        <v xml:space="preserve"> </v>
      </c>
      <c r="B244" s="185">
        <f t="shared" si="326"/>
        <v>0</v>
      </c>
      <c r="C244" s="14">
        <f t="shared" si="319"/>
        <v>0</v>
      </c>
      <c r="D244" s="14">
        <f t="shared" si="335"/>
        <v>0</v>
      </c>
      <c r="E244" s="14">
        <f t="shared" si="320"/>
        <v>0</v>
      </c>
      <c r="F244" s="14">
        <f t="shared" si="278"/>
        <v>0</v>
      </c>
      <c r="G244" s="14">
        <f t="shared" si="275"/>
        <v>0</v>
      </c>
      <c r="H244" s="14">
        <f t="shared" si="276"/>
        <v>0</v>
      </c>
      <c r="I244" s="185">
        <f t="shared" si="290"/>
        <v>0</v>
      </c>
      <c r="J244" s="185">
        <f t="shared" si="291"/>
        <v>0</v>
      </c>
      <c r="K244" s="185">
        <f t="shared" si="292"/>
        <v>0</v>
      </c>
      <c r="L244" s="317">
        <f t="shared" si="371"/>
        <v>19</v>
      </c>
      <c r="M244" s="317">
        <f t="shared" si="327"/>
        <v>228</v>
      </c>
      <c r="N244" s="185">
        <f t="shared" si="328"/>
        <v>459260.67000000016</v>
      </c>
      <c r="O244" s="185">
        <f t="shared" si="293"/>
        <v>6591.25</v>
      </c>
      <c r="P244" s="185">
        <f t="shared" si="336"/>
        <v>1568.0900000000001</v>
      </c>
      <c r="Q244" s="185">
        <f t="shared" si="294"/>
        <v>5023.16</v>
      </c>
      <c r="R244" s="185">
        <f t="shared" si="281"/>
        <v>134.16999999999999</v>
      </c>
      <c r="S244" s="185">
        <f t="shared" si="282"/>
        <v>188.55</v>
      </c>
      <c r="T244" s="185">
        <f t="shared" si="279"/>
        <v>6913.97</v>
      </c>
      <c r="U244" s="185">
        <f t="shared" si="337"/>
        <v>132932.41999999998</v>
      </c>
      <c r="V244" s="185">
        <f t="shared" si="338"/>
        <v>1376463.8299999989</v>
      </c>
      <c r="W244" s="185">
        <f t="shared" si="295"/>
        <v>457692.58000000013</v>
      </c>
      <c r="X244" s="401" t="str">
        <f t="shared" si="329"/>
        <v xml:space="preserve"> </v>
      </c>
      <c r="Y244" s="185">
        <f t="shared" si="296"/>
        <v>4604519.59</v>
      </c>
      <c r="Z244" s="393">
        <f t="shared" si="321"/>
        <v>0.13125000000000001</v>
      </c>
      <c r="AA244" s="185">
        <f t="shared" si="322"/>
        <v>2810.15</v>
      </c>
      <c r="AB244" s="185">
        <f t="shared" si="297"/>
        <v>-47551.78</v>
      </c>
      <c r="AC244" s="185">
        <f t="shared" si="323"/>
        <v>50361.93</v>
      </c>
      <c r="AD244" s="185">
        <f t="shared" ref="AD244:AE244" si="377">+AD243</f>
        <v>134.16999999999999</v>
      </c>
      <c r="AE244" s="185">
        <f t="shared" si="377"/>
        <v>188.55</v>
      </c>
      <c r="AF244" s="185">
        <f t="shared" si="299"/>
        <v>3132.8700000000017</v>
      </c>
      <c r="AG244" s="185">
        <f t="shared" si="300"/>
        <v>-3665971.3699999996</v>
      </c>
      <c r="AH244" s="185">
        <f t="shared" si="301"/>
        <v>4687638.5199999986</v>
      </c>
      <c r="AI244" s="411">
        <f t="shared" si="284"/>
        <v>487729.09999999905</v>
      </c>
      <c r="AJ244" s="411">
        <f t="shared" si="350"/>
        <v>-4194378.79</v>
      </c>
      <c r="AK244" s="411">
        <f t="shared" si="285"/>
        <v>-3706649.6900000009</v>
      </c>
      <c r="AL244" s="185">
        <f t="shared" si="302"/>
        <v>4652071.37</v>
      </c>
      <c r="AM244" s="317">
        <f t="shared" si="331"/>
        <v>19</v>
      </c>
      <c r="AN244" s="14">
        <f t="shared" si="286"/>
        <v>6591.25</v>
      </c>
      <c r="AO244" s="14">
        <f t="shared" si="369"/>
        <v>853167.58000000007</v>
      </c>
      <c r="AP244" s="14">
        <f t="shared" si="287"/>
        <v>2810.15</v>
      </c>
      <c r="AS244" s="14">
        <f t="shared" si="325"/>
        <v>6591.25</v>
      </c>
      <c r="AT244" s="14">
        <f t="shared" si="332"/>
        <v>1508915.69</v>
      </c>
      <c r="AU244" s="185">
        <f t="shared" si="333"/>
        <v>2615.6230171498196</v>
      </c>
      <c r="AV244" s="185">
        <f t="shared" si="334"/>
        <v>458239.82987707772</v>
      </c>
    </row>
    <row r="245" spans="1:48">
      <c r="A245" s="401" t="str">
        <f t="shared" si="289"/>
        <v xml:space="preserve"> </v>
      </c>
      <c r="B245" s="185">
        <f t="shared" si="326"/>
        <v>0</v>
      </c>
      <c r="C245" s="14">
        <f t="shared" si="319"/>
        <v>0</v>
      </c>
      <c r="D245" s="14">
        <f t="shared" si="335"/>
        <v>0</v>
      </c>
      <c r="E245" s="14">
        <f t="shared" si="320"/>
        <v>0</v>
      </c>
      <c r="F245" s="14">
        <f t="shared" si="278"/>
        <v>0</v>
      </c>
      <c r="G245" s="14">
        <f t="shared" si="275"/>
        <v>0</v>
      </c>
      <c r="H245" s="14">
        <f t="shared" si="276"/>
        <v>0</v>
      </c>
      <c r="I245" s="185">
        <f t="shared" si="290"/>
        <v>0</v>
      </c>
      <c r="J245" s="185">
        <f t="shared" si="291"/>
        <v>0</v>
      </c>
      <c r="K245" s="185">
        <f t="shared" si="292"/>
        <v>0</v>
      </c>
      <c r="L245" s="317">
        <f t="shared" si="371"/>
        <v>19</v>
      </c>
      <c r="M245" s="317">
        <f t="shared" si="327"/>
        <v>229</v>
      </c>
      <c r="N245" s="185">
        <f t="shared" si="328"/>
        <v>457692.58000000013</v>
      </c>
      <c r="O245" s="185">
        <f t="shared" si="293"/>
        <v>6591.25</v>
      </c>
      <c r="P245" s="185">
        <f t="shared" si="336"/>
        <v>1585.2399999999998</v>
      </c>
      <c r="Q245" s="185">
        <f t="shared" si="294"/>
        <v>5006.01</v>
      </c>
      <c r="R245" s="185">
        <f t="shared" si="281"/>
        <v>134.16999999999999</v>
      </c>
      <c r="S245" s="185">
        <f t="shared" si="282"/>
        <v>188.55</v>
      </c>
      <c r="T245" s="185">
        <f t="shared" si="279"/>
        <v>6913.97</v>
      </c>
      <c r="U245" s="185">
        <f t="shared" si="337"/>
        <v>134517.65999999997</v>
      </c>
      <c r="V245" s="185">
        <f t="shared" si="338"/>
        <v>1381469.8399999989</v>
      </c>
      <c r="W245" s="185">
        <f t="shared" si="295"/>
        <v>456107.34000000014</v>
      </c>
      <c r="X245" s="401" t="str">
        <f t="shared" si="329"/>
        <v xml:space="preserve"> </v>
      </c>
      <c r="Y245" s="185">
        <f t="shared" si="296"/>
        <v>4652071.37</v>
      </c>
      <c r="Z245" s="393">
        <f t="shared" si="321"/>
        <v>0.13125000000000001</v>
      </c>
      <c r="AA245" s="185">
        <f t="shared" si="322"/>
        <v>2810.15</v>
      </c>
      <c r="AB245" s="185">
        <f t="shared" si="297"/>
        <v>-48071.88</v>
      </c>
      <c r="AC245" s="185">
        <f t="shared" si="323"/>
        <v>50882.03</v>
      </c>
      <c r="AD245" s="185">
        <f t="shared" ref="AD245:AE245" si="378">+AD244</f>
        <v>134.16999999999999</v>
      </c>
      <c r="AE245" s="185">
        <f t="shared" si="378"/>
        <v>188.55</v>
      </c>
      <c r="AF245" s="185">
        <f t="shared" si="299"/>
        <v>3132.8700000000017</v>
      </c>
      <c r="AG245" s="185">
        <f t="shared" si="300"/>
        <v>-3714043.2499999995</v>
      </c>
      <c r="AH245" s="185">
        <f t="shared" si="301"/>
        <v>4738520.5499999989</v>
      </c>
      <c r="AI245" s="411">
        <f t="shared" si="284"/>
        <v>491510.19999999902</v>
      </c>
      <c r="AJ245" s="411">
        <f t="shared" si="350"/>
        <v>-4244035.91</v>
      </c>
      <c r="AK245" s="411">
        <f t="shared" si="285"/>
        <v>-3752525.7100000009</v>
      </c>
      <c r="AL245" s="185">
        <f t="shared" si="302"/>
        <v>4700143.25</v>
      </c>
      <c r="AM245" s="317">
        <f t="shared" si="331"/>
        <v>19</v>
      </c>
      <c r="AN245" s="14">
        <f t="shared" si="286"/>
        <v>6591.25</v>
      </c>
      <c r="AO245" s="14">
        <f t="shared" si="369"/>
        <v>851582.34000000008</v>
      </c>
      <c r="AP245" s="14">
        <f t="shared" si="287"/>
        <v>2810.15</v>
      </c>
      <c r="AS245" s="14">
        <f t="shared" si="325"/>
        <v>6591.25</v>
      </c>
      <c r="AT245" s="14">
        <f t="shared" si="332"/>
        <v>1515506.94</v>
      </c>
      <c r="AU245" s="185">
        <f t="shared" si="333"/>
        <v>2622.1620746926942</v>
      </c>
      <c r="AV245" s="185">
        <f t="shared" si="334"/>
        <v>460861.99195177044</v>
      </c>
    </row>
    <row r="246" spans="1:48">
      <c r="A246" s="401" t="str">
        <f t="shared" si="289"/>
        <v xml:space="preserve"> </v>
      </c>
      <c r="B246" s="185">
        <f t="shared" si="326"/>
        <v>0</v>
      </c>
      <c r="C246" s="14">
        <f t="shared" si="319"/>
        <v>0</v>
      </c>
      <c r="D246" s="14">
        <f t="shared" si="335"/>
        <v>0</v>
      </c>
      <c r="E246" s="14">
        <f t="shared" si="320"/>
        <v>0</v>
      </c>
      <c r="F246" s="14">
        <f t="shared" si="278"/>
        <v>0</v>
      </c>
      <c r="G246" s="14">
        <f t="shared" si="275"/>
        <v>0</v>
      </c>
      <c r="H246" s="14">
        <f t="shared" si="276"/>
        <v>0</v>
      </c>
      <c r="I246" s="185">
        <f t="shared" si="290"/>
        <v>0</v>
      </c>
      <c r="J246" s="185">
        <f t="shared" si="291"/>
        <v>0</v>
      </c>
      <c r="K246" s="185">
        <f t="shared" si="292"/>
        <v>0</v>
      </c>
      <c r="L246" s="317">
        <f t="shared" si="371"/>
        <v>19</v>
      </c>
      <c r="M246" s="317">
        <f t="shared" si="327"/>
        <v>230</v>
      </c>
      <c r="N246" s="185">
        <f t="shared" si="328"/>
        <v>456107.34000000014</v>
      </c>
      <c r="O246" s="185">
        <f t="shared" si="293"/>
        <v>6591.25</v>
      </c>
      <c r="P246" s="185">
        <f t="shared" si="336"/>
        <v>1602.58</v>
      </c>
      <c r="Q246" s="185">
        <f t="shared" si="294"/>
        <v>4988.67</v>
      </c>
      <c r="R246" s="185">
        <f t="shared" si="281"/>
        <v>134.16999999999999</v>
      </c>
      <c r="S246" s="185">
        <f t="shared" si="282"/>
        <v>188.55</v>
      </c>
      <c r="T246" s="185">
        <f t="shared" si="279"/>
        <v>6913.97</v>
      </c>
      <c r="U246" s="185">
        <f t="shared" si="337"/>
        <v>136120.23999999996</v>
      </c>
      <c r="V246" s="185">
        <f t="shared" si="338"/>
        <v>1386458.5099999988</v>
      </c>
      <c r="W246" s="185">
        <f t="shared" si="295"/>
        <v>454504.76000000013</v>
      </c>
      <c r="X246" s="401" t="str">
        <f t="shared" si="329"/>
        <v xml:space="preserve"> </v>
      </c>
      <c r="Y246" s="185">
        <f t="shared" si="296"/>
        <v>4700143.25</v>
      </c>
      <c r="Z246" s="393">
        <f t="shared" si="321"/>
        <v>0.13125000000000001</v>
      </c>
      <c r="AA246" s="185">
        <f t="shared" si="322"/>
        <v>2810.15</v>
      </c>
      <c r="AB246" s="185">
        <f t="shared" si="297"/>
        <v>-48597.67</v>
      </c>
      <c r="AC246" s="185">
        <f t="shared" si="323"/>
        <v>51407.82</v>
      </c>
      <c r="AD246" s="185">
        <f t="shared" ref="AD246:AE246" si="379">+AD245</f>
        <v>134.16999999999999</v>
      </c>
      <c r="AE246" s="185">
        <f t="shared" si="379"/>
        <v>188.55</v>
      </c>
      <c r="AF246" s="185">
        <f t="shared" si="299"/>
        <v>3132.8700000000017</v>
      </c>
      <c r="AG246" s="185">
        <f t="shared" si="300"/>
        <v>-3762640.9199999995</v>
      </c>
      <c r="AH246" s="185">
        <f t="shared" si="301"/>
        <v>4789928.3699999992</v>
      </c>
      <c r="AI246" s="411">
        <f t="shared" si="284"/>
        <v>495291.299999999</v>
      </c>
      <c r="AJ246" s="411">
        <f t="shared" si="350"/>
        <v>-4294236.1600000001</v>
      </c>
      <c r="AK246" s="411">
        <f t="shared" si="285"/>
        <v>-3798944.8600000013</v>
      </c>
      <c r="AL246" s="185">
        <f t="shared" si="302"/>
        <v>4748740.92</v>
      </c>
      <c r="AM246" s="317">
        <f t="shared" si="331"/>
        <v>19</v>
      </c>
      <c r="AN246" s="14">
        <f t="shared" si="286"/>
        <v>6591.25</v>
      </c>
      <c r="AO246" s="14">
        <f t="shared" si="369"/>
        <v>849979.76</v>
      </c>
      <c r="AP246" s="14">
        <f t="shared" si="287"/>
        <v>2810.15</v>
      </c>
      <c r="AS246" s="14">
        <f t="shared" si="325"/>
        <v>6591.25</v>
      </c>
      <c r="AT246" s="14">
        <f t="shared" si="332"/>
        <v>1522098.19</v>
      </c>
      <c r="AU246" s="185">
        <f t="shared" si="333"/>
        <v>2628.7174798794258</v>
      </c>
      <c r="AV246" s="185">
        <f t="shared" si="334"/>
        <v>463490.70943164988</v>
      </c>
    </row>
    <row r="247" spans="1:48">
      <c r="A247" s="401" t="str">
        <f t="shared" si="289"/>
        <v xml:space="preserve"> </v>
      </c>
      <c r="B247" s="185">
        <f t="shared" si="326"/>
        <v>0</v>
      </c>
      <c r="C247" s="14">
        <f t="shared" si="319"/>
        <v>0</v>
      </c>
      <c r="D247" s="14">
        <f t="shared" si="335"/>
        <v>0</v>
      </c>
      <c r="E247" s="14">
        <f t="shared" si="320"/>
        <v>0</v>
      </c>
      <c r="F247" s="14">
        <f t="shared" si="278"/>
        <v>0</v>
      </c>
      <c r="G247" s="14">
        <f t="shared" si="275"/>
        <v>0</v>
      </c>
      <c r="H247" s="14">
        <f t="shared" si="276"/>
        <v>0</v>
      </c>
      <c r="I247" s="185">
        <f t="shared" si="290"/>
        <v>0</v>
      </c>
      <c r="J247" s="185">
        <f t="shared" si="291"/>
        <v>0</v>
      </c>
      <c r="K247" s="185">
        <f t="shared" si="292"/>
        <v>0</v>
      </c>
      <c r="L247" s="317">
        <f t="shared" si="371"/>
        <v>19</v>
      </c>
      <c r="M247" s="317">
        <f t="shared" si="327"/>
        <v>231</v>
      </c>
      <c r="N247" s="185">
        <f t="shared" si="328"/>
        <v>454504.76000000013</v>
      </c>
      <c r="O247" s="185">
        <f t="shared" si="293"/>
        <v>6591.25</v>
      </c>
      <c r="P247" s="185">
        <f t="shared" si="336"/>
        <v>1620.1000000000004</v>
      </c>
      <c r="Q247" s="185">
        <f t="shared" si="294"/>
        <v>4971.1499999999996</v>
      </c>
      <c r="R247" s="185">
        <f t="shared" si="281"/>
        <v>134.16999999999999</v>
      </c>
      <c r="S247" s="185">
        <f t="shared" si="282"/>
        <v>188.55</v>
      </c>
      <c r="T247" s="185">
        <f t="shared" si="279"/>
        <v>6913.97</v>
      </c>
      <c r="U247" s="185">
        <f t="shared" si="337"/>
        <v>137740.33999999997</v>
      </c>
      <c r="V247" s="185">
        <f t="shared" si="338"/>
        <v>1391429.6599999988</v>
      </c>
      <c r="W247" s="185">
        <f t="shared" si="295"/>
        <v>452884.66000000015</v>
      </c>
      <c r="X247" s="401" t="str">
        <f t="shared" si="329"/>
        <v xml:space="preserve"> </v>
      </c>
      <c r="Y247" s="185">
        <f t="shared" si="296"/>
        <v>4748740.92</v>
      </c>
      <c r="Z247" s="393">
        <f t="shared" si="321"/>
        <v>0.13125000000000001</v>
      </c>
      <c r="AA247" s="185">
        <f t="shared" si="322"/>
        <v>2810.15</v>
      </c>
      <c r="AB247" s="185">
        <f t="shared" si="297"/>
        <v>-49129.2</v>
      </c>
      <c r="AC247" s="185">
        <f t="shared" si="323"/>
        <v>51939.35</v>
      </c>
      <c r="AD247" s="185">
        <f t="shared" ref="AD247:AE247" si="380">+AD246</f>
        <v>134.16999999999999</v>
      </c>
      <c r="AE247" s="185">
        <f t="shared" si="380"/>
        <v>188.55</v>
      </c>
      <c r="AF247" s="185">
        <f t="shared" si="299"/>
        <v>3132.8700000000017</v>
      </c>
      <c r="AG247" s="185">
        <f t="shared" si="300"/>
        <v>-3811770.1199999996</v>
      </c>
      <c r="AH247" s="185">
        <f t="shared" si="301"/>
        <v>4841867.7199999988</v>
      </c>
      <c r="AI247" s="411">
        <f t="shared" si="284"/>
        <v>499072.39999999898</v>
      </c>
      <c r="AJ247" s="411">
        <f t="shared" si="350"/>
        <v>-4344985.46</v>
      </c>
      <c r="AK247" s="411">
        <f t="shared" si="285"/>
        <v>-3845913.060000001</v>
      </c>
      <c r="AL247" s="185">
        <f t="shared" si="302"/>
        <v>4797870.12</v>
      </c>
      <c r="AM247" s="317">
        <f t="shared" si="331"/>
        <v>19</v>
      </c>
      <c r="AN247" s="14">
        <f t="shared" si="286"/>
        <v>6591.25</v>
      </c>
      <c r="AO247" s="14">
        <f t="shared" si="369"/>
        <v>848359.66</v>
      </c>
      <c r="AP247" s="14">
        <f t="shared" si="287"/>
        <v>2810.15</v>
      </c>
      <c r="AS247" s="14">
        <f t="shared" si="325"/>
        <v>6591.25</v>
      </c>
      <c r="AT247" s="14">
        <f t="shared" si="332"/>
        <v>1528689.44</v>
      </c>
      <c r="AU247" s="185">
        <f t="shared" si="333"/>
        <v>2635.2892735791247</v>
      </c>
      <c r="AV247" s="185">
        <f t="shared" si="334"/>
        <v>466125.99870522902</v>
      </c>
    </row>
    <row r="248" spans="1:48">
      <c r="A248" s="401" t="str">
        <f t="shared" si="289"/>
        <v xml:space="preserve"> </v>
      </c>
      <c r="B248" s="185">
        <f t="shared" si="326"/>
        <v>0</v>
      </c>
      <c r="C248" s="14">
        <f t="shared" si="319"/>
        <v>0</v>
      </c>
      <c r="D248" s="14">
        <f t="shared" si="335"/>
        <v>0</v>
      </c>
      <c r="E248" s="14">
        <f t="shared" si="320"/>
        <v>0</v>
      </c>
      <c r="F248" s="14">
        <f t="shared" si="278"/>
        <v>0</v>
      </c>
      <c r="G248" s="14">
        <f t="shared" si="275"/>
        <v>0</v>
      </c>
      <c r="H248" s="14">
        <f t="shared" si="276"/>
        <v>0</v>
      </c>
      <c r="I248" s="185">
        <f t="shared" si="290"/>
        <v>0</v>
      </c>
      <c r="J248" s="185">
        <f t="shared" si="291"/>
        <v>0</v>
      </c>
      <c r="K248" s="185">
        <f t="shared" si="292"/>
        <v>0</v>
      </c>
      <c r="L248" s="317">
        <f t="shared" si="371"/>
        <v>19</v>
      </c>
      <c r="M248" s="317">
        <f t="shared" si="327"/>
        <v>232</v>
      </c>
      <c r="N248" s="185">
        <f t="shared" si="328"/>
        <v>452884.66000000015</v>
      </c>
      <c r="O248" s="185">
        <f t="shared" si="293"/>
        <v>6591.25</v>
      </c>
      <c r="P248" s="185">
        <f t="shared" si="336"/>
        <v>1637.8199999999997</v>
      </c>
      <c r="Q248" s="185">
        <f t="shared" si="294"/>
        <v>4953.43</v>
      </c>
      <c r="R248" s="185">
        <f t="shared" si="281"/>
        <v>134.16999999999999</v>
      </c>
      <c r="S248" s="185">
        <f t="shared" si="282"/>
        <v>188.55</v>
      </c>
      <c r="T248" s="185">
        <f t="shared" si="279"/>
        <v>6913.97</v>
      </c>
      <c r="U248" s="185">
        <f t="shared" si="337"/>
        <v>139378.15999999997</v>
      </c>
      <c r="V248" s="185">
        <f t="shared" si="338"/>
        <v>1396383.0899999987</v>
      </c>
      <c r="W248" s="185">
        <f t="shared" si="295"/>
        <v>451246.84000000014</v>
      </c>
      <c r="X248" s="401" t="str">
        <f t="shared" si="329"/>
        <v xml:space="preserve"> </v>
      </c>
      <c r="Y248" s="185">
        <f t="shared" si="296"/>
        <v>4797870.12</v>
      </c>
      <c r="Z248" s="393">
        <f t="shared" si="321"/>
        <v>0.13125000000000001</v>
      </c>
      <c r="AA248" s="185">
        <f t="shared" si="322"/>
        <v>2810.15</v>
      </c>
      <c r="AB248" s="185">
        <f t="shared" si="297"/>
        <v>-49666.549999999996</v>
      </c>
      <c r="AC248" s="185">
        <f t="shared" si="323"/>
        <v>52476.7</v>
      </c>
      <c r="AD248" s="185">
        <f t="shared" ref="AD248:AE248" si="381">+AD247</f>
        <v>134.16999999999999</v>
      </c>
      <c r="AE248" s="185">
        <f t="shared" si="381"/>
        <v>188.55</v>
      </c>
      <c r="AF248" s="185">
        <f t="shared" si="299"/>
        <v>3132.8700000000017</v>
      </c>
      <c r="AG248" s="185">
        <f t="shared" si="300"/>
        <v>-3861436.6699999995</v>
      </c>
      <c r="AH248" s="185">
        <f t="shared" si="301"/>
        <v>4894344.419999999</v>
      </c>
      <c r="AI248" s="411">
        <f t="shared" si="284"/>
        <v>502853.49999999895</v>
      </c>
      <c r="AJ248" s="411">
        <f t="shared" si="350"/>
        <v>-4396289.83</v>
      </c>
      <c r="AK248" s="411">
        <f t="shared" si="285"/>
        <v>-3893436.330000001</v>
      </c>
      <c r="AL248" s="185">
        <f t="shared" si="302"/>
        <v>4847536.67</v>
      </c>
      <c r="AM248" s="317">
        <f t="shared" si="331"/>
        <v>19</v>
      </c>
      <c r="AN248" s="14">
        <f t="shared" si="286"/>
        <v>6591.25</v>
      </c>
      <c r="AO248" s="14">
        <f t="shared" si="369"/>
        <v>846721.84000000008</v>
      </c>
      <c r="AP248" s="14">
        <f t="shared" si="287"/>
        <v>2810.15</v>
      </c>
      <c r="AS248" s="14">
        <f t="shared" si="325"/>
        <v>6591.25</v>
      </c>
      <c r="AT248" s="14">
        <f t="shared" si="332"/>
        <v>1535280.69</v>
      </c>
      <c r="AU248" s="185">
        <f t="shared" si="333"/>
        <v>2641.8774967630725</v>
      </c>
      <c r="AV248" s="185">
        <f t="shared" si="334"/>
        <v>468767.8762019921</v>
      </c>
    </row>
    <row r="249" spans="1:48">
      <c r="A249" s="401" t="str">
        <f t="shared" si="289"/>
        <v xml:space="preserve"> </v>
      </c>
      <c r="B249" s="185">
        <f t="shared" si="326"/>
        <v>0</v>
      </c>
      <c r="C249" s="14">
        <f t="shared" si="319"/>
        <v>0</v>
      </c>
      <c r="D249" s="14">
        <f t="shared" si="335"/>
        <v>0</v>
      </c>
      <c r="E249" s="14">
        <f t="shared" si="320"/>
        <v>0</v>
      </c>
      <c r="F249" s="14">
        <f t="shared" si="278"/>
        <v>0</v>
      </c>
      <c r="G249" s="14">
        <f t="shared" si="275"/>
        <v>0</v>
      </c>
      <c r="H249" s="14">
        <f t="shared" si="276"/>
        <v>0</v>
      </c>
      <c r="I249" s="185">
        <f t="shared" si="290"/>
        <v>0</v>
      </c>
      <c r="J249" s="185">
        <f t="shared" si="291"/>
        <v>0</v>
      </c>
      <c r="K249" s="185">
        <f t="shared" si="292"/>
        <v>0</v>
      </c>
      <c r="L249" s="317">
        <f t="shared" si="371"/>
        <v>19</v>
      </c>
      <c r="M249" s="317">
        <f t="shared" si="327"/>
        <v>233</v>
      </c>
      <c r="N249" s="185">
        <f t="shared" si="328"/>
        <v>451246.84000000014</v>
      </c>
      <c r="O249" s="185">
        <f t="shared" si="293"/>
        <v>6591.25</v>
      </c>
      <c r="P249" s="185">
        <f t="shared" si="336"/>
        <v>1655.7399999999998</v>
      </c>
      <c r="Q249" s="185">
        <f t="shared" si="294"/>
        <v>4935.51</v>
      </c>
      <c r="R249" s="185">
        <f t="shared" si="281"/>
        <v>134.16999999999999</v>
      </c>
      <c r="S249" s="185">
        <f t="shared" si="282"/>
        <v>188.55</v>
      </c>
      <c r="T249" s="185">
        <f t="shared" si="279"/>
        <v>6913.97</v>
      </c>
      <c r="U249" s="185">
        <f t="shared" si="337"/>
        <v>141033.89999999997</v>
      </c>
      <c r="V249" s="185">
        <f t="shared" si="338"/>
        <v>1401318.5999999987</v>
      </c>
      <c r="W249" s="185">
        <f t="shared" si="295"/>
        <v>449591.10000000015</v>
      </c>
      <c r="X249" s="401" t="str">
        <f t="shared" si="329"/>
        <v xml:space="preserve"> </v>
      </c>
      <c r="Y249" s="185">
        <f t="shared" si="296"/>
        <v>4847536.67</v>
      </c>
      <c r="Z249" s="393">
        <f t="shared" si="321"/>
        <v>0.13125000000000001</v>
      </c>
      <c r="AA249" s="185">
        <f t="shared" si="322"/>
        <v>2810.15</v>
      </c>
      <c r="AB249" s="185">
        <f t="shared" si="297"/>
        <v>-50209.78</v>
      </c>
      <c r="AC249" s="185">
        <f t="shared" si="323"/>
        <v>53019.93</v>
      </c>
      <c r="AD249" s="185">
        <f t="shared" ref="AD249:AE249" si="382">+AD248</f>
        <v>134.16999999999999</v>
      </c>
      <c r="AE249" s="185">
        <f t="shared" si="382"/>
        <v>188.55</v>
      </c>
      <c r="AF249" s="185">
        <f t="shared" si="299"/>
        <v>3132.8700000000017</v>
      </c>
      <c r="AG249" s="185">
        <f t="shared" si="300"/>
        <v>-3911646.4499999993</v>
      </c>
      <c r="AH249" s="185">
        <f t="shared" si="301"/>
        <v>4947364.3499999987</v>
      </c>
      <c r="AI249" s="411">
        <f t="shared" si="284"/>
        <v>506634.59999999893</v>
      </c>
      <c r="AJ249" s="411">
        <f t="shared" si="350"/>
        <v>-4448155.3499999996</v>
      </c>
      <c r="AK249" s="411">
        <f t="shared" si="285"/>
        <v>-3941520.7500000009</v>
      </c>
      <c r="AL249" s="185">
        <f t="shared" si="302"/>
        <v>4897746.45</v>
      </c>
      <c r="AM249" s="317">
        <f t="shared" si="331"/>
        <v>19</v>
      </c>
      <c r="AN249" s="14">
        <f t="shared" si="286"/>
        <v>6591.25</v>
      </c>
      <c r="AO249" s="14">
        <f t="shared" si="369"/>
        <v>845066.10000000009</v>
      </c>
      <c r="AP249" s="14">
        <f t="shared" si="287"/>
        <v>2810.15</v>
      </c>
      <c r="AS249" s="14">
        <f t="shared" si="325"/>
        <v>6591.25</v>
      </c>
      <c r="AT249" s="14">
        <f t="shared" si="332"/>
        <v>1541871.94</v>
      </c>
      <c r="AU249" s="185">
        <f t="shared" si="333"/>
        <v>2648.4821905049803</v>
      </c>
      <c r="AV249" s="185">
        <f t="shared" si="334"/>
        <v>471416.35839249706</v>
      </c>
    </row>
    <row r="250" spans="1:48">
      <c r="A250" s="401" t="str">
        <f t="shared" si="289"/>
        <v xml:space="preserve"> </v>
      </c>
      <c r="B250" s="185">
        <f t="shared" si="326"/>
        <v>0</v>
      </c>
      <c r="C250" s="14">
        <f t="shared" si="319"/>
        <v>0</v>
      </c>
      <c r="D250" s="14">
        <f t="shared" si="335"/>
        <v>0</v>
      </c>
      <c r="E250" s="14">
        <f t="shared" si="320"/>
        <v>0</v>
      </c>
      <c r="F250" s="14">
        <f t="shared" si="278"/>
        <v>0</v>
      </c>
      <c r="G250" s="14">
        <f t="shared" ref="G250:G313" si="383">+G249</f>
        <v>0</v>
      </c>
      <c r="H250" s="14">
        <f t="shared" ref="H250:H313" si="384">SUM(D250:G250)</f>
        <v>0</v>
      </c>
      <c r="I250" s="185">
        <f t="shared" si="290"/>
        <v>0</v>
      </c>
      <c r="J250" s="185">
        <f t="shared" si="291"/>
        <v>0</v>
      </c>
      <c r="K250" s="185">
        <f t="shared" si="292"/>
        <v>0</v>
      </c>
      <c r="L250" s="317">
        <f t="shared" si="371"/>
        <v>19</v>
      </c>
      <c r="M250" s="317">
        <f t="shared" si="327"/>
        <v>234</v>
      </c>
      <c r="N250" s="185">
        <f t="shared" si="328"/>
        <v>449591.10000000015</v>
      </c>
      <c r="O250" s="185">
        <f t="shared" si="293"/>
        <v>6591.25</v>
      </c>
      <c r="P250" s="185">
        <f t="shared" si="336"/>
        <v>1673.8500000000004</v>
      </c>
      <c r="Q250" s="185">
        <f t="shared" si="294"/>
        <v>4917.3999999999996</v>
      </c>
      <c r="R250" s="185">
        <f t="shared" si="281"/>
        <v>134.16999999999999</v>
      </c>
      <c r="S250" s="185">
        <f t="shared" si="282"/>
        <v>188.55</v>
      </c>
      <c r="T250" s="185">
        <f t="shared" si="279"/>
        <v>6913.97</v>
      </c>
      <c r="U250" s="185">
        <f t="shared" si="337"/>
        <v>142707.74999999997</v>
      </c>
      <c r="V250" s="185">
        <f t="shared" si="338"/>
        <v>1406235.9999999986</v>
      </c>
      <c r="W250" s="185">
        <f t="shared" si="295"/>
        <v>447917.25000000017</v>
      </c>
      <c r="X250" s="401" t="str">
        <f t="shared" si="329"/>
        <v xml:space="preserve"> </v>
      </c>
      <c r="Y250" s="185">
        <f t="shared" si="296"/>
        <v>4897746.45</v>
      </c>
      <c r="Z250" s="393">
        <f t="shared" si="321"/>
        <v>0.13125000000000001</v>
      </c>
      <c r="AA250" s="185">
        <f t="shared" si="322"/>
        <v>2810.15</v>
      </c>
      <c r="AB250" s="185">
        <f t="shared" si="297"/>
        <v>-50758.95</v>
      </c>
      <c r="AC250" s="185">
        <f t="shared" si="323"/>
        <v>53569.1</v>
      </c>
      <c r="AD250" s="185">
        <f t="shared" ref="AD250:AE250" si="385">+AD249</f>
        <v>134.16999999999999</v>
      </c>
      <c r="AE250" s="185">
        <f t="shared" si="385"/>
        <v>188.55</v>
      </c>
      <c r="AF250" s="185">
        <f t="shared" si="299"/>
        <v>3132.8700000000017</v>
      </c>
      <c r="AG250" s="185">
        <f t="shared" si="300"/>
        <v>-3962405.3999999994</v>
      </c>
      <c r="AH250" s="185">
        <f t="shared" si="301"/>
        <v>5000933.4499999983</v>
      </c>
      <c r="AI250" s="411">
        <f t="shared" si="284"/>
        <v>510415.69999999891</v>
      </c>
      <c r="AJ250" s="411">
        <f t="shared" si="350"/>
        <v>-4500588.1500000004</v>
      </c>
      <c r="AK250" s="411">
        <f t="shared" si="285"/>
        <v>-3990172.4500000016</v>
      </c>
      <c r="AL250" s="185">
        <f t="shared" si="302"/>
        <v>4948505.4000000004</v>
      </c>
      <c r="AM250" s="317">
        <f t="shared" si="331"/>
        <v>19</v>
      </c>
      <c r="AN250" s="14">
        <f t="shared" si="286"/>
        <v>6591.25</v>
      </c>
      <c r="AO250" s="14">
        <f t="shared" si="369"/>
        <v>843392.25</v>
      </c>
      <c r="AP250" s="14">
        <f t="shared" si="287"/>
        <v>2810.15</v>
      </c>
      <c r="AS250" s="14">
        <f t="shared" si="325"/>
        <v>6591.25</v>
      </c>
      <c r="AT250" s="14">
        <f t="shared" si="332"/>
        <v>1548463.19</v>
      </c>
      <c r="AU250" s="185">
        <f t="shared" si="333"/>
        <v>2655.1033959812426</v>
      </c>
      <c r="AV250" s="185">
        <f t="shared" si="334"/>
        <v>474071.46178847831</v>
      </c>
    </row>
    <row r="251" spans="1:48">
      <c r="A251" s="401" t="str">
        <f t="shared" si="289"/>
        <v xml:space="preserve"> </v>
      </c>
      <c r="B251" s="185">
        <f t="shared" si="326"/>
        <v>0</v>
      </c>
      <c r="C251" s="14">
        <f t="shared" si="319"/>
        <v>0</v>
      </c>
      <c r="D251" s="14">
        <f t="shared" si="335"/>
        <v>0</v>
      </c>
      <c r="E251" s="14">
        <f t="shared" si="320"/>
        <v>0</v>
      </c>
      <c r="F251" s="14">
        <f t="shared" ref="F251:F314" si="386">+F250</f>
        <v>0</v>
      </c>
      <c r="G251" s="14">
        <f t="shared" si="383"/>
        <v>0</v>
      </c>
      <c r="H251" s="14">
        <f t="shared" si="384"/>
        <v>0</v>
      </c>
      <c r="I251" s="185">
        <f t="shared" si="290"/>
        <v>0</v>
      </c>
      <c r="J251" s="185">
        <f t="shared" si="291"/>
        <v>0</v>
      </c>
      <c r="K251" s="185">
        <f t="shared" si="292"/>
        <v>0</v>
      </c>
      <c r="L251" s="317">
        <f t="shared" si="371"/>
        <v>19</v>
      </c>
      <c r="M251" s="317">
        <f t="shared" si="327"/>
        <v>235</v>
      </c>
      <c r="N251" s="185">
        <f t="shared" si="328"/>
        <v>447917.25000000017</v>
      </c>
      <c r="O251" s="185">
        <f t="shared" si="293"/>
        <v>6591.25</v>
      </c>
      <c r="P251" s="185">
        <f t="shared" si="336"/>
        <v>1692.1599999999999</v>
      </c>
      <c r="Q251" s="185">
        <f t="shared" si="294"/>
        <v>4899.09</v>
      </c>
      <c r="R251" s="185">
        <f t="shared" si="281"/>
        <v>134.16999999999999</v>
      </c>
      <c r="S251" s="185">
        <f t="shared" si="282"/>
        <v>188.55</v>
      </c>
      <c r="T251" s="185">
        <f t="shared" ref="T251:T314" si="387">SUM(P251:S251)</f>
        <v>6913.97</v>
      </c>
      <c r="U251" s="185">
        <f t="shared" si="337"/>
        <v>144399.90999999997</v>
      </c>
      <c r="V251" s="185">
        <f t="shared" si="338"/>
        <v>1411135.0899999987</v>
      </c>
      <c r="W251" s="185">
        <f t="shared" si="295"/>
        <v>446225.0900000002</v>
      </c>
      <c r="X251" s="401" t="str">
        <f t="shared" si="329"/>
        <v xml:space="preserve"> </v>
      </c>
      <c r="Y251" s="185">
        <f t="shared" si="296"/>
        <v>4948505.4000000004</v>
      </c>
      <c r="Z251" s="393">
        <f t="shared" si="321"/>
        <v>0.13125000000000001</v>
      </c>
      <c r="AA251" s="185">
        <f t="shared" si="322"/>
        <v>2810.15</v>
      </c>
      <c r="AB251" s="185">
        <f t="shared" si="297"/>
        <v>-51314.13</v>
      </c>
      <c r="AC251" s="185">
        <f t="shared" si="323"/>
        <v>54124.28</v>
      </c>
      <c r="AD251" s="185">
        <f t="shared" ref="AD251:AE251" si="388">+AD250</f>
        <v>134.16999999999999</v>
      </c>
      <c r="AE251" s="185">
        <f t="shared" si="388"/>
        <v>188.55</v>
      </c>
      <c r="AF251" s="185">
        <f t="shared" si="299"/>
        <v>3132.8700000000017</v>
      </c>
      <c r="AG251" s="185">
        <f t="shared" si="300"/>
        <v>-4013719.5299999993</v>
      </c>
      <c r="AH251" s="185">
        <f t="shared" si="301"/>
        <v>5055057.7299999986</v>
      </c>
      <c r="AI251" s="411">
        <f t="shared" si="284"/>
        <v>514196.79999999888</v>
      </c>
      <c r="AJ251" s="411">
        <f t="shared" si="350"/>
        <v>-4553594.4400000004</v>
      </c>
      <c r="AK251" s="411">
        <f t="shared" si="285"/>
        <v>-4039397.6400000015</v>
      </c>
      <c r="AL251" s="185">
        <f t="shared" si="302"/>
        <v>4999819.53</v>
      </c>
      <c r="AM251" s="317">
        <f t="shared" si="331"/>
        <v>19</v>
      </c>
      <c r="AN251" s="14">
        <f t="shared" si="286"/>
        <v>6591.25</v>
      </c>
      <c r="AO251" s="14">
        <f t="shared" si="369"/>
        <v>841700.09000000008</v>
      </c>
      <c r="AP251" s="14">
        <f t="shared" si="287"/>
        <v>2810.15</v>
      </c>
      <c r="AS251" s="14">
        <f t="shared" si="325"/>
        <v>6591.25</v>
      </c>
      <c r="AT251" s="14">
        <f t="shared" si="332"/>
        <v>1555054.44</v>
      </c>
      <c r="AU251" s="185">
        <f t="shared" si="333"/>
        <v>2661.7411544711954</v>
      </c>
      <c r="AV251" s="185">
        <f t="shared" si="334"/>
        <v>476733.20294294949</v>
      </c>
    </row>
    <row r="252" spans="1:48">
      <c r="A252" s="401" t="str">
        <f t="shared" si="289"/>
        <v xml:space="preserve"> </v>
      </c>
      <c r="B252" s="185">
        <f t="shared" si="326"/>
        <v>0</v>
      </c>
      <c r="C252" s="14">
        <f t="shared" si="319"/>
        <v>0</v>
      </c>
      <c r="D252" s="14">
        <f t="shared" si="335"/>
        <v>0</v>
      </c>
      <c r="E252" s="14">
        <f t="shared" si="320"/>
        <v>0</v>
      </c>
      <c r="F252" s="14">
        <f t="shared" si="386"/>
        <v>0</v>
      </c>
      <c r="G252" s="14">
        <f t="shared" si="383"/>
        <v>0</v>
      </c>
      <c r="H252" s="14">
        <f t="shared" si="384"/>
        <v>0</v>
      </c>
      <c r="I252" s="185">
        <f t="shared" si="290"/>
        <v>0</v>
      </c>
      <c r="J252" s="185">
        <f t="shared" si="291"/>
        <v>0</v>
      </c>
      <c r="K252" s="185">
        <f t="shared" si="292"/>
        <v>0</v>
      </c>
      <c r="L252" s="317">
        <f t="shared" si="371"/>
        <v>19</v>
      </c>
      <c r="M252" s="317">
        <f t="shared" si="327"/>
        <v>236</v>
      </c>
      <c r="N252" s="185">
        <f t="shared" si="328"/>
        <v>446225.0900000002</v>
      </c>
      <c r="O252" s="185">
        <f t="shared" si="293"/>
        <v>6591.25</v>
      </c>
      <c r="P252" s="185">
        <f t="shared" si="336"/>
        <v>1710.6599999999999</v>
      </c>
      <c r="Q252" s="185">
        <f t="shared" si="294"/>
        <v>4880.59</v>
      </c>
      <c r="R252" s="185">
        <f t="shared" ref="R252:R315" si="389">+R251</f>
        <v>134.16999999999999</v>
      </c>
      <c r="S252" s="185">
        <f t="shared" ref="S252:S315" si="390">+S251</f>
        <v>188.55</v>
      </c>
      <c r="T252" s="185">
        <f t="shared" si="387"/>
        <v>6913.97</v>
      </c>
      <c r="U252" s="185">
        <f t="shared" si="337"/>
        <v>146110.56999999998</v>
      </c>
      <c r="V252" s="185">
        <f t="shared" si="338"/>
        <v>1416015.6799999988</v>
      </c>
      <c r="W252" s="185">
        <f t="shared" si="295"/>
        <v>444514.43000000023</v>
      </c>
      <c r="X252" s="401" t="str">
        <f t="shared" si="329"/>
        <v xml:space="preserve"> </v>
      </c>
      <c r="Y252" s="185">
        <f t="shared" si="296"/>
        <v>4999819.53</v>
      </c>
      <c r="Z252" s="393">
        <f t="shared" si="321"/>
        <v>0.13125000000000001</v>
      </c>
      <c r="AA252" s="185">
        <f t="shared" si="322"/>
        <v>2810.15</v>
      </c>
      <c r="AB252" s="185">
        <f t="shared" si="297"/>
        <v>-51875.38</v>
      </c>
      <c r="AC252" s="185">
        <f t="shared" si="323"/>
        <v>54685.53</v>
      </c>
      <c r="AD252" s="185">
        <f t="shared" ref="AD252:AE252" si="391">+AD251</f>
        <v>134.16999999999999</v>
      </c>
      <c r="AE252" s="185">
        <f t="shared" si="391"/>
        <v>188.55</v>
      </c>
      <c r="AF252" s="185">
        <f t="shared" si="299"/>
        <v>3132.8700000000017</v>
      </c>
      <c r="AG252" s="185">
        <f t="shared" si="300"/>
        <v>-4065594.9099999992</v>
      </c>
      <c r="AH252" s="185">
        <f t="shared" si="301"/>
        <v>5109743.2599999988</v>
      </c>
      <c r="AI252" s="411">
        <f t="shared" ref="AI252:AI315" si="392">O252-AA252+AI251</f>
        <v>517977.89999999886</v>
      </c>
      <c r="AJ252" s="411">
        <f t="shared" si="350"/>
        <v>-4607180.4799999995</v>
      </c>
      <c r="AK252" s="411">
        <f t="shared" ref="AK252:AK315" si="393">SUM(AI252:AJ252)</f>
        <v>-4089202.5800000005</v>
      </c>
      <c r="AL252" s="185">
        <f t="shared" si="302"/>
        <v>5051694.91</v>
      </c>
      <c r="AM252" s="317">
        <f t="shared" si="331"/>
        <v>19</v>
      </c>
      <c r="AN252" s="14">
        <f t="shared" ref="AN252:AN315" si="394">IF(O252=0,0,+O252-C252)</f>
        <v>6591.25</v>
      </c>
      <c r="AO252" s="14">
        <f t="shared" si="369"/>
        <v>839989.43</v>
      </c>
      <c r="AP252" s="14">
        <f t="shared" ref="AP252:AP315" si="395">IF($O252=0,0,+AA252-$C252)</f>
        <v>2810.15</v>
      </c>
      <c r="AS252" s="14">
        <f t="shared" si="325"/>
        <v>6591.25</v>
      </c>
      <c r="AT252" s="14">
        <f t="shared" si="332"/>
        <v>1561645.69</v>
      </c>
      <c r="AU252" s="185">
        <f t="shared" si="333"/>
        <v>2668.3955073573738</v>
      </c>
      <c r="AV252" s="185">
        <f t="shared" si="334"/>
        <v>479401.59845030686</v>
      </c>
    </row>
    <row r="253" spans="1:48">
      <c r="A253" s="401" t="str">
        <f t="shared" si="289"/>
        <v xml:space="preserve"> </v>
      </c>
      <c r="B253" s="185">
        <f t="shared" si="326"/>
        <v>0</v>
      </c>
      <c r="C253" s="14">
        <f t="shared" si="319"/>
        <v>0</v>
      </c>
      <c r="D253" s="14">
        <f t="shared" si="335"/>
        <v>0</v>
      </c>
      <c r="E253" s="14">
        <f t="shared" si="320"/>
        <v>0</v>
      </c>
      <c r="F253" s="14">
        <f t="shared" si="386"/>
        <v>0</v>
      </c>
      <c r="G253" s="14">
        <f t="shared" si="383"/>
        <v>0</v>
      </c>
      <c r="H253" s="14">
        <f t="shared" si="384"/>
        <v>0</v>
      </c>
      <c r="I253" s="185">
        <f t="shared" si="290"/>
        <v>0</v>
      </c>
      <c r="J253" s="185">
        <f t="shared" si="291"/>
        <v>0</v>
      </c>
      <c r="K253" s="185">
        <f t="shared" si="292"/>
        <v>0</v>
      </c>
      <c r="L253" s="317">
        <f t="shared" si="371"/>
        <v>19</v>
      </c>
      <c r="M253" s="317">
        <f t="shared" si="327"/>
        <v>237</v>
      </c>
      <c r="N253" s="185">
        <f t="shared" si="328"/>
        <v>444514.43000000023</v>
      </c>
      <c r="O253" s="185">
        <f t="shared" si="293"/>
        <v>6591.25</v>
      </c>
      <c r="P253" s="185">
        <f t="shared" si="336"/>
        <v>1729.37</v>
      </c>
      <c r="Q253" s="185">
        <f t="shared" si="294"/>
        <v>4861.88</v>
      </c>
      <c r="R253" s="185">
        <f t="shared" si="389"/>
        <v>134.16999999999999</v>
      </c>
      <c r="S253" s="185">
        <f t="shared" si="390"/>
        <v>188.55</v>
      </c>
      <c r="T253" s="185">
        <f t="shared" si="387"/>
        <v>6913.97</v>
      </c>
      <c r="U253" s="185">
        <f t="shared" si="337"/>
        <v>147839.93999999997</v>
      </c>
      <c r="V253" s="185">
        <f t="shared" si="338"/>
        <v>1420877.5599999987</v>
      </c>
      <c r="W253" s="185">
        <f t="shared" si="295"/>
        <v>442785.06000000023</v>
      </c>
      <c r="X253" s="401" t="str">
        <f t="shared" si="329"/>
        <v xml:space="preserve"> </v>
      </c>
      <c r="Y253" s="185">
        <f t="shared" si="296"/>
        <v>5051694.91</v>
      </c>
      <c r="Z253" s="393">
        <f t="shared" si="321"/>
        <v>0.13125000000000001</v>
      </c>
      <c r="AA253" s="185">
        <f t="shared" si="322"/>
        <v>2810.15</v>
      </c>
      <c r="AB253" s="185">
        <f t="shared" si="297"/>
        <v>-52442.76</v>
      </c>
      <c r="AC253" s="185">
        <f t="shared" si="323"/>
        <v>55252.91</v>
      </c>
      <c r="AD253" s="185">
        <f t="shared" ref="AD253:AE253" si="396">+AD252</f>
        <v>134.16999999999999</v>
      </c>
      <c r="AE253" s="185">
        <f t="shared" si="396"/>
        <v>188.55</v>
      </c>
      <c r="AF253" s="185">
        <f t="shared" si="299"/>
        <v>3132.8700000000017</v>
      </c>
      <c r="AG253" s="185">
        <f t="shared" si="300"/>
        <v>-4118037.669999999</v>
      </c>
      <c r="AH253" s="185">
        <f t="shared" si="301"/>
        <v>5164996.169999999</v>
      </c>
      <c r="AI253" s="411">
        <f t="shared" si="392"/>
        <v>521758.99999999884</v>
      </c>
      <c r="AJ253" s="411">
        <f t="shared" si="350"/>
        <v>-4661352.6099999994</v>
      </c>
      <c r="AK253" s="411">
        <f t="shared" si="393"/>
        <v>-4139593.6100000003</v>
      </c>
      <c r="AL253" s="185">
        <f t="shared" si="302"/>
        <v>5104137.67</v>
      </c>
      <c r="AM253" s="317">
        <f t="shared" si="331"/>
        <v>19</v>
      </c>
      <c r="AN253" s="14">
        <f t="shared" si="394"/>
        <v>6591.25</v>
      </c>
      <c r="AO253" s="14">
        <f t="shared" si="369"/>
        <v>838260.06</v>
      </c>
      <c r="AP253" s="14">
        <f t="shared" si="395"/>
        <v>2810.15</v>
      </c>
      <c r="AS253" s="14">
        <f t="shared" si="325"/>
        <v>6591.25</v>
      </c>
      <c r="AT253" s="14">
        <f t="shared" si="332"/>
        <v>1568236.94</v>
      </c>
      <c r="AU253" s="185">
        <f t="shared" si="333"/>
        <v>2675.0664961257667</v>
      </c>
      <c r="AV253" s="185">
        <f t="shared" si="334"/>
        <v>482076.66494643263</v>
      </c>
    </row>
    <row r="254" spans="1:48" ht="15.75" thickBot="1">
      <c r="A254" s="404" t="str">
        <f t="shared" ref="A254:A314" si="397">IF(K254&lt;=0," ",+A253+30)</f>
        <v xml:space="preserve"> </v>
      </c>
      <c r="B254" s="237">
        <f t="shared" si="326"/>
        <v>0</v>
      </c>
      <c r="C254" s="21">
        <f t="shared" si="319"/>
        <v>0</v>
      </c>
      <c r="D254" s="21">
        <f t="shared" si="335"/>
        <v>0</v>
      </c>
      <c r="E254" s="21">
        <f t="shared" si="320"/>
        <v>0</v>
      </c>
      <c r="F254" s="21">
        <f t="shared" si="386"/>
        <v>0</v>
      </c>
      <c r="G254" s="21">
        <f t="shared" si="383"/>
        <v>0</v>
      </c>
      <c r="H254" s="21">
        <f t="shared" si="384"/>
        <v>0</v>
      </c>
      <c r="I254" s="237">
        <f t="shared" ref="I254:I314" si="398">$D254+$I253</f>
        <v>0</v>
      </c>
      <c r="J254" s="237">
        <f t="shared" ref="J254:J314" si="399">$E254+$J253</f>
        <v>0</v>
      </c>
      <c r="K254" s="237">
        <f t="shared" ref="K254:K314" si="400">+B254-D254</f>
        <v>0</v>
      </c>
      <c r="L254" s="318">
        <f t="shared" si="371"/>
        <v>19</v>
      </c>
      <c r="M254" s="318">
        <f t="shared" si="327"/>
        <v>238</v>
      </c>
      <c r="N254" s="237">
        <f t="shared" si="328"/>
        <v>442785.06000000023</v>
      </c>
      <c r="O254" s="237">
        <f t="shared" ref="O254:O317" si="401">IF($O$9&lt;=A254,IF(+$W253&lt;=0,0,$O$8),0)</f>
        <v>6591.25</v>
      </c>
      <c r="P254" s="237">
        <f t="shared" si="336"/>
        <v>1748.29</v>
      </c>
      <c r="Q254" s="237">
        <f t="shared" ref="Q254:Q317" si="402">IF($O$9&lt;=A254,ROUND(N254*($O$6/12),2),0)</f>
        <v>4842.96</v>
      </c>
      <c r="R254" s="237">
        <f t="shared" si="389"/>
        <v>134.16999999999999</v>
      </c>
      <c r="S254" s="237">
        <f t="shared" si="390"/>
        <v>188.55</v>
      </c>
      <c r="T254" s="237">
        <f t="shared" si="387"/>
        <v>6913.97</v>
      </c>
      <c r="U254" s="237">
        <f t="shared" si="337"/>
        <v>149588.22999999998</v>
      </c>
      <c r="V254" s="237">
        <f t="shared" si="338"/>
        <v>1425720.5199999986</v>
      </c>
      <c r="W254" s="237">
        <f t="shared" ref="W254:W314" si="403">+N254-P254</f>
        <v>441036.77000000025</v>
      </c>
      <c r="X254" s="404" t="str">
        <f t="shared" si="329"/>
        <v xml:space="preserve"> </v>
      </c>
      <c r="Y254" s="237">
        <f t="shared" ref="Y254:Y317" si="404">IF(+AL253&lt;0,0,+AL253)</f>
        <v>5104137.67</v>
      </c>
      <c r="Z254" s="394">
        <f t="shared" si="321"/>
        <v>0.13125000000000001</v>
      </c>
      <c r="AA254" s="237">
        <f t="shared" si="322"/>
        <v>2810.15</v>
      </c>
      <c r="AB254" s="237">
        <f t="shared" ref="AB254:AB317" si="405">+AA254-AC254</f>
        <v>-53016.36</v>
      </c>
      <c r="AC254" s="237">
        <f t="shared" si="323"/>
        <v>55826.51</v>
      </c>
      <c r="AD254" s="237">
        <f t="shared" ref="AD254:AE254" si="406">+AD253</f>
        <v>134.16999999999999</v>
      </c>
      <c r="AE254" s="237">
        <f t="shared" si="406"/>
        <v>188.55</v>
      </c>
      <c r="AF254" s="237">
        <f t="shared" ref="AF254:AF317" si="407">SUM(AB254:AE254)</f>
        <v>3132.8700000000017</v>
      </c>
      <c r="AG254" s="237">
        <f t="shared" ref="AG254:AG317" si="408">+AB254+AG253</f>
        <v>-4171054.0299999989</v>
      </c>
      <c r="AH254" s="237">
        <f t="shared" ref="AH254:AH317" si="409">+AH253+AC254</f>
        <v>5220822.6799999988</v>
      </c>
      <c r="AI254" s="412">
        <f t="shared" si="392"/>
        <v>525540.09999999881</v>
      </c>
      <c r="AJ254" s="412">
        <f t="shared" si="350"/>
        <v>-4716117.26</v>
      </c>
      <c r="AK254" s="411">
        <f t="shared" si="393"/>
        <v>-4190577.1600000011</v>
      </c>
      <c r="AL254" s="237">
        <f t="shared" ref="AL254:AL317" si="410">+Y254-AB254</f>
        <v>5157154.03</v>
      </c>
      <c r="AM254" s="318">
        <f t="shared" si="331"/>
        <v>19</v>
      </c>
      <c r="AN254" s="21">
        <f t="shared" si="394"/>
        <v>6591.25</v>
      </c>
      <c r="AO254" s="21">
        <f t="shared" si="369"/>
        <v>836511.77</v>
      </c>
      <c r="AP254" s="21">
        <f t="shared" si="395"/>
        <v>2810.15</v>
      </c>
      <c r="AQ254" s="21"/>
      <c r="AR254" s="23"/>
      <c r="AS254" s="21">
        <f t="shared" si="325"/>
        <v>6591.25</v>
      </c>
      <c r="AT254" s="21">
        <f t="shared" si="332"/>
        <v>1574828.19</v>
      </c>
      <c r="AU254" s="237">
        <f t="shared" si="333"/>
        <v>2681.7541623660813</v>
      </c>
      <c r="AV254" s="237">
        <f t="shared" si="334"/>
        <v>484758.41910879873</v>
      </c>
    </row>
    <row r="255" spans="1:48">
      <c r="A255" s="401" t="str">
        <f t="shared" si="397"/>
        <v xml:space="preserve"> </v>
      </c>
      <c r="B255" s="185">
        <f t="shared" si="326"/>
        <v>0</v>
      </c>
      <c r="C255" s="14">
        <f t="shared" si="319"/>
        <v>0</v>
      </c>
      <c r="D255" s="14">
        <f t="shared" si="335"/>
        <v>0</v>
      </c>
      <c r="E255" s="14">
        <f t="shared" si="320"/>
        <v>0</v>
      </c>
      <c r="F255" s="14">
        <f t="shared" si="386"/>
        <v>0</v>
      </c>
      <c r="G255" s="14">
        <f t="shared" si="383"/>
        <v>0</v>
      </c>
      <c r="H255" s="14">
        <f t="shared" si="384"/>
        <v>0</v>
      </c>
      <c r="I255" s="185">
        <f t="shared" si="398"/>
        <v>0</v>
      </c>
      <c r="J255" s="185">
        <f t="shared" si="399"/>
        <v>0</v>
      </c>
      <c r="K255" s="185">
        <f t="shared" si="400"/>
        <v>0</v>
      </c>
      <c r="L255" s="317">
        <f t="shared" si="371"/>
        <v>19</v>
      </c>
      <c r="M255" s="317">
        <f t="shared" si="327"/>
        <v>239</v>
      </c>
      <c r="N255" s="185">
        <f t="shared" si="328"/>
        <v>441036.77000000025</v>
      </c>
      <c r="O255" s="185">
        <f t="shared" si="401"/>
        <v>6591.25</v>
      </c>
      <c r="P255" s="185">
        <f t="shared" si="336"/>
        <v>1767.4099999999999</v>
      </c>
      <c r="Q255" s="185">
        <f t="shared" si="402"/>
        <v>4823.84</v>
      </c>
      <c r="R255" s="185">
        <f t="shared" si="389"/>
        <v>134.16999999999999</v>
      </c>
      <c r="S255" s="185">
        <f t="shared" si="390"/>
        <v>188.55</v>
      </c>
      <c r="T255" s="185">
        <f t="shared" si="387"/>
        <v>6913.97</v>
      </c>
      <c r="U255" s="185">
        <f t="shared" si="337"/>
        <v>151355.63999999998</v>
      </c>
      <c r="V255" s="185">
        <f t="shared" si="338"/>
        <v>1430544.3599999987</v>
      </c>
      <c r="W255" s="185">
        <f t="shared" si="403"/>
        <v>439269.36000000028</v>
      </c>
      <c r="X255" s="401" t="str">
        <f t="shared" si="329"/>
        <v xml:space="preserve"> </v>
      </c>
      <c r="Y255" s="185">
        <f t="shared" si="404"/>
        <v>5157154.03</v>
      </c>
      <c r="Z255" s="393">
        <f t="shared" si="321"/>
        <v>0.13125000000000001</v>
      </c>
      <c r="AA255" s="185">
        <f t="shared" si="322"/>
        <v>2810.15</v>
      </c>
      <c r="AB255" s="185">
        <f t="shared" si="405"/>
        <v>-53596.22</v>
      </c>
      <c r="AC255" s="185">
        <f t="shared" si="323"/>
        <v>56406.37</v>
      </c>
      <c r="AD255" s="185">
        <f t="shared" ref="AD255:AE255" si="411">+AD254</f>
        <v>134.16999999999999</v>
      </c>
      <c r="AE255" s="185">
        <f t="shared" si="411"/>
        <v>188.55</v>
      </c>
      <c r="AF255" s="185">
        <f t="shared" si="407"/>
        <v>3132.8700000000017</v>
      </c>
      <c r="AG255" s="185">
        <f t="shared" si="408"/>
        <v>-4224650.2499999991</v>
      </c>
      <c r="AH255" s="185">
        <f t="shared" si="409"/>
        <v>5277229.0499999989</v>
      </c>
      <c r="AI255" s="411">
        <f t="shared" si="392"/>
        <v>529321.19999999879</v>
      </c>
      <c r="AJ255" s="411">
        <f t="shared" si="350"/>
        <v>-4771480.8899999997</v>
      </c>
      <c r="AK255" s="411">
        <f t="shared" si="393"/>
        <v>-4242159.6900000013</v>
      </c>
      <c r="AL255" s="185">
        <f t="shared" si="410"/>
        <v>5210750.25</v>
      </c>
      <c r="AM255" s="317">
        <f t="shared" si="331"/>
        <v>19</v>
      </c>
      <c r="AN255" s="14">
        <f t="shared" si="394"/>
        <v>6591.25</v>
      </c>
      <c r="AO255" s="14">
        <f t="shared" si="369"/>
        <v>834744.36</v>
      </c>
      <c r="AP255" s="14">
        <f t="shared" si="395"/>
        <v>2810.15</v>
      </c>
      <c r="AS255" s="14">
        <f t="shared" si="325"/>
        <v>6591.25</v>
      </c>
      <c r="AT255" s="14">
        <f t="shared" si="332"/>
        <v>1581419.44</v>
      </c>
      <c r="AU255" s="185">
        <f t="shared" si="333"/>
        <v>2688.458547771997</v>
      </c>
      <c r="AV255" s="185">
        <f t="shared" si="334"/>
        <v>487446.87765657075</v>
      </c>
    </row>
    <row r="256" spans="1:48">
      <c r="A256" s="401" t="str">
        <f t="shared" si="397"/>
        <v xml:space="preserve"> </v>
      </c>
      <c r="B256" s="185">
        <f t="shared" si="326"/>
        <v>0</v>
      </c>
      <c r="C256" s="14">
        <f t="shared" si="319"/>
        <v>0</v>
      </c>
      <c r="D256" s="14">
        <f t="shared" si="335"/>
        <v>0</v>
      </c>
      <c r="E256" s="14">
        <f t="shared" si="320"/>
        <v>0</v>
      </c>
      <c r="F256" s="14">
        <f t="shared" si="386"/>
        <v>0</v>
      </c>
      <c r="G256" s="14">
        <f t="shared" si="383"/>
        <v>0</v>
      </c>
      <c r="H256" s="14">
        <f t="shared" si="384"/>
        <v>0</v>
      </c>
      <c r="I256" s="185">
        <f t="shared" si="398"/>
        <v>0</v>
      </c>
      <c r="J256" s="185">
        <f t="shared" si="399"/>
        <v>0</v>
      </c>
      <c r="K256" s="185">
        <f t="shared" si="400"/>
        <v>0</v>
      </c>
      <c r="L256" s="317">
        <f t="shared" si="371"/>
        <v>20</v>
      </c>
      <c r="M256" s="317">
        <f t="shared" si="327"/>
        <v>240</v>
      </c>
      <c r="N256" s="185">
        <f t="shared" si="328"/>
        <v>439269.36000000028</v>
      </c>
      <c r="O256" s="185">
        <f t="shared" si="401"/>
        <v>6591.25</v>
      </c>
      <c r="P256" s="185">
        <f t="shared" si="336"/>
        <v>1786.7399999999998</v>
      </c>
      <c r="Q256" s="185">
        <f t="shared" si="402"/>
        <v>4804.51</v>
      </c>
      <c r="R256" s="185">
        <f t="shared" si="389"/>
        <v>134.16999999999999</v>
      </c>
      <c r="S256" s="185">
        <f t="shared" si="390"/>
        <v>188.55</v>
      </c>
      <c r="T256" s="185">
        <f t="shared" si="387"/>
        <v>6913.97</v>
      </c>
      <c r="U256" s="185">
        <f t="shared" si="337"/>
        <v>153142.37999999998</v>
      </c>
      <c r="V256" s="185">
        <f t="shared" si="338"/>
        <v>1435348.8699999987</v>
      </c>
      <c r="W256" s="185">
        <f t="shared" si="403"/>
        <v>437482.62000000029</v>
      </c>
      <c r="X256" s="401" t="str">
        <f t="shared" si="329"/>
        <v xml:space="preserve"> </v>
      </c>
      <c r="Y256" s="185">
        <f t="shared" si="404"/>
        <v>5210750.25</v>
      </c>
      <c r="Z256" s="393">
        <f t="shared" si="321"/>
        <v>0.13125000000000001</v>
      </c>
      <c r="AA256" s="185">
        <f t="shared" si="322"/>
        <v>2810.15</v>
      </c>
      <c r="AB256" s="185">
        <f t="shared" si="405"/>
        <v>-54182.43</v>
      </c>
      <c r="AC256" s="185">
        <f t="shared" si="323"/>
        <v>56992.58</v>
      </c>
      <c r="AD256" s="185">
        <f t="shared" ref="AD256:AE256" si="412">+AD255</f>
        <v>134.16999999999999</v>
      </c>
      <c r="AE256" s="185">
        <f t="shared" si="412"/>
        <v>188.55</v>
      </c>
      <c r="AF256" s="185">
        <f t="shared" si="407"/>
        <v>3132.8700000000017</v>
      </c>
      <c r="AG256" s="185">
        <f t="shared" si="408"/>
        <v>-4278832.6799999988</v>
      </c>
      <c r="AH256" s="185">
        <f t="shared" si="409"/>
        <v>5334221.629999999</v>
      </c>
      <c r="AI256" s="411">
        <f t="shared" si="392"/>
        <v>533102.29999999877</v>
      </c>
      <c r="AJ256" s="411">
        <f t="shared" si="350"/>
        <v>-4827450.0599999996</v>
      </c>
      <c r="AK256" s="411">
        <f t="shared" si="393"/>
        <v>-4294347.7600000007</v>
      </c>
      <c r="AL256" s="185">
        <f t="shared" si="410"/>
        <v>5264932.68</v>
      </c>
      <c r="AM256" s="317">
        <f t="shared" si="331"/>
        <v>20</v>
      </c>
      <c r="AN256" s="14">
        <f t="shared" si="394"/>
        <v>6591.25</v>
      </c>
      <c r="AO256" s="14">
        <f t="shared" si="369"/>
        <v>832957.62</v>
      </c>
      <c r="AP256" s="14">
        <f t="shared" si="395"/>
        <v>2810.15</v>
      </c>
      <c r="AS256" s="14">
        <f t="shared" si="325"/>
        <v>6591.25</v>
      </c>
      <c r="AT256" s="14">
        <f t="shared" si="332"/>
        <v>1588010.69</v>
      </c>
      <c r="AU256" s="185">
        <f t="shared" si="333"/>
        <v>2695.1796941414264</v>
      </c>
      <c r="AV256" s="185">
        <f t="shared" si="334"/>
        <v>490142.05735071219</v>
      </c>
    </row>
    <row r="257" spans="1:48">
      <c r="A257" s="401" t="str">
        <f t="shared" si="397"/>
        <v xml:space="preserve"> </v>
      </c>
      <c r="B257" s="185">
        <f t="shared" si="326"/>
        <v>0</v>
      </c>
      <c r="C257" s="14">
        <f t="shared" si="319"/>
        <v>0</v>
      </c>
      <c r="D257" s="14">
        <f t="shared" si="335"/>
        <v>0</v>
      </c>
      <c r="E257" s="14">
        <f t="shared" si="320"/>
        <v>0</v>
      </c>
      <c r="F257" s="14">
        <f t="shared" si="386"/>
        <v>0</v>
      </c>
      <c r="G257" s="14">
        <f t="shared" si="383"/>
        <v>0</v>
      </c>
      <c r="H257" s="14">
        <f t="shared" si="384"/>
        <v>0</v>
      </c>
      <c r="I257" s="185">
        <f t="shared" si="398"/>
        <v>0</v>
      </c>
      <c r="J257" s="185">
        <f t="shared" si="399"/>
        <v>0</v>
      </c>
      <c r="K257" s="185">
        <f t="shared" si="400"/>
        <v>0</v>
      </c>
      <c r="L257" s="317">
        <f t="shared" si="371"/>
        <v>20</v>
      </c>
      <c r="M257" s="317">
        <f t="shared" si="327"/>
        <v>241</v>
      </c>
      <c r="N257" s="185">
        <f t="shared" si="328"/>
        <v>437482.62000000029</v>
      </c>
      <c r="O257" s="185">
        <f t="shared" si="401"/>
        <v>6591.25</v>
      </c>
      <c r="P257" s="185">
        <f t="shared" si="336"/>
        <v>1806.2799999999997</v>
      </c>
      <c r="Q257" s="185">
        <f t="shared" si="402"/>
        <v>4784.97</v>
      </c>
      <c r="R257" s="185">
        <f t="shared" si="389"/>
        <v>134.16999999999999</v>
      </c>
      <c r="S257" s="185">
        <f t="shared" si="390"/>
        <v>188.55</v>
      </c>
      <c r="T257" s="185">
        <f t="shared" si="387"/>
        <v>6913.97</v>
      </c>
      <c r="U257" s="185">
        <f t="shared" si="337"/>
        <v>154948.65999999997</v>
      </c>
      <c r="V257" s="185">
        <f t="shared" si="338"/>
        <v>1440133.8399999987</v>
      </c>
      <c r="W257" s="185">
        <f t="shared" si="403"/>
        <v>435676.34000000026</v>
      </c>
      <c r="X257" s="401" t="str">
        <f t="shared" si="329"/>
        <v xml:space="preserve"> </v>
      </c>
      <c r="Y257" s="185">
        <f t="shared" si="404"/>
        <v>5264932.68</v>
      </c>
      <c r="Z257" s="393">
        <f t="shared" si="321"/>
        <v>0.13125000000000001</v>
      </c>
      <c r="AA257" s="185">
        <f t="shared" si="322"/>
        <v>2810.15</v>
      </c>
      <c r="AB257" s="185">
        <f t="shared" si="405"/>
        <v>-54775.049999999996</v>
      </c>
      <c r="AC257" s="185">
        <f t="shared" si="323"/>
        <v>57585.2</v>
      </c>
      <c r="AD257" s="185">
        <f t="shared" ref="AD257:AE257" si="413">+AD256</f>
        <v>134.16999999999999</v>
      </c>
      <c r="AE257" s="185">
        <f t="shared" si="413"/>
        <v>188.55</v>
      </c>
      <c r="AF257" s="185">
        <f t="shared" si="407"/>
        <v>3132.8700000000017</v>
      </c>
      <c r="AG257" s="185">
        <f t="shared" si="408"/>
        <v>-4333607.7299999986</v>
      </c>
      <c r="AH257" s="185">
        <f t="shared" si="409"/>
        <v>5391806.8299999991</v>
      </c>
      <c r="AI257" s="411">
        <f t="shared" si="392"/>
        <v>536883.39999999874</v>
      </c>
      <c r="AJ257" s="411">
        <f t="shared" si="350"/>
        <v>-4884031.3899999997</v>
      </c>
      <c r="AK257" s="411">
        <f t="shared" si="393"/>
        <v>-4347147.9900000012</v>
      </c>
      <c r="AL257" s="185">
        <f t="shared" si="410"/>
        <v>5319707.7299999995</v>
      </c>
      <c r="AM257" s="317">
        <f t="shared" si="331"/>
        <v>20</v>
      </c>
      <c r="AN257" s="14">
        <f t="shared" si="394"/>
        <v>6591.25</v>
      </c>
      <c r="AO257" s="14">
        <f t="shared" si="369"/>
        <v>831151.34000000008</v>
      </c>
      <c r="AP257" s="14">
        <f t="shared" si="395"/>
        <v>2810.15</v>
      </c>
      <c r="AS257" s="14">
        <f t="shared" si="325"/>
        <v>6591.25</v>
      </c>
      <c r="AT257" s="14">
        <f t="shared" si="332"/>
        <v>1594601.94</v>
      </c>
      <c r="AU257" s="185">
        <f t="shared" si="333"/>
        <v>2701.9176433767802</v>
      </c>
      <c r="AV257" s="185">
        <f t="shared" si="334"/>
        <v>492843.97499408899</v>
      </c>
    </row>
    <row r="258" spans="1:48">
      <c r="A258" s="401" t="str">
        <f t="shared" si="397"/>
        <v xml:space="preserve"> </v>
      </c>
      <c r="B258" s="185">
        <f t="shared" si="326"/>
        <v>0</v>
      </c>
      <c r="C258" s="14">
        <f t="shared" si="319"/>
        <v>0</v>
      </c>
      <c r="D258" s="14">
        <f t="shared" si="335"/>
        <v>0</v>
      </c>
      <c r="E258" s="14">
        <f t="shared" si="320"/>
        <v>0</v>
      </c>
      <c r="F258" s="14">
        <f t="shared" si="386"/>
        <v>0</v>
      </c>
      <c r="G258" s="14">
        <f t="shared" si="383"/>
        <v>0</v>
      </c>
      <c r="H258" s="14">
        <f t="shared" si="384"/>
        <v>0</v>
      </c>
      <c r="I258" s="185">
        <f t="shared" si="398"/>
        <v>0</v>
      </c>
      <c r="J258" s="185">
        <f t="shared" si="399"/>
        <v>0</v>
      </c>
      <c r="K258" s="185">
        <f t="shared" si="400"/>
        <v>0</v>
      </c>
      <c r="L258" s="317">
        <f t="shared" si="371"/>
        <v>20</v>
      </c>
      <c r="M258" s="317">
        <f t="shared" si="327"/>
        <v>242</v>
      </c>
      <c r="N258" s="185">
        <f t="shared" si="328"/>
        <v>435676.34000000026</v>
      </c>
      <c r="O258" s="185">
        <f t="shared" si="401"/>
        <v>6591.25</v>
      </c>
      <c r="P258" s="185">
        <f t="shared" si="336"/>
        <v>1826.04</v>
      </c>
      <c r="Q258" s="185">
        <f t="shared" si="402"/>
        <v>4765.21</v>
      </c>
      <c r="R258" s="185">
        <f t="shared" si="389"/>
        <v>134.16999999999999</v>
      </c>
      <c r="S258" s="185">
        <f t="shared" si="390"/>
        <v>188.55</v>
      </c>
      <c r="T258" s="185">
        <f t="shared" si="387"/>
        <v>6913.97</v>
      </c>
      <c r="U258" s="185">
        <f t="shared" si="337"/>
        <v>156774.69999999998</v>
      </c>
      <c r="V258" s="185">
        <f t="shared" si="338"/>
        <v>1444899.0499999986</v>
      </c>
      <c r="W258" s="185">
        <f t="shared" si="403"/>
        <v>433850.30000000028</v>
      </c>
      <c r="X258" s="401" t="str">
        <f t="shared" si="329"/>
        <v xml:space="preserve"> </v>
      </c>
      <c r="Y258" s="185">
        <f t="shared" si="404"/>
        <v>5319707.7299999995</v>
      </c>
      <c r="Z258" s="393">
        <f t="shared" si="321"/>
        <v>0.13125000000000001</v>
      </c>
      <c r="AA258" s="185">
        <f t="shared" si="322"/>
        <v>2810.15</v>
      </c>
      <c r="AB258" s="185">
        <f t="shared" si="405"/>
        <v>-55374.15</v>
      </c>
      <c r="AC258" s="185">
        <f t="shared" si="323"/>
        <v>58184.3</v>
      </c>
      <c r="AD258" s="185">
        <f t="shared" ref="AD258:AE258" si="414">+AD257</f>
        <v>134.16999999999999</v>
      </c>
      <c r="AE258" s="185">
        <f t="shared" si="414"/>
        <v>188.55</v>
      </c>
      <c r="AF258" s="185">
        <f t="shared" si="407"/>
        <v>3132.8700000000017</v>
      </c>
      <c r="AG258" s="185">
        <f t="shared" si="408"/>
        <v>-4388981.879999999</v>
      </c>
      <c r="AH258" s="185">
        <f t="shared" si="409"/>
        <v>5449991.129999999</v>
      </c>
      <c r="AI258" s="411">
        <f t="shared" si="392"/>
        <v>540664.49999999872</v>
      </c>
      <c r="AJ258" s="411">
        <f t="shared" si="350"/>
        <v>-4941231.58</v>
      </c>
      <c r="AK258" s="411">
        <f t="shared" si="393"/>
        <v>-4400567.080000001</v>
      </c>
      <c r="AL258" s="185">
        <f t="shared" si="410"/>
        <v>5375081.8799999999</v>
      </c>
      <c r="AM258" s="317">
        <f t="shared" si="331"/>
        <v>20</v>
      </c>
      <c r="AN258" s="14">
        <f t="shared" si="394"/>
        <v>6591.25</v>
      </c>
      <c r="AO258" s="14">
        <f t="shared" si="369"/>
        <v>829325.3</v>
      </c>
      <c r="AP258" s="14">
        <f t="shared" si="395"/>
        <v>2810.15</v>
      </c>
      <c r="AS258" s="14">
        <f t="shared" si="325"/>
        <v>6591.25</v>
      </c>
      <c r="AT258" s="14">
        <f t="shared" si="332"/>
        <v>1601193.19</v>
      </c>
      <c r="AU258" s="185">
        <f t="shared" si="333"/>
        <v>2708.6724374852224</v>
      </c>
      <c r="AV258" s="185">
        <f t="shared" si="334"/>
        <v>495552.64743157424</v>
      </c>
    </row>
    <row r="259" spans="1:48">
      <c r="A259" s="401" t="str">
        <f t="shared" si="397"/>
        <v xml:space="preserve"> </v>
      </c>
      <c r="B259" s="185">
        <f t="shared" si="326"/>
        <v>0</v>
      </c>
      <c r="C259" s="14">
        <f t="shared" si="319"/>
        <v>0</v>
      </c>
      <c r="D259" s="14">
        <f t="shared" si="335"/>
        <v>0</v>
      </c>
      <c r="E259" s="14">
        <f t="shared" si="320"/>
        <v>0</v>
      </c>
      <c r="F259" s="14">
        <f t="shared" si="386"/>
        <v>0</v>
      </c>
      <c r="G259" s="14">
        <f t="shared" si="383"/>
        <v>0</v>
      </c>
      <c r="H259" s="14">
        <f t="shared" si="384"/>
        <v>0</v>
      </c>
      <c r="I259" s="185">
        <f t="shared" si="398"/>
        <v>0</v>
      </c>
      <c r="J259" s="185">
        <f t="shared" si="399"/>
        <v>0</v>
      </c>
      <c r="K259" s="185">
        <f t="shared" si="400"/>
        <v>0</v>
      </c>
      <c r="L259" s="317">
        <f t="shared" si="371"/>
        <v>20</v>
      </c>
      <c r="M259" s="317">
        <f t="shared" si="327"/>
        <v>243</v>
      </c>
      <c r="N259" s="185">
        <f t="shared" si="328"/>
        <v>433850.30000000028</v>
      </c>
      <c r="O259" s="185">
        <f t="shared" si="401"/>
        <v>6591.25</v>
      </c>
      <c r="P259" s="185">
        <f t="shared" si="336"/>
        <v>1846.0100000000002</v>
      </c>
      <c r="Q259" s="185">
        <f t="shared" si="402"/>
        <v>4745.24</v>
      </c>
      <c r="R259" s="185">
        <f t="shared" si="389"/>
        <v>134.16999999999999</v>
      </c>
      <c r="S259" s="185">
        <f t="shared" si="390"/>
        <v>188.55</v>
      </c>
      <c r="T259" s="185">
        <f t="shared" si="387"/>
        <v>6913.97</v>
      </c>
      <c r="U259" s="185">
        <f t="shared" si="337"/>
        <v>158620.71</v>
      </c>
      <c r="V259" s="185">
        <f t="shared" si="338"/>
        <v>1449644.2899999986</v>
      </c>
      <c r="W259" s="185">
        <f t="shared" si="403"/>
        <v>432004.29000000027</v>
      </c>
      <c r="X259" s="401" t="str">
        <f t="shared" si="329"/>
        <v xml:space="preserve"> </v>
      </c>
      <c r="Y259" s="185">
        <f t="shared" si="404"/>
        <v>5375081.8799999999</v>
      </c>
      <c r="Z259" s="393">
        <f t="shared" si="321"/>
        <v>0.13125000000000001</v>
      </c>
      <c r="AA259" s="185">
        <f t="shared" si="322"/>
        <v>2810.15</v>
      </c>
      <c r="AB259" s="185">
        <f t="shared" si="405"/>
        <v>-55979.81</v>
      </c>
      <c r="AC259" s="185">
        <f t="shared" si="323"/>
        <v>58789.96</v>
      </c>
      <c r="AD259" s="185">
        <f t="shared" ref="AD259:AE259" si="415">+AD258</f>
        <v>134.16999999999999</v>
      </c>
      <c r="AE259" s="185">
        <f t="shared" si="415"/>
        <v>188.55</v>
      </c>
      <c r="AF259" s="185">
        <f t="shared" si="407"/>
        <v>3132.8700000000017</v>
      </c>
      <c r="AG259" s="185">
        <f t="shared" si="408"/>
        <v>-4444961.6899999985</v>
      </c>
      <c r="AH259" s="185">
        <f t="shared" si="409"/>
        <v>5508781.0899999989</v>
      </c>
      <c r="AI259" s="411">
        <f t="shared" si="392"/>
        <v>544445.5999999987</v>
      </c>
      <c r="AJ259" s="411">
        <f t="shared" si="350"/>
        <v>-4999057.3999999994</v>
      </c>
      <c r="AK259" s="411">
        <f t="shared" si="393"/>
        <v>-4454611.8000000007</v>
      </c>
      <c r="AL259" s="185">
        <f t="shared" si="410"/>
        <v>5431061.6899999995</v>
      </c>
      <c r="AM259" s="317">
        <f t="shared" si="331"/>
        <v>20</v>
      </c>
      <c r="AN259" s="14">
        <f t="shared" si="394"/>
        <v>6591.25</v>
      </c>
      <c r="AO259" s="14">
        <f t="shared" si="369"/>
        <v>827479.29</v>
      </c>
      <c r="AP259" s="14">
        <f t="shared" si="395"/>
        <v>2810.15</v>
      </c>
      <c r="AS259" s="14">
        <f t="shared" si="325"/>
        <v>6591.25</v>
      </c>
      <c r="AT259" s="14">
        <f t="shared" si="332"/>
        <v>1607784.44</v>
      </c>
      <c r="AU259" s="185">
        <f t="shared" si="333"/>
        <v>2715.4441185789356</v>
      </c>
      <c r="AV259" s="185">
        <f t="shared" si="334"/>
        <v>498268.09155015316</v>
      </c>
    </row>
    <row r="260" spans="1:48">
      <c r="A260" s="401" t="str">
        <f t="shared" si="397"/>
        <v xml:space="preserve"> </v>
      </c>
      <c r="B260" s="185">
        <f t="shared" si="326"/>
        <v>0</v>
      </c>
      <c r="C260" s="14">
        <f t="shared" si="319"/>
        <v>0</v>
      </c>
      <c r="D260" s="14">
        <f t="shared" si="335"/>
        <v>0</v>
      </c>
      <c r="E260" s="14">
        <f t="shared" si="320"/>
        <v>0</v>
      </c>
      <c r="F260" s="14">
        <f t="shared" si="386"/>
        <v>0</v>
      </c>
      <c r="G260" s="14">
        <f t="shared" si="383"/>
        <v>0</v>
      </c>
      <c r="H260" s="14">
        <f t="shared" si="384"/>
        <v>0</v>
      </c>
      <c r="I260" s="185">
        <f t="shared" si="398"/>
        <v>0</v>
      </c>
      <c r="J260" s="185">
        <f t="shared" si="399"/>
        <v>0</v>
      </c>
      <c r="K260" s="185">
        <f t="shared" si="400"/>
        <v>0</v>
      </c>
      <c r="L260" s="317">
        <f t="shared" si="371"/>
        <v>20</v>
      </c>
      <c r="M260" s="317">
        <f t="shared" si="327"/>
        <v>244</v>
      </c>
      <c r="N260" s="185">
        <f t="shared" si="328"/>
        <v>432004.29000000027</v>
      </c>
      <c r="O260" s="185">
        <f t="shared" si="401"/>
        <v>6591.25</v>
      </c>
      <c r="P260" s="185">
        <f t="shared" si="336"/>
        <v>1866.1999999999998</v>
      </c>
      <c r="Q260" s="185">
        <f t="shared" si="402"/>
        <v>4725.05</v>
      </c>
      <c r="R260" s="185">
        <f t="shared" si="389"/>
        <v>134.16999999999999</v>
      </c>
      <c r="S260" s="185">
        <f t="shared" si="390"/>
        <v>188.55</v>
      </c>
      <c r="T260" s="185">
        <f t="shared" si="387"/>
        <v>6913.97</v>
      </c>
      <c r="U260" s="185">
        <f t="shared" si="337"/>
        <v>160486.91</v>
      </c>
      <c r="V260" s="185">
        <f t="shared" si="338"/>
        <v>1454369.3399999987</v>
      </c>
      <c r="W260" s="185">
        <f t="shared" si="403"/>
        <v>430138.09000000026</v>
      </c>
      <c r="X260" s="401" t="str">
        <f t="shared" si="329"/>
        <v xml:space="preserve"> </v>
      </c>
      <c r="Y260" s="185">
        <f t="shared" si="404"/>
        <v>5431061.6899999995</v>
      </c>
      <c r="Z260" s="393">
        <f t="shared" si="321"/>
        <v>0.13125000000000001</v>
      </c>
      <c r="AA260" s="185">
        <f t="shared" si="322"/>
        <v>2810.15</v>
      </c>
      <c r="AB260" s="185">
        <f t="shared" si="405"/>
        <v>-56592.09</v>
      </c>
      <c r="AC260" s="185">
        <f t="shared" si="323"/>
        <v>59402.239999999998</v>
      </c>
      <c r="AD260" s="185">
        <f t="shared" ref="AD260:AE260" si="416">+AD259</f>
        <v>134.16999999999999</v>
      </c>
      <c r="AE260" s="185">
        <f t="shared" si="416"/>
        <v>188.55</v>
      </c>
      <c r="AF260" s="185">
        <f t="shared" si="407"/>
        <v>3132.8700000000017</v>
      </c>
      <c r="AG260" s="185">
        <f t="shared" si="408"/>
        <v>-4501553.7799999984</v>
      </c>
      <c r="AH260" s="185">
        <f t="shared" si="409"/>
        <v>5568183.3299999991</v>
      </c>
      <c r="AI260" s="411">
        <f t="shared" si="392"/>
        <v>548226.69999999867</v>
      </c>
      <c r="AJ260" s="411">
        <f t="shared" si="350"/>
        <v>-5057515.6899999995</v>
      </c>
      <c r="AK260" s="411">
        <f t="shared" si="393"/>
        <v>-4509288.9900000012</v>
      </c>
      <c r="AL260" s="185">
        <f t="shared" si="410"/>
        <v>5487653.7799999993</v>
      </c>
      <c r="AM260" s="317">
        <f t="shared" si="331"/>
        <v>20</v>
      </c>
      <c r="AN260" s="14">
        <f t="shared" si="394"/>
        <v>6591.25</v>
      </c>
      <c r="AO260" s="14">
        <f t="shared" si="369"/>
        <v>825613.09</v>
      </c>
      <c r="AP260" s="14">
        <f t="shared" si="395"/>
        <v>2810.15</v>
      </c>
      <c r="AS260" s="14">
        <f t="shared" si="325"/>
        <v>6591.25</v>
      </c>
      <c r="AT260" s="14">
        <f t="shared" si="332"/>
        <v>1614375.69</v>
      </c>
      <c r="AU260" s="185">
        <f t="shared" si="333"/>
        <v>2722.2327288753827</v>
      </c>
      <c r="AV260" s="185">
        <f t="shared" si="334"/>
        <v>500990.32427902851</v>
      </c>
    </row>
    <row r="261" spans="1:48">
      <c r="A261" s="401" t="str">
        <f t="shared" si="397"/>
        <v xml:space="preserve"> </v>
      </c>
      <c r="B261" s="185">
        <f t="shared" si="326"/>
        <v>0</v>
      </c>
      <c r="C261" s="14">
        <f t="shared" si="319"/>
        <v>0</v>
      </c>
      <c r="D261" s="14">
        <f t="shared" si="335"/>
        <v>0</v>
      </c>
      <c r="E261" s="14">
        <f t="shared" si="320"/>
        <v>0</v>
      </c>
      <c r="F261" s="14">
        <f t="shared" si="386"/>
        <v>0</v>
      </c>
      <c r="G261" s="14">
        <f t="shared" si="383"/>
        <v>0</v>
      </c>
      <c r="H261" s="14">
        <f t="shared" si="384"/>
        <v>0</v>
      </c>
      <c r="I261" s="185">
        <f t="shared" si="398"/>
        <v>0</v>
      </c>
      <c r="J261" s="185">
        <f t="shared" si="399"/>
        <v>0</v>
      </c>
      <c r="K261" s="185">
        <f t="shared" si="400"/>
        <v>0</v>
      </c>
      <c r="L261" s="317">
        <f t="shared" si="371"/>
        <v>20</v>
      </c>
      <c r="M261" s="317">
        <f t="shared" si="327"/>
        <v>245</v>
      </c>
      <c r="N261" s="185">
        <f t="shared" si="328"/>
        <v>430138.09000000026</v>
      </c>
      <c r="O261" s="185">
        <f t="shared" si="401"/>
        <v>6591.25</v>
      </c>
      <c r="P261" s="185">
        <f t="shared" si="336"/>
        <v>1886.6099999999997</v>
      </c>
      <c r="Q261" s="185">
        <f t="shared" si="402"/>
        <v>4704.6400000000003</v>
      </c>
      <c r="R261" s="185">
        <f t="shared" si="389"/>
        <v>134.16999999999999</v>
      </c>
      <c r="S261" s="185">
        <f t="shared" si="390"/>
        <v>188.55</v>
      </c>
      <c r="T261" s="185">
        <f t="shared" si="387"/>
        <v>6913.97</v>
      </c>
      <c r="U261" s="185">
        <f t="shared" si="337"/>
        <v>162373.51999999999</v>
      </c>
      <c r="V261" s="185">
        <f t="shared" si="338"/>
        <v>1459073.9799999986</v>
      </c>
      <c r="W261" s="185">
        <f t="shared" si="403"/>
        <v>428251.48000000027</v>
      </c>
      <c r="X261" s="401" t="str">
        <f t="shared" si="329"/>
        <v xml:space="preserve"> </v>
      </c>
      <c r="Y261" s="185">
        <f t="shared" si="404"/>
        <v>5487653.7799999993</v>
      </c>
      <c r="Z261" s="393">
        <f t="shared" si="321"/>
        <v>0.13125000000000001</v>
      </c>
      <c r="AA261" s="185">
        <f t="shared" si="322"/>
        <v>2810.15</v>
      </c>
      <c r="AB261" s="185">
        <f t="shared" si="405"/>
        <v>-57211.06</v>
      </c>
      <c r="AC261" s="185">
        <f t="shared" si="323"/>
        <v>60021.21</v>
      </c>
      <c r="AD261" s="185">
        <f t="shared" ref="AD261:AE261" si="417">+AD260</f>
        <v>134.16999999999999</v>
      </c>
      <c r="AE261" s="185">
        <f t="shared" si="417"/>
        <v>188.55</v>
      </c>
      <c r="AF261" s="185">
        <f t="shared" si="407"/>
        <v>3132.8700000000017</v>
      </c>
      <c r="AG261" s="185">
        <f t="shared" si="408"/>
        <v>-4558764.839999998</v>
      </c>
      <c r="AH261" s="185">
        <f t="shared" si="409"/>
        <v>5628204.5399999991</v>
      </c>
      <c r="AI261" s="411">
        <f t="shared" si="392"/>
        <v>552007.79999999865</v>
      </c>
      <c r="AJ261" s="411">
        <f t="shared" si="350"/>
        <v>-5116613.3599999985</v>
      </c>
      <c r="AK261" s="411">
        <f t="shared" si="393"/>
        <v>-4564605.5599999996</v>
      </c>
      <c r="AL261" s="185">
        <f t="shared" si="410"/>
        <v>5544864.8399999989</v>
      </c>
      <c r="AM261" s="317">
        <f t="shared" si="331"/>
        <v>20</v>
      </c>
      <c r="AN261" s="14">
        <f t="shared" si="394"/>
        <v>6591.25</v>
      </c>
      <c r="AO261" s="14">
        <f t="shared" si="369"/>
        <v>823726.48</v>
      </c>
      <c r="AP261" s="14">
        <f t="shared" si="395"/>
        <v>2810.15</v>
      </c>
      <c r="AS261" s="14">
        <f t="shared" si="325"/>
        <v>6591.25</v>
      </c>
      <c r="AT261" s="14">
        <f t="shared" si="332"/>
        <v>1620966.94</v>
      </c>
      <c r="AU261" s="185">
        <f t="shared" si="333"/>
        <v>2729.038310697571</v>
      </c>
      <c r="AV261" s="185">
        <f t="shared" si="334"/>
        <v>503719.36258972611</v>
      </c>
    </row>
    <row r="262" spans="1:48">
      <c r="A262" s="401" t="str">
        <f t="shared" si="397"/>
        <v xml:space="preserve"> </v>
      </c>
      <c r="B262" s="185">
        <f t="shared" si="326"/>
        <v>0</v>
      </c>
      <c r="C262" s="14">
        <f t="shared" si="319"/>
        <v>0</v>
      </c>
      <c r="D262" s="14">
        <f t="shared" si="335"/>
        <v>0</v>
      </c>
      <c r="E262" s="14">
        <f t="shared" si="320"/>
        <v>0</v>
      </c>
      <c r="F262" s="14">
        <f t="shared" si="386"/>
        <v>0</v>
      </c>
      <c r="G262" s="14">
        <f t="shared" si="383"/>
        <v>0</v>
      </c>
      <c r="H262" s="14">
        <f t="shared" si="384"/>
        <v>0</v>
      </c>
      <c r="I262" s="185">
        <f t="shared" si="398"/>
        <v>0</v>
      </c>
      <c r="J262" s="185">
        <f t="shared" si="399"/>
        <v>0</v>
      </c>
      <c r="K262" s="185">
        <f t="shared" si="400"/>
        <v>0</v>
      </c>
      <c r="L262" s="317">
        <f t="shared" si="371"/>
        <v>20</v>
      </c>
      <c r="M262" s="317">
        <f t="shared" si="327"/>
        <v>246</v>
      </c>
      <c r="N262" s="185">
        <f t="shared" si="328"/>
        <v>428251.48000000027</v>
      </c>
      <c r="O262" s="185">
        <f t="shared" si="401"/>
        <v>6591.25</v>
      </c>
      <c r="P262" s="185">
        <f t="shared" si="336"/>
        <v>1907.25</v>
      </c>
      <c r="Q262" s="185">
        <f t="shared" si="402"/>
        <v>4684</v>
      </c>
      <c r="R262" s="185">
        <f t="shared" si="389"/>
        <v>134.16999999999999</v>
      </c>
      <c r="S262" s="185">
        <f t="shared" si="390"/>
        <v>188.55</v>
      </c>
      <c r="T262" s="185">
        <f t="shared" si="387"/>
        <v>6913.97</v>
      </c>
      <c r="U262" s="185">
        <f t="shared" si="337"/>
        <v>164280.76999999999</v>
      </c>
      <c r="V262" s="185">
        <f t="shared" si="338"/>
        <v>1463757.9799999986</v>
      </c>
      <c r="W262" s="185">
        <f t="shared" si="403"/>
        <v>426344.23000000027</v>
      </c>
      <c r="X262" s="401" t="str">
        <f t="shared" si="329"/>
        <v xml:space="preserve"> </v>
      </c>
      <c r="Y262" s="185">
        <f t="shared" si="404"/>
        <v>5544864.8399999989</v>
      </c>
      <c r="Z262" s="393">
        <f t="shared" si="321"/>
        <v>0.13125000000000001</v>
      </c>
      <c r="AA262" s="185">
        <f t="shared" si="322"/>
        <v>2810.15</v>
      </c>
      <c r="AB262" s="185">
        <f t="shared" si="405"/>
        <v>-57836.81</v>
      </c>
      <c r="AC262" s="185">
        <f t="shared" si="323"/>
        <v>60646.96</v>
      </c>
      <c r="AD262" s="185">
        <f t="shared" ref="AD262:AE262" si="418">+AD261</f>
        <v>134.16999999999999</v>
      </c>
      <c r="AE262" s="185">
        <f t="shared" si="418"/>
        <v>188.55</v>
      </c>
      <c r="AF262" s="185">
        <f t="shared" si="407"/>
        <v>3132.8700000000017</v>
      </c>
      <c r="AG262" s="185">
        <f t="shared" si="408"/>
        <v>-4616601.6499999976</v>
      </c>
      <c r="AH262" s="185">
        <f t="shared" si="409"/>
        <v>5688851.4999999991</v>
      </c>
      <c r="AI262" s="411">
        <f t="shared" si="392"/>
        <v>555788.89999999863</v>
      </c>
      <c r="AJ262" s="411">
        <f t="shared" si="350"/>
        <v>-5176357.4199999981</v>
      </c>
      <c r="AK262" s="411">
        <f t="shared" si="393"/>
        <v>-4620568.5199999996</v>
      </c>
      <c r="AL262" s="185">
        <f t="shared" si="410"/>
        <v>5602701.6499999985</v>
      </c>
      <c r="AM262" s="317">
        <f t="shared" si="331"/>
        <v>20</v>
      </c>
      <c r="AN262" s="14">
        <f t="shared" si="394"/>
        <v>6591.25</v>
      </c>
      <c r="AO262" s="14">
        <f t="shared" si="369"/>
        <v>821819.23</v>
      </c>
      <c r="AP262" s="14">
        <f t="shared" si="395"/>
        <v>2810.15</v>
      </c>
      <c r="AS262" s="14">
        <f t="shared" si="325"/>
        <v>6591.25</v>
      </c>
      <c r="AT262" s="14">
        <f t="shared" si="332"/>
        <v>1627558.19</v>
      </c>
      <c r="AU262" s="185">
        <f t="shared" si="333"/>
        <v>2735.8609064743155</v>
      </c>
      <c r="AV262" s="185">
        <f t="shared" si="334"/>
        <v>506455.2234962004</v>
      </c>
    </row>
    <row r="263" spans="1:48">
      <c r="A263" s="401" t="str">
        <f t="shared" si="397"/>
        <v xml:space="preserve"> </v>
      </c>
      <c r="B263" s="185">
        <f t="shared" si="326"/>
        <v>0</v>
      </c>
      <c r="C263" s="14">
        <f t="shared" si="319"/>
        <v>0</v>
      </c>
      <c r="D263" s="14">
        <f t="shared" si="335"/>
        <v>0</v>
      </c>
      <c r="E263" s="14">
        <f t="shared" si="320"/>
        <v>0</v>
      </c>
      <c r="F263" s="14">
        <f t="shared" si="386"/>
        <v>0</v>
      </c>
      <c r="G263" s="14">
        <f t="shared" si="383"/>
        <v>0</v>
      </c>
      <c r="H263" s="14">
        <f t="shared" si="384"/>
        <v>0</v>
      </c>
      <c r="I263" s="185">
        <f t="shared" si="398"/>
        <v>0</v>
      </c>
      <c r="J263" s="185">
        <f t="shared" si="399"/>
        <v>0</v>
      </c>
      <c r="K263" s="185">
        <f t="shared" si="400"/>
        <v>0</v>
      </c>
      <c r="L263" s="317">
        <f t="shared" si="371"/>
        <v>20</v>
      </c>
      <c r="M263" s="317">
        <f t="shared" si="327"/>
        <v>247</v>
      </c>
      <c r="N263" s="185">
        <f t="shared" si="328"/>
        <v>426344.23000000027</v>
      </c>
      <c r="O263" s="185">
        <f t="shared" si="401"/>
        <v>6591.25</v>
      </c>
      <c r="P263" s="185">
        <f t="shared" si="336"/>
        <v>1928.1099999999997</v>
      </c>
      <c r="Q263" s="185">
        <f t="shared" si="402"/>
        <v>4663.1400000000003</v>
      </c>
      <c r="R263" s="185">
        <f t="shared" si="389"/>
        <v>134.16999999999999</v>
      </c>
      <c r="S263" s="185">
        <f t="shared" si="390"/>
        <v>188.55</v>
      </c>
      <c r="T263" s="185">
        <f t="shared" si="387"/>
        <v>6913.97</v>
      </c>
      <c r="U263" s="185">
        <f t="shared" si="337"/>
        <v>166208.87999999998</v>
      </c>
      <c r="V263" s="185">
        <f t="shared" si="338"/>
        <v>1468421.1199999985</v>
      </c>
      <c r="W263" s="185">
        <f t="shared" si="403"/>
        <v>424416.12000000029</v>
      </c>
      <c r="X263" s="401" t="str">
        <f t="shared" si="329"/>
        <v xml:space="preserve"> </v>
      </c>
      <c r="Y263" s="185">
        <f t="shared" si="404"/>
        <v>5602701.6499999985</v>
      </c>
      <c r="Z263" s="393">
        <f t="shared" si="321"/>
        <v>0.13125000000000001</v>
      </c>
      <c r="AA263" s="185">
        <f t="shared" si="322"/>
        <v>2810.15</v>
      </c>
      <c r="AB263" s="185">
        <f t="shared" si="405"/>
        <v>-58469.4</v>
      </c>
      <c r="AC263" s="185">
        <f t="shared" si="323"/>
        <v>61279.55</v>
      </c>
      <c r="AD263" s="185">
        <f t="shared" ref="AD263:AE263" si="419">+AD262</f>
        <v>134.16999999999999</v>
      </c>
      <c r="AE263" s="185">
        <f t="shared" si="419"/>
        <v>188.55</v>
      </c>
      <c r="AF263" s="185">
        <f t="shared" si="407"/>
        <v>3132.8700000000017</v>
      </c>
      <c r="AG263" s="185">
        <f t="shared" si="408"/>
        <v>-4675071.049999998</v>
      </c>
      <c r="AH263" s="185">
        <f t="shared" si="409"/>
        <v>5750131.0499999989</v>
      </c>
      <c r="AI263" s="411">
        <f t="shared" si="392"/>
        <v>559569.9999999986</v>
      </c>
      <c r="AJ263" s="411">
        <f t="shared" si="350"/>
        <v>-5236754.9299999988</v>
      </c>
      <c r="AK263" s="411">
        <f t="shared" si="393"/>
        <v>-4677184.93</v>
      </c>
      <c r="AL263" s="185">
        <f t="shared" si="410"/>
        <v>5661171.0499999989</v>
      </c>
      <c r="AM263" s="317">
        <f t="shared" si="331"/>
        <v>20</v>
      </c>
      <c r="AN263" s="14">
        <f t="shared" si="394"/>
        <v>6591.25</v>
      </c>
      <c r="AO263" s="14">
        <f t="shared" si="369"/>
        <v>819891.12</v>
      </c>
      <c r="AP263" s="14">
        <f t="shared" si="395"/>
        <v>2810.15</v>
      </c>
      <c r="AS263" s="14">
        <f t="shared" si="325"/>
        <v>6591.25</v>
      </c>
      <c r="AT263" s="14">
        <f t="shared" si="332"/>
        <v>1634149.44</v>
      </c>
      <c r="AU263" s="185">
        <f t="shared" si="333"/>
        <v>2742.7005587405015</v>
      </c>
      <c r="AV263" s="185">
        <f t="shared" si="334"/>
        <v>509197.92405494093</v>
      </c>
    </row>
    <row r="264" spans="1:48">
      <c r="A264" s="401" t="str">
        <f t="shared" si="397"/>
        <v xml:space="preserve"> </v>
      </c>
      <c r="B264" s="185">
        <f t="shared" si="326"/>
        <v>0</v>
      </c>
      <c r="C264" s="14">
        <f t="shared" si="319"/>
        <v>0</v>
      </c>
      <c r="D264" s="14">
        <f t="shared" si="335"/>
        <v>0</v>
      </c>
      <c r="E264" s="14">
        <f t="shared" si="320"/>
        <v>0</v>
      </c>
      <c r="F264" s="14">
        <f t="shared" si="386"/>
        <v>0</v>
      </c>
      <c r="G264" s="14">
        <f t="shared" si="383"/>
        <v>0</v>
      </c>
      <c r="H264" s="14">
        <f t="shared" si="384"/>
        <v>0</v>
      </c>
      <c r="I264" s="185">
        <f t="shared" si="398"/>
        <v>0</v>
      </c>
      <c r="J264" s="185">
        <f t="shared" si="399"/>
        <v>0</v>
      </c>
      <c r="K264" s="185">
        <f t="shared" si="400"/>
        <v>0</v>
      </c>
      <c r="L264" s="317">
        <f t="shared" si="371"/>
        <v>20</v>
      </c>
      <c r="M264" s="317">
        <f t="shared" si="327"/>
        <v>248</v>
      </c>
      <c r="N264" s="185">
        <f t="shared" si="328"/>
        <v>424416.12000000029</v>
      </c>
      <c r="O264" s="185">
        <f t="shared" si="401"/>
        <v>6591.25</v>
      </c>
      <c r="P264" s="185">
        <f t="shared" si="336"/>
        <v>1949.1999999999998</v>
      </c>
      <c r="Q264" s="185">
        <f t="shared" si="402"/>
        <v>4642.05</v>
      </c>
      <c r="R264" s="185">
        <f t="shared" si="389"/>
        <v>134.16999999999999</v>
      </c>
      <c r="S264" s="185">
        <f t="shared" si="390"/>
        <v>188.55</v>
      </c>
      <c r="T264" s="185">
        <f t="shared" si="387"/>
        <v>6913.97</v>
      </c>
      <c r="U264" s="185">
        <f t="shared" si="337"/>
        <v>168158.07999999999</v>
      </c>
      <c r="V264" s="185">
        <f t="shared" si="338"/>
        <v>1473063.1699999985</v>
      </c>
      <c r="W264" s="185">
        <f t="shared" si="403"/>
        <v>422466.92000000027</v>
      </c>
      <c r="X264" s="401" t="str">
        <f t="shared" si="329"/>
        <v xml:space="preserve"> </v>
      </c>
      <c r="Y264" s="185">
        <f t="shared" si="404"/>
        <v>5661171.0499999989</v>
      </c>
      <c r="Z264" s="393">
        <f t="shared" si="321"/>
        <v>0.13125000000000001</v>
      </c>
      <c r="AA264" s="185">
        <f t="shared" si="322"/>
        <v>2810.15</v>
      </c>
      <c r="AB264" s="185">
        <f t="shared" si="405"/>
        <v>-59108.909999999996</v>
      </c>
      <c r="AC264" s="185">
        <f t="shared" si="323"/>
        <v>61919.06</v>
      </c>
      <c r="AD264" s="185">
        <f t="shared" ref="AD264:AE264" si="420">+AD263</f>
        <v>134.16999999999999</v>
      </c>
      <c r="AE264" s="185">
        <f t="shared" si="420"/>
        <v>188.55</v>
      </c>
      <c r="AF264" s="185">
        <f t="shared" si="407"/>
        <v>3132.8700000000017</v>
      </c>
      <c r="AG264" s="185">
        <f t="shared" si="408"/>
        <v>-4734179.9599999981</v>
      </c>
      <c r="AH264" s="185">
        <f t="shared" si="409"/>
        <v>5812050.1099999985</v>
      </c>
      <c r="AI264" s="411">
        <f t="shared" si="392"/>
        <v>563351.09999999858</v>
      </c>
      <c r="AJ264" s="411">
        <f t="shared" si="350"/>
        <v>-5297813.0399999991</v>
      </c>
      <c r="AK264" s="411">
        <f t="shared" si="393"/>
        <v>-4734461.9400000004</v>
      </c>
      <c r="AL264" s="185">
        <f t="shared" si="410"/>
        <v>5720279.959999999</v>
      </c>
      <c r="AM264" s="317">
        <f t="shared" si="331"/>
        <v>20</v>
      </c>
      <c r="AN264" s="14">
        <f t="shared" si="394"/>
        <v>6591.25</v>
      </c>
      <c r="AO264" s="14">
        <f t="shared" si="369"/>
        <v>817941.92</v>
      </c>
      <c r="AP264" s="14">
        <f t="shared" si="395"/>
        <v>2810.15</v>
      </c>
      <c r="AS264" s="14">
        <f t="shared" si="325"/>
        <v>6591.25</v>
      </c>
      <c r="AT264" s="14">
        <f t="shared" si="332"/>
        <v>1640740.69</v>
      </c>
      <c r="AU264" s="185">
        <f t="shared" si="333"/>
        <v>2749.557310137352</v>
      </c>
      <c r="AV264" s="185">
        <f t="shared" si="334"/>
        <v>511947.4813650783</v>
      </c>
    </row>
    <row r="265" spans="1:48">
      <c r="A265" s="401" t="str">
        <f t="shared" si="397"/>
        <v xml:space="preserve"> </v>
      </c>
      <c r="B265" s="185">
        <f t="shared" si="326"/>
        <v>0</v>
      </c>
      <c r="C265" s="14">
        <f t="shared" si="319"/>
        <v>0</v>
      </c>
      <c r="D265" s="14">
        <f t="shared" si="335"/>
        <v>0</v>
      </c>
      <c r="E265" s="14">
        <f t="shared" si="320"/>
        <v>0</v>
      </c>
      <c r="F265" s="14">
        <f t="shared" si="386"/>
        <v>0</v>
      </c>
      <c r="G265" s="14">
        <f t="shared" si="383"/>
        <v>0</v>
      </c>
      <c r="H265" s="14">
        <f t="shared" si="384"/>
        <v>0</v>
      </c>
      <c r="I265" s="185">
        <f t="shared" si="398"/>
        <v>0</v>
      </c>
      <c r="J265" s="185">
        <f t="shared" si="399"/>
        <v>0</v>
      </c>
      <c r="K265" s="185">
        <f t="shared" si="400"/>
        <v>0</v>
      </c>
      <c r="L265" s="317">
        <f t="shared" si="371"/>
        <v>20</v>
      </c>
      <c r="M265" s="317">
        <f t="shared" si="327"/>
        <v>249</v>
      </c>
      <c r="N265" s="185">
        <f t="shared" si="328"/>
        <v>422466.92000000027</v>
      </c>
      <c r="O265" s="185">
        <f t="shared" si="401"/>
        <v>6591.25</v>
      </c>
      <c r="P265" s="185">
        <f t="shared" si="336"/>
        <v>1970.5200000000004</v>
      </c>
      <c r="Q265" s="185">
        <f t="shared" si="402"/>
        <v>4620.7299999999996</v>
      </c>
      <c r="R265" s="185">
        <f t="shared" si="389"/>
        <v>134.16999999999999</v>
      </c>
      <c r="S265" s="185">
        <f t="shared" si="390"/>
        <v>188.55</v>
      </c>
      <c r="T265" s="185">
        <f t="shared" si="387"/>
        <v>6913.97</v>
      </c>
      <c r="U265" s="185">
        <f t="shared" si="337"/>
        <v>170128.59999999998</v>
      </c>
      <c r="V265" s="185">
        <f t="shared" si="338"/>
        <v>1477683.8999999985</v>
      </c>
      <c r="W265" s="185">
        <f t="shared" si="403"/>
        <v>420496.40000000026</v>
      </c>
      <c r="X265" s="401" t="str">
        <f t="shared" si="329"/>
        <v xml:space="preserve"> </v>
      </c>
      <c r="Y265" s="185">
        <f t="shared" si="404"/>
        <v>5720279.959999999</v>
      </c>
      <c r="Z265" s="393">
        <f t="shared" si="321"/>
        <v>0.13125000000000001</v>
      </c>
      <c r="AA265" s="185">
        <f t="shared" si="322"/>
        <v>2810.15</v>
      </c>
      <c r="AB265" s="185">
        <f t="shared" si="405"/>
        <v>-59755.409999999996</v>
      </c>
      <c r="AC265" s="185">
        <f t="shared" si="323"/>
        <v>62565.56</v>
      </c>
      <c r="AD265" s="185">
        <f t="shared" ref="AD265:AE265" si="421">+AD264</f>
        <v>134.16999999999999</v>
      </c>
      <c r="AE265" s="185">
        <f t="shared" si="421"/>
        <v>188.55</v>
      </c>
      <c r="AF265" s="185">
        <f t="shared" si="407"/>
        <v>3132.8700000000017</v>
      </c>
      <c r="AG265" s="185">
        <f t="shared" si="408"/>
        <v>-4793935.3699999982</v>
      </c>
      <c r="AH265" s="185">
        <f t="shared" si="409"/>
        <v>5874615.6699999981</v>
      </c>
      <c r="AI265" s="411">
        <f t="shared" si="392"/>
        <v>567132.19999999856</v>
      </c>
      <c r="AJ265" s="411">
        <f t="shared" si="350"/>
        <v>-5359538.9699999988</v>
      </c>
      <c r="AK265" s="411">
        <f t="shared" si="393"/>
        <v>-4792406.7700000005</v>
      </c>
      <c r="AL265" s="185">
        <f t="shared" si="410"/>
        <v>5780035.3699999992</v>
      </c>
      <c r="AM265" s="317">
        <f t="shared" si="331"/>
        <v>20</v>
      </c>
      <c r="AN265" s="14">
        <f t="shared" si="394"/>
        <v>6591.25</v>
      </c>
      <c r="AO265" s="14">
        <f t="shared" si="369"/>
        <v>815971.4</v>
      </c>
      <c r="AP265" s="14">
        <f t="shared" si="395"/>
        <v>2810.15</v>
      </c>
      <c r="AS265" s="14">
        <f t="shared" si="325"/>
        <v>6591.25</v>
      </c>
      <c r="AT265" s="14">
        <f t="shared" si="332"/>
        <v>1647331.94</v>
      </c>
      <c r="AU265" s="185">
        <f t="shared" si="333"/>
        <v>2756.431203412696</v>
      </c>
      <c r="AV265" s="185">
        <f t="shared" si="334"/>
        <v>514703.91256849101</v>
      </c>
    </row>
    <row r="266" spans="1:48" ht="15.75" thickBot="1">
      <c r="A266" s="404" t="str">
        <f t="shared" si="397"/>
        <v xml:space="preserve"> </v>
      </c>
      <c r="B266" s="237">
        <f t="shared" si="326"/>
        <v>0</v>
      </c>
      <c r="C266" s="21">
        <f t="shared" si="319"/>
        <v>0</v>
      </c>
      <c r="D266" s="21">
        <f t="shared" si="335"/>
        <v>0</v>
      </c>
      <c r="E266" s="21">
        <f t="shared" si="320"/>
        <v>0</v>
      </c>
      <c r="F266" s="21">
        <f t="shared" si="386"/>
        <v>0</v>
      </c>
      <c r="G266" s="21">
        <f t="shared" si="383"/>
        <v>0</v>
      </c>
      <c r="H266" s="21">
        <f t="shared" si="384"/>
        <v>0</v>
      </c>
      <c r="I266" s="237">
        <f t="shared" si="398"/>
        <v>0</v>
      </c>
      <c r="J266" s="237">
        <f t="shared" si="399"/>
        <v>0</v>
      </c>
      <c r="K266" s="237">
        <f t="shared" si="400"/>
        <v>0</v>
      </c>
      <c r="L266" s="318">
        <f t="shared" si="371"/>
        <v>20</v>
      </c>
      <c r="M266" s="318">
        <f t="shared" si="327"/>
        <v>250</v>
      </c>
      <c r="N266" s="237">
        <f t="shared" si="328"/>
        <v>420496.40000000026</v>
      </c>
      <c r="O266" s="237">
        <f t="shared" si="401"/>
        <v>6591.25</v>
      </c>
      <c r="P266" s="237">
        <f t="shared" si="336"/>
        <v>1992.0699999999997</v>
      </c>
      <c r="Q266" s="237">
        <f t="shared" si="402"/>
        <v>4599.18</v>
      </c>
      <c r="R266" s="237">
        <f t="shared" si="389"/>
        <v>134.16999999999999</v>
      </c>
      <c r="S266" s="237">
        <f t="shared" si="390"/>
        <v>188.55</v>
      </c>
      <c r="T266" s="237">
        <f t="shared" si="387"/>
        <v>6913.97</v>
      </c>
      <c r="U266" s="237">
        <f t="shared" si="337"/>
        <v>172120.66999999998</v>
      </c>
      <c r="V266" s="237">
        <f t="shared" si="338"/>
        <v>1482283.0799999984</v>
      </c>
      <c r="W266" s="237">
        <f t="shared" si="403"/>
        <v>418504.33000000025</v>
      </c>
      <c r="X266" s="404" t="str">
        <f t="shared" si="329"/>
        <v xml:space="preserve"> </v>
      </c>
      <c r="Y266" s="237">
        <f t="shared" si="404"/>
        <v>5780035.3699999992</v>
      </c>
      <c r="Z266" s="394">
        <f t="shared" si="321"/>
        <v>0.13125000000000001</v>
      </c>
      <c r="AA266" s="237">
        <f t="shared" si="322"/>
        <v>2810.15</v>
      </c>
      <c r="AB266" s="237">
        <f t="shared" si="405"/>
        <v>-60408.99</v>
      </c>
      <c r="AC266" s="237">
        <f t="shared" si="323"/>
        <v>63219.14</v>
      </c>
      <c r="AD266" s="237">
        <f t="shared" ref="AD266:AE266" si="422">+AD265</f>
        <v>134.16999999999999</v>
      </c>
      <c r="AE266" s="237">
        <f t="shared" si="422"/>
        <v>188.55</v>
      </c>
      <c r="AF266" s="237">
        <f t="shared" si="407"/>
        <v>3132.8700000000017</v>
      </c>
      <c r="AG266" s="237">
        <f t="shared" si="408"/>
        <v>-4854344.3599999985</v>
      </c>
      <c r="AH266" s="237">
        <f t="shared" si="409"/>
        <v>5937834.8099999977</v>
      </c>
      <c r="AI266" s="412">
        <f t="shared" si="392"/>
        <v>570913.29999999853</v>
      </c>
      <c r="AJ266" s="412">
        <f t="shared" si="350"/>
        <v>-5421940.0299999993</v>
      </c>
      <c r="AK266" s="411">
        <f t="shared" si="393"/>
        <v>-4851026.7300000004</v>
      </c>
      <c r="AL266" s="237">
        <f t="shared" si="410"/>
        <v>5840444.3599999994</v>
      </c>
      <c r="AM266" s="318">
        <f t="shared" si="331"/>
        <v>20</v>
      </c>
      <c r="AN266" s="21">
        <f t="shared" si="394"/>
        <v>6591.25</v>
      </c>
      <c r="AO266" s="21">
        <f t="shared" si="369"/>
        <v>813979.33000000007</v>
      </c>
      <c r="AP266" s="21">
        <f t="shared" si="395"/>
        <v>2810.15</v>
      </c>
      <c r="AQ266" s="21"/>
      <c r="AR266" s="23"/>
      <c r="AS266" s="21">
        <f t="shared" si="325"/>
        <v>6591.25</v>
      </c>
      <c r="AT266" s="21">
        <f t="shared" si="332"/>
        <v>1653923.19</v>
      </c>
      <c r="AU266" s="237">
        <f t="shared" si="333"/>
        <v>2763.3222814212272</v>
      </c>
      <c r="AV266" s="237">
        <f t="shared" si="334"/>
        <v>517467.23484991223</v>
      </c>
    </row>
    <row r="267" spans="1:48">
      <c r="A267" s="401" t="str">
        <f t="shared" si="397"/>
        <v xml:space="preserve"> </v>
      </c>
      <c r="B267" s="185">
        <f t="shared" si="326"/>
        <v>0</v>
      </c>
      <c r="C267" s="14">
        <f t="shared" si="319"/>
        <v>0</v>
      </c>
      <c r="D267" s="14">
        <f t="shared" si="335"/>
        <v>0</v>
      </c>
      <c r="E267" s="14">
        <f t="shared" si="320"/>
        <v>0</v>
      </c>
      <c r="F267" s="14">
        <f t="shared" si="386"/>
        <v>0</v>
      </c>
      <c r="G267" s="14">
        <f t="shared" si="383"/>
        <v>0</v>
      </c>
      <c r="H267" s="14">
        <f t="shared" si="384"/>
        <v>0</v>
      </c>
      <c r="I267" s="185">
        <f t="shared" si="398"/>
        <v>0</v>
      </c>
      <c r="J267" s="185">
        <f t="shared" si="399"/>
        <v>0</v>
      </c>
      <c r="K267" s="185">
        <f t="shared" si="400"/>
        <v>0</v>
      </c>
      <c r="L267" s="317">
        <f t="shared" si="371"/>
        <v>20</v>
      </c>
      <c r="M267" s="317">
        <f t="shared" si="327"/>
        <v>251</v>
      </c>
      <c r="N267" s="185">
        <f t="shared" si="328"/>
        <v>418504.33000000025</v>
      </c>
      <c r="O267" s="185">
        <f t="shared" si="401"/>
        <v>6591.25</v>
      </c>
      <c r="P267" s="185">
        <f t="shared" si="336"/>
        <v>2013.8599999999997</v>
      </c>
      <c r="Q267" s="185">
        <f t="shared" si="402"/>
        <v>4577.3900000000003</v>
      </c>
      <c r="R267" s="185">
        <f t="shared" si="389"/>
        <v>134.16999999999999</v>
      </c>
      <c r="S267" s="185">
        <f t="shared" si="390"/>
        <v>188.55</v>
      </c>
      <c r="T267" s="185">
        <f t="shared" si="387"/>
        <v>6913.97</v>
      </c>
      <c r="U267" s="185">
        <f t="shared" si="337"/>
        <v>174134.52999999997</v>
      </c>
      <c r="V267" s="185">
        <f t="shared" si="338"/>
        <v>1486860.4699999983</v>
      </c>
      <c r="W267" s="185">
        <f t="shared" si="403"/>
        <v>416490.47000000026</v>
      </c>
      <c r="X267" s="401" t="str">
        <f t="shared" si="329"/>
        <v xml:space="preserve"> </v>
      </c>
      <c r="Y267" s="185">
        <f t="shared" si="404"/>
        <v>5840444.3599999994</v>
      </c>
      <c r="Z267" s="393">
        <f t="shared" si="321"/>
        <v>0.13125000000000001</v>
      </c>
      <c r="AA267" s="185">
        <f t="shared" si="322"/>
        <v>2810.15</v>
      </c>
      <c r="AB267" s="185">
        <f t="shared" si="405"/>
        <v>-61069.71</v>
      </c>
      <c r="AC267" s="185">
        <f t="shared" si="323"/>
        <v>63879.86</v>
      </c>
      <c r="AD267" s="185">
        <f t="shared" ref="AD267:AE267" si="423">+AD266</f>
        <v>134.16999999999999</v>
      </c>
      <c r="AE267" s="185">
        <f t="shared" si="423"/>
        <v>188.55</v>
      </c>
      <c r="AF267" s="185">
        <f t="shared" si="407"/>
        <v>3132.8700000000017</v>
      </c>
      <c r="AG267" s="185">
        <f t="shared" si="408"/>
        <v>-4915414.0699999984</v>
      </c>
      <c r="AH267" s="185">
        <f t="shared" si="409"/>
        <v>6001714.6699999981</v>
      </c>
      <c r="AI267" s="411">
        <f t="shared" si="392"/>
        <v>574694.39999999851</v>
      </c>
      <c r="AJ267" s="411">
        <f t="shared" si="350"/>
        <v>-5485023.5999999987</v>
      </c>
      <c r="AK267" s="411">
        <f t="shared" si="393"/>
        <v>-4910329.2</v>
      </c>
      <c r="AL267" s="185">
        <f t="shared" si="410"/>
        <v>5901514.0699999994</v>
      </c>
      <c r="AM267" s="317">
        <f t="shared" si="331"/>
        <v>20</v>
      </c>
      <c r="AN267" s="14">
        <f t="shared" si="394"/>
        <v>6591.25</v>
      </c>
      <c r="AO267" s="14">
        <f t="shared" si="369"/>
        <v>811965.47</v>
      </c>
      <c r="AP267" s="14">
        <f t="shared" si="395"/>
        <v>2810.15</v>
      </c>
      <c r="AS267" s="14">
        <f t="shared" si="325"/>
        <v>6591.25</v>
      </c>
      <c r="AT267" s="14">
        <f t="shared" si="332"/>
        <v>1660514.44</v>
      </c>
      <c r="AU267" s="185">
        <f t="shared" si="333"/>
        <v>2770.2305871247804</v>
      </c>
      <c r="AV267" s="185">
        <f t="shared" si="334"/>
        <v>520237.465437037</v>
      </c>
    </row>
    <row r="268" spans="1:48">
      <c r="A268" s="401" t="str">
        <f t="shared" si="397"/>
        <v xml:space="preserve"> </v>
      </c>
      <c r="B268" s="185">
        <f t="shared" si="326"/>
        <v>0</v>
      </c>
      <c r="C268" s="14">
        <f t="shared" si="319"/>
        <v>0</v>
      </c>
      <c r="D268" s="14">
        <f t="shared" si="335"/>
        <v>0</v>
      </c>
      <c r="E268" s="14">
        <f t="shared" si="320"/>
        <v>0</v>
      </c>
      <c r="F268" s="14">
        <f t="shared" si="386"/>
        <v>0</v>
      </c>
      <c r="G268" s="14">
        <f t="shared" si="383"/>
        <v>0</v>
      </c>
      <c r="H268" s="14">
        <f t="shared" si="384"/>
        <v>0</v>
      </c>
      <c r="I268" s="185">
        <f t="shared" si="398"/>
        <v>0</v>
      </c>
      <c r="J268" s="185">
        <f t="shared" si="399"/>
        <v>0</v>
      </c>
      <c r="K268" s="185">
        <f t="shared" si="400"/>
        <v>0</v>
      </c>
      <c r="L268" s="317">
        <f t="shared" si="371"/>
        <v>21</v>
      </c>
      <c r="M268" s="317">
        <f t="shared" si="327"/>
        <v>252</v>
      </c>
      <c r="N268" s="185">
        <f t="shared" si="328"/>
        <v>416490.47000000026</v>
      </c>
      <c r="O268" s="185">
        <f t="shared" si="401"/>
        <v>6591.25</v>
      </c>
      <c r="P268" s="185">
        <f t="shared" si="336"/>
        <v>2035.8900000000003</v>
      </c>
      <c r="Q268" s="185">
        <f t="shared" si="402"/>
        <v>4555.3599999999997</v>
      </c>
      <c r="R268" s="185">
        <f t="shared" si="389"/>
        <v>134.16999999999999</v>
      </c>
      <c r="S268" s="185">
        <f t="shared" si="390"/>
        <v>188.55</v>
      </c>
      <c r="T268" s="185">
        <f t="shared" si="387"/>
        <v>6913.97</v>
      </c>
      <c r="U268" s="185">
        <f t="shared" si="337"/>
        <v>176170.41999999998</v>
      </c>
      <c r="V268" s="185">
        <f t="shared" si="338"/>
        <v>1491415.8299999984</v>
      </c>
      <c r="W268" s="185">
        <f t="shared" si="403"/>
        <v>414454.58000000025</v>
      </c>
      <c r="X268" s="401" t="str">
        <f t="shared" si="329"/>
        <v xml:space="preserve"> </v>
      </c>
      <c r="Y268" s="185">
        <f t="shared" si="404"/>
        <v>5901514.0699999994</v>
      </c>
      <c r="Z268" s="393">
        <f t="shared" si="321"/>
        <v>0.13125000000000001</v>
      </c>
      <c r="AA268" s="185">
        <f t="shared" si="322"/>
        <v>2810.15</v>
      </c>
      <c r="AB268" s="185">
        <f t="shared" si="405"/>
        <v>-61737.659999999996</v>
      </c>
      <c r="AC268" s="185">
        <f t="shared" si="323"/>
        <v>64547.81</v>
      </c>
      <c r="AD268" s="185">
        <f t="shared" ref="AD268:AE268" si="424">+AD267</f>
        <v>134.16999999999999</v>
      </c>
      <c r="AE268" s="185">
        <f t="shared" si="424"/>
        <v>188.55</v>
      </c>
      <c r="AF268" s="185">
        <f t="shared" si="407"/>
        <v>3132.8700000000017</v>
      </c>
      <c r="AG268" s="185">
        <f t="shared" si="408"/>
        <v>-4977151.7299999986</v>
      </c>
      <c r="AH268" s="185">
        <f t="shared" si="409"/>
        <v>6066262.4799999977</v>
      </c>
      <c r="AI268" s="411">
        <f t="shared" si="392"/>
        <v>578475.49999999849</v>
      </c>
      <c r="AJ268" s="411">
        <f t="shared" si="350"/>
        <v>-5548797.1499999994</v>
      </c>
      <c r="AK268" s="411">
        <f t="shared" si="393"/>
        <v>-4970321.6500000013</v>
      </c>
      <c r="AL268" s="185">
        <f t="shared" si="410"/>
        <v>5963251.7299999995</v>
      </c>
      <c r="AM268" s="317">
        <f t="shared" si="331"/>
        <v>21</v>
      </c>
      <c r="AN268" s="14">
        <f t="shared" si="394"/>
        <v>6591.25</v>
      </c>
      <c r="AO268" s="14">
        <f t="shared" si="369"/>
        <v>809929.58000000007</v>
      </c>
      <c r="AP268" s="14">
        <f t="shared" si="395"/>
        <v>2810.15</v>
      </c>
      <c r="AS268" s="14">
        <f t="shared" si="325"/>
        <v>6591.25</v>
      </c>
      <c r="AT268" s="14">
        <f t="shared" si="332"/>
        <v>1667105.69</v>
      </c>
      <c r="AU268" s="185">
        <f t="shared" si="333"/>
        <v>2777.1561635925923</v>
      </c>
      <c r="AV268" s="185">
        <f t="shared" si="334"/>
        <v>523014.62160062959</v>
      </c>
    </row>
    <row r="269" spans="1:48">
      <c r="A269" s="401" t="str">
        <f t="shared" si="397"/>
        <v xml:space="preserve"> </v>
      </c>
      <c r="B269" s="185">
        <f t="shared" si="326"/>
        <v>0</v>
      </c>
      <c r="C269" s="14">
        <f t="shared" si="319"/>
        <v>0</v>
      </c>
      <c r="D269" s="14">
        <f t="shared" si="335"/>
        <v>0</v>
      </c>
      <c r="E269" s="14">
        <f t="shared" si="320"/>
        <v>0</v>
      </c>
      <c r="F269" s="14">
        <f t="shared" si="386"/>
        <v>0</v>
      </c>
      <c r="G269" s="14">
        <f t="shared" si="383"/>
        <v>0</v>
      </c>
      <c r="H269" s="14">
        <f t="shared" si="384"/>
        <v>0</v>
      </c>
      <c r="I269" s="185">
        <f t="shared" si="398"/>
        <v>0</v>
      </c>
      <c r="J269" s="185">
        <f t="shared" si="399"/>
        <v>0</v>
      </c>
      <c r="K269" s="185">
        <f t="shared" si="400"/>
        <v>0</v>
      </c>
      <c r="L269" s="317">
        <f t="shared" si="371"/>
        <v>21</v>
      </c>
      <c r="M269" s="317">
        <f t="shared" si="327"/>
        <v>253</v>
      </c>
      <c r="N269" s="185">
        <f t="shared" si="328"/>
        <v>414454.58000000025</v>
      </c>
      <c r="O269" s="185">
        <f t="shared" si="401"/>
        <v>6591.25</v>
      </c>
      <c r="P269" s="185">
        <f t="shared" si="336"/>
        <v>2058.1499999999996</v>
      </c>
      <c r="Q269" s="185">
        <f t="shared" si="402"/>
        <v>4533.1000000000004</v>
      </c>
      <c r="R269" s="185">
        <f t="shared" si="389"/>
        <v>134.16999999999999</v>
      </c>
      <c r="S269" s="185">
        <f t="shared" si="390"/>
        <v>188.55</v>
      </c>
      <c r="T269" s="185">
        <f t="shared" si="387"/>
        <v>6913.97</v>
      </c>
      <c r="U269" s="185">
        <f t="shared" si="337"/>
        <v>178228.56999999998</v>
      </c>
      <c r="V269" s="185">
        <f t="shared" si="338"/>
        <v>1495948.9299999985</v>
      </c>
      <c r="W269" s="185">
        <f t="shared" si="403"/>
        <v>412396.43000000023</v>
      </c>
      <c r="X269" s="401" t="str">
        <f t="shared" si="329"/>
        <v xml:space="preserve"> </v>
      </c>
      <c r="Y269" s="185">
        <f t="shared" si="404"/>
        <v>5963251.7299999995</v>
      </c>
      <c r="Z269" s="393">
        <f t="shared" si="321"/>
        <v>0.13125000000000001</v>
      </c>
      <c r="AA269" s="185">
        <f t="shared" si="322"/>
        <v>2810.15</v>
      </c>
      <c r="AB269" s="185">
        <f t="shared" si="405"/>
        <v>-62412.92</v>
      </c>
      <c r="AC269" s="185">
        <f t="shared" si="323"/>
        <v>65223.07</v>
      </c>
      <c r="AD269" s="185">
        <f t="shared" ref="AD269:AE269" si="425">+AD268</f>
        <v>134.16999999999999</v>
      </c>
      <c r="AE269" s="185">
        <f t="shared" si="425"/>
        <v>188.55</v>
      </c>
      <c r="AF269" s="185">
        <f t="shared" si="407"/>
        <v>3132.8700000000017</v>
      </c>
      <c r="AG269" s="185">
        <f t="shared" si="408"/>
        <v>-5039564.6499999985</v>
      </c>
      <c r="AH269" s="185">
        <f t="shared" si="409"/>
        <v>6131485.549999998</v>
      </c>
      <c r="AI269" s="411">
        <f t="shared" si="392"/>
        <v>582256.59999999846</v>
      </c>
      <c r="AJ269" s="411">
        <f t="shared" si="350"/>
        <v>-5613268.2199999988</v>
      </c>
      <c r="AK269" s="411">
        <f t="shared" si="393"/>
        <v>-5031011.62</v>
      </c>
      <c r="AL269" s="185">
        <f t="shared" si="410"/>
        <v>6025664.6499999994</v>
      </c>
      <c r="AM269" s="317">
        <f t="shared" si="331"/>
        <v>21</v>
      </c>
      <c r="AN269" s="14">
        <f t="shared" si="394"/>
        <v>6591.25</v>
      </c>
      <c r="AO269" s="14">
        <f t="shared" si="369"/>
        <v>807871.43</v>
      </c>
      <c r="AP269" s="14">
        <f t="shared" si="395"/>
        <v>2810.15</v>
      </c>
      <c r="AS269" s="14">
        <f t="shared" si="325"/>
        <v>6591.25</v>
      </c>
      <c r="AT269" s="14">
        <f t="shared" si="332"/>
        <v>1673696.94</v>
      </c>
      <c r="AU269" s="185">
        <f t="shared" si="333"/>
        <v>2784.0990540015737</v>
      </c>
      <c r="AV269" s="185">
        <f t="shared" si="334"/>
        <v>525798.72065463115</v>
      </c>
    </row>
    <row r="270" spans="1:48">
      <c r="A270" s="401" t="str">
        <f t="shared" si="397"/>
        <v xml:space="preserve"> </v>
      </c>
      <c r="B270" s="185">
        <f t="shared" si="326"/>
        <v>0</v>
      </c>
      <c r="C270" s="14">
        <f t="shared" si="319"/>
        <v>0</v>
      </c>
      <c r="D270" s="14">
        <f t="shared" si="335"/>
        <v>0</v>
      </c>
      <c r="E270" s="14">
        <f t="shared" si="320"/>
        <v>0</v>
      </c>
      <c r="F270" s="14">
        <f t="shared" si="386"/>
        <v>0</v>
      </c>
      <c r="G270" s="14">
        <f t="shared" si="383"/>
        <v>0</v>
      </c>
      <c r="H270" s="14">
        <f t="shared" si="384"/>
        <v>0</v>
      </c>
      <c r="I270" s="185">
        <f t="shared" si="398"/>
        <v>0</v>
      </c>
      <c r="J270" s="185">
        <f t="shared" si="399"/>
        <v>0</v>
      </c>
      <c r="K270" s="185">
        <f t="shared" si="400"/>
        <v>0</v>
      </c>
      <c r="L270" s="317">
        <f t="shared" si="371"/>
        <v>21</v>
      </c>
      <c r="M270" s="317">
        <f t="shared" si="327"/>
        <v>254</v>
      </c>
      <c r="N270" s="185">
        <f t="shared" si="328"/>
        <v>412396.43000000023</v>
      </c>
      <c r="O270" s="185">
        <f t="shared" si="401"/>
        <v>6591.25</v>
      </c>
      <c r="P270" s="185">
        <f t="shared" si="336"/>
        <v>2080.66</v>
      </c>
      <c r="Q270" s="185">
        <f t="shared" si="402"/>
        <v>4510.59</v>
      </c>
      <c r="R270" s="185">
        <f t="shared" si="389"/>
        <v>134.16999999999999</v>
      </c>
      <c r="S270" s="185">
        <f t="shared" si="390"/>
        <v>188.55</v>
      </c>
      <c r="T270" s="185">
        <f t="shared" si="387"/>
        <v>6913.97</v>
      </c>
      <c r="U270" s="185">
        <f t="shared" si="337"/>
        <v>180309.22999999998</v>
      </c>
      <c r="V270" s="185">
        <f t="shared" si="338"/>
        <v>1500459.5199999986</v>
      </c>
      <c r="W270" s="185">
        <f t="shared" si="403"/>
        <v>410315.77000000025</v>
      </c>
      <c r="X270" s="401" t="str">
        <f t="shared" si="329"/>
        <v xml:space="preserve"> </v>
      </c>
      <c r="Y270" s="185">
        <f t="shared" si="404"/>
        <v>6025664.6499999994</v>
      </c>
      <c r="Z270" s="393">
        <f t="shared" si="321"/>
        <v>0.13125000000000001</v>
      </c>
      <c r="AA270" s="185">
        <f t="shared" si="322"/>
        <v>2810.15</v>
      </c>
      <c r="AB270" s="185">
        <f t="shared" si="405"/>
        <v>-63095.560000000005</v>
      </c>
      <c r="AC270" s="185">
        <f t="shared" si="323"/>
        <v>65905.710000000006</v>
      </c>
      <c r="AD270" s="185">
        <f t="shared" ref="AD270:AE270" si="426">+AD269</f>
        <v>134.16999999999999</v>
      </c>
      <c r="AE270" s="185">
        <f t="shared" si="426"/>
        <v>188.55</v>
      </c>
      <c r="AF270" s="185">
        <f t="shared" si="407"/>
        <v>3132.8700000000017</v>
      </c>
      <c r="AG270" s="185">
        <f t="shared" si="408"/>
        <v>-5102660.2099999981</v>
      </c>
      <c r="AH270" s="185">
        <f t="shared" si="409"/>
        <v>6197391.2599999979</v>
      </c>
      <c r="AI270" s="411">
        <f t="shared" si="392"/>
        <v>586037.69999999844</v>
      </c>
      <c r="AJ270" s="411">
        <f t="shared" si="350"/>
        <v>-5678444.4399999985</v>
      </c>
      <c r="AK270" s="411">
        <f t="shared" si="393"/>
        <v>-5092406.74</v>
      </c>
      <c r="AL270" s="185">
        <f t="shared" si="410"/>
        <v>6088760.209999999</v>
      </c>
      <c r="AM270" s="317">
        <f t="shared" si="331"/>
        <v>21</v>
      </c>
      <c r="AN270" s="14">
        <f t="shared" si="394"/>
        <v>6591.25</v>
      </c>
      <c r="AO270" s="14">
        <f t="shared" si="369"/>
        <v>805790.77</v>
      </c>
      <c r="AP270" s="14">
        <f t="shared" si="395"/>
        <v>2810.15</v>
      </c>
      <c r="AS270" s="14">
        <f t="shared" si="325"/>
        <v>6591.25</v>
      </c>
      <c r="AT270" s="14">
        <f t="shared" si="332"/>
        <v>1680288.19</v>
      </c>
      <c r="AU270" s="185">
        <f t="shared" si="333"/>
        <v>2791.0593016365779</v>
      </c>
      <c r="AV270" s="185">
        <f t="shared" si="334"/>
        <v>528589.77995626768</v>
      </c>
    </row>
    <row r="271" spans="1:48">
      <c r="A271" s="401" t="str">
        <f t="shared" si="397"/>
        <v xml:space="preserve"> </v>
      </c>
      <c r="B271" s="185">
        <f t="shared" si="326"/>
        <v>0</v>
      </c>
      <c r="C271" s="14">
        <f t="shared" ref="C271:C334" si="427">IF(+$K270&lt;=0,0,$C$5)</f>
        <v>0</v>
      </c>
      <c r="D271" s="14">
        <f t="shared" si="335"/>
        <v>0</v>
      </c>
      <c r="E271" s="14">
        <f t="shared" ref="E271:E334" si="428">ROUND($B271*($C$3/12), 2)</f>
        <v>0</v>
      </c>
      <c r="F271" s="14">
        <f t="shared" si="386"/>
        <v>0</v>
      </c>
      <c r="G271" s="14">
        <f t="shared" si="383"/>
        <v>0</v>
      </c>
      <c r="H271" s="14">
        <f t="shared" si="384"/>
        <v>0</v>
      </c>
      <c r="I271" s="185">
        <f t="shared" si="398"/>
        <v>0</v>
      </c>
      <c r="J271" s="185">
        <f t="shared" si="399"/>
        <v>0</v>
      </c>
      <c r="K271" s="185">
        <f t="shared" si="400"/>
        <v>0</v>
      </c>
      <c r="L271" s="317">
        <f t="shared" si="371"/>
        <v>21</v>
      </c>
      <c r="M271" s="317">
        <f t="shared" si="327"/>
        <v>255</v>
      </c>
      <c r="N271" s="185">
        <f t="shared" si="328"/>
        <v>410315.77000000025</v>
      </c>
      <c r="O271" s="185">
        <f t="shared" si="401"/>
        <v>6591.25</v>
      </c>
      <c r="P271" s="185">
        <f t="shared" si="336"/>
        <v>2103.42</v>
      </c>
      <c r="Q271" s="185">
        <f t="shared" si="402"/>
        <v>4487.83</v>
      </c>
      <c r="R271" s="185">
        <f t="shared" si="389"/>
        <v>134.16999999999999</v>
      </c>
      <c r="S271" s="185">
        <f t="shared" si="390"/>
        <v>188.55</v>
      </c>
      <c r="T271" s="185">
        <f t="shared" si="387"/>
        <v>6913.97</v>
      </c>
      <c r="U271" s="185">
        <f t="shared" si="337"/>
        <v>182412.65</v>
      </c>
      <c r="V271" s="185">
        <f t="shared" si="338"/>
        <v>1504947.3499999987</v>
      </c>
      <c r="W271" s="185">
        <f t="shared" si="403"/>
        <v>408212.35000000027</v>
      </c>
      <c r="X271" s="401" t="str">
        <f t="shared" si="329"/>
        <v xml:space="preserve"> </v>
      </c>
      <c r="Y271" s="185">
        <f t="shared" si="404"/>
        <v>6088760.209999999</v>
      </c>
      <c r="Z271" s="393">
        <f t="shared" ref="Z271:Z334" si="429">IF(L271&gt;4,$AA$9,$AA$8)</f>
        <v>0.13125000000000001</v>
      </c>
      <c r="AA271" s="185">
        <f t="shared" ref="AA271:AA334" si="430">IF($O$9&lt;=$A271,IF(+AL270&lt;=0,0,IF(Z271=$AA$8,$Z$8,$Z$9)),0)</f>
        <v>2810.15</v>
      </c>
      <c r="AB271" s="185">
        <f t="shared" si="405"/>
        <v>-63785.659999999996</v>
      </c>
      <c r="AC271" s="185">
        <f t="shared" ref="AC271:AC334" si="431">IF($O$9&lt;=$A271,ROUND(Y271*(Z271/12),2),0)</f>
        <v>66595.81</v>
      </c>
      <c r="AD271" s="185">
        <f t="shared" ref="AD271:AE271" si="432">+AD270</f>
        <v>134.16999999999999</v>
      </c>
      <c r="AE271" s="185">
        <f t="shared" si="432"/>
        <v>188.55</v>
      </c>
      <c r="AF271" s="185">
        <f t="shared" si="407"/>
        <v>3132.8700000000017</v>
      </c>
      <c r="AG271" s="185">
        <f t="shared" si="408"/>
        <v>-5166445.8699999982</v>
      </c>
      <c r="AH271" s="185">
        <f t="shared" si="409"/>
        <v>6263987.0699999975</v>
      </c>
      <c r="AI271" s="411">
        <f t="shared" si="392"/>
        <v>589818.79999999842</v>
      </c>
      <c r="AJ271" s="411">
        <f t="shared" si="350"/>
        <v>-5744333.5199999986</v>
      </c>
      <c r="AK271" s="411">
        <f t="shared" si="393"/>
        <v>-5154514.7200000007</v>
      </c>
      <c r="AL271" s="185">
        <f t="shared" si="410"/>
        <v>6152545.8699999992</v>
      </c>
      <c r="AM271" s="317">
        <f t="shared" si="331"/>
        <v>21</v>
      </c>
      <c r="AN271" s="14">
        <f t="shared" si="394"/>
        <v>6591.25</v>
      </c>
      <c r="AO271" s="14">
        <f t="shared" si="369"/>
        <v>803687.35</v>
      </c>
      <c r="AP271" s="14">
        <f t="shared" si="395"/>
        <v>2810.15</v>
      </c>
      <c r="AS271" s="14">
        <f t="shared" ref="AS271:AS334" si="433">+AN271-AR271</f>
        <v>6591.25</v>
      </c>
      <c r="AT271" s="14">
        <f t="shared" si="332"/>
        <v>1686879.44</v>
      </c>
      <c r="AU271" s="185">
        <f t="shared" si="333"/>
        <v>2798.0369498906693</v>
      </c>
      <c r="AV271" s="185">
        <f t="shared" si="334"/>
        <v>531387.81690615835</v>
      </c>
    </row>
    <row r="272" spans="1:48">
      <c r="A272" s="401" t="str">
        <f t="shared" si="397"/>
        <v xml:space="preserve"> </v>
      </c>
      <c r="B272" s="185">
        <f t="shared" ref="B272:B335" si="434">IF(+K271&lt;0,0,+K271)</f>
        <v>0</v>
      </c>
      <c r="C272" s="14">
        <f t="shared" si="427"/>
        <v>0</v>
      </c>
      <c r="D272" s="14">
        <f t="shared" si="335"/>
        <v>0</v>
      </c>
      <c r="E272" s="14">
        <f t="shared" si="428"/>
        <v>0</v>
      </c>
      <c r="F272" s="14">
        <f t="shared" si="386"/>
        <v>0</v>
      </c>
      <c r="G272" s="14">
        <f t="shared" si="383"/>
        <v>0</v>
      </c>
      <c r="H272" s="14">
        <f t="shared" si="384"/>
        <v>0</v>
      </c>
      <c r="I272" s="185">
        <f t="shared" si="398"/>
        <v>0</v>
      </c>
      <c r="J272" s="185">
        <f t="shared" si="399"/>
        <v>0</v>
      </c>
      <c r="K272" s="185">
        <f t="shared" si="400"/>
        <v>0</v>
      </c>
      <c r="L272" s="317">
        <f t="shared" si="371"/>
        <v>21</v>
      </c>
      <c r="M272" s="317">
        <f t="shared" ref="M272:M335" si="435">IF(N272&lt;&gt;"",IF(N272=$O$5,0,+M271+1),0)</f>
        <v>256</v>
      </c>
      <c r="N272" s="185">
        <f t="shared" ref="N272:N335" si="436">IF(+W271&lt;0,0,+W271)</f>
        <v>408212.35000000027</v>
      </c>
      <c r="O272" s="185">
        <f t="shared" si="401"/>
        <v>6591.25</v>
      </c>
      <c r="P272" s="185">
        <f t="shared" si="336"/>
        <v>2126.4300000000003</v>
      </c>
      <c r="Q272" s="185">
        <f t="shared" si="402"/>
        <v>4464.82</v>
      </c>
      <c r="R272" s="185">
        <f t="shared" si="389"/>
        <v>134.16999999999999</v>
      </c>
      <c r="S272" s="185">
        <f t="shared" si="390"/>
        <v>188.55</v>
      </c>
      <c r="T272" s="185">
        <f t="shared" si="387"/>
        <v>6913.97</v>
      </c>
      <c r="U272" s="185">
        <f t="shared" si="337"/>
        <v>184539.08</v>
      </c>
      <c r="V272" s="185">
        <f t="shared" si="338"/>
        <v>1509412.1699999988</v>
      </c>
      <c r="W272" s="185">
        <f t="shared" si="403"/>
        <v>406085.92000000027</v>
      </c>
      <c r="X272" s="401" t="str">
        <f t="shared" ref="X272:X335" si="437">+A272</f>
        <v xml:space="preserve"> </v>
      </c>
      <c r="Y272" s="185">
        <f t="shared" si="404"/>
        <v>6152545.8699999992</v>
      </c>
      <c r="Z272" s="393">
        <f t="shared" si="429"/>
        <v>0.13125000000000001</v>
      </c>
      <c r="AA272" s="185">
        <f t="shared" si="430"/>
        <v>2810.15</v>
      </c>
      <c r="AB272" s="185">
        <f t="shared" si="405"/>
        <v>-64483.32</v>
      </c>
      <c r="AC272" s="185">
        <f t="shared" si="431"/>
        <v>67293.47</v>
      </c>
      <c r="AD272" s="185">
        <f t="shared" ref="AD272:AE272" si="438">+AD271</f>
        <v>134.16999999999999</v>
      </c>
      <c r="AE272" s="185">
        <f t="shared" si="438"/>
        <v>188.55</v>
      </c>
      <c r="AF272" s="185">
        <f t="shared" si="407"/>
        <v>3132.8700000000017</v>
      </c>
      <c r="AG272" s="185">
        <f t="shared" si="408"/>
        <v>-5230929.1899999985</v>
      </c>
      <c r="AH272" s="185">
        <f t="shared" si="409"/>
        <v>6331280.5399999972</v>
      </c>
      <c r="AI272" s="411">
        <f t="shared" si="392"/>
        <v>593599.89999999839</v>
      </c>
      <c r="AJ272" s="411">
        <f t="shared" si="350"/>
        <v>-5810943.2699999996</v>
      </c>
      <c r="AK272" s="411">
        <f t="shared" si="393"/>
        <v>-5217343.370000001</v>
      </c>
      <c r="AL272" s="185">
        <f t="shared" si="410"/>
        <v>6217029.1899999995</v>
      </c>
      <c r="AM272" s="317">
        <f t="shared" ref="AM272:AM335" si="439">+L272</f>
        <v>21</v>
      </c>
      <c r="AN272" s="14">
        <f t="shared" si="394"/>
        <v>6591.25</v>
      </c>
      <c r="AO272" s="14">
        <f t="shared" si="369"/>
        <v>801560.92</v>
      </c>
      <c r="AP272" s="14">
        <f t="shared" si="395"/>
        <v>2810.15</v>
      </c>
      <c r="AS272" s="14">
        <f t="shared" si="433"/>
        <v>6591.25</v>
      </c>
      <c r="AT272" s="14">
        <f t="shared" ref="AT272:AT335" si="440">IF(W272&lt;=0,0,+AS272+AT271)</f>
        <v>1693470.69</v>
      </c>
      <c r="AU272" s="185">
        <f t="shared" ref="AU272:AU335" si="441">IF(W272&lt;=0,0,+($O$5+AV271)*$AQ$2/12)</f>
        <v>2805.0320422653954</v>
      </c>
      <c r="AV272" s="185">
        <f t="shared" ref="AV272:AV335" si="442">IF(W272&lt;=0,0,+AV271+AU272)</f>
        <v>534192.84894842375</v>
      </c>
    </row>
    <row r="273" spans="1:48">
      <c r="A273" s="401" t="str">
        <f t="shared" si="397"/>
        <v xml:space="preserve"> </v>
      </c>
      <c r="B273" s="185">
        <f t="shared" si="434"/>
        <v>0</v>
      </c>
      <c r="C273" s="14">
        <f t="shared" si="427"/>
        <v>0</v>
      </c>
      <c r="D273" s="14">
        <f t="shared" ref="D273:D336" si="443">+C273-E273</f>
        <v>0</v>
      </c>
      <c r="E273" s="14">
        <f t="shared" si="428"/>
        <v>0</v>
      </c>
      <c r="F273" s="14">
        <f t="shared" si="386"/>
        <v>0</v>
      </c>
      <c r="G273" s="14">
        <f t="shared" si="383"/>
        <v>0</v>
      </c>
      <c r="H273" s="14">
        <f t="shared" si="384"/>
        <v>0</v>
      </c>
      <c r="I273" s="185">
        <f t="shared" si="398"/>
        <v>0</v>
      </c>
      <c r="J273" s="185">
        <f t="shared" si="399"/>
        <v>0</v>
      </c>
      <c r="K273" s="185">
        <f t="shared" si="400"/>
        <v>0</v>
      </c>
      <c r="L273" s="317">
        <f t="shared" si="371"/>
        <v>21</v>
      </c>
      <c r="M273" s="317">
        <f t="shared" si="435"/>
        <v>257</v>
      </c>
      <c r="N273" s="185">
        <f t="shared" si="436"/>
        <v>406085.92000000027</v>
      </c>
      <c r="O273" s="185">
        <f t="shared" si="401"/>
        <v>6591.25</v>
      </c>
      <c r="P273" s="185">
        <f t="shared" ref="P273:P336" si="444">+O273-Q273</f>
        <v>2149.6899999999996</v>
      </c>
      <c r="Q273" s="185">
        <f t="shared" si="402"/>
        <v>4441.5600000000004</v>
      </c>
      <c r="R273" s="185">
        <f t="shared" si="389"/>
        <v>134.16999999999999</v>
      </c>
      <c r="S273" s="185">
        <f t="shared" si="390"/>
        <v>188.55</v>
      </c>
      <c r="T273" s="185">
        <f t="shared" si="387"/>
        <v>6913.97</v>
      </c>
      <c r="U273" s="185">
        <f t="shared" ref="U273:U336" si="445">+P273+U272</f>
        <v>186688.77</v>
      </c>
      <c r="V273" s="185">
        <f t="shared" ref="V273:V336" si="446">+V272+Q273</f>
        <v>1513853.7299999988</v>
      </c>
      <c r="W273" s="185">
        <f t="shared" si="403"/>
        <v>403936.23000000027</v>
      </c>
      <c r="X273" s="401" t="str">
        <f t="shared" si="437"/>
        <v xml:space="preserve"> </v>
      </c>
      <c r="Y273" s="185">
        <f t="shared" si="404"/>
        <v>6217029.1899999995</v>
      </c>
      <c r="Z273" s="393">
        <f t="shared" si="429"/>
        <v>0.13125000000000001</v>
      </c>
      <c r="AA273" s="185">
        <f t="shared" si="430"/>
        <v>2810.15</v>
      </c>
      <c r="AB273" s="185">
        <f t="shared" si="405"/>
        <v>-65188.609999999993</v>
      </c>
      <c r="AC273" s="185">
        <f t="shared" si="431"/>
        <v>67998.759999999995</v>
      </c>
      <c r="AD273" s="185">
        <f t="shared" ref="AD273:AE273" si="447">+AD272</f>
        <v>134.16999999999999</v>
      </c>
      <c r="AE273" s="185">
        <f t="shared" si="447"/>
        <v>188.55</v>
      </c>
      <c r="AF273" s="185">
        <f t="shared" si="407"/>
        <v>3132.8700000000017</v>
      </c>
      <c r="AG273" s="185">
        <f t="shared" si="408"/>
        <v>-5296117.7999999989</v>
      </c>
      <c r="AH273" s="185">
        <f t="shared" si="409"/>
        <v>6399279.299999997</v>
      </c>
      <c r="AI273" s="411">
        <f t="shared" si="392"/>
        <v>597380.99999999837</v>
      </c>
      <c r="AJ273" s="411">
        <f t="shared" si="350"/>
        <v>-5878281.5699999994</v>
      </c>
      <c r="AK273" s="411">
        <f t="shared" si="393"/>
        <v>-5280900.5700000012</v>
      </c>
      <c r="AL273" s="185">
        <f t="shared" si="410"/>
        <v>6282217.7999999998</v>
      </c>
      <c r="AM273" s="317">
        <f t="shared" si="439"/>
        <v>21</v>
      </c>
      <c r="AN273" s="14">
        <f t="shared" si="394"/>
        <v>6591.25</v>
      </c>
      <c r="AO273" s="14">
        <f t="shared" si="369"/>
        <v>799411.23</v>
      </c>
      <c r="AP273" s="14">
        <f t="shared" si="395"/>
        <v>2810.15</v>
      </c>
      <c r="AS273" s="14">
        <f t="shared" si="433"/>
        <v>6591.25</v>
      </c>
      <c r="AT273" s="14">
        <f t="shared" si="440"/>
        <v>1700061.94</v>
      </c>
      <c r="AU273" s="185">
        <f t="shared" si="441"/>
        <v>2812.0446223710592</v>
      </c>
      <c r="AV273" s="185">
        <f t="shared" si="442"/>
        <v>537004.89357079484</v>
      </c>
    </row>
    <row r="274" spans="1:48">
      <c r="A274" s="401" t="str">
        <f t="shared" si="397"/>
        <v xml:space="preserve"> </v>
      </c>
      <c r="B274" s="185">
        <f t="shared" si="434"/>
        <v>0</v>
      </c>
      <c r="C274" s="14">
        <f t="shared" si="427"/>
        <v>0</v>
      </c>
      <c r="D274" s="14">
        <f t="shared" si="443"/>
        <v>0</v>
      </c>
      <c r="E274" s="14">
        <f t="shared" si="428"/>
        <v>0</v>
      </c>
      <c r="F274" s="14">
        <f t="shared" si="386"/>
        <v>0</v>
      </c>
      <c r="G274" s="14">
        <f t="shared" si="383"/>
        <v>0</v>
      </c>
      <c r="H274" s="14">
        <f t="shared" si="384"/>
        <v>0</v>
      </c>
      <c r="I274" s="185">
        <f t="shared" si="398"/>
        <v>0</v>
      </c>
      <c r="J274" s="185">
        <f t="shared" si="399"/>
        <v>0</v>
      </c>
      <c r="K274" s="185">
        <f t="shared" si="400"/>
        <v>0</v>
      </c>
      <c r="L274" s="317">
        <f t="shared" si="371"/>
        <v>21</v>
      </c>
      <c r="M274" s="317">
        <f t="shared" si="435"/>
        <v>258</v>
      </c>
      <c r="N274" s="185">
        <f t="shared" si="436"/>
        <v>403936.23000000027</v>
      </c>
      <c r="O274" s="185">
        <f t="shared" si="401"/>
        <v>6591.25</v>
      </c>
      <c r="P274" s="185">
        <f t="shared" si="444"/>
        <v>2173.1999999999998</v>
      </c>
      <c r="Q274" s="185">
        <f t="shared" si="402"/>
        <v>4418.05</v>
      </c>
      <c r="R274" s="185">
        <f t="shared" si="389"/>
        <v>134.16999999999999</v>
      </c>
      <c r="S274" s="185">
        <f t="shared" si="390"/>
        <v>188.55</v>
      </c>
      <c r="T274" s="185">
        <f t="shared" si="387"/>
        <v>6913.97</v>
      </c>
      <c r="U274" s="185">
        <f t="shared" si="445"/>
        <v>188861.97</v>
      </c>
      <c r="V274" s="185">
        <f t="shared" si="446"/>
        <v>1518271.7799999989</v>
      </c>
      <c r="W274" s="185">
        <f t="shared" si="403"/>
        <v>401763.03000000026</v>
      </c>
      <c r="X274" s="401" t="str">
        <f t="shared" si="437"/>
        <v xml:space="preserve"> </v>
      </c>
      <c r="Y274" s="185">
        <f t="shared" si="404"/>
        <v>6282217.7999999998</v>
      </c>
      <c r="Z274" s="393">
        <f t="shared" si="429"/>
        <v>0.13125000000000001</v>
      </c>
      <c r="AA274" s="185">
        <f t="shared" si="430"/>
        <v>2810.15</v>
      </c>
      <c r="AB274" s="185">
        <f t="shared" si="405"/>
        <v>-65901.61</v>
      </c>
      <c r="AC274" s="185">
        <f t="shared" si="431"/>
        <v>68711.759999999995</v>
      </c>
      <c r="AD274" s="185">
        <f t="shared" ref="AD274:AE274" si="448">+AD273</f>
        <v>134.16999999999999</v>
      </c>
      <c r="AE274" s="185">
        <f t="shared" si="448"/>
        <v>188.55</v>
      </c>
      <c r="AF274" s="185">
        <f t="shared" si="407"/>
        <v>3132.8699999999944</v>
      </c>
      <c r="AG274" s="185">
        <f t="shared" si="408"/>
        <v>-5362019.4099999992</v>
      </c>
      <c r="AH274" s="185">
        <f t="shared" si="409"/>
        <v>6467991.0599999968</v>
      </c>
      <c r="AI274" s="411">
        <f t="shared" si="392"/>
        <v>601162.09999999835</v>
      </c>
      <c r="AJ274" s="411">
        <f t="shared" si="350"/>
        <v>-5946356.3799999999</v>
      </c>
      <c r="AK274" s="411">
        <f t="shared" si="393"/>
        <v>-5345194.2800000012</v>
      </c>
      <c r="AL274" s="185">
        <f t="shared" si="410"/>
        <v>6348119.4100000001</v>
      </c>
      <c r="AM274" s="317">
        <f t="shared" si="439"/>
        <v>21</v>
      </c>
      <c r="AN274" s="14">
        <f t="shared" si="394"/>
        <v>6591.25</v>
      </c>
      <c r="AO274" s="14">
        <f t="shared" si="369"/>
        <v>797238.03</v>
      </c>
      <c r="AP274" s="14">
        <f t="shared" si="395"/>
        <v>2810.15</v>
      </c>
      <c r="AS274" s="14">
        <f t="shared" si="433"/>
        <v>6591.25</v>
      </c>
      <c r="AT274" s="14">
        <f t="shared" si="440"/>
        <v>1706653.19</v>
      </c>
      <c r="AU274" s="185">
        <f t="shared" si="441"/>
        <v>2819.0747339269869</v>
      </c>
      <c r="AV274" s="185">
        <f t="shared" si="442"/>
        <v>539823.96830472187</v>
      </c>
    </row>
    <row r="275" spans="1:48">
      <c r="A275" s="401" t="str">
        <f t="shared" si="397"/>
        <v xml:space="preserve"> </v>
      </c>
      <c r="B275" s="185">
        <f t="shared" si="434"/>
        <v>0</v>
      </c>
      <c r="C275" s="14">
        <f t="shared" si="427"/>
        <v>0</v>
      </c>
      <c r="D275" s="14">
        <f t="shared" si="443"/>
        <v>0</v>
      </c>
      <c r="E275" s="14">
        <f t="shared" si="428"/>
        <v>0</v>
      </c>
      <c r="F275" s="14">
        <f t="shared" si="386"/>
        <v>0</v>
      </c>
      <c r="G275" s="14">
        <f t="shared" si="383"/>
        <v>0</v>
      </c>
      <c r="H275" s="14">
        <f t="shared" si="384"/>
        <v>0</v>
      </c>
      <c r="I275" s="185">
        <f t="shared" si="398"/>
        <v>0</v>
      </c>
      <c r="J275" s="185">
        <f t="shared" si="399"/>
        <v>0</v>
      </c>
      <c r="K275" s="185">
        <f t="shared" si="400"/>
        <v>0</v>
      </c>
      <c r="L275" s="317">
        <f t="shared" si="371"/>
        <v>21</v>
      </c>
      <c r="M275" s="317">
        <f t="shared" si="435"/>
        <v>259</v>
      </c>
      <c r="N275" s="185">
        <f t="shared" si="436"/>
        <v>401763.03000000026</v>
      </c>
      <c r="O275" s="185">
        <f t="shared" si="401"/>
        <v>6591.25</v>
      </c>
      <c r="P275" s="185">
        <f t="shared" si="444"/>
        <v>2196.9700000000003</v>
      </c>
      <c r="Q275" s="185">
        <f t="shared" si="402"/>
        <v>4394.28</v>
      </c>
      <c r="R275" s="185">
        <f t="shared" si="389"/>
        <v>134.16999999999999</v>
      </c>
      <c r="S275" s="185">
        <f t="shared" si="390"/>
        <v>188.55</v>
      </c>
      <c r="T275" s="185">
        <f t="shared" si="387"/>
        <v>6913.97</v>
      </c>
      <c r="U275" s="185">
        <f t="shared" si="445"/>
        <v>191058.94</v>
      </c>
      <c r="V275" s="185">
        <f t="shared" si="446"/>
        <v>1522666.0599999989</v>
      </c>
      <c r="W275" s="185">
        <f t="shared" si="403"/>
        <v>399566.06000000029</v>
      </c>
      <c r="X275" s="401" t="str">
        <f t="shared" si="437"/>
        <v xml:space="preserve"> </v>
      </c>
      <c r="Y275" s="185">
        <f t="shared" si="404"/>
        <v>6348119.4100000001</v>
      </c>
      <c r="Z275" s="393">
        <f t="shared" si="429"/>
        <v>0.13125000000000001</v>
      </c>
      <c r="AA275" s="185">
        <f t="shared" si="430"/>
        <v>2810.15</v>
      </c>
      <c r="AB275" s="185">
        <f t="shared" si="405"/>
        <v>-66622.41</v>
      </c>
      <c r="AC275" s="185">
        <f t="shared" si="431"/>
        <v>69432.56</v>
      </c>
      <c r="AD275" s="185">
        <f t="shared" ref="AD275:AE275" si="449">+AD274</f>
        <v>134.16999999999999</v>
      </c>
      <c r="AE275" s="185">
        <f t="shared" si="449"/>
        <v>188.55</v>
      </c>
      <c r="AF275" s="185">
        <f t="shared" si="407"/>
        <v>3132.8699999999944</v>
      </c>
      <c r="AG275" s="185">
        <f t="shared" si="408"/>
        <v>-5428641.8199999994</v>
      </c>
      <c r="AH275" s="185">
        <f t="shared" si="409"/>
        <v>6537423.6199999964</v>
      </c>
      <c r="AI275" s="411">
        <f t="shared" si="392"/>
        <v>604943.19999999832</v>
      </c>
      <c r="AJ275" s="411">
        <f t="shared" si="350"/>
        <v>-6015175.7599999998</v>
      </c>
      <c r="AK275" s="411">
        <f t="shared" si="393"/>
        <v>-5410232.5600000015</v>
      </c>
      <c r="AL275" s="185">
        <f t="shared" si="410"/>
        <v>6414741.8200000003</v>
      </c>
      <c r="AM275" s="317">
        <f t="shared" si="439"/>
        <v>21</v>
      </c>
      <c r="AN275" s="14">
        <f t="shared" si="394"/>
        <v>6591.25</v>
      </c>
      <c r="AO275" s="14">
        <f t="shared" si="369"/>
        <v>795041.06</v>
      </c>
      <c r="AP275" s="14">
        <f t="shared" si="395"/>
        <v>2810.15</v>
      </c>
      <c r="AS275" s="14">
        <f t="shared" si="433"/>
        <v>6591.25</v>
      </c>
      <c r="AT275" s="14">
        <f t="shared" si="440"/>
        <v>1713244.44</v>
      </c>
      <c r="AU275" s="185">
        <f t="shared" si="441"/>
        <v>2826.1224207618047</v>
      </c>
      <c r="AV275" s="185">
        <f t="shared" si="442"/>
        <v>542650.09072548372</v>
      </c>
    </row>
    <row r="276" spans="1:48">
      <c r="A276" s="401" t="str">
        <f t="shared" si="397"/>
        <v xml:space="preserve"> </v>
      </c>
      <c r="B276" s="185">
        <f t="shared" si="434"/>
        <v>0</v>
      </c>
      <c r="C276" s="14">
        <f t="shared" si="427"/>
        <v>0</v>
      </c>
      <c r="D276" s="14">
        <f t="shared" si="443"/>
        <v>0</v>
      </c>
      <c r="E276" s="14">
        <f t="shared" si="428"/>
        <v>0</v>
      </c>
      <c r="F276" s="14">
        <f t="shared" si="386"/>
        <v>0</v>
      </c>
      <c r="G276" s="14">
        <f t="shared" si="383"/>
        <v>0</v>
      </c>
      <c r="H276" s="14">
        <f t="shared" si="384"/>
        <v>0</v>
      </c>
      <c r="I276" s="185">
        <f t="shared" si="398"/>
        <v>0</v>
      </c>
      <c r="J276" s="185">
        <f t="shared" si="399"/>
        <v>0</v>
      </c>
      <c r="K276" s="185">
        <f t="shared" si="400"/>
        <v>0</v>
      </c>
      <c r="L276" s="317">
        <f t="shared" si="371"/>
        <v>21</v>
      </c>
      <c r="M276" s="317">
        <f t="shared" si="435"/>
        <v>260</v>
      </c>
      <c r="N276" s="185">
        <f t="shared" si="436"/>
        <v>399566.06000000029</v>
      </c>
      <c r="O276" s="185">
        <f t="shared" si="401"/>
        <v>6591.25</v>
      </c>
      <c r="P276" s="185">
        <f t="shared" si="444"/>
        <v>2221</v>
      </c>
      <c r="Q276" s="185">
        <f t="shared" si="402"/>
        <v>4370.25</v>
      </c>
      <c r="R276" s="185">
        <f t="shared" si="389"/>
        <v>134.16999999999999</v>
      </c>
      <c r="S276" s="185">
        <f t="shared" si="390"/>
        <v>188.55</v>
      </c>
      <c r="T276" s="185">
        <f t="shared" si="387"/>
        <v>6913.97</v>
      </c>
      <c r="U276" s="185">
        <f t="shared" si="445"/>
        <v>193279.94</v>
      </c>
      <c r="V276" s="185">
        <f t="shared" si="446"/>
        <v>1527036.3099999989</v>
      </c>
      <c r="W276" s="185">
        <f t="shared" si="403"/>
        <v>397345.06000000029</v>
      </c>
      <c r="X276" s="401" t="str">
        <f t="shared" si="437"/>
        <v xml:space="preserve"> </v>
      </c>
      <c r="Y276" s="185">
        <f t="shared" si="404"/>
        <v>6414741.8200000003</v>
      </c>
      <c r="Z276" s="393">
        <f t="shared" si="429"/>
        <v>0.13125000000000001</v>
      </c>
      <c r="AA276" s="185">
        <f t="shared" si="430"/>
        <v>2810.15</v>
      </c>
      <c r="AB276" s="185">
        <f t="shared" si="405"/>
        <v>-67351.090000000011</v>
      </c>
      <c r="AC276" s="185">
        <f t="shared" si="431"/>
        <v>70161.240000000005</v>
      </c>
      <c r="AD276" s="185">
        <f t="shared" ref="AD276:AE276" si="450">+AD275</f>
        <v>134.16999999999999</v>
      </c>
      <c r="AE276" s="185">
        <f t="shared" si="450"/>
        <v>188.55</v>
      </c>
      <c r="AF276" s="185">
        <f t="shared" si="407"/>
        <v>3132.8699999999944</v>
      </c>
      <c r="AG276" s="185">
        <f t="shared" si="408"/>
        <v>-5495992.9099999992</v>
      </c>
      <c r="AH276" s="185">
        <f t="shared" si="409"/>
        <v>6607584.8599999966</v>
      </c>
      <c r="AI276" s="411">
        <f t="shared" si="392"/>
        <v>608724.2999999983</v>
      </c>
      <c r="AJ276" s="411">
        <f t="shared" si="350"/>
        <v>-6084747.8499999996</v>
      </c>
      <c r="AK276" s="411">
        <f t="shared" si="393"/>
        <v>-5476023.5500000017</v>
      </c>
      <c r="AL276" s="185">
        <f t="shared" si="410"/>
        <v>6482092.9100000001</v>
      </c>
      <c r="AM276" s="317">
        <f t="shared" si="439"/>
        <v>21</v>
      </c>
      <c r="AN276" s="14">
        <f t="shared" si="394"/>
        <v>6591.25</v>
      </c>
      <c r="AO276" s="14">
        <f t="shared" si="369"/>
        <v>792820.06</v>
      </c>
      <c r="AP276" s="14">
        <f t="shared" si="395"/>
        <v>2810.15</v>
      </c>
      <c r="AS276" s="14">
        <f t="shared" si="433"/>
        <v>6591.25</v>
      </c>
      <c r="AT276" s="14">
        <f t="shared" si="440"/>
        <v>1719835.69</v>
      </c>
      <c r="AU276" s="185">
        <f t="shared" si="441"/>
        <v>2833.1877268137091</v>
      </c>
      <c r="AV276" s="185">
        <f t="shared" si="442"/>
        <v>545483.27845229744</v>
      </c>
    </row>
    <row r="277" spans="1:48">
      <c r="A277" s="401" t="str">
        <f t="shared" si="397"/>
        <v xml:space="preserve"> </v>
      </c>
      <c r="B277" s="185">
        <f t="shared" si="434"/>
        <v>0</v>
      </c>
      <c r="C277" s="14">
        <f t="shared" si="427"/>
        <v>0</v>
      </c>
      <c r="D277" s="14">
        <f t="shared" si="443"/>
        <v>0</v>
      </c>
      <c r="E277" s="14">
        <f t="shared" si="428"/>
        <v>0</v>
      </c>
      <c r="F277" s="14">
        <f t="shared" si="386"/>
        <v>0</v>
      </c>
      <c r="G277" s="14">
        <f t="shared" si="383"/>
        <v>0</v>
      </c>
      <c r="H277" s="14">
        <f t="shared" si="384"/>
        <v>0</v>
      </c>
      <c r="I277" s="185">
        <f t="shared" si="398"/>
        <v>0</v>
      </c>
      <c r="J277" s="185">
        <f t="shared" si="399"/>
        <v>0</v>
      </c>
      <c r="K277" s="185">
        <f t="shared" si="400"/>
        <v>0</v>
      </c>
      <c r="L277" s="317">
        <f t="shared" si="371"/>
        <v>21</v>
      </c>
      <c r="M277" s="317">
        <f t="shared" si="435"/>
        <v>261</v>
      </c>
      <c r="N277" s="185">
        <f t="shared" si="436"/>
        <v>397345.06000000029</v>
      </c>
      <c r="O277" s="185">
        <f t="shared" si="401"/>
        <v>6591.25</v>
      </c>
      <c r="P277" s="185">
        <f t="shared" si="444"/>
        <v>2245.29</v>
      </c>
      <c r="Q277" s="185">
        <f t="shared" si="402"/>
        <v>4345.96</v>
      </c>
      <c r="R277" s="185">
        <f t="shared" si="389"/>
        <v>134.16999999999999</v>
      </c>
      <c r="S277" s="185">
        <f t="shared" si="390"/>
        <v>188.55</v>
      </c>
      <c r="T277" s="185">
        <f t="shared" si="387"/>
        <v>6913.97</v>
      </c>
      <c r="U277" s="185">
        <f t="shared" si="445"/>
        <v>195525.23</v>
      </c>
      <c r="V277" s="185">
        <f t="shared" si="446"/>
        <v>1531382.2699999989</v>
      </c>
      <c r="W277" s="185">
        <f t="shared" si="403"/>
        <v>395099.77000000031</v>
      </c>
      <c r="X277" s="401" t="str">
        <f t="shared" si="437"/>
        <v xml:space="preserve"> </v>
      </c>
      <c r="Y277" s="185">
        <f t="shared" si="404"/>
        <v>6482092.9100000001</v>
      </c>
      <c r="Z277" s="393">
        <f t="shared" si="429"/>
        <v>0.13125000000000001</v>
      </c>
      <c r="AA277" s="185">
        <f t="shared" si="430"/>
        <v>2810.15</v>
      </c>
      <c r="AB277" s="185">
        <f t="shared" si="405"/>
        <v>-68087.740000000005</v>
      </c>
      <c r="AC277" s="185">
        <f t="shared" si="431"/>
        <v>70897.89</v>
      </c>
      <c r="AD277" s="185">
        <f t="shared" ref="AD277:AE277" si="451">+AD276</f>
        <v>134.16999999999999</v>
      </c>
      <c r="AE277" s="185">
        <f t="shared" si="451"/>
        <v>188.55</v>
      </c>
      <c r="AF277" s="185">
        <f t="shared" si="407"/>
        <v>3132.8699999999944</v>
      </c>
      <c r="AG277" s="185">
        <f t="shared" si="408"/>
        <v>-5564080.6499999994</v>
      </c>
      <c r="AH277" s="185">
        <f t="shared" si="409"/>
        <v>6678482.7499999963</v>
      </c>
      <c r="AI277" s="411">
        <f t="shared" si="392"/>
        <v>612505.39999999828</v>
      </c>
      <c r="AJ277" s="411">
        <f t="shared" si="350"/>
        <v>-6155080.8799999999</v>
      </c>
      <c r="AK277" s="411">
        <f t="shared" si="393"/>
        <v>-5542575.4800000014</v>
      </c>
      <c r="AL277" s="185">
        <f t="shared" si="410"/>
        <v>6550180.6500000004</v>
      </c>
      <c r="AM277" s="317">
        <f t="shared" si="439"/>
        <v>21</v>
      </c>
      <c r="AN277" s="14">
        <f t="shared" si="394"/>
        <v>6591.25</v>
      </c>
      <c r="AO277" s="14">
        <f t="shared" si="369"/>
        <v>790574.77</v>
      </c>
      <c r="AP277" s="14">
        <f t="shared" si="395"/>
        <v>2810.15</v>
      </c>
      <c r="AS277" s="14">
        <f t="shared" si="433"/>
        <v>6591.25</v>
      </c>
      <c r="AT277" s="14">
        <f t="shared" si="440"/>
        <v>1726426.94</v>
      </c>
      <c r="AU277" s="185">
        <f t="shared" si="441"/>
        <v>2840.2706961307435</v>
      </c>
      <c r="AV277" s="185">
        <f t="shared" si="442"/>
        <v>548323.54914842814</v>
      </c>
    </row>
    <row r="278" spans="1:48" ht="15.75" thickBot="1">
      <c r="A278" s="404" t="str">
        <f t="shared" si="397"/>
        <v xml:space="preserve"> </v>
      </c>
      <c r="B278" s="237">
        <f t="shared" si="434"/>
        <v>0</v>
      </c>
      <c r="C278" s="21">
        <f t="shared" si="427"/>
        <v>0</v>
      </c>
      <c r="D278" s="21">
        <f t="shared" si="443"/>
        <v>0</v>
      </c>
      <c r="E278" s="21">
        <f t="shared" si="428"/>
        <v>0</v>
      </c>
      <c r="F278" s="21">
        <f t="shared" si="386"/>
        <v>0</v>
      </c>
      <c r="G278" s="21">
        <f t="shared" si="383"/>
        <v>0</v>
      </c>
      <c r="H278" s="21">
        <f t="shared" si="384"/>
        <v>0</v>
      </c>
      <c r="I278" s="237">
        <f t="shared" si="398"/>
        <v>0</v>
      </c>
      <c r="J278" s="237">
        <f t="shared" si="399"/>
        <v>0</v>
      </c>
      <c r="K278" s="237">
        <f t="shared" si="400"/>
        <v>0</v>
      </c>
      <c r="L278" s="318">
        <f t="shared" si="371"/>
        <v>21</v>
      </c>
      <c r="M278" s="318">
        <f t="shared" si="435"/>
        <v>262</v>
      </c>
      <c r="N278" s="237">
        <f t="shared" si="436"/>
        <v>395099.77000000031</v>
      </c>
      <c r="O278" s="237">
        <f t="shared" si="401"/>
        <v>6591.25</v>
      </c>
      <c r="P278" s="237">
        <f t="shared" si="444"/>
        <v>2269.8500000000004</v>
      </c>
      <c r="Q278" s="237">
        <f t="shared" si="402"/>
        <v>4321.3999999999996</v>
      </c>
      <c r="R278" s="237">
        <f t="shared" si="389"/>
        <v>134.16999999999999</v>
      </c>
      <c r="S278" s="237">
        <f t="shared" si="390"/>
        <v>188.55</v>
      </c>
      <c r="T278" s="237">
        <f t="shared" si="387"/>
        <v>6913.97</v>
      </c>
      <c r="U278" s="237">
        <f t="shared" si="445"/>
        <v>197795.08000000002</v>
      </c>
      <c r="V278" s="237">
        <f t="shared" si="446"/>
        <v>1535703.6699999988</v>
      </c>
      <c r="W278" s="237">
        <f t="shared" si="403"/>
        <v>392829.92000000033</v>
      </c>
      <c r="X278" s="404" t="str">
        <f t="shared" si="437"/>
        <v xml:space="preserve"> </v>
      </c>
      <c r="Y278" s="237">
        <f t="shared" si="404"/>
        <v>6550180.6500000004</v>
      </c>
      <c r="Z278" s="394">
        <f t="shared" si="429"/>
        <v>0.13125000000000001</v>
      </c>
      <c r="AA278" s="237">
        <f t="shared" si="430"/>
        <v>2810.15</v>
      </c>
      <c r="AB278" s="237">
        <f t="shared" si="405"/>
        <v>-68832.450000000012</v>
      </c>
      <c r="AC278" s="237">
        <f t="shared" si="431"/>
        <v>71642.600000000006</v>
      </c>
      <c r="AD278" s="237">
        <f t="shared" ref="AD278:AE278" si="452">+AD277</f>
        <v>134.16999999999999</v>
      </c>
      <c r="AE278" s="237">
        <f t="shared" si="452"/>
        <v>188.55</v>
      </c>
      <c r="AF278" s="237">
        <f t="shared" si="407"/>
        <v>3132.8699999999944</v>
      </c>
      <c r="AG278" s="237">
        <f t="shared" si="408"/>
        <v>-5632913.0999999996</v>
      </c>
      <c r="AH278" s="237">
        <f t="shared" si="409"/>
        <v>6750125.3499999959</v>
      </c>
      <c r="AI278" s="412">
        <f t="shared" si="392"/>
        <v>616286.49999999825</v>
      </c>
      <c r="AJ278" s="412">
        <f t="shared" si="350"/>
        <v>-6226183.1800000006</v>
      </c>
      <c r="AK278" s="411">
        <f t="shared" si="393"/>
        <v>-5609896.6800000025</v>
      </c>
      <c r="AL278" s="237">
        <f t="shared" si="410"/>
        <v>6619013.1000000006</v>
      </c>
      <c r="AM278" s="318">
        <f t="shared" si="439"/>
        <v>21</v>
      </c>
      <c r="AN278" s="21">
        <f t="shared" si="394"/>
        <v>6591.25</v>
      </c>
      <c r="AO278" s="21">
        <f t="shared" si="369"/>
        <v>788304.91999999993</v>
      </c>
      <c r="AP278" s="21">
        <f t="shared" si="395"/>
        <v>2810.15</v>
      </c>
      <c r="AQ278" s="21"/>
      <c r="AR278" s="23"/>
      <c r="AS278" s="21">
        <f t="shared" si="433"/>
        <v>6591.25</v>
      </c>
      <c r="AT278" s="21">
        <f t="shared" si="440"/>
        <v>1733018.19</v>
      </c>
      <c r="AU278" s="237">
        <f t="shared" si="441"/>
        <v>2847.3713728710704</v>
      </c>
      <c r="AV278" s="237">
        <f t="shared" si="442"/>
        <v>551170.92052129924</v>
      </c>
    </row>
    <row r="279" spans="1:48">
      <c r="A279" s="401" t="str">
        <f t="shared" si="397"/>
        <v xml:space="preserve"> </v>
      </c>
      <c r="B279" s="185">
        <f t="shared" si="434"/>
        <v>0</v>
      </c>
      <c r="C279" s="14">
        <f t="shared" si="427"/>
        <v>0</v>
      </c>
      <c r="D279" s="14">
        <f t="shared" si="443"/>
        <v>0</v>
      </c>
      <c r="E279" s="14">
        <f t="shared" si="428"/>
        <v>0</v>
      </c>
      <c r="F279" s="14">
        <f t="shared" si="386"/>
        <v>0</v>
      </c>
      <c r="G279" s="14">
        <f t="shared" si="383"/>
        <v>0</v>
      </c>
      <c r="H279" s="14">
        <f t="shared" si="384"/>
        <v>0</v>
      </c>
      <c r="I279" s="185">
        <f t="shared" si="398"/>
        <v>0</v>
      </c>
      <c r="J279" s="185">
        <f t="shared" si="399"/>
        <v>0</v>
      </c>
      <c r="K279" s="185">
        <f t="shared" si="400"/>
        <v>0</v>
      </c>
      <c r="L279" s="317">
        <f t="shared" si="371"/>
        <v>21</v>
      </c>
      <c r="M279" s="317">
        <f t="shared" si="435"/>
        <v>263</v>
      </c>
      <c r="N279" s="185">
        <f t="shared" si="436"/>
        <v>392829.92000000033</v>
      </c>
      <c r="O279" s="185">
        <f t="shared" si="401"/>
        <v>6591.25</v>
      </c>
      <c r="P279" s="185">
        <f t="shared" si="444"/>
        <v>2294.67</v>
      </c>
      <c r="Q279" s="185">
        <f t="shared" si="402"/>
        <v>4296.58</v>
      </c>
      <c r="R279" s="185">
        <f t="shared" si="389"/>
        <v>134.16999999999999</v>
      </c>
      <c r="S279" s="185">
        <f t="shared" si="390"/>
        <v>188.55</v>
      </c>
      <c r="T279" s="185">
        <f t="shared" si="387"/>
        <v>6913.97</v>
      </c>
      <c r="U279" s="185">
        <f t="shared" si="445"/>
        <v>200089.75000000003</v>
      </c>
      <c r="V279" s="185">
        <f t="shared" si="446"/>
        <v>1540000.2499999988</v>
      </c>
      <c r="W279" s="185">
        <f t="shared" si="403"/>
        <v>390535.25000000035</v>
      </c>
      <c r="X279" s="401" t="str">
        <f t="shared" si="437"/>
        <v xml:space="preserve"> </v>
      </c>
      <c r="Y279" s="185">
        <f t="shared" si="404"/>
        <v>6619013.1000000006</v>
      </c>
      <c r="Z279" s="393">
        <f t="shared" si="429"/>
        <v>0.13125000000000001</v>
      </c>
      <c r="AA279" s="185">
        <f t="shared" si="430"/>
        <v>2810.15</v>
      </c>
      <c r="AB279" s="185">
        <f t="shared" si="405"/>
        <v>-69585.310000000012</v>
      </c>
      <c r="AC279" s="185">
        <f t="shared" si="431"/>
        <v>72395.460000000006</v>
      </c>
      <c r="AD279" s="185">
        <f t="shared" ref="AD279:AE279" si="453">+AD278</f>
        <v>134.16999999999999</v>
      </c>
      <c r="AE279" s="185">
        <f t="shared" si="453"/>
        <v>188.55</v>
      </c>
      <c r="AF279" s="185">
        <f t="shared" si="407"/>
        <v>3132.8699999999944</v>
      </c>
      <c r="AG279" s="185">
        <f t="shared" si="408"/>
        <v>-5702498.4099999992</v>
      </c>
      <c r="AH279" s="185">
        <f t="shared" si="409"/>
        <v>6822520.8099999959</v>
      </c>
      <c r="AI279" s="411">
        <f t="shared" si="392"/>
        <v>620067.59999999823</v>
      </c>
      <c r="AJ279" s="411">
        <f t="shared" si="350"/>
        <v>-6298063.1600000001</v>
      </c>
      <c r="AK279" s="411">
        <f t="shared" si="393"/>
        <v>-5677995.5600000024</v>
      </c>
      <c r="AL279" s="185">
        <f t="shared" si="410"/>
        <v>6688598.4100000001</v>
      </c>
      <c r="AM279" s="317">
        <f t="shared" si="439"/>
        <v>21</v>
      </c>
      <c r="AN279" s="14">
        <f t="shared" si="394"/>
        <v>6591.25</v>
      </c>
      <c r="AO279" s="14">
        <f t="shared" si="369"/>
        <v>786010.25</v>
      </c>
      <c r="AP279" s="14">
        <f t="shared" si="395"/>
        <v>2810.15</v>
      </c>
      <c r="AS279" s="14">
        <f t="shared" si="433"/>
        <v>6591.25</v>
      </c>
      <c r="AT279" s="14">
        <f t="shared" si="440"/>
        <v>1739609.44</v>
      </c>
      <c r="AU279" s="185">
        <f t="shared" si="441"/>
        <v>2854.4898013032484</v>
      </c>
      <c r="AV279" s="185">
        <f t="shared" si="442"/>
        <v>554025.41032260249</v>
      </c>
    </row>
    <row r="280" spans="1:48">
      <c r="A280" s="401" t="str">
        <f t="shared" si="397"/>
        <v xml:space="preserve"> </v>
      </c>
      <c r="B280" s="185">
        <f t="shared" si="434"/>
        <v>0</v>
      </c>
      <c r="C280" s="14">
        <f t="shared" si="427"/>
        <v>0</v>
      </c>
      <c r="D280" s="14">
        <f t="shared" si="443"/>
        <v>0</v>
      </c>
      <c r="E280" s="14">
        <f t="shared" si="428"/>
        <v>0</v>
      </c>
      <c r="F280" s="14">
        <f t="shared" si="386"/>
        <v>0</v>
      </c>
      <c r="G280" s="14">
        <f t="shared" si="383"/>
        <v>0</v>
      </c>
      <c r="H280" s="14">
        <f t="shared" si="384"/>
        <v>0</v>
      </c>
      <c r="I280" s="185">
        <f t="shared" si="398"/>
        <v>0</v>
      </c>
      <c r="J280" s="185">
        <f t="shared" si="399"/>
        <v>0</v>
      </c>
      <c r="K280" s="185">
        <f t="shared" si="400"/>
        <v>0</v>
      </c>
      <c r="L280" s="317">
        <f t="shared" si="371"/>
        <v>22</v>
      </c>
      <c r="M280" s="317">
        <f t="shared" si="435"/>
        <v>264</v>
      </c>
      <c r="N280" s="185">
        <f t="shared" si="436"/>
        <v>390535.25000000035</v>
      </c>
      <c r="O280" s="185">
        <f t="shared" si="401"/>
        <v>6591.25</v>
      </c>
      <c r="P280" s="185">
        <f t="shared" si="444"/>
        <v>2319.7700000000004</v>
      </c>
      <c r="Q280" s="185">
        <f t="shared" si="402"/>
        <v>4271.4799999999996</v>
      </c>
      <c r="R280" s="185">
        <f t="shared" si="389"/>
        <v>134.16999999999999</v>
      </c>
      <c r="S280" s="185">
        <f t="shared" si="390"/>
        <v>188.55</v>
      </c>
      <c r="T280" s="185">
        <f t="shared" si="387"/>
        <v>6913.97</v>
      </c>
      <c r="U280" s="185">
        <f t="shared" si="445"/>
        <v>202409.52000000002</v>
      </c>
      <c r="V280" s="185">
        <f t="shared" si="446"/>
        <v>1544271.7299999988</v>
      </c>
      <c r="W280" s="185">
        <f t="shared" si="403"/>
        <v>388215.48000000033</v>
      </c>
      <c r="X280" s="401" t="str">
        <f t="shared" si="437"/>
        <v xml:space="preserve"> </v>
      </c>
      <c r="Y280" s="185">
        <f t="shared" si="404"/>
        <v>6688598.4100000001</v>
      </c>
      <c r="Z280" s="393">
        <f t="shared" si="429"/>
        <v>0.13125000000000001</v>
      </c>
      <c r="AA280" s="185">
        <f t="shared" si="430"/>
        <v>2810.15</v>
      </c>
      <c r="AB280" s="185">
        <f t="shared" si="405"/>
        <v>-70346.400000000009</v>
      </c>
      <c r="AC280" s="185">
        <f t="shared" si="431"/>
        <v>73156.55</v>
      </c>
      <c r="AD280" s="185">
        <f t="shared" ref="AD280:AE280" si="454">+AD279</f>
        <v>134.16999999999999</v>
      </c>
      <c r="AE280" s="185">
        <f t="shared" si="454"/>
        <v>188.55</v>
      </c>
      <c r="AF280" s="185">
        <f t="shared" si="407"/>
        <v>3132.8699999999944</v>
      </c>
      <c r="AG280" s="185">
        <f t="shared" si="408"/>
        <v>-5772844.8099999996</v>
      </c>
      <c r="AH280" s="185">
        <f t="shared" si="409"/>
        <v>6895677.3599999957</v>
      </c>
      <c r="AI280" s="411">
        <f t="shared" si="392"/>
        <v>623848.69999999821</v>
      </c>
      <c r="AJ280" s="411">
        <f t="shared" si="350"/>
        <v>-6370729.3300000001</v>
      </c>
      <c r="AK280" s="411">
        <f t="shared" si="393"/>
        <v>-5746880.6300000018</v>
      </c>
      <c r="AL280" s="185">
        <f t="shared" si="410"/>
        <v>6758944.8100000005</v>
      </c>
      <c r="AM280" s="317">
        <f t="shared" si="439"/>
        <v>22</v>
      </c>
      <c r="AN280" s="14">
        <f t="shared" si="394"/>
        <v>6591.25</v>
      </c>
      <c r="AO280" s="14">
        <f t="shared" si="369"/>
        <v>783690.48</v>
      </c>
      <c r="AP280" s="14">
        <f t="shared" si="395"/>
        <v>2810.15</v>
      </c>
      <c r="AS280" s="14">
        <f t="shared" si="433"/>
        <v>6591.25</v>
      </c>
      <c r="AT280" s="14">
        <f t="shared" si="440"/>
        <v>1746200.69</v>
      </c>
      <c r="AU280" s="185">
        <f t="shared" si="441"/>
        <v>2861.6260258065063</v>
      </c>
      <c r="AV280" s="185">
        <f t="shared" si="442"/>
        <v>556887.03634840902</v>
      </c>
    </row>
    <row r="281" spans="1:48">
      <c r="A281" s="401" t="str">
        <f t="shared" si="397"/>
        <v xml:space="preserve"> </v>
      </c>
      <c r="B281" s="185">
        <f t="shared" si="434"/>
        <v>0</v>
      </c>
      <c r="C281" s="14">
        <f t="shared" si="427"/>
        <v>0</v>
      </c>
      <c r="D281" s="14">
        <f t="shared" si="443"/>
        <v>0</v>
      </c>
      <c r="E281" s="14">
        <f t="shared" si="428"/>
        <v>0</v>
      </c>
      <c r="F281" s="14">
        <f t="shared" si="386"/>
        <v>0</v>
      </c>
      <c r="G281" s="14">
        <f t="shared" si="383"/>
        <v>0</v>
      </c>
      <c r="H281" s="14">
        <f t="shared" si="384"/>
        <v>0</v>
      </c>
      <c r="I281" s="185">
        <f t="shared" si="398"/>
        <v>0</v>
      </c>
      <c r="J281" s="185">
        <f t="shared" si="399"/>
        <v>0</v>
      </c>
      <c r="K281" s="185">
        <f t="shared" si="400"/>
        <v>0</v>
      </c>
      <c r="L281" s="317">
        <f t="shared" si="371"/>
        <v>22</v>
      </c>
      <c r="M281" s="317">
        <f t="shared" si="435"/>
        <v>265</v>
      </c>
      <c r="N281" s="185">
        <f t="shared" si="436"/>
        <v>388215.48000000033</v>
      </c>
      <c r="O281" s="185">
        <f t="shared" si="401"/>
        <v>6591.25</v>
      </c>
      <c r="P281" s="185">
        <f t="shared" si="444"/>
        <v>2345.1400000000003</v>
      </c>
      <c r="Q281" s="185">
        <f t="shared" si="402"/>
        <v>4246.1099999999997</v>
      </c>
      <c r="R281" s="185">
        <f t="shared" si="389"/>
        <v>134.16999999999999</v>
      </c>
      <c r="S281" s="185">
        <f t="shared" si="390"/>
        <v>188.55</v>
      </c>
      <c r="T281" s="185">
        <f t="shared" si="387"/>
        <v>6913.97</v>
      </c>
      <c r="U281" s="185">
        <f t="shared" si="445"/>
        <v>204754.66000000003</v>
      </c>
      <c r="V281" s="185">
        <f t="shared" si="446"/>
        <v>1548517.8399999989</v>
      </c>
      <c r="W281" s="185">
        <f t="shared" si="403"/>
        <v>385870.34000000032</v>
      </c>
      <c r="X281" s="401" t="str">
        <f t="shared" si="437"/>
        <v xml:space="preserve"> </v>
      </c>
      <c r="Y281" s="185">
        <f t="shared" si="404"/>
        <v>6758944.8100000005</v>
      </c>
      <c r="Z281" s="393">
        <f t="shared" si="429"/>
        <v>0.13125000000000001</v>
      </c>
      <c r="AA281" s="185">
        <f t="shared" si="430"/>
        <v>2810.15</v>
      </c>
      <c r="AB281" s="185">
        <f t="shared" si="405"/>
        <v>-71115.810000000012</v>
      </c>
      <c r="AC281" s="185">
        <f t="shared" si="431"/>
        <v>73925.960000000006</v>
      </c>
      <c r="AD281" s="185">
        <f t="shared" ref="AD281:AE281" si="455">+AD280</f>
        <v>134.16999999999999</v>
      </c>
      <c r="AE281" s="185">
        <f t="shared" si="455"/>
        <v>188.55</v>
      </c>
      <c r="AF281" s="185">
        <f t="shared" si="407"/>
        <v>3132.8699999999944</v>
      </c>
      <c r="AG281" s="185">
        <f t="shared" si="408"/>
        <v>-5843960.6199999992</v>
      </c>
      <c r="AH281" s="185">
        <f t="shared" si="409"/>
        <v>6969603.3199999956</v>
      </c>
      <c r="AI281" s="411">
        <f t="shared" si="392"/>
        <v>627629.79999999818</v>
      </c>
      <c r="AJ281" s="411">
        <f t="shared" si="350"/>
        <v>-6444190.2799999993</v>
      </c>
      <c r="AK281" s="411">
        <f t="shared" si="393"/>
        <v>-5816560.4800000014</v>
      </c>
      <c r="AL281" s="185">
        <f t="shared" si="410"/>
        <v>6830060.6200000001</v>
      </c>
      <c r="AM281" s="317">
        <f t="shared" si="439"/>
        <v>22</v>
      </c>
      <c r="AN281" s="14">
        <f t="shared" si="394"/>
        <v>6591.25</v>
      </c>
      <c r="AO281" s="14">
        <f t="shared" si="369"/>
        <v>781345.34</v>
      </c>
      <c r="AP281" s="14">
        <f t="shared" si="395"/>
        <v>2810.15</v>
      </c>
      <c r="AS281" s="14">
        <f t="shared" si="433"/>
        <v>6591.25</v>
      </c>
      <c r="AT281" s="14">
        <f t="shared" si="440"/>
        <v>1752791.94</v>
      </c>
      <c r="AU281" s="185">
        <f t="shared" si="441"/>
        <v>2868.7800908710228</v>
      </c>
      <c r="AV281" s="185">
        <f t="shared" si="442"/>
        <v>559755.81643928005</v>
      </c>
    </row>
    <row r="282" spans="1:48">
      <c r="A282" s="401" t="str">
        <f t="shared" si="397"/>
        <v xml:space="preserve"> </v>
      </c>
      <c r="B282" s="185">
        <f t="shared" si="434"/>
        <v>0</v>
      </c>
      <c r="C282" s="14">
        <f t="shared" si="427"/>
        <v>0</v>
      </c>
      <c r="D282" s="14">
        <f t="shared" si="443"/>
        <v>0</v>
      </c>
      <c r="E282" s="14">
        <f t="shared" si="428"/>
        <v>0</v>
      </c>
      <c r="F282" s="14">
        <f t="shared" si="386"/>
        <v>0</v>
      </c>
      <c r="G282" s="14">
        <f t="shared" si="383"/>
        <v>0</v>
      </c>
      <c r="H282" s="14">
        <f t="shared" si="384"/>
        <v>0</v>
      </c>
      <c r="I282" s="185">
        <f t="shared" si="398"/>
        <v>0</v>
      </c>
      <c r="J282" s="185">
        <f t="shared" si="399"/>
        <v>0</v>
      </c>
      <c r="K282" s="185">
        <f t="shared" si="400"/>
        <v>0</v>
      </c>
      <c r="L282" s="317">
        <f t="shared" si="371"/>
        <v>22</v>
      </c>
      <c r="M282" s="317">
        <f t="shared" si="435"/>
        <v>266</v>
      </c>
      <c r="N282" s="185">
        <f t="shared" si="436"/>
        <v>385870.34000000032</v>
      </c>
      <c r="O282" s="185">
        <f t="shared" si="401"/>
        <v>6591.25</v>
      </c>
      <c r="P282" s="185">
        <f t="shared" si="444"/>
        <v>2370.79</v>
      </c>
      <c r="Q282" s="185">
        <f t="shared" si="402"/>
        <v>4220.46</v>
      </c>
      <c r="R282" s="185">
        <f t="shared" si="389"/>
        <v>134.16999999999999</v>
      </c>
      <c r="S282" s="185">
        <f t="shared" si="390"/>
        <v>188.55</v>
      </c>
      <c r="T282" s="185">
        <f t="shared" si="387"/>
        <v>6913.97</v>
      </c>
      <c r="U282" s="185">
        <f t="shared" si="445"/>
        <v>207125.45000000004</v>
      </c>
      <c r="V282" s="185">
        <f t="shared" si="446"/>
        <v>1552738.2999999989</v>
      </c>
      <c r="W282" s="185">
        <f t="shared" si="403"/>
        <v>383499.55000000034</v>
      </c>
      <c r="X282" s="401" t="str">
        <f t="shared" si="437"/>
        <v xml:space="preserve"> </v>
      </c>
      <c r="Y282" s="185">
        <f t="shared" si="404"/>
        <v>6830060.6200000001</v>
      </c>
      <c r="Z282" s="393">
        <f t="shared" si="429"/>
        <v>0.13125000000000001</v>
      </c>
      <c r="AA282" s="185">
        <f t="shared" si="430"/>
        <v>2810.15</v>
      </c>
      <c r="AB282" s="185">
        <f t="shared" si="405"/>
        <v>-71893.64</v>
      </c>
      <c r="AC282" s="185">
        <f t="shared" si="431"/>
        <v>74703.789999999994</v>
      </c>
      <c r="AD282" s="185">
        <f t="shared" ref="AD282:AE282" si="456">+AD281</f>
        <v>134.16999999999999</v>
      </c>
      <c r="AE282" s="185">
        <f t="shared" si="456"/>
        <v>188.55</v>
      </c>
      <c r="AF282" s="185">
        <f t="shared" si="407"/>
        <v>3132.8699999999944</v>
      </c>
      <c r="AG282" s="185">
        <f t="shared" si="408"/>
        <v>-5915854.2599999988</v>
      </c>
      <c r="AH282" s="185">
        <f t="shared" si="409"/>
        <v>7044307.1099999957</v>
      </c>
      <c r="AI282" s="411">
        <f t="shared" si="392"/>
        <v>631410.89999999816</v>
      </c>
      <c r="AJ282" s="411">
        <f t="shared" si="350"/>
        <v>-6518454.709999999</v>
      </c>
      <c r="AK282" s="411">
        <f t="shared" si="393"/>
        <v>-5887043.8100000005</v>
      </c>
      <c r="AL282" s="185">
        <f t="shared" si="410"/>
        <v>6901954.2599999998</v>
      </c>
      <c r="AM282" s="317">
        <f t="shared" si="439"/>
        <v>22</v>
      </c>
      <c r="AN282" s="14">
        <f t="shared" si="394"/>
        <v>6591.25</v>
      </c>
      <c r="AO282" s="14">
        <f t="shared" si="369"/>
        <v>778974.54999999993</v>
      </c>
      <c r="AP282" s="14">
        <f t="shared" si="395"/>
        <v>2810.15</v>
      </c>
      <c r="AS282" s="14">
        <f t="shared" si="433"/>
        <v>6591.25</v>
      </c>
      <c r="AT282" s="14">
        <f t="shared" si="440"/>
        <v>1759383.19</v>
      </c>
      <c r="AU282" s="185">
        <f t="shared" si="441"/>
        <v>2875.9520410982</v>
      </c>
      <c r="AV282" s="185">
        <f t="shared" si="442"/>
        <v>562631.7684803782</v>
      </c>
    </row>
    <row r="283" spans="1:48">
      <c r="A283" s="401" t="str">
        <f t="shared" si="397"/>
        <v xml:space="preserve"> </v>
      </c>
      <c r="B283" s="185">
        <f t="shared" si="434"/>
        <v>0</v>
      </c>
      <c r="C283" s="14">
        <f t="shared" si="427"/>
        <v>0</v>
      </c>
      <c r="D283" s="14">
        <f t="shared" si="443"/>
        <v>0</v>
      </c>
      <c r="E283" s="14">
        <f t="shared" si="428"/>
        <v>0</v>
      </c>
      <c r="F283" s="14">
        <f t="shared" si="386"/>
        <v>0</v>
      </c>
      <c r="G283" s="14">
        <f t="shared" si="383"/>
        <v>0</v>
      </c>
      <c r="H283" s="14">
        <f t="shared" si="384"/>
        <v>0</v>
      </c>
      <c r="I283" s="185">
        <f t="shared" si="398"/>
        <v>0</v>
      </c>
      <c r="J283" s="185">
        <f t="shared" si="399"/>
        <v>0</v>
      </c>
      <c r="K283" s="185">
        <f t="shared" si="400"/>
        <v>0</v>
      </c>
      <c r="L283" s="317">
        <f t="shared" si="371"/>
        <v>22</v>
      </c>
      <c r="M283" s="317">
        <f t="shared" si="435"/>
        <v>267</v>
      </c>
      <c r="N283" s="185">
        <f t="shared" si="436"/>
        <v>383499.55000000034</v>
      </c>
      <c r="O283" s="185">
        <f t="shared" si="401"/>
        <v>6591.25</v>
      </c>
      <c r="P283" s="185">
        <f t="shared" si="444"/>
        <v>2396.7200000000003</v>
      </c>
      <c r="Q283" s="185">
        <f t="shared" si="402"/>
        <v>4194.53</v>
      </c>
      <c r="R283" s="185">
        <f t="shared" si="389"/>
        <v>134.16999999999999</v>
      </c>
      <c r="S283" s="185">
        <f t="shared" si="390"/>
        <v>188.55</v>
      </c>
      <c r="T283" s="185">
        <f t="shared" si="387"/>
        <v>6913.97</v>
      </c>
      <c r="U283" s="185">
        <f t="shared" si="445"/>
        <v>209522.17000000004</v>
      </c>
      <c r="V283" s="185">
        <f t="shared" si="446"/>
        <v>1556932.8299999989</v>
      </c>
      <c r="W283" s="185">
        <f t="shared" si="403"/>
        <v>381102.83000000037</v>
      </c>
      <c r="X283" s="401" t="str">
        <f t="shared" si="437"/>
        <v xml:space="preserve"> </v>
      </c>
      <c r="Y283" s="185">
        <f t="shared" si="404"/>
        <v>6901954.2599999998</v>
      </c>
      <c r="Z283" s="393">
        <f t="shared" si="429"/>
        <v>0.13125000000000001</v>
      </c>
      <c r="AA283" s="185">
        <f t="shared" si="430"/>
        <v>2810.15</v>
      </c>
      <c r="AB283" s="185">
        <f t="shared" si="405"/>
        <v>-72679.97</v>
      </c>
      <c r="AC283" s="185">
        <f t="shared" si="431"/>
        <v>75490.12</v>
      </c>
      <c r="AD283" s="185">
        <f t="shared" ref="AD283:AE283" si="457">+AD282</f>
        <v>134.16999999999999</v>
      </c>
      <c r="AE283" s="185">
        <f t="shared" si="457"/>
        <v>188.55</v>
      </c>
      <c r="AF283" s="185">
        <f t="shared" si="407"/>
        <v>3132.8699999999944</v>
      </c>
      <c r="AG283" s="185">
        <f t="shared" si="408"/>
        <v>-5988534.2299999986</v>
      </c>
      <c r="AH283" s="185">
        <f t="shared" si="409"/>
        <v>7119797.2299999958</v>
      </c>
      <c r="AI283" s="411">
        <f t="shared" si="392"/>
        <v>635191.99999999814</v>
      </c>
      <c r="AJ283" s="411">
        <f t="shared" ref="AJ283:AJ346" si="458">+W283-AL283</f>
        <v>-6593531.3999999994</v>
      </c>
      <c r="AK283" s="411">
        <f t="shared" si="393"/>
        <v>-5958339.4000000013</v>
      </c>
      <c r="AL283" s="185">
        <f t="shared" si="410"/>
        <v>6974634.2299999995</v>
      </c>
      <c r="AM283" s="317">
        <f t="shared" si="439"/>
        <v>22</v>
      </c>
      <c r="AN283" s="14">
        <f t="shared" si="394"/>
        <v>6591.25</v>
      </c>
      <c r="AO283" s="14">
        <f t="shared" si="369"/>
        <v>776577.83</v>
      </c>
      <c r="AP283" s="14">
        <f t="shared" si="395"/>
        <v>2810.15</v>
      </c>
      <c r="AS283" s="14">
        <f t="shared" si="433"/>
        <v>6591.25</v>
      </c>
      <c r="AT283" s="14">
        <f t="shared" si="440"/>
        <v>1765974.44</v>
      </c>
      <c r="AU283" s="185">
        <f t="shared" si="441"/>
        <v>2883.1419212009455</v>
      </c>
      <c r="AV283" s="185">
        <f t="shared" si="442"/>
        <v>565514.91040157911</v>
      </c>
    </row>
    <row r="284" spans="1:48">
      <c r="A284" s="401" t="str">
        <f t="shared" si="397"/>
        <v xml:space="preserve"> </v>
      </c>
      <c r="B284" s="185">
        <f t="shared" si="434"/>
        <v>0</v>
      </c>
      <c r="C284" s="14">
        <f t="shared" si="427"/>
        <v>0</v>
      </c>
      <c r="D284" s="14">
        <f t="shared" si="443"/>
        <v>0</v>
      </c>
      <c r="E284" s="14">
        <f t="shared" si="428"/>
        <v>0</v>
      </c>
      <c r="F284" s="14">
        <f t="shared" si="386"/>
        <v>0</v>
      </c>
      <c r="G284" s="14">
        <f t="shared" si="383"/>
        <v>0</v>
      </c>
      <c r="H284" s="14">
        <f t="shared" si="384"/>
        <v>0</v>
      </c>
      <c r="I284" s="185">
        <f t="shared" si="398"/>
        <v>0</v>
      </c>
      <c r="J284" s="185">
        <f t="shared" si="399"/>
        <v>0</v>
      </c>
      <c r="K284" s="185">
        <f t="shared" si="400"/>
        <v>0</v>
      </c>
      <c r="L284" s="317">
        <f t="shared" si="371"/>
        <v>22</v>
      </c>
      <c r="M284" s="317">
        <f t="shared" si="435"/>
        <v>268</v>
      </c>
      <c r="N284" s="185">
        <f t="shared" si="436"/>
        <v>381102.83000000037</v>
      </c>
      <c r="O284" s="185">
        <f t="shared" si="401"/>
        <v>6591.25</v>
      </c>
      <c r="P284" s="185">
        <f t="shared" si="444"/>
        <v>2422.9399999999996</v>
      </c>
      <c r="Q284" s="185">
        <f t="shared" si="402"/>
        <v>4168.3100000000004</v>
      </c>
      <c r="R284" s="185">
        <f t="shared" si="389"/>
        <v>134.16999999999999</v>
      </c>
      <c r="S284" s="185">
        <f t="shared" si="390"/>
        <v>188.55</v>
      </c>
      <c r="T284" s="185">
        <f t="shared" si="387"/>
        <v>6913.97</v>
      </c>
      <c r="U284" s="185">
        <f t="shared" si="445"/>
        <v>211945.11000000004</v>
      </c>
      <c r="V284" s="185">
        <f t="shared" si="446"/>
        <v>1561101.139999999</v>
      </c>
      <c r="W284" s="185">
        <f t="shared" si="403"/>
        <v>378679.89000000036</v>
      </c>
      <c r="X284" s="401" t="str">
        <f t="shared" si="437"/>
        <v xml:space="preserve"> </v>
      </c>
      <c r="Y284" s="185">
        <f t="shared" si="404"/>
        <v>6974634.2299999995</v>
      </c>
      <c r="Z284" s="393">
        <f t="shared" si="429"/>
        <v>0.13125000000000001</v>
      </c>
      <c r="AA284" s="185">
        <f t="shared" si="430"/>
        <v>2810.15</v>
      </c>
      <c r="AB284" s="185">
        <f t="shared" si="405"/>
        <v>-73474.91</v>
      </c>
      <c r="AC284" s="185">
        <f t="shared" si="431"/>
        <v>76285.06</v>
      </c>
      <c r="AD284" s="185">
        <f t="shared" ref="AD284:AE284" si="459">+AD283</f>
        <v>134.16999999999999</v>
      </c>
      <c r="AE284" s="185">
        <f t="shared" si="459"/>
        <v>188.55</v>
      </c>
      <c r="AF284" s="185">
        <f t="shared" si="407"/>
        <v>3132.8699999999944</v>
      </c>
      <c r="AG284" s="185">
        <f t="shared" si="408"/>
        <v>-6062009.1399999987</v>
      </c>
      <c r="AH284" s="185">
        <f t="shared" si="409"/>
        <v>7196082.2899999954</v>
      </c>
      <c r="AI284" s="411">
        <f t="shared" si="392"/>
        <v>638973.09999999811</v>
      </c>
      <c r="AJ284" s="411">
        <f t="shared" si="458"/>
        <v>-6669429.2499999991</v>
      </c>
      <c r="AK284" s="411">
        <f t="shared" si="393"/>
        <v>-6030456.1500000013</v>
      </c>
      <c r="AL284" s="185">
        <f t="shared" si="410"/>
        <v>7048109.1399999997</v>
      </c>
      <c r="AM284" s="317">
        <f t="shared" si="439"/>
        <v>22</v>
      </c>
      <c r="AN284" s="14">
        <f t="shared" si="394"/>
        <v>6591.25</v>
      </c>
      <c r="AO284" s="14">
        <f t="shared" si="369"/>
        <v>774154.8899999999</v>
      </c>
      <c r="AP284" s="14">
        <f t="shared" si="395"/>
        <v>2810.15</v>
      </c>
      <c r="AS284" s="14">
        <f t="shared" si="433"/>
        <v>6591.25</v>
      </c>
      <c r="AT284" s="14">
        <f t="shared" si="440"/>
        <v>1772565.69</v>
      </c>
      <c r="AU284" s="185">
        <f t="shared" si="441"/>
        <v>2890.3497760039477</v>
      </c>
      <c r="AV284" s="185">
        <f t="shared" si="442"/>
        <v>568405.26017758308</v>
      </c>
    </row>
    <row r="285" spans="1:48">
      <c r="A285" s="401" t="str">
        <f t="shared" si="397"/>
        <v xml:space="preserve"> </v>
      </c>
      <c r="B285" s="185">
        <f t="shared" si="434"/>
        <v>0</v>
      </c>
      <c r="C285" s="14">
        <f t="shared" si="427"/>
        <v>0</v>
      </c>
      <c r="D285" s="14">
        <f t="shared" si="443"/>
        <v>0</v>
      </c>
      <c r="E285" s="14">
        <f t="shared" si="428"/>
        <v>0</v>
      </c>
      <c r="F285" s="14">
        <f t="shared" si="386"/>
        <v>0</v>
      </c>
      <c r="G285" s="14">
        <f t="shared" si="383"/>
        <v>0</v>
      </c>
      <c r="H285" s="14">
        <f t="shared" si="384"/>
        <v>0</v>
      </c>
      <c r="I285" s="185">
        <f t="shared" si="398"/>
        <v>0</v>
      </c>
      <c r="J285" s="185">
        <f t="shared" si="399"/>
        <v>0</v>
      </c>
      <c r="K285" s="185">
        <f t="shared" si="400"/>
        <v>0</v>
      </c>
      <c r="L285" s="317">
        <f t="shared" si="371"/>
        <v>22</v>
      </c>
      <c r="M285" s="317">
        <f t="shared" si="435"/>
        <v>269</v>
      </c>
      <c r="N285" s="185">
        <f t="shared" si="436"/>
        <v>378679.89000000036</v>
      </c>
      <c r="O285" s="185">
        <f t="shared" si="401"/>
        <v>6591.25</v>
      </c>
      <c r="P285" s="185">
        <f t="shared" si="444"/>
        <v>2449.4399999999996</v>
      </c>
      <c r="Q285" s="185">
        <f t="shared" si="402"/>
        <v>4141.8100000000004</v>
      </c>
      <c r="R285" s="185">
        <f t="shared" si="389"/>
        <v>134.16999999999999</v>
      </c>
      <c r="S285" s="185">
        <f t="shared" si="390"/>
        <v>188.55</v>
      </c>
      <c r="T285" s="185">
        <f t="shared" si="387"/>
        <v>6913.97</v>
      </c>
      <c r="U285" s="185">
        <f t="shared" si="445"/>
        <v>214394.55000000005</v>
      </c>
      <c r="V285" s="185">
        <f t="shared" si="446"/>
        <v>1565242.949999999</v>
      </c>
      <c r="W285" s="185">
        <f t="shared" si="403"/>
        <v>376230.45000000036</v>
      </c>
      <c r="X285" s="401" t="str">
        <f t="shared" si="437"/>
        <v xml:space="preserve"> </v>
      </c>
      <c r="Y285" s="185">
        <f t="shared" si="404"/>
        <v>7048109.1399999997</v>
      </c>
      <c r="Z285" s="393">
        <f t="shared" si="429"/>
        <v>0.13125000000000001</v>
      </c>
      <c r="AA285" s="185">
        <f t="shared" si="430"/>
        <v>2810.15</v>
      </c>
      <c r="AB285" s="185">
        <f t="shared" si="405"/>
        <v>-74278.540000000008</v>
      </c>
      <c r="AC285" s="185">
        <f t="shared" si="431"/>
        <v>77088.69</v>
      </c>
      <c r="AD285" s="185">
        <f t="shared" ref="AD285:AE285" si="460">+AD284</f>
        <v>134.16999999999999</v>
      </c>
      <c r="AE285" s="185">
        <f t="shared" si="460"/>
        <v>188.55</v>
      </c>
      <c r="AF285" s="185">
        <f t="shared" si="407"/>
        <v>3132.8699999999944</v>
      </c>
      <c r="AG285" s="185">
        <f t="shared" si="408"/>
        <v>-6136287.6799999988</v>
      </c>
      <c r="AH285" s="185">
        <f t="shared" si="409"/>
        <v>7273170.9799999958</v>
      </c>
      <c r="AI285" s="411">
        <f t="shared" si="392"/>
        <v>642754.19999999809</v>
      </c>
      <c r="AJ285" s="411">
        <f t="shared" si="458"/>
        <v>-6746157.2299999995</v>
      </c>
      <c r="AK285" s="411">
        <f t="shared" si="393"/>
        <v>-6103403.0300000012</v>
      </c>
      <c r="AL285" s="185">
        <f t="shared" si="410"/>
        <v>7122387.6799999997</v>
      </c>
      <c r="AM285" s="317">
        <f t="shared" si="439"/>
        <v>22</v>
      </c>
      <c r="AN285" s="14">
        <f t="shared" si="394"/>
        <v>6591.25</v>
      </c>
      <c r="AO285" s="14">
        <f t="shared" si="369"/>
        <v>771705.45</v>
      </c>
      <c r="AP285" s="14">
        <f t="shared" si="395"/>
        <v>2810.15</v>
      </c>
      <c r="AS285" s="14">
        <f t="shared" si="433"/>
        <v>6591.25</v>
      </c>
      <c r="AT285" s="14">
        <f t="shared" si="440"/>
        <v>1779156.94</v>
      </c>
      <c r="AU285" s="185">
        <f t="shared" si="441"/>
        <v>2897.5756504439573</v>
      </c>
      <c r="AV285" s="185">
        <f t="shared" si="442"/>
        <v>571302.83582802699</v>
      </c>
    </row>
    <row r="286" spans="1:48">
      <c r="A286" s="401" t="str">
        <f t="shared" si="397"/>
        <v xml:space="preserve"> </v>
      </c>
      <c r="B286" s="185">
        <f t="shared" si="434"/>
        <v>0</v>
      </c>
      <c r="C286" s="14">
        <f t="shared" si="427"/>
        <v>0</v>
      </c>
      <c r="D286" s="14">
        <f t="shared" si="443"/>
        <v>0</v>
      </c>
      <c r="E286" s="14">
        <f t="shared" si="428"/>
        <v>0</v>
      </c>
      <c r="F286" s="14">
        <f t="shared" si="386"/>
        <v>0</v>
      </c>
      <c r="G286" s="14">
        <f t="shared" si="383"/>
        <v>0</v>
      </c>
      <c r="H286" s="14">
        <f t="shared" si="384"/>
        <v>0</v>
      </c>
      <c r="I286" s="185">
        <f t="shared" si="398"/>
        <v>0</v>
      </c>
      <c r="J286" s="185">
        <f t="shared" si="399"/>
        <v>0</v>
      </c>
      <c r="K286" s="185">
        <f t="shared" si="400"/>
        <v>0</v>
      </c>
      <c r="L286" s="317">
        <f t="shared" si="371"/>
        <v>22</v>
      </c>
      <c r="M286" s="317">
        <f t="shared" si="435"/>
        <v>270</v>
      </c>
      <c r="N286" s="185">
        <f t="shared" si="436"/>
        <v>376230.45000000036</v>
      </c>
      <c r="O286" s="185">
        <f t="shared" si="401"/>
        <v>6591.25</v>
      </c>
      <c r="P286" s="185">
        <f t="shared" si="444"/>
        <v>2476.2299999999996</v>
      </c>
      <c r="Q286" s="185">
        <f t="shared" si="402"/>
        <v>4115.0200000000004</v>
      </c>
      <c r="R286" s="185">
        <f t="shared" si="389"/>
        <v>134.16999999999999</v>
      </c>
      <c r="S286" s="185">
        <f t="shared" si="390"/>
        <v>188.55</v>
      </c>
      <c r="T286" s="185">
        <f t="shared" si="387"/>
        <v>6913.97</v>
      </c>
      <c r="U286" s="185">
        <f t="shared" si="445"/>
        <v>216870.78000000006</v>
      </c>
      <c r="V286" s="185">
        <f t="shared" si="446"/>
        <v>1569357.969999999</v>
      </c>
      <c r="W286" s="185">
        <f t="shared" si="403"/>
        <v>373754.22000000038</v>
      </c>
      <c r="X286" s="401" t="str">
        <f t="shared" si="437"/>
        <v xml:space="preserve"> </v>
      </c>
      <c r="Y286" s="185">
        <f t="shared" si="404"/>
        <v>7122387.6799999997</v>
      </c>
      <c r="Z286" s="393">
        <f t="shared" si="429"/>
        <v>0.13125000000000001</v>
      </c>
      <c r="AA286" s="185">
        <f t="shared" si="430"/>
        <v>2810.15</v>
      </c>
      <c r="AB286" s="185">
        <f t="shared" si="405"/>
        <v>-75090.97</v>
      </c>
      <c r="AC286" s="185">
        <f t="shared" si="431"/>
        <v>77901.119999999995</v>
      </c>
      <c r="AD286" s="185">
        <f t="shared" ref="AD286:AE286" si="461">+AD285</f>
        <v>134.16999999999999</v>
      </c>
      <c r="AE286" s="185">
        <f t="shared" si="461"/>
        <v>188.55</v>
      </c>
      <c r="AF286" s="185">
        <f t="shared" si="407"/>
        <v>3132.8699999999944</v>
      </c>
      <c r="AG286" s="185">
        <f t="shared" si="408"/>
        <v>-6211378.6499999985</v>
      </c>
      <c r="AH286" s="185">
        <f t="shared" si="409"/>
        <v>7351072.0999999959</v>
      </c>
      <c r="AI286" s="411">
        <f t="shared" si="392"/>
        <v>646535.29999999807</v>
      </c>
      <c r="AJ286" s="411">
        <f t="shared" si="458"/>
        <v>-6823724.4299999988</v>
      </c>
      <c r="AK286" s="411">
        <f t="shared" si="393"/>
        <v>-6177189.1300000008</v>
      </c>
      <c r="AL286" s="185">
        <f t="shared" si="410"/>
        <v>7197478.6499999994</v>
      </c>
      <c r="AM286" s="317">
        <f t="shared" si="439"/>
        <v>22</v>
      </c>
      <c r="AN286" s="14">
        <f t="shared" si="394"/>
        <v>6591.25</v>
      </c>
      <c r="AO286" s="14">
        <f t="shared" si="369"/>
        <v>769229.22</v>
      </c>
      <c r="AP286" s="14">
        <f t="shared" si="395"/>
        <v>2810.15</v>
      </c>
      <c r="AS286" s="14">
        <f t="shared" si="433"/>
        <v>6591.25</v>
      </c>
      <c r="AT286" s="14">
        <f t="shared" si="440"/>
        <v>1785748.19</v>
      </c>
      <c r="AU286" s="185">
        <f t="shared" si="441"/>
        <v>2904.8195895700678</v>
      </c>
      <c r="AV286" s="185">
        <f t="shared" si="442"/>
        <v>574207.65541759704</v>
      </c>
    </row>
    <row r="287" spans="1:48">
      <c r="A287" s="401" t="str">
        <f t="shared" si="397"/>
        <v xml:space="preserve"> </v>
      </c>
      <c r="B287" s="185">
        <f t="shared" si="434"/>
        <v>0</v>
      </c>
      <c r="C287" s="14">
        <f t="shared" si="427"/>
        <v>0</v>
      </c>
      <c r="D287" s="14">
        <f t="shared" si="443"/>
        <v>0</v>
      </c>
      <c r="E287" s="14">
        <f t="shared" si="428"/>
        <v>0</v>
      </c>
      <c r="F287" s="14">
        <f t="shared" si="386"/>
        <v>0</v>
      </c>
      <c r="G287" s="14">
        <f t="shared" si="383"/>
        <v>0</v>
      </c>
      <c r="H287" s="14">
        <f t="shared" si="384"/>
        <v>0</v>
      </c>
      <c r="I287" s="185">
        <f t="shared" si="398"/>
        <v>0</v>
      </c>
      <c r="J287" s="185">
        <f t="shared" si="399"/>
        <v>0</v>
      </c>
      <c r="K287" s="185">
        <f t="shared" si="400"/>
        <v>0</v>
      </c>
      <c r="L287" s="317">
        <f t="shared" si="371"/>
        <v>22</v>
      </c>
      <c r="M287" s="317">
        <f t="shared" si="435"/>
        <v>271</v>
      </c>
      <c r="N287" s="185">
        <f t="shared" si="436"/>
        <v>373754.22000000038</v>
      </c>
      <c r="O287" s="185">
        <f t="shared" si="401"/>
        <v>6591.25</v>
      </c>
      <c r="P287" s="185">
        <f t="shared" si="444"/>
        <v>2503.31</v>
      </c>
      <c r="Q287" s="185">
        <f t="shared" si="402"/>
        <v>4087.94</v>
      </c>
      <c r="R287" s="185">
        <f t="shared" si="389"/>
        <v>134.16999999999999</v>
      </c>
      <c r="S287" s="185">
        <f t="shared" si="390"/>
        <v>188.55</v>
      </c>
      <c r="T287" s="185">
        <f t="shared" si="387"/>
        <v>6913.97</v>
      </c>
      <c r="U287" s="185">
        <f t="shared" si="445"/>
        <v>219374.09000000005</v>
      </c>
      <c r="V287" s="185">
        <f t="shared" si="446"/>
        <v>1573445.909999999</v>
      </c>
      <c r="W287" s="185">
        <f t="shared" si="403"/>
        <v>371250.91000000038</v>
      </c>
      <c r="X287" s="401" t="str">
        <f t="shared" si="437"/>
        <v xml:space="preserve"> </v>
      </c>
      <c r="Y287" s="185">
        <f t="shared" si="404"/>
        <v>7197478.6499999994</v>
      </c>
      <c r="Z287" s="393">
        <f t="shared" si="429"/>
        <v>0.13125000000000001</v>
      </c>
      <c r="AA287" s="185">
        <f t="shared" si="430"/>
        <v>2810.15</v>
      </c>
      <c r="AB287" s="185">
        <f t="shared" si="405"/>
        <v>-75912.27</v>
      </c>
      <c r="AC287" s="185">
        <f t="shared" si="431"/>
        <v>78722.42</v>
      </c>
      <c r="AD287" s="185">
        <f t="shared" ref="AD287:AE287" si="462">+AD286</f>
        <v>134.16999999999999</v>
      </c>
      <c r="AE287" s="185">
        <f t="shared" si="462"/>
        <v>188.55</v>
      </c>
      <c r="AF287" s="185">
        <f t="shared" si="407"/>
        <v>3132.8699999999944</v>
      </c>
      <c r="AG287" s="185">
        <f t="shared" si="408"/>
        <v>-6287290.9199999981</v>
      </c>
      <c r="AH287" s="185">
        <f t="shared" si="409"/>
        <v>7429794.5199999958</v>
      </c>
      <c r="AI287" s="411">
        <f t="shared" si="392"/>
        <v>650316.39999999804</v>
      </c>
      <c r="AJ287" s="411">
        <f t="shared" si="458"/>
        <v>-6902140.0099999988</v>
      </c>
      <c r="AK287" s="411">
        <f t="shared" si="393"/>
        <v>-6251823.6100000013</v>
      </c>
      <c r="AL287" s="185">
        <f t="shared" si="410"/>
        <v>7273390.919999999</v>
      </c>
      <c r="AM287" s="317">
        <f t="shared" si="439"/>
        <v>22</v>
      </c>
      <c r="AN287" s="14">
        <f t="shared" si="394"/>
        <v>6591.25</v>
      </c>
      <c r="AO287" s="14">
        <f t="shared" si="369"/>
        <v>766725.90999999992</v>
      </c>
      <c r="AP287" s="14">
        <f t="shared" si="395"/>
        <v>2810.15</v>
      </c>
      <c r="AS287" s="14">
        <f t="shared" si="433"/>
        <v>6591.25</v>
      </c>
      <c r="AT287" s="14">
        <f t="shared" si="440"/>
        <v>1792339.44</v>
      </c>
      <c r="AU287" s="185">
        <f t="shared" si="441"/>
        <v>2912.0816385439921</v>
      </c>
      <c r="AV287" s="185">
        <f t="shared" si="442"/>
        <v>577119.73705614102</v>
      </c>
    </row>
    <row r="288" spans="1:48">
      <c r="A288" s="401" t="str">
        <f t="shared" si="397"/>
        <v xml:space="preserve"> </v>
      </c>
      <c r="B288" s="185">
        <f t="shared" si="434"/>
        <v>0</v>
      </c>
      <c r="C288" s="14">
        <f t="shared" si="427"/>
        <v>0</v>
      </c>
      <c r="D288" s="14">
        <f t="shared" si="443"/>
        <v>0</v>
      </c>
      <c r="E288" s="14">
        <f t="shared" si="428"/>
        <v>0</v>
      </c>
      <c r="F288" s="14">
        <f t="shared" si="386"/>
        <v>0</v>
      </c>
      <c r="G288" s="14">
        <f t="shared" si="383"/>
        <v>0</v>
      </c>
      <c r="H288" s="14">
        <f t="shared" si="384"/>
        <v>0</v>
      </c>
      <c r="I288" s="185">
        <f t="shared" si="398"/>
        <v>0</v>
      </c>
      <c r="J288" s="185">
        <f t="shared" si="399"/>
        <v>0</v>
      </c>
      <c r="K288" s="185">
        <f t="shared" si="400"/>
        <v>0</v>
      </c>
      <c r="L288" s="317">
        <f t="shared" si="371"/>
        <v>22</v>
      </c>
      <c r="M288" s="317">
        <f t="shared" si="435"/>
        <v>272</v>
      </c>
      <c r="N288" s="185">
        <f t="shared" si="436"/>
        <v>371250.91000000038</v>
      </c>
      <c r="O288" s="185">
        <f t="shared" si="401"/>
        <v>6591.25</v>
      </c>
      <c r="P288" s="185">
        <f t="shared" si="444"/>
        <v>2530.69</v>
      </c>
      <c r="Q288" s="185">
        <f t="shared" si="402"/>
        <v>4060.56</v>
      </c>
      <c r="R288" s="185">
        <f t="shared" si="389"/>
        <v>134.16999999999999</v>
      </c>
      <c r="S288" s="185">
        <f t="shared" si="390"/>
        <v>188.55</v>
      </c>
      <c r="T288" s="185">
        <f t="shared" si="387"/>
        <v>6913.97</v>
      </c>
      <c r="U288" s="185">
        <f t="shared" si="445"/>
        <v>221904.78000000006</v>
      </c>
      <c r="V288" s="185">
        <f t="shared" si="446"/>
        <v>1577506.469999999</v>
      </c>
      <c r="W288" s="185">
        <f t="shared" si="403"/>
        <v>368720.22000000038</v>
      </c>
      <c r="X288" s="401" t="str">
        <f t="shared" si="437"/>
        <v xml:space="preserve"> </v>
      </c>
      <c r="Y288" s="185">
        <f t="shared" si="404"/>
        <v>7273390.919999999</v>
      </c>
      <c r="Z288" s="393">
        <f t="shared" si="429"/>
        <v>0.13125000000000001</v>
      </c>
      <c r="AA288" s="185">
        <f t="shared" si="430"/>
        <v>2810.15</v>
      </c>
      <c r="AB288" s="185">
        <f t="shared" si="405"/>
        <v>-76742.560000000012</v>
      </c>
      <c r="AC288" s="185">
        <f t="shared" si="431"/>
        <v>79552.710000000006</v>
      </c>
      <c r="AD288" s="185">
        <f t="shared" ref="AD288:AE288" si="463">+AD287</f>
        <v>134.16999999999999</v>
      </c>
      <c r="AE288" s="185">
        <f t="shared" si="463"/>
        <v>188.55</v>
      </c>
      <c r="AF288" s="185">
        <f t="shared" si="407"/>
        <v>3132.8699999999944</v>
      </c>
      <c r="AG288" s="185">
        <f t="shared" si="408"/>
        <v>-6364033.4799999977</v>
      </c>
      <c r="AH288" s="185">
        <f t="shared" si="409"/>
        <v>7509347.2299999958</v>
      </c>
      <c r="AI288" s="411">
        <f t="shared" si="392"/>
        <v>654097.49999999802</v>
      </c>
      <c r="AJ288" s="411">
        <f t="shared" si="458"/>
        <v>-6981413.2599999979</v>
      </c>
      <c r="AK288" s="411">
        <f t="shared" si="393"/>
        <v>-6327315.7599999998</v>
      </c>
      <c r="AL288" s="185">
        <f t="shared" si="410"/>
        <v>7350133.4799999986</v>
      </c>
      <c r="AM288" s="317">
        <f t="shared" si="439"/>
        <v>22</v>
      </c>
      <c r="AN288" s="14">
        <f t="shared" si="394"/>
        <v>6591.25</v>
      </c>
      <c r="AO288" s="14">
        <f t="shared" si="369"/>
        <v>764195.22</v>
      </c>
      <c r="AP288" s="14">
        <f t="shared" si="395"/>
        <v>2810.15</v>
      </c>
      <c r="AS288" s="14">
        <f t="shared" si="433"/>
        <v>6591.25</v>
      </c>
      <c r="AT288" s="14">
        <f t="shared" si="440"/>
        <v>1798930.69</v>
      </c>
      <c r="AU288" s="185">
        <f t="shared" si="441"/>
        <v>2919.3618426403523</v>
      </c>
      <c r="AV288" s="185">
        <f t="shared" si="442"/>
        <v>580039.09889878135</v>
      </c>
    </row>
    <row r="289" spans="1:48">
      <c r="A289" s="401" t="str">
        <f t="shared" si="397"/>
        <v xml:space="preserve"> </v>
      </c>
      <c r="B289" s="185">
        <f t="shared" si="434"/>
        <v>0</v>
      </c>
      <c r="C289" s="14">
        <f t="shared" si="427"/>
        <v>0</v>
      </c>
      <c r="D289" s="14">
        <f t="shared" si="443"/>
        <v>0</v>
      </c>
      <c r="E289" s="14">
        <f t="shared" si="428"/>
        <v>0</v>
      </c>
      <c r="F289" s="14">
        <f t="shared" si="386"/>
        <v>0</v>
      </c>
      <c r="G289" s="14">
        <f t="shared" si="383"/>
        <v>0</v>
      </c>
      <c r="H289" s="14">
        <f t="shared" si="384"/>
        <v>0</v>
      </c>
      <c r="I289" s="185">
        <f t="shared" si="398"/>
        <v>0</v>
      </c>
      <c r="J289" s="185">
        <f t="shared" si="399"/>
        <v>0</v>
      </c>
      <c r="K289" s="185">
        <f t="shared" si="400"/>
        <v>0</v>
      </c>
      <c r="L289" s="317">
        <f t="shared" si="371"/>
        <v>22</v>
      </c>
      <c r="M289" s="317">
        <f t="shared" si="435"/>
        <v>273</v>
      </c>
      <c r="N289" s="185">
        <f t="shared" si="436"/>
        <v>368720.22000000038</v>
      </c>
      <c r="O289" s="185">
        <f t="shared" si="401"/>
        <v>6591.25</v>
      </c>
      <c r="P289" s="185">
        <f t="shared" si="444"/>
        <v>2558.37</v>
      </c>
      <c r="Q289" s="185">
        <f t="shared" si="402"/>
        <v>4032.88</v>
      </c>
      <c r="R289" s="185">
        <f t="shared" si="389"/>
        <v>134.16999999999999</v>
      </c>
      <c r="S289" s="185">
        <f t="shared" si="390"/>
        <v>188.55</v>
      </c>
      <c r="T289" s="185">
        <f t="shared" si="387"/>
        <v>6913.97</v>
      </c>
      <c r="U289" s="185">
        <f t="shared" si="445"/>
        <v>224463.15000000005</v>
      </c>
      <c r="V289" s="185">
        <f t="shared" si="446"/>
        <v>1581539.3499999989</v>
      </c>
      <c r="W289" s="185">
        <f t="shared" si="403"/>
        <v>366161.85000000038</v>
      </c>
      <c r="X289" s="401" t="str">
        <f t="shared" si="437"/>
        <v xml:space="preserve"> </v>
      </c>
      <c r="Y289" s="185">
        <f t="shared" si="404"/>
        <v>7350133.4799999986</v>
      </c>
      <c r="Z289" s="393">
        <f t="shared" si="429"/>
        <v>0.13125000000000001</v>
      </c>
      <c r="AA289" s="185">
        <f t="shared" si="430"/>
        <v>2810.15</v>
      </c>
      <c r="AB289" s="185">
        <f t="shared" si="405"/>
        <v>-77581.930000000008</v>
      </c>
      <c r="AC289" s="185">
        <f t="shared" si="431"/>
        <v>80392.08</v>
      </c>
      <c r="AD289" s="185">
        <f t="shared" ref="AD289:AE289" si="464">+AD288</f>
        <v>134.16999999999999</v>
      </c>
      <c r="AE289" s="185">
        <f t="shared" si="464"/>
        <v>188.55</v>
      </c>
      <c r="AF289" s="185">
        <f t="shared" si="407"/>
        <v>3132.8699999999944</v>
      </c>
      <c r="AG289" s="185">
        <f t="shared" si="408"/>
        <v>-6441615.4099999974</v>
      </c>
      <c r="AH289" s="185">
        <f t="shared" si="409"/>
        <v>7589739.3099999959</v>
      </c>
      <c r="AI289" s="411">
        <f t="shared" si="392"/>
        <v>657878.599999998</v>
      </c>
      <c r="AJ289" s="411">
        <f t="shared" si="458"/>
        <v>-7061553.5599999977</v>
      </c>
      <c r="AK289" s="411">
        <f t="shared" si="393"/>
        <v>-6403674.96</v>
      </c>
      <c r="AL289" s="185">
        <f t="shared" si="410"/>
        <v>7427715.4099999983</v>
      </c>
      <c r="AM289" s="317">
        <f t="shared" si="439"/>
        <v>22</v>
      </c>
      <c r="AN289" s="14">
        <f t="shared" si="394"/>
        <v>6591.25</v>
      </c>
      <c r="AO289" s="14">
        <f t="shared" si="369"/>
        <v>761636.85</v>
      </c>
      <c r="AP289" s="14">
        <f t="shared" si="395"/>
        <v>2810.15</v>
      </c>
      <c r="AS289" s="14">
        <f t="shared" si="433"/>
        <v>6591.25</v>
      </c>
      <c r="AT289" s="14">
        <f t="shared" si="440"/>
        <v>1805521.94</v>
      </c>
      <c r="AU289" s="185">
        <f t="shared" si="441"/>
        <v>2926.6602472469535</v>
      </c>
      <c r="AV289" s="185">
        <f t="shared" si="442"/>
        <v>582965.75914602831</v>
      </c>
    </row>
    <row r="290" spans="1:48" ht="15.75" thickBot="1">
      <c r="A290" s="404" t="str">
        <f t="shared" si="397"/>
        <v xml:space="preserve"> </v>
      </c>
      <c r="B290" s="237">
        <f t="shared" si="434"/>
        <v>0</v>
      </c>
      <c r="C290" s="21">
        <f t="shared" si="427"/>
        <v>0</v>
      </c>
      <c r="D290" s="21">
        <f t="shared" si="443"/>
        <v>0</v>
      </c>
      <c r="E290" s="21">
        <f t="shared" si="428"/>
        <v>0</v>
      </c>
      <c r="F290" s="21">
        <f t="shared" si="386"/>
        <v>0</v>
      </c>
      <c r="G290" s="21">
        <f t="shared" si="383"/>
        <v>0</v>
      </c>
      <c r="H290" s="21">
        <f t="shared" si="384"/>
        <v>0</v>
      </c>
      <c r="I290" s="237">
        <f t="shared" si="398"/>
        <v>0</v>
      </c>
      <c r="J290" s="237">
        <f t="shared" si="399"/>
        <v>0</v>
      </c>
      <c r="K290" s="237">
        <f t="shared" si="400"/>
        <v>0</v>
      </c>
      <c r="L290" s="318">
        <f t="shared" si="371"/>
        <v>22</v>
      </c>
      <c r="M290" s="318">
        <f t="shared" si="435"/>
        <v>274</v>
      </c>
      <c r="N290" s="237">
        <f t="shared" si="436"/>
        <v>366161.85000000038</v>
      </c>
      <c r="O290" s="237">
        <f t="shared" si="401"/>
        <v>6591.25</v>
      </c>
      <c r="P290" s="237">
        <f t="shared" si="444"/>
        <v>2586.35</v>
      </c>
      <c r="Q290" s="237">
        <f t="shared" si="402"/>
        <v>4004.9</v>
      </c>
      <c r="R290" s="237">
        <f t="shared" si="389"/>
        <v>134.16999999999999</v>
      </c>
      <c r="S290" s="237">
        <f t="shared" si="390"/>
        <v>188.55</v>
      </c>
      <c r="T290" s="237">
        <f t="shared" si="387"/>
        <v>6913.97</v>
      </c>
      <c r="U290" s="237">
        <f t="shared" si="445"/>
        <v>227049.50000000006</v>
      </c>
      <c r="V290" s="237">
        <f t="shared" si="446"/>
        <v>1585544.2499999988</v>
      </c>
      <c r="W290" s="237">
        <f t="shared" si="403"/>
        <v>363575.50000000041</v>
      </c>
      <c r="X290" s="404" t="str">
        <f t="shared" si="437"/>
        <v xml:space="preserve"> </v>
      </c>
      <c r="Y290" s="237">
        <f t="shared" si="404"/>
        <v>7427715.4099999983</v>
      </c>
      <c r="Z290" s="394">
        <f t="shared" si="429"/>
        <v>0.13125000000000001</v>
      </c>
      <c r="AA290" s="237">
        <f t="shared" si="430"/>
        <v>2810.15</v>
      </c>
      <c r="AB290" s="237">
        <f t="shared" si="405"/>
        <v>-78430.490000000005</v>
      </c>
      <c r="AC290" s="237">
        <f t="shared" si="431"/>
        <v>81240.639999999999</v>
      </c>
      <c r="AD290" s="237">
        <f t="shared" ref="AD290:AE290" si="465">+AD289</f>
        <v>134.16999999999999</v>
      </c>
      <c r="AE290" s="237">
        <f t="shared" si="465"/>
        <v>188.55</v>
      </c>
      <c r="AF290" s="237">
        <f t="shared" si="407"/>
        <v>3132.8699999999944</v>
      </c>
      <c r="AG290" s="237">
        <f t="shared" si="408"/>
        <v>-6520045.8999999976</v>
      </c>
      <c r="AH290" s="237">
        <f t="shared" si="409"/>
        <v>7670979.9499999955</v>
      </c>
      <c r="AI290" s="412">
        <f t="shared" si="392"/>
        <v>661659.69999999797</v>
      </c>
      <c r="AJ290" s="412">
        <f t="shared" si="458"/>
        <v>-7142570.3999999985</v>
      </c>
      <c r="AK290" s="411">
        <f t="shared" si="393"/>
        <v>-6480910.7000000002</v>
      </c>
      <c r="AL290" s="237">
        <f t="shared" si="410"/>
        <v>7506145.8999999985</v>
      </c>
      <c r="AM290" s="318">
        <f t="shared" si="439"/>
        <v>22</v>
      </c>
      <c r="AN290" s="21">
        <f t="shared" si="394"/>
        <v>6591.25</v>
      </c>
      <c r="AO290" s="21">
        <f t="shared" si="369"/>
        <v>759050.5</v>
      </c>
      <c r="AP290" s="21">
        <f t="shared" si="395"/>
        <v>2810.15</v>
      </c>
      <c r="AQ290" s="21"/>
      <c r="AR290" s="23"/>
      <c r="AS290" s="21">
        <f t="shared" si="433"/>
        <v>6591.25</v>
      </c>
      <c r="AT290" s="21">
        <f t="shared" si="440"/>
        <v>1812113.19</v>
      </c>
      <c r="AU290" s="237">
        <f t="shared" si="441"/>
        <v>2933.9768978650704</v>
      </c>
      <c r="AV290" s="237">
        <f t="shared" si="442"/>
        <v>585899.73604389338</v>
      </c>
    </row>
    <row r="291" spans="1:48">
      <c r="A291" s="401" t="str">
        <f t="shared" si="397"/>
        <v xml:space="preserve"> </v>
      </c>
      <c r="B291" s="185">
        <f t="shared" si="434"/>
        <v>0</v>
      </c>
      <c r="C291" s="14">
        <f t="shared" si="427"/>
        <v>0</v>
      </c>
      <c r="D291" s="14">
        <f t="shared" si="443"/>
        <v>0</v>
      </c>
      <c r="E291" s="14">
        <f t="shared" si="428"/>
        <v>0</v>
      </c>
      <c r="F291" s="14">
        <f t="shared" si="386"/>
        <v>0</v>
      </c>
      <c r="G291" s="14">
        <f t="shared" si="383"/>
        <v>0</v>
      </c>
      <c r="H291" s="14">
        <f t="shared" si="384"/>
        <v>0</v>
      </c>
      <c r="I291" s="185">
        <f t="shared" si="398"/>
        <v>0</v>
      </c>
      <c r="J291" s="185">
        <f t="shared" si="399"/>
        <v>0</v>
      </c>
      <c r="K291" s="185">
        <f t="shared" si="400"/>
        <v>0</v>
      </c>
      <c r="L291" s="317">
        <f t="shared" si="371"/>
        <v>22</v>
      </c>
      <c r="M291" s="317">
        <f t="shared" si="435"/>
        <v>275</v>
      </c>
      <c r="N291" s="185">
        <f t="shared" si="436"/>
        <v>363575.50000000041</v>
      </c>
      <c r="O291" s="185">
        <f t="shared" si="401"/>
        <v>6591.25</v>
      </c>
      <c r="P291" s="185">
        <f t="shared" si="444"/>
        <v>2614.64</v>
      </c>
      <c r="Q291" s="185">
        <f t="shared" si="402"/>
        <v>3976.61</v>
      </c>
      <c r="R291" s="185">
        <f t="shared" si="389"/>
        <v>134.16999999999999</v>
      </c>
      <c r="S291" s="185">
        <f t="shared" si="390"/>
        <v>188.55</v>
      </c>
      <c r="T291" s="185">
        <f t="shared" si="387"/>
        <v>6913.97</v>
      </c>
      <c r="U291" s="185">
        <f t="shared" si="445"/>
        <v>229664.14000000007</v>
      </c>
      <c r="V291" s="185">
        <f t="shared" si="446"/>
        <v>1589520.8599999989</v>
      </c>
      <c r="W291" s="185">
        <f t="shared" si="403"/>
        <v>360960.86000000039</v>
      </c>
      <c r="X291" s="401" t="str">
        <f t="shared" si="437"/>
        <v xml:space="preserve"> </v>
      </c>
      <c r="Y291" s="185">
        <f t="shared" si="404"/>
        <v>7506145.8999999985</v>
      </c>
      <c r="Z291" s="393">
        <f t="shared" si="429"/>
        <v>0.13125000000000001</v>
      </c>
      <c r="AA291" s="185">
        <f t="shared" si="430"/>
        <v>2810.15</v>
      </c>
      <c r="AB291" s="185">
        <f t="shared" si="405"/>
        <v>-79288.320000000007</v>
      </c>
      <c r="AC291" s="185">
        <f t="shared" si="431"/>
        <v>82098.47</v>
      </c>
      <c r="AD291" s="185">
        <f t="shared" ref="AD291:AE291" si="466">+AD290</f>
        <v>134.16999999999999</v>
      </c>
      <c r="AE291" s="185">
        <f t="shared" si="466"/>
        <v>188.55</v>
      </c>
      <c r="AF291" s="185">
        <f t="shared" si="407"/>
        <v>3132.8699999999944</v>
      </c>
      <c r="AG291" s="185">
        <f t="shared" si="408"/>
        <v>-6599334.2199999979</v>
      </c>
      <c r="AH291" s="185">
        <f t="shared" si="409"/>
        <v>7753078.4199999953</v>
      </c>
      <c r="AI291" s="411">
        <f t="shared" si="392"/>
        <v>665440.79999999795</v>
      </c>
      <c r="AJ291" s="411">
        <f t="shared" si="458"/>
        <v>-7224473.3599999985</v>
      </c>
      <c r="AK291" s="411">
        <f t="shared" si="393"/>
        <v>-6559032.5600000005</v>
      </c>
      <c r="AL291" s="185">
        <f t="shared" si="410"/>
        <v>7585434.2199999988</v>
      </c>
      <c r="AM291" s="317">
        <f t="shared" si="439"/>
        <v>22</v>
      </c>
      <c r="AN291" s="14">
        <f t="shared" si="394"/>
        <v>6591.25</v>
      </c>
      <c r="AO291" s="14">
        <f t="shared" si="369"/>
        <v>756435.85999999987</v>
      </c>
      <c r="AP291" s="14">
        <f t="shared" si="395"/>
        <v>2810.15</v>
      </c>
      <c r="AS291" s="14">
        <f t="shared" si="433"/>
        <v>6591.25</v>
      </c>
      <c r="AT291" s="14">
        <f t="shared" si="440"/>
        <v>1818704.44</v>
      </c>
      <c r="AU291" s="185">
        <f t="shared" si="441"/>
        <v>2941.3118401097331</v>
      </c>
      <c r="AV291" s="185">
        <f t="shared" si="442"/>
        <v>588841.04788400314</v>
      </c>
    </row>
    <row r="292" spans="1:48">
      <c r="A292" s="401" t="str">
        <f t="shared" si="397"/>
        <v xml:space="preserve"> </v>
      </c>
      <c r="B292" s="185">
        <f t="shared" si="434"/>
        <v>0</v>
      </c>
      <c r="C292" s="14">
        <f t="shared" si="427"/>
        <v>0</v>
      </c>
      <c r="D292" s="14">
        <f t="shared" si="443"/>
        <v>0</v>
      </c>
      <c r="E292" s="14">
        <f t="shared" si="428"/>
        <v>0</v>
      </c>
      <c r="F292" s="14">
        <f t="shared" si="386"/>
        <v>0</v>
      </c>
      <c r="G292" s="14">
        <f t="shared" si="383"/>
        <v>0</v>
      </c>
      <c r="H292" s="14">
        <f t="shared" si="384"/>
        <v>0</v>
      </c>
      <c r="I292" s="185">
        <f t="shared" si="398"/>
        <v>0</v>
      </c>
      <c r="J292" s="185">
        <f t="shared" si="399"/>
        <v>0</v>
      </c>
      <c r="K292" s="185">
        <f t="shared" si="400"/>
        <v>0</v>
      </c>
      <c r="L292" s="317">
        <f t="shared" si="371"/>
        <v>23</v>
      </c>
      <c r="M292" s="317">
        <f t="shared" si="435"/>
        <v>276</v>
      </c>
      <c r="N292" s="185">
        <f t="shared" si="436"/>
        <v>360960.86000000039</v>
      </c>
      <c r="O292" s="185">
        <f t="shared" si="401"/>
        <v>6591.25</v>
      </c>
      <c r="P292" s="185">
        <f t="shared" si="444"/>
        <v>2643.24</v>
      </c>
      <c r="Q292" s="185">
        <f t="shared" si="402"/>
        <v>3948.01</v>
      </c>
      <c r="R292" s="185">
        <f t="shared" si="389"/>
        <v>134.16999999999999</v>
      </c>
      <c r="S292" s="185">
        <f t="shared" si="390"/>
        <v>188.55</v>
      </c>
      <c r="T292" s="185">
        <f t="shared" si="387"/>
        <v>6913.97</v>
      </c>
      <c r="U292" s="185">
        <f t="shared" si="445"/>
        <v>232307.38000000006</v>
      </c>
      <c r="V292" s="185">
        <f t="shared" si="446"/>
        <v>1593468.8699999989</v>
      </c>
      <c r="W292" s="185">
        <f t="shared" si="403"/>
        <v>358317.6200000004</v>
      </c>
      <c r="X292" s="401" t="str">
        <f t="shared" si="437"/>
        <v xml:space="preserve"> </v>
      </c>
      <c r="Y292" s="185">
        <f t="shared" si="404"/>
        <v>7585434.2199999988</v>
      </c>
      <c r="Z292" s="393">
        <f t="shared" si="429"/>
        <v>0.13125000000000001</v>
      </c>
      <c r="AA292" s="185">
        <f t="shared" si="430"/>
        <v>2810.15</v>
      </c>
      <c r="AB292" s="185">
        <f t="shared" si="405"/>
        <v>-80155.540000000008</v>
      </c>
      <c r="AC292" s="185">
        <f t="shared" si="431"/>
        <v>82965.69</v>
      </c>
      <c r="AD292" s="185">
        <f t="shared" ref="AD292:AE292" si="467">+AD291</f>
        <v>134.16999999999999</v>
      </c>
      <c r="AE292" s="185">
        <f t="shared" si="467"/>
        <v>188.55</v>
      </c>
      <c r="AF292" s="185">
        <f t="shared" si="407"/>
        <v>3132.8699999999944</v>
      </c>
      <c r="AG292" s="185">
        <f t="shared" si="408"/>
        <v>-6679489.7599999979</v>
      </c>
      <c r="AH292" s="185">
        <f t="shared" si="409"/>
        <v>7836044.1099999957</v>
      </c>
      <c r="AI292" s="411">
        <f t="shared" si="392"/>
        <v>669221.89999999793</v>
      </c>
      <c r="AJ292" s="411">
        <f t="shared" si="458"/>
        <v>-7307272.1399999987</v>
      </c>
      <c r="AK292" s="411">
        <f t="shared" si="393"/>
        <v>-6638050.2400000012</v>
      </c>
      <c r="AL292" s="185">
        <f t="shared" si="410"/>
        <v>7665589.7599999988</v>
      </c>
      <c r="AM292" s="317">
        <f t="shared" si="439"/>
        <v>23</v>
      </c>
      <c r="AN292" s="14">
        <f t="shared" si="394"/>
        <v>6591.25</v>
      </c>
      <c r="AO292" s="14">
        <f t="shared" si="369"/>
        <v>753792.61999999988</v>
      </c>
      <c r="AP292" s="14">
        <f t="shared" si="395"/>
        <v>2810.15</v>
      </c>
      <c r="AS292" s="14">
        <f t="shared" si="433"/>
        <v>6591.25</v>
      </c>
      <c r="AT292" s="14">
        <f t="shared" si="440"/>
        <v>1825295.69</v>
      </c>
      <c r="AU292" s="185">
        <f t="shared" si="441"/>
        <v>2948.6651197100077</v>
      </c>
      <c r="AV292" s="185">
        <f t="shared" si="442"/>
        <v>591789.71300371317</v>
      </c>
    </row>
    <row r="293" spans="1:48">
      <c r="A293" s="401" t="str">
        <f t="shared" si="397"/>
        <v xml:space="preserve"> </v>
      </c>
      <c r="B293" s="185">
        <f t="shared" si="434"/>
        <v>0</v>
      </c>
      <c r="C293" s="14">
        <f t="shared" si="427"/>
        <v>0</v>
      </c>
      <c r="D293" s="14">
        <f t="shared" si="443"/>
        <v>0</v>
      </c>
      <c r="E293" s="14">
        <f t="shared" si="428"/>
        <v>0</v>
      </c>
      <c r="F293" s="14">
        <f t="shared" si="386"/>
        <v>0</v>
      </c>
      <c r="G293" s="14">
        <f t="shared" si="383"/>
        <v>0</v>
      </c>
      <c r="H293" s="14">
        <f t="shared" si="384"/>
        <v>0</v>
      </c>
      <c r="I293" s="185">
        <f t="shared" si="398"/>
        <v>0</v>
      </c>
      <c r="J293" s="185">
        <f t="shared" si="399"/>
        <v>0</v>
      </c>
      <c r="K293" s="185">
        <f t="shared" si="400"/>
        <v>0</v>
      </c>
      <c r="L293" s="317">
        <f t="shared" si="371"/>
        <v>23</v>
      </c>
      <c r="M293" s="317">
        <f t="shared" si="435"/>
        <v>277</v>
      </c>
      <c r="N293" s="185">
        <f t="shared" si="436"/>
        <v>358317.6200000004</v>
      </c>
      <c r="O293" s="185">
        <f t="shared" si="401"/>
        <v>6591.25</v>
      </c>
      <c r="P293" s="185">
        <f t="shared" si="444"/>
        <v>2672.15</v>
      </c>
      <c r="Q293" s="185">
        <f t="shared" si="402"/>
        <v>3919.1</v>
      </c>
      <c r="R293" s="185">
        <f t="shared" si="389"/>
        <v>134.16999999999999</v>
      </c>
      <c r="S293" s="185">
        <f t="shared" si="390"/>
        <v>188.55</v>
      </c>
      <c r="T293" s="185">
        <f t="shared" si="387"/>
        <v>6913.97</v>
      </c>
      <c r="U293" s="185">
        <f t="shared" si="445"/>
        <v>234979.53000000006</v>
      </c>
      <c r="V293" s="185">
        <f t="shared" si="446"/>
        <v>1597387.969999999</v>
      </c>
      <c r="W293" s="185">
        <f t="shared" si="403"/>
        <v>355645.47000000038</v>
      </c>
      <c r="X293" s="401" t="str">
        <f t="shared" si="437"/>
        <v xml:space="preserve"> </v>
      </c>
      <c r="Y293" s="185">
        <f t="shared" si="404"/>
        <v>7665589.7599999988</v>
      </c>
      <c r="Z293" s="393">
        <f t="shared" si="429"/>
        <v>0.13125000000000001</v>
      </c>
      <c r="AA293" s="185">
        <f t="shared" si="430"/>
        <v>2810.15</v>
      </c>
      <c r="AB293" s="185">
        <f t="shared" si="405"/>
        <v>-81032.240000000005</v>
      </c>
      <c r="AC293" s="185">
        <f t="shared" si="431"/>
        <v>83842.39</v>
      </c>
      <c r="AD293" s="185">
        <f t="shared" ref="AD293:AE293" si="468">+AD292</f>
        <v>134.16999999999999</v>
      </c>
      <c r="AE293" s="185">
        <f t="shared" si="468"/>
        <v>188.55</v>
      </c>
      <c r="AF293" s="185">
        <f t="shared" si="407"/>
        <v>3132.8699999999944</v>
      </c>
      <c r="AG293" s="185">
        <f t="shared" si="408"/>
        <v>-6760521.9999999981</v>
      </c>
      <c r="AH293" s="185">
        <f t="shared" si="409"/>
        <v>7919886.4999999953</v>
      </c>
      <c r="AI293" s="411">
        <f t="shared" si="392"/>
        <v>673002.9999999979</v>
      </c>
      <c r="AJ293" s="411">
        <f t="shared" si="458"/>
        <v>-7390976.5299999984</v>
      </c>
      <c r="AK293" s="411">
        <f t="shared" si="393"/>
        <v>-6717973.5300000003</v>
      </c>
      <c r="AL293" s="185">
        <f t="shared" si="410"/>
        <v>7746621.9999999991</v>
      </c>
      <c r="AM293" s="317">
        <f t="shared" si="439"/>
        <v>23</v>
      </c>
      <c r="AN293" s="14">
        <f t="shared" si="394"/>
        <v>6591.25</v>
      </c>
      <c r="AO293" s="14">
        <f t="shared" si="369"/>
        <v>751120.47</v>
      </c>
      <c r="AP293" s="14">
        <f t="shared" si="395"/>
        <v>2810.15</v>
      </c>
      <c r="AS293" s="14">
        <f t="shared" si="433"/>
        <v>6591.25</v>
      </c>
      <c r="AT293" s="14">
        <f t="shared" si="440"/>
        <v>1831886.94</v>
      </c>
      <c r="AU293" s="185">
        <f t="shared" si="441"/>
        <v>2956.0367825092831</v>
      </c>
      <c r="AV293" s="185">
        <f t="shared" si="442"/>
        <v>594745.74978622247</v>
      </c>
    </row>
    <row r="294" spans="1:48">
      <c r="A294" s="401" t="str">
        <f t="shared" si="397"/>
        <v xml:space="preserve"> </v>
      </c>
      <c r="B294" s="185">
        <f t="shared" si="434"/>
        <v>0</v>
      </c>
      <c r="C294" s="14">
        <f t="shared" si="427"/>
        <v>0</v>
      </c>
      <c r="D294" s="14">
        <f t="shared" si="443"/>
        <v>0</v>
      </c>
      <c r="E294" s="14">
        <f t="shared" si="428"/>
        <v>0</v>
      </c>
      <c r="F294" s="14">
        <f t="shared" si="386"/>
        <v>0</v>
      </c>
      <c r="G294" s="14">
        <f t="shared" si="383"/>
        <v>0</v>
      </c>
      <c r="H294" s="14">
        <f t="shared" si="384"/>
        <v>0</v>
      </c>
      <c r="I294" s="185">
        <f t="shared" si="398"/>
        <v>0</v>
      </c>
      <c r="J294" s="185">
        <f t="shared" si="399"/>
        <v>0</v>
      </c>
      <c r="K294" s="185">
        <f t="shared" si="400"/>
        <v>0</v>
      </c>
      <c r="L294" s="317">
        <f t="shared" si="371"/>
        <v>23</v>
      </c>
      <c r="M294" s="317">
        <f t="shared" si="435"/>
        <v>278</v>
      </c>
      <c r="N294" s="185">
        <f t="shared" si="436"/>
        <v>355645.47000000038</v>
      </c>
      <c r="O294" s="185">
        <f t="shared" si="401"/>
        <v>6591.25</v>
      </c>
      <c r="P294" s="185">
        <f t="shared" si="444"/>
        <v>2701.38</v>
      </c>
      <c r="Q294" s="185">
        <f t="shared" si="402"/>
        <v>3889.87</v>
      </c>
      <c r="R294" s="185">
        <f t="shared" si="389"/>
        <v>134.16999999999999</v>
      </c>
      <c r="S294" s="185">
        <f t="shared" si="390"/>
        <v>188.55</v>
      </c>
      <c r="T294" s="185">
        <f t="shared" si="387"/>
        <v>6913.97</v>
      </c>
      <c r="U294" s="185">
        <f t="shared" si="445"/>
        <v>237680.91000000006</v>
      </c>
      <c r="V294" s="185">
        <f t="shared" si="446"/>
        <v>1601277.8399999992</v>
      </c>
      <c r="W294" s="185">
        <f t="shared" si="403"/>
        <v>352944.09000000037</v>
      </c>
      <c r="X294" s="401" t="str">
        <f t="shared" si="437"/>
        <v xml:space="preserve"> </v>
      </c>
      <c r="Y294" s="185">
        <f t="shared" si="404"/>
        <v>7746621.9999999991</v>
      </c>
      <c r="Z294" s="393">
        <f t="shared" si="429"/>
        <v>0.13125000000000001</v>
      </c>
      <c r="AA294" s="185">
        <f t="shared" si="430"/>
        <v>2810.15</v>
      </c>
      <c r="AB294" s="185">
        <f t="shared" si="405"/>
        <v>-81918.53</v>
      </c>
      <c r="AC294" s="185">
        <f t="shared" si="431"/>
        <v>84728.68</v>
      </c>
      <c r="AD294" s="185">
        <f t="shared" ref="AD294:AE294" si="469">+AD293</f>
        <v>134.16999999999999</v>
      </c>
      <c r="AE294" s="185">
        <f t="shared" si="469"/>
        <v>188.55</v>
      </c>
      <c r="AF294" s="185">
        <f t="shared" si="407"/>
        <v>3132.8699999999944</v>
      </c>
      <c r="AG294" s="185">
        <f t="shared" si="408"/>
        <v>-6842440.5299999984</v>
      </c>
      <c r="AH294" s="185">
        <f t="shared" si="409"/>
        <v>8004615.179999995</v>
      </c>
      <c r="AI294" s="411">
        <f t="shared" si="392"/>
        <v>676784.09999999788</v>
      </c>
      <c r="AJ294" s="411">
        <f t="shared" si="458"/>
        <v>-7475596.4399999985</v>
      </c>
      <c r="AK294" s="411">
        <f t="shared" si="393"/>
        <v>-6798812.3400000008</v>
      </c>
      <c r="AL294" s="185">
        <f t="shared" si="410"/>
        <v>7828540.5299999993</v>
      </c>
      <c r="AM294" s="317">
        <f t="shared" si="439"/>
        <v>23</v>
      </c>
      <c r="AN294" s="14">
        <f t="shared" si="394"/>
        <v>6591.25</v>
      </c>
      <c r="AO294" s="14">
        <f t="shared" si="369"/>
        <v>748419.09</v>
      </c>
      <c r="AP294" s="14">
        <f t="shared" si="395"/>
        <v>2810.15</v>
      </c>
      <c r="AS294" s="14">
        <f t="shared" si="433"/>
        <v>6591.25</v>
      </c>
      <c r="AT294" s="14">
        <f t="shared" si="440"/>
        <v>1838478.19</v>
      </c>
      <c r="AU294" s="185">
        <f t="shared" si="441"/>
        <v>2963.426874465556</v>
      </c>
      <c r="AV294" s="185">
        <f t="shared" si="442"/>
        <v>597709.17666068801</v>
      </c>
    </row>
    <row r="295" spans="1:48">
      <c r="A295" s="401" t="str">
        <f t="shared" si="397"/>
        <v xml:space="preserve"> </v>
      </c>
      <c r="B295" s="185">
        <f t="shared" si="434"/>
        <v>0</v>
      </c>
      <c r="C295" s="14">
        <f t="shared" si="427"/>
        <v>0</v>
      </c>
      <c r="D295" s="14">
        <f t="shared" si="443"/>
        <v>0</v>
      </c>
      <c r="E295" s="14">
        <f t="shared" si="428"/>
        <v>0</v>
      </c>
      <c r="F295" s="14">
        <f t="shared" si="386"/>
        <v>0</v>
      </c>
      <c r="G295" s="14">
        <f t="shared" si="383"/>
        <v>0</v>
      </c>
      <c r="H295" s="14">
        <f t="shared" si="384"/>
        <v>0</v>
      </c>
      <c r="I295" s="185">
        <f t="shared" si="398"/>
        <v>0</v>
      </c>
      <c r="J295" s="185">
        <f t="shared" si="399"/>
        <v>0</v>
      </c>
      <c r="K295" s="185">
        <f t="shared" si="400"/>
        <v>0</v>
      </c>
      <c r="L295" s="317">
        <f t="shared" si="371"/>
        <v>23</v>
      </c>
      <c r="M295" s="317">
        <f t="shared" si="435"/>
        <v>279</v>
      </c>
      <c r="N295" s="185">
        <f t="shared" si="436"/>
        <v>352944.09000000037</v>
      </c>
      <c r="O295" s="185">
        <f t="shared" si="401"/>
        <v>6591.25</v>
      </c>
      <c r="P295" s="185">
        <f t="shared" si="444"/>
        <v>2730.92</v>
      </c>
      <c r="Q295" s="185">
        <f t="shared" si="402"/>
        <v>3860.33</v>
      </c>
      <c r="R295" s="185">
        <f t="shared" si="389"/>
        <v>134.16999999999999</v>
      </c>
      <c r="S295" s="185">
        <f t="shared" si="390"/>
        <v>188.55</v>
      </c>
      <c r="T295" s="185">
        <f t="shared" si="387"/>
        <v>6913.97</v>
      </c>
      <c r="U295" s="185">
        <f t="shared" si="445"/>
        <v>240411.83000000007</v>
      </c>
      <c r="V295" s="185">
        <f t="shared" si="446"/>
        <v>1605138.1699999992</v>
      </c>
      <c r="W295" s="185">
        <f t="shared" si="403"/>
        <v>350213.17000000039</v>
      </c>
      <c r="X295" s="401" t="str">
        <f t="shared" si="437"/>
        <v xml:space="preserve"> </v>
      </c>
      <c r="Y295" s="185">
        <f t="shared" si="404"/>
        <v>7828540.5299999993</v>
      </c>
      <c r="Z295" s="393">
        <f t="shared" si="429"/>
        <v>0.13125000000000001</v>
      </c>
      <c r="AA295" s="185">
        <f t="shared" si="430"/>
        <v>2810.15</v>
      </c>
      <c r="AB295" s="185">
        <f t="shared" si="405"/>
        <v>-82814.510000000009</v>
      </c>
      <c r="AC295" s="185">
        <f t="shared" si="431"/>
        <v>85624.66</v>
      </c>
      <c r="AD295" s="185">
        <f t="shared" ref="AD295:AE295" si="470">+AD294</f>
        <v>134.16999999999999</v>
      </c>
      <c r="AE295" s="185">
        <f t="shared" si="470"/>
        <v>188.55</v>
      </c>
      <c r="AF295" s="185">
        <f t="shared" si="407"/>
        <v>3132.8699999999944</v>
      </c>
      <c r="AG295" s="185">
        <f t="shared" si="408"/>
        <v>-6925255.0399999982</v>
      </c>
      <c r="AH295" s="185">
        <f t="shared" si="409"/>
        <v>8090239.8399999952</v>
      </c>
      <c r="AI295" s="411">
        <f t="shared" si="392"/>
        <v>680565.19999999786</v>
      </c>
      <c r="AJ295" s="411">
        <f t="shared" si="458"/>
        <v>-7561141.8699999992</v>
      </c>
      <c r="AK295" s="411">
        <f t="shared" si="393"/>
        <v>-6880576.6700000018</v>
      </c>
      <c r="AL295" s="185">
        <f t="shared" si="410"/>
        <v>7911355.0399999991</v>
      </c>
      <c r="AM295" s="317">
        <f t="shared" si="439"/>
        <v>23</v>
      </c>
      <c r="AN295" s="14">
        <f t="shared" si="394"/>
        <v>6591.25</v>
      </c>
      <c r="AO295" s="14">
        <f t="shared" si="369"/>
        <v>745688.16999999993</v>
      </c>
      <c r="AP295" s="14">
        <f t="shared" si="395"/>
        <v>2810.15</v>
      </c>
      <c r="AS295" s="14">
        <f t="shared" si="433"/>
        <v>6591.25</v>
      </c>
      <c r="AT295" s="14">
        <f t="shared" si="440"/>
        <v>1845069.44</v>
      </c>
      <c r="AU295" s="185">
        <f t="shared" si="441"/>
        <v>2970.83544165172</v>
      </c>
      <c r="AV295" s="185">
        <f t="shared" si="442"/>
        <v>600680.01210233977</v>
      </c>
    </row>
    <row r="296" spans="1:48">
      <c r="A296" s="401" t="str">
        <f t="shared" si="397"/>
        <v xml:space="preserve"> </v>
      </c>
      <c r="B296" s="185">
        <f t="shared" si="434"/>
        <v>0</v>
      </c>
      <c r="C296" s="14">
        <f t="shared" si="427"/>
        <v>0</v>
      </c>
      <c r="D296" s="14">
        <f t="shared" si="443"/>
        <v>0</v>
      </c>
      <c r="E296" s="14">
        <f t="shared" si="428"/>
        <v>0</v>
      </c>
      <c r="F296" s="14">
        <f t="shared" si="386"/>
        <v>0</v>
      </c>
      <c r="G296" s="14">
        <f t="shared" si="383"/>
        <v>0</v>
      </c>
      <c r="H296" s="14">
        <f t="shared" si="384"/>
        <v>0</v>
      </c>
      <c r="I296" s="185">
        <f t="shared" si="398"/>
        <v>0</v>
      </c>
      <c r="J296" s="185">
        <f t="shared" si="399"/>
        <v>0</v>
      </c>
      <c r="K296" s="185">
        <f t="shared" si="400"/>
        <v>0</v>
      </c>
      <c r="L296" s="317">
        <f t="shared" si="371"/>
        <v>23</v>
      </c>
      <c r="M296" s="317">
        <f t="shared" si="435"/>
        <v>280</v>
      </c>
      <c r="N296" s="185">
        <f t="shared" si="436"/>
        <v>350213.17000000039</v>
      </c>
      <c r="O296" s="185">
        <f t="shared" si="401"/>
        <v>6591.25</v>
      </c>
      <c r="P296" s="185">
        <f t="shared" si="444"/>
        <v>2760.79</v>
      </c>
      <c r="Q296" s="185">
        <f t="shared" si="402"/>
        <v>3830.46</v>
      </c>
      <c r="R296" s="185">
        <f t="shared" si="389"/>
        <v>134.16999999999999</v>
      </c>
      <c r="S296" s="185">
        <f t="shared" si="390"/>
        <v>188.55</v>
      </c>
      <c r="T296" s="185">
        <f t="shared" si="387"/>
        <v>6913.97</v>
      </c>
      <c r="U296" s="185">
        <f t="shared" si="445"/>
        <v>243172.62000000008</v>
      </c>
      <c r="V296" s="185">
        <f t="shared" si="446"/>
        <v>1608968.6299999992</v>
      </c>
      <c r="W296" s="185">
        <f t="shared" si="403"/>
        <v>347452.38000000041</v>
      </c>
      <c r="X296" s="401" t="str">
        <f t="shared" si="437"/>
        <v xml:space="preserve"> </v>
      </c>
      <c r="Y296" s="185">
        <f t="shared" si="404"/>
        <v>7911355.0399999991</v>
      </c>
      <c r="Z296" s="393">
        <f t="shared" si="429"/>
        <v>0.13125000000000001</v>
      </c>
      <c r="AA296" s="185">
        <f t="shared" si="430"/>
        <v>2810.15</v>
      </c>
      <c r="AB296" s="185">
        <f t="shared" si="405"/>
        <v>-83720.3</v>
      </c>
      <c r="AC296" s="185">
        <f t="shared" si="431"/>
        <v>86530.45</v>
      </c>
      <c r="AD296" s="185">
        <f t="shared" ref="AD296:AE296" si="471">+AD295</f>
        <v>134.16999999999999</v>
      </c>
      <c r="AE296" s="185">
        <f t="shared" si="471"/>
        <v>188.55</v>
      </c>
      <c r="AF296" s="185">
        <f t="shared" si="407"/>
        <v>3132.8699999999944</v>
      </c>
      <c r="AG296" s="185">
        <f t="shared" si="408"/>
        <v>-7008975.339999998</v>
      </c>
      <c r="AH296" s="185">
        <f t="shared" si="409"/>
        <v>8176770.2899999954</v>
      </c>
      <c r="AI296" s="411">
        <f t="shared" si="392"/>
        <v>684346.29999999783</v>
      </c>
      <c r="AJ296" s="411">
        <f t="shared" si="458"/>
        <v>-7647622.9599999981</v>
      </c>
      <c r="AK296" s="411">
        <f t="shared" si="393"/>
        <v>-6963276.6600000001</v>
      </c>
      <c r="AL296" s="185">
        <f t="shared" si="410"/>
        <v>7995075.3399999989</v>
      </c>
      <c r="AM296" s="317">
        <f t="shared" si="439"/>
        <v>23</v>
      </c>
      <c r="AN296" s="14">
        <f t="shared" si="394"/>
        <v>6591.25</v>
      </c>
      <c r="AO296" s="14">
        <f t="shared" si="369"/>
        <v>742927.37999999989</v>
      </c>
      <c r="AP296" s="14">
        <f t="shared" si="395"/>
        <v>2810.15</v>
      </c>
      <c r="AS296" s="14">
        <f t="shared" si="433"/>
        <v>6591.25</v>
      </c>
      <c r="AT296" s="14">
        <f t="shared" si="440"/>
        <v>1851660.69</v>
      </c>
      <c r="AU296" s="185">
        <f t="shared" si="441"/>
        <v>2978.2625302558495</v>
      </c>
      <c r="AV296" s="185">
        <f t="shared" si="442"/>
        <v>603658.2746325956</v>
      </c>
    </row>
    <row r="297" spans="1:48">
      <c r="A297" s="401" t="str">
        <f t="shared" si="397"/>
        <v xml:space="preserve"> </v>
      </c>
      <c r="B297" s="185">
        <f t="shared" si="434"/>
        <v>0</v>
      </c>
      <c r="C297" s="14">
        <f t="shared" si="427"/>
        <v>0</v>
      </c>
      <c r="D297" s="14">
        <f t="shared" si="443"/>
        <v>0</v>
      </c>
      <c r="E297" s="14">
        <f t="shared" si="428"/>
        <v>0</v>
      </c>
      <c r="F297" s="14">
        <f t="shared" si="386"/>
        <v>0</v>
      </c>
      <c r="G297" s="14">
        <f t="shared" si="383"/>
        <v>0</v>
      </c>
      <c r="H297" s="14">
        <f t="shared" si="384"/>
        <v>0</v>
      </c>
      <c r="I297" s="185">
        <f t="shared" si="398"/>
        <v>0</v>
      </c>
      <c r="J297" s="185">
        <f t="shared" si="399"/>
        <v>0</v>
      </c>
      <c r="K297" s="185">
        <f t="shared" si="400"/>
        <v>0</v>
      </c>
      <c r="L297" s="317">
        <f t="shared" si="371"/>
        <v>23</v>
      </c>
      <c r="M297" s="317">
        <f t="shared" si="435"/>
        <v>281</v>
      </c>
      <c r="N297" s="185">
        <f t="shared" si="436"/>
        <v>347452.38000000041</v>
      </c>
      <c r="O297" s="185">
        <f t="shared" si="401"/>
        <v>6591.25</v>
      </c>
      <c r="P297" s="185">
        <f t="shared" si="444"/>
        <v>2790.99</v>
      </c>
      <c r="Q297" s="185">
        <f t="shared" si="402"/>
        <v>3800.26</v>
      </c>
      <c r="R297" s="185">
        <f t="shared" si="389"/>
        <v>134.16999999999999</v>
      </c>
      <c r="S297" s="185">
        <f t="shared" si="390"/>
        <v>188.55</v>
      </c>
      <c r="T297" s="185">
        <f t="shared" si="387"/>
        <v>6913.97</v>
      </c>
      <c r="U297" s="185">
        <f t="shared" si="445"/>
        <v>245963.61000000007</v>
      </c>
      <c r="V297" s="185">
        <f t="shared" si="446"/>
        <v>1612768.8899999992</v>
      </c>
      <c r="W297" s="185">
        <f t="shared" si="403"/>
        <v>344661.39000000042</v>
      </c>
      <c r="X297" s="401" t="str">
        <f t="shared" si="437"/>
        <v xml:space="preserve"> </v>
      </c>
      <c r="Y297" s="185">
        <f t="shared" si="404"/>
        <v>7995075.3399999989</v>
      </c>
      <c r="Z297" s="393">
        <f t="shared" si="429"/>
        <v>0.13125000000000001</v>
      </c>
      <c r="AA297" s="185">
        <f t="shared" si="430"/>
        <v>2810.15</v>
      </c>
      <c r="AB297" s="185">
        <f t="shared" si="405"/>
        <v>-84635.99</v>
      </c>
      <c r="AC297" s="185">
        <f t="shared" si="431"/>
        <v>87446.14</v>
      </c>
      <c r="AD297" s="185">
        <f t="shared" ref="AD297:AE297" si="472">+AD296</f>
        <v>134.16999999999999</v>
      </c>
      <c r="AE297" s="185">
        <f t="shared" si="472"/>
        <v>188.55</v>
      </c>
      <c r="AF297" s="185">
        <f t="shared" si="407"/>
        <v>3132.8699999999944</v>
      </c>
      <c r="AG297" s="185">
        <f t="shared" si="408"/>
        <v>-7093611.3299999982</v>
      </c>
      <c r="AH297" s="185">
        <f t="shared" si="409"/>
        <v>8264216.429999995</v>
      </c>
      <c r="AI297" s="411">
        <f t="shared" si="392"/>
        <v>688127.39999999781</v>
      </c>
      <c r="AJ297" s="411">
        <f t="shared" si="458"/>
        <v>-7735049.9399999985</v>
      </c>
      <c r="AK297" s="411">
        <f t="shared" si="393"/>
        <v>-7046922.540000001</v>
      </c>
      <c r="AL297" s="185">
        <f t="shared" si="410"/>
        <v>8079711.3299999991</v>
      </c>
      <c r="AM297" s="317">
        <f t="shared" si="439"/>
        <v>23</v>
      </c>
      <c r="AN297" s="14">
        <f t="shared" si="394"/>
        <v>6591.25</v>
      </c>
      <c r="AO297" s="14">
        <f t="shared" si="369"/>
        <v>740136.3899999999</v>
      </c>
      <c r="AP297" s="14">
        <f t="shared" si="395"/>
        <v>2810.15</v>
      </c>
      <c r="AS297" s="14">
        <f t="shared" si="433"/>
        <v>6591.25</v>
      </c>
      <c r="AT297" s="14">
        <f t="shared" si="440"/>
        <v>1858251.94</v>
      </c>
      <c r="AU297" s="185">
        <f t="shared" si="441"/>
        <v>2985.7081865814885</v>
      </c>
      <c r="AV297" s="185">
        <f t="shared" si="442"/>
        <v>606643.98281917709</v>
      </c>
    </row>
    <row r="298" spans="1:48">
      <c r="A298" s="401" t="str">
        <f t="shared" si="397"/>
        <v xml:space="preserve"> </v>
      </c>
      <c r="B298" s="185">
        <f t="shared" si="434"/>
        <v>0</v>
      </c>
      <c r="C298" s="14">
        <f t="shared" si="427"/>
        <v>0</v>
      </c>
      <c r="D298" s="14">
        <f t="shared" si="443"/>
        <v>0</v>
      </c>
      <c r="E298" s="14">
        <f t="shared" si="428"/>
        <v>0</v>
      </c>
      <c r="F298" s="14">
        <f t="shared" si="386"/>
        <v>0</v>
      </c>
      <c r="G298" s="14">
        <f t="shared" si="383"/>
        <v>0</v>
      </c>
      <c r="H298" s="14">
        <f t="shared" si="384"/>
        <v>0</v>
      </c>
      <c r="I298" s="185">
        <f t="shared" si="398"/>
        <v>0</v>
      </c>
      <c r="J298" s="185">
        <f t="shared" si="399"/>
        <v>0</v>
      </c>
      <c r="K298" s="185">
        <f t="shared" si="400"/>
        <v>0</v>
      </c>
      <c r="L298" s="317">
        <f t="shared" si="371"/>
        <v>23</v>
      </c>
      <c r="M298" s="317">
        <f t="shared" si="435"/>
        <v>282</v>
      </c>
      <c r="N298" s="185">
        <f t="shared" si="436"/>
        <v>344661.39000000042</v>
      </c>
      <c r="O298" s="185">
        <f t="shared" si="401"/>
        <v>6591.25</v>
      </c>
      <c r="P298" s="185">
        <f t="shared" si="444"/>
        <v>2821.52</v>
      </c>
      <c r="Q298" s="185">
        <f t="shared" si="402"/>
        <v>3769.73</v>
      </c>
      <c r="R298" s="185">
        <f t="shared" si="389"/>
        <v>134.16999999999999</v>
      </c>
      <c r="S298" s="185">
        <f t="shared" si="390"/>
        <v>188.55</v>
      </c>
      <c r="T298" s="185">
        <f t="shared" si="387"/>
        <v>6913.97</v>
      </c>
      <c r="U298" s="185">
        <f t="shared" si="445"/>
        <v>248785.13000000006</v>
      </c>
      <c r="V298" s="185">
        <f t="shared" si="446"/>
        <v>1616538.6199999992</v>
      </c>
      <c r="W298" s="185">
        <f t="shared" si="403"/>
        <v>341839.8700000004</v>
      </c>
      <c r="X298" s="401" t="str">
        <f t="shared" si="437"/>
        <v xml:space="preserve"> </v>
      </c>
      <c r="Y298" s="185">
        <f t="shared" si="404"/>
        <v>8079711.3299999991</v>
      </c>
      <c r="Z298" s="393">
        <f t="shared" si="429"/>
        <v>0.13125000000000001</v>
      </c>
      <c r="AA298" s="185">
        <f t="shared" si="430"/>
        <v>2810.15</v>
      </c>
      <c r="AB298" s="185">
        <f t="shared" si="405"/>
        <v>-85561.69</v>
      </c>
      <c r="AC298" s="185">
        <f t="shared" si="431"/>
        <v>88371.839999999997</v>
      </c>
      <c r="AD298" s="185">
        <f t="shared" ref="AD298:AE298" si="473">+AD297</f>
        <v>134.16999999999999</v>
      </c>
      <c r="AE298" s="185">
        <f t="shared" si="473"/>
        <v>188.55</v>
      </c>
      <c r="AF298" s="185">
        <f t="shared" si="407"/>
        <v>3132.8699999999944</v>
      </c>
      <c r="AG298" s="185">
        <f t="shared" si="408"/>
        <v>-7179173.0199999986</v>
      </c>
      <c r="AH298" s="185">
        <f t="shared" si="409"/>
        <v>8352588.2699999949</v>
      </c>
      <c r="AI298" s="411">
        <f t="shared" si="392"/>
        <v>691908.49999999779</v>
      </c>
      <c r="AJ298" s="411">
        <f t="shared" si="458"/>
        <v>-7823433.1499999994</v>
      </c>
      <c r="AK298" s="411">
        <f t="shared" si="393"/>
        <v>-7131524.6500000013</v>
      </c>
      <c r="AL298" s="185">
        <f t="shared" si="410"/>
        <v>8165273.0199999996</v>
      </c>
      <c r="AM298" s="317">
        <f t="shared" si="439"/>
        <v>23</v>
      </c>
      <c r="AN298" s="14">
        <f t="shared" si="394"/>
        <v>6591.25</v>
      </c>
      <c r="AO298" s="14">
        <f t="shared" si="369"/>
        <v>737314.86999999988</v>
      </c>
      <c r="AP298" s="14">
        <f t="shared" si="395"/>
        <v>2810.15</v>
      </c>
      <c r="AS298" s="14">
        <f t="shared" si="433"/>
        <v>6591.25</v>
      </c>
      <c r="AT298" s="14">
        <f t="shared" si="440"/>
        <v>1864843.19</v>
      </c>
      <c r="AU298" s="185">
        <f t="shared" si="441"/>
        <v>2993.1724570479432</v>
      </c>
      <c r="AV298" s="185">
        <f t="shared" si="442"/>
        <v>609637.15527622506</v>
      </c>
    </row>
    <row r="299" spans="1:48">
      <c r="A299" s="401" t="str">
        <f t="shared" si="397"/>
        <v xml:space="preserve"> </v>
      </c>
      <c r="B299" s="185">
        <f t="shared" si="434"/>
        <v>0</v>
      </c>
      <c r="C299" s="14">
        <f t="shared" si="427"/>
        <v>0</v>
      </c>
      <c r="D299" s="14">
        <f t="shared" si="443"/>
        <v>0</v>
      </c>
      <c r="E299" s="14">
        <f t="shared" si="428"/>
        <v>0</v>
      </c>
      <c r="F299" s="14">
        <f t="shared" si="386"/>
        <v>0</v>
      </c>
      <c r="G299" s="14">
        <f t="shared" si="383"/>
        <v>0</v>
      </c>
      <c r="H299" s="14">
        <f t="shared" si="384"/>
        <v>0</v>
      </c>
      <c r="I299" s="185">
        <f t="shared" si="398"/>
        <v>0</v>
      </c>
      <c r="J299" s="185">
        <f t="shared" si="399"/>
        <v>0</v>
      </c>
      <c r="K299" s="185">
        <f t="shared" si="400"/>
        <v>0</v>
      </c>
      <c r="L299" s="317">
        <f t="shared" si="371"/>
        <v>23</v>
      </c>
      <c r="M299" s="317">
        <f t="shared" si="435"/>
        <v>283</v>
      </c>
      <c r="N299" s="185">
        <f t="shared" si="436"/>
        <v>341839.8700000004</v>
      </c>
      <c r="O299" s="185">
        <f t="shared" si="401"/>
        <v>6591.25</v>
      </c>
      <c r="P299" s="185">
        <f t="shared" si="444"/>
        <v>2852.38</v>
      </c>
      <c r="Q299" s="185">
        <f t="shared" si="402"/>
        <v>3738.87</v>
      </c>
      <c r="R299" s="185">
        <f t="shared" si="389"/>
        <v>134.16999999999999</v>
      </c>
      <c r="S299" s="185">
        <f t="shared" si="390"/>
        <v>188.55</v>
      </c>
      <c r="T299" s="185">
        <f t="shared" si="387"/>
        <v>6913.97</v>
      </c>
      <c r="U299" s="185">
        <f t="shared" si="445"/>
        <v>251637.51000000007</v>
      </c>
      <c r="V299" s="185">
        <f t="shared" si="446"/>
        <v>1620277.4899999993</v>
      </c>
      <c r="W299" s="185">
        <f t="shared" si="403"/>
        <v>338987.4900000004</v>
      </c>
      <c r="X299" s="401" t="str">
        <f t="shared" si="437"/>
        <v xml:space="preserve"> </v>
      </c>
      <c r="Y299" s="185">
        <f t="shared" si="404"/>
        <v>8165273.0199999996</v>
      </c>
      <c r="Z299" s="393">
        <f t="shared" si="429"/>
        <v>0.13125000000000001</v>
      </c>
      <c r="AA299" s="185">
        <f t="shared" si="430"/>
        <v>2810.15</v>
      </c>
      <c r="AB299" s="185">
        <f t="shared" si="405"/>
        <v>-86497.52</v>
      </c>
      <c r="AC299" s="185">
        <f t="shared" si="431"/>
        <v>89307.67</v>
      </c>
      <c r="AD299" s="185">
        <f t="shared" ref="AD299:AE299" si="474">+AD298</f>
        <v>134.16999999999999</v>
      </c>
      <c r="AE299" s="185">
        <f t="shared" si="474"/>
        <v>188.55</v>
      </c>
      <c r="AF299" s="185">
        <f t="shared" si="407"/>
        <v>3132.8699999999944</v>
      </c>
      <c r="AG299" s="185">
        <f t="shared" si="408"/>
        <v>-7265670.5399999982</v>
      </c>
      <c r="AH299" s="185">
        <f t="shared" si="409"/>
        <v>8441895.9399999958</v>
      </c>
      <c r="AI299" s="411">
        <f t="shared" si="392"/>
        <v>695689.59999999776</v>
      </c>
      <c r="AJ299" s="411">
        <f t="shared" si="458"/>
        <v>-7912783.0499999989</v>
      </c>
      <c r="AK299" s="411">
        <f t="shared" si="393"/>
        <v>-7217093.4500000011</v>
      </c>
      <c r="AL299" s="185">
        <f t="shared" si="410"/>
        <v>8251770.5399999991</v>
      </c>
      <c r="AM299" s="317">
        <f t="shared" si="439"/>
        <v>23</v>
      </c>
      <c r="AN299" s="14">
        <f t="shared" si="394"/>
        <v>6591.25</v>
      </c>
      <c r="AO299" s="14">
        <f t="shared" si="369"/>
        <v>734462.49</v>
      </c>
      <c r="AP299" s="14">
        <f t="shared" si="395"/>
        <v>2810.15</v>
      </c>
      <c r="AS299" s="14">
        <f t="shared" si="433"/>
        <v>6591.25</v>
      </c>
      <c r="AT299" s="14">
        <f t="shared" si="440"/>
        <v>1871434.44</v>
      </c>
      <c r="AU299" s="185">
        <f t="shared" si="441"/>
        <v>3000.655388190562</v>
      </c>
      <c r="AV299" s="185">
        <f t="shared" si="442"/>
        <v>612637.81066441559</v>
      </c>
    </row>
    <row r="300" spans="1:48">
      <c r="A300" s="401" t="str">
        <f t="shared" si="397"/>
        <v xml:space="preserve"> </v>
      </c>
      <c r="B300" s="185">
        <f t="shared" si="434"/>
        <v>0</v>
      </c>
      <c r="C300" s="14">
        <f t="shared" si="427"/>
        <v>0</v>
      </c>
      <c r="D300" s="14">
        <f t="shared" si="443"/>
        <v>0</v>
      </c>
      <c r="E300" s="14">
        <f t="shared" si="428"/>
        <v>0</v>
      </c>
      <c r="F300" s="14">
        <f t="shared" si="386"/>
        <v>0</v>
      </c>
      <c r="G300" s="14">
        <f t="shared" si="383"/>
        <v>0</v>
      </c>
      <c r="H300" s="14">
        <f t="shared" si="384"/>
        <v>0</v>
      </c>
      <c r="I300" s="185">
        <f t="shared" si="398"/>
        <v>0</v>
      </c>
      <c r="J300" s="185">
        <f t="shared" si="399"/>
        <v>0</v>
      </c>
      <c r="K300" s="185">
        <f t="shared" si="400"/>
        <v>0</v>
      </c>
      <c r="L300" s="317">
        <f t="shared" si="371"/>
        <v>23</v>
      </c>
      <c r="M300" s="317">
        <f t="shared" si="435"/>
        <v>284</v>
      </c>
      <c r="N300" s="185">
        <f t="shared" si="436"/>
        <v>338987.4900000004</v>
      </c>
      <c r="O300" s="185">
        <f t="shared" si="401"/>
        <v>6591.25</v>
      </c>
      <c r="P300" s="185">
        <f t="shared" si="444"/>
        <v>2883.57</v>
      </c>
      <c r="Q300" s="185">
        <f t="shared" si="402"/>
        <v>3707.68</v>
      </c>
      <c r="R300" s="185">
        <f t="shared" si="389"/>
        <v>134.16999999999999</v>
      </c>
      <c r="S300" s="185">
        <f t="shared" si="390"/>
        <v>188.55</v>
      </c>
      <c r="T300" s="185">
        <f t="shared" si="387"/>
        <v>6913.97</v>
      </c>
      <c r="U300" s="185">
        <f t="shared" si="445"/>
        <v>254521.08000000007</v>
      </c>
      <c r="V300" s="185">
        <f t="shared" si="446"/>
        <v>1623985.1699999992</v>
      </c>
      <c r="W300" s="185">
        <f t="shared" si="403"/>
        <v>336103.92000000039</v>
      </c>
      <c r="X300" s="401" t="str">
        <f t="shared" si="437"/>
        <v xml:space="preserve"> </v>
      </c>
      <c r="Y300" s="185">
        <f t="shared" si="404"/>
        <v>8251770.5399999991</v>
      </c>
      <c r="Z300" s="393">
        <f t="shared" si="429"/>
        <v>0.13125000000000001</v>
      </c>
      <c r="AA300" s="185">
        <f t="shared" si="430"/>
        <v>2810.15</v>
      </c>
      <c r="AB300" s="185">
        <f t="shared" si="405"/>
        <v>-87443.590000000011</v>
      </c>
      <c r="AC300" s="185">
        <f t="shared" si="431"/>
        <v>90253.74</v>
      </c>
      <c r="AD300" s="185">
        <f t="shared" ref="AD300:AE300" si="475">+AD299</f>
        <v>134.16999999999999</v>
      </c>
      <c r="AE300" s="185">
        <f t="shared" si="475"/>
        <v>188.55</v>
      </c>
      <c r="AF300" s="185">
        <f t="shared" si="407"/>
        <v>3132.8699999999944</v>
      </c>
      <c r="AG300" s="185">
        <f t="shared" si="408"/>
        <v>-7353114.129999998</v>
      </c>
      <c r="AH300" s="185">
        <f t="shared" si="409"/>
        <v>8532149.679999996</v>
      </c>
      <c r="AI300" s="411">
        <f t="shared" si="392"/>
        <v>699470.69999999774</v>
      </c>
      <c r="AJ300" s="411">
        <f t="shared" si="458"/>
        <v>-8003110.209999999</v>
      </c>
      <c r="AK300" s="411">
        <f t="shared" si="393"/>
        <v>-7303639.5100000016</v>
      </c>
      <c r="AL300" s="185">
        <f t="shared" si="410"/>
        <v>8339214.129999999</v>
      </c>
      <c r="AM300" s="317">
        <f t="shared" si="439"/>
        <v>23</v>
      </c>
      <c r="AN300" s="14">
        <f t="shared" si="394"/>
        <v>6591.25</v>
      </c>
      <c r="AO300" s="14">
        <f t="shared" si="369"/>
        <v>731578.91999999993</v>
      </c>
      <c r="AP300" s="14">
        <f t="shared" si="395"/>
        <v>2810.15</v>
      </c>
      <c r="AS300" s="14">
        <f t="shared" si="433"/>
        <v>6591.25</v>
      </c>
      <c r="AT300" s="14">
        <f t="shared" si="440"/>
        <v>1878025.69</v>
      </c>
      <c r="AU300" s="185">
        <f t="shared" si="441"/>
        <v>3008.1570266610393</v>
      </c>
      <c r="AV300" s="185">
        <f t="shared" si="442"/>
        <v>615645.96769107669</v>
      </c>
    </row>
    <row r="301" spans="1:48">
      <c r="A301" s="401" t="str">
        <f t="shared" si="397"/>
        <v xml:space="preserve"> </v>
      </c>
      <c r="B301" s="185">
        <f t="shared" si="434"/>
        <v>0</v>
      </c>
      <c r="C301" s="14">
        <f t="shared" si="427"/>
        <v>0</v>
      </c>
      <c r="D301" s="14">
        <f t="shared" si="443"/>
        <v>0</v>
      </c>
      <c r="E301" s="14">
        <f t="shared" si="428"/>
        <v>0</v>
      </c>
      <c r="F301" s="14">
        <f t="shared" si="386"/>
        <v>0</v>
      </c>
      <c r="G301" s="14">
        <f t="shared" si="383"/>
        <v>0</v>
      </c>
      <c r="H301" s="14">
        <f t="shared" si="384"/>
        <v>0</v>
      </c>
      <c r="I301" s="185">
        <f t="shared" si="398"/>
        <v>0</v>
      </c>
      <c r="J301" s="185">
        <f t="shared" si="399"/>
        <v>0</v>
      </c>
      <c r="K301" s="185">
        <f t="shared" si="400"/>
        <v>0</v>
      </c>
      <c r="L301" s="317">
        <f t="shared" si="371"/>
        <v>23</v>
      </c>
      <c r="M301" s="317">
        <f t="shared" si="435"/>
        <v>285</v>
      </c>
      <c r="N301" s="185">
        <f t="shared" si="436"/>
        <v>336103.92000000039</v>
      </c>
      <c r="O301" s="185">
        <f t="shared" si="401"/>
        <v>6591.25</v>
      </c>
      <c r="P301" s="185">
        <f t="shared" si="444"/>
        <v>2915.11</v>
      </c>
      <c r="Q301" s="185">
        <f t="shared" si="402"/>
        <v>3676.14</v>
      </c>
      <c r="R301" s="185">
        <f t="shared" si="389"/>
        <v>134.16999999999999</v>
      </c>
      <c r="S301" s="185">
        <f t="shared" si="390"/>
        <v>188.55</v>
      </c>
      <c r="T301" s="185">
        <f t="shared" si="387"/>
        <v>6913.97</v>
      </c>
      <c r="U301" s="185">
        <f t="shared" si="445"/>
        <v>257436.19000000006</v>
      </c>
      <c r="V301" s="185">
        <f t="shared" si="446"/>
        <v>1627661.3099999991</v>
      </c>
      <c r="W301" s="185">
        <f t="shared" si="403"/>
        <v>333188.81000000041</v>
      </c>
      <c r="X301" s="401" t="str">
        <f t="shared" si="437"/>
        <v xml:space="preserve"> </v>
      </c>
      <c r="Y301" s="185">
        <f t="shared" si="404"/>
        <v>8339214.129999999</v>
      </c>
      <c r="Z301" s="393">
        <f t="shared" si="429"/>
        <v>0.13125000000000001</v>
      </c>
      <c r="AA301" s="185">
        <f t="shared" si="430"/>
        <v>2810.15</v>
      </c>
      <c r="AB301" s="185">
        <f t="shared" si="405"/>
        <v>-88400</v>
      </c>
      <c r="AC301" s="185">
        <f t="shared" si="431"/>
        <v>91210.15</v>
      </c>
      <c r="AD301" s="185">
        <f t="shared" ref="AD301:AE301" si="476">+AD300</f>
        <v>134.16999999999999</v>
      </c>
      <c r="AE301" s="185">
        <f t="shared" si="476"/>
        <v>188.55</v>
      </c>
      <c r="AF301" s="185">
        <f t="shared" si="407"/>
        <v>3132.8699999999944</v>
      </c>
      <c r="AG301" s="185">
        <f t="shared" si="408"/>
        <v>-7441514.129999998</v>
      </c>
      <c r="AH301" s="185">
        <f t="shared" si="409"/>
        <v>8623359.8299999963</v>
      </c>
      <c r="AI301" s="411">
        <f t="shared" si="392"/>
        <v>703251.79999999772</v>
      </c>
      <c r="AJ301" s="411">
        <f t="shared" si="458"/>
        <v>-8094425.3199999984</v>
      </c>
      <c r="AK301" s="411">
        <f t="shared" si="393"/>
        <v>-7391173.5200000005</v>
      </c>
      <c r="AL301" s="185">
        <f t="shared" si="410"/>
        <v>8427614.129999999</v>
      </c>
      <c r="AM301" s="317">
        <f t="shared" si="439"/>
        <v>23</v>
      </c>
      <c r="AN301" s="14">
        <f t="shared" si="394"/>
        <v>6591.25</v>
      </c>
      <c r="AO301" s="14">
        <f t="shared" ref="AO301:AO364" si="477">IF(W301&lt;=0,0,+$AA$5-$C$2+I301-U301)</f>
        <v>728663.80999999994</v>
      </c>
      <c r="AP301" s="14">
        <f t="shared" si="395"/>
        <v>2810.15</v>
      </c>
      <c r="AS301" s="14">
        <f t="shared" si="433"/>
        <v>6591.25</v>
      </c>
      <c r="AT301" s="14">
        <f t="shared" si="440"/>
        <v>1884616.94</v>
      </c>
      <c r="AU301" s="185">
        <f t="shared" si="441"/>
        <v>3015.6774192276916</v>
      </c>
      <c r="AV301" s="185">
        <f t="shared" si="442"/>
        <v>618661.64511030435</v>
      </c>
    </row>
    <row r="302" spans="1:48" ht="15.75" thickBot="1">
      <c r="A302" s="404" t="str">
        <f t="shared" si="397"/>
        <v xml:space="preserve"> </v>
      </c>
      <c r="B302" s="237">
        <f t="shared" si="434"/>
        <v>0</v>
      </c>
      <c r="C302" s="21">
        <f t="shared" si="427"/>
        <v>0</v>
      </c>
      <c r="D302" s="21">
        <f t="shared" si="443"/>
        <v>0</v>
      </c>
      <c r="E302" s="21">
        <f t="shared" si="428"/>
        <v>0</v>
      </c>
      <c r="F302" s="21">
        <f t="shared" si="386"/>
        <v>0</v>
      </c>
      <c r="G302" s="21">
        <f t="shared" si="383"/>
        <v>0</v>
      </c>
      <c r="H302" s="21">
        <f t="shared" si="384"/>
        <v>0</v>
      </c>
      <c r="I302" s="237">
        <f t="shared" si="398"/>
        <v>0</v>
      </c>
      <c r="J302" s="237">
        <f t="shared" si="399"/>
        <v>0</v>
      </c>
      <c r="K302" s="237">
        <f t="shared" si="400"/>
        <v>0</v>
      </c>
      <c r="L302" s="318">
        <f t="shared" si="371"/>
        <v>23</v>
      </c>
      <c r="M302" s="318">
        <f t="shared" si="435"/>
        <v>286</v>
      </c>
      <c r="N302" s="237">
        <f t="shared" si="436"/>
        <v>333188.81000000041</v>
      </c>
      <c r="O302" s="237">
        <f t="shared" si="401"/>
        <v>6591.25</v>
      </c>
      <c r="P302" s="237">
        <f t="shared" si="444"/>
        <v>2947</v>
      </c>
      <c r="Q302" s="237">
        <f t="shared" si="402"/>
        <v>3644.25</v>
      </c>
      <c r="R302" s="237">
        <f t="shared" si="389"/>
        <v>134.16999999999999</v>
      </c>
      <c r="S302" s="237">
        <f t="shared" si="390"/>
        <v>188.55</v>
      </c>
      <c r="T302" s="237">
        <f t="shared" si="387"/>
        <v>6913.97</v>
      </c>
      <c r="U302" s="237">
        <f t="shared" si="445"/>
        <v>260383.19000000006</v>
      </c>
      <c r="V302" s="237">
        <f t="shared" si="446"/>
        <v>1631305.5599999991</v>
      </c>
      <c r="W302" s="237">
        <f t="shared" si="403"/>
        <v>330241.81000000041</v>
      </c>
      <c r="X302" s="404" t="str">
        <f t="shared" si="437"/>
        <v xml:space="preserve"> </v>
      </c>
      <c r="Y302" s="237">
        <f t="shared" si="404"/>
        <v>8427614.129999999</v>
      </c>
      <c r="Z302" s="394">
        <f t="shared" si="429"/>
        <v>0.13125000000000001</v>
      </c>
      <c r="AA302" s="237">
        <f t="shared" si="430"/>
        <v>2810.15</v>
      </c>
      <c r="AB302" s="237">
        <f t="shared" si="405"/>
        <v>-89366.88</v>
      </c>
      <c r="AC302" s="237">
        <f t="shared" si="431"/>
        <v>92177.03</v>
      </c>
      <c r="AD302" s="237">
        <f t="shared" ref="AD302:AE302" si="478">+AD301</f>
        <v>134.16999999999999</v>
      </c>
      <c r="AE302" s="237">
        <f t="shared" si="478"/>
        <v>188.55</v>
      </c>
      <c r="AF302" s="237">
        <f t="shared" si="407"/>
        <v>3132.8699999999944</v>
      </c>
      <c r="AG302" s="237">
        <f t="shared" si="408"/>
        <v>-7530881.0099999979</v>
      </c>
      <c r="AH302" s="237">
        <f t="shared" si="409"/>
        <v>8715536.8599999957</v>
      </c>
      <c r="AI302" s="412">
        <f t="shared" si="392"/>
        <v>707032.89999999769</v>
      </c>
      <c r="AJ302" s="412">
        <f t="shared" si="458"/>
        <v>-8186739.1999999993</v>
      </c>
      <c r="AK302" s="411">
        <f t="shared" si="393"/>
        <v>-7479706.3000000017</v>
      </c>
      <c r="AL302" s="237">
        <f t="shared" si="410"/>
        <v>8516981.0099999998</v>
      </c>
      <c r="AM302" s="318">
        <f t="shared" si="439"/>
        <v>23</v>
      </c>
      <c r="AN302" s="21">
        <f t="shared" si="394"/>
        <v>6591.25</v>
      </c>
      <c r="AO302" s="21">
        <f t="shared" si="477"/>
        <v>725716.80999999994</v>
      </c>
      <c r="AP302" s="21">
        <f t="shared" si="395"/>
        <v>2810.15</v>
      </c>
      <c r="AQ302" s="21"/>
      <c r="AR302" s="23"/>
      <c r="AS302" s="21">
        <f t="shared" si="433"/>
        <v>6591.25</v>
      </c>
      <c r="AT302" s="21">
        <f t="shared" si="440"/>
        <v>1891208.19</v>
      </c>
      <c r="AU302" s="237">
        <f t="shared" si="441"/>
        <v>3023.216612775761</v>
      </c>
      <c r="AV302" s="237">
        <f t="shared" si="442"/>
        <v>621684.86172308016</v>
      </c>
    </row>
    <row r="303" spans="1:48">
      <c r="A303" s="401" t="str">
        <f t="shared" si="397"/>
        <v xml:space="preserve"> </v>
      </c>
      <c r="B303" s="185">
        <f t="shared" si="434"/>
        <v>0</v>
      </c>
      <c r="C303" s="14">
        <f t="shared" si="427"/>
        <v>0</v>
      </c>
      <c r="D303" s="14">
        <f t="shared" si="443"/>
        <v>0</v>
      </c>
      <c r="E303" s="14">
        <f t="shared" si="428"/>
        <v>0</v>
      </c>
      <c r="F303" s="14">
        <f t="shared" si="386"/>
        <v>0</v>
      </c>
      <c r="G303" s="14">
        <f t="shared" si="383"/>
        <v>0</v>
      </c>
      <c r="H303" s="14">
        <f t="shared" si="384"/>
        <v>0</v>
      </c>
      <c r="I303" s="185">
        <f t="shared" si="398"/>
        <v>0</v>
      </c>
      <c r="J303" s="185">
        <f t="shared" si="399"/>
        <v>0</v>
      </c>
      <c r="K303" s="185">
        <f t="shared" si="400"/>
        <v>0</v>
      </c>
      <c r="L303" s="317">
        <f t="shared" ref="L303:L366" si="479">IF(MOD(M303,12)=0,M303/12,L302)</f>
        <v>23</v>
      </c>
      <c r="M303" s="317">
        <f t="shared" si="435"/>
        <v>287</v>
      </c>
      <c r="N303" s="185">
        <f t="shared" si="436"/>
        <v>330241.81000000041</v>
      </c>
      <c r="O303" s="185">
        <f t="shared" si="401"/>
        <v>6591.25</v>
      </c>
      <c r="P303" s="185">
        <f t="shared" si="444"/>
        <v>2979.23</v>
      </c>
      <c r="Q303" s="185">
        <f t="shared" si="402"/>
        <v>3612.02</v>
      </c>
      <c r="R303" s="185">
        <f t="shared" si="389"/>
        <v>134.16999999999999</v>
      </c>
      <c r="S303" s="185">
        <f t="shared" si="390"/>
        <v>188.55</v>
      </c>
      <c r="T303" s="185">
        <f t="shared" si="387"/>
        <v>6913.97</v>
      </c>
      <c r="U303" s="185">
        <f t="shared" si="445"/>
        <v>263362.42000000004</v>
      </c>
      <c r="V303" s="185">
        <f t="shared" si="446"/>
        <v>1634917.5799999991</v>
      </c>
      <c r="W303" s="185">
        <f t="shared" si="403"/>
        <v>327262.58000000042</v>
      </c>
      <c r="X303" s="401" t="str">
        <f t="shared" si="437"/>
        <v xml:space="preserve"> </v>
      </c>
      <c r="Y303" s="185">
        <f t="shared" si="404"/>
        <v>8516981.0099999998</v>
      </c>
      <c r="Z303" s="393">
        <f t="shared" si="429"/>
        <v>0.13125000000000001</v>
      </c>
      <c r="AA303" s="185">
        <f t="shared" si="430"/>
        <v>2810.15</v>
      </c>
      <c r="AB303" s="185">
        <f t="shared" si="405"/>
        <v>-90344.33</v>
      </c>
      <c r="AC303" s="185">
        <f t="shared" si="431"/>
        <v>93154.48</v>
      </c>
      <c r="AD303" s="185">
        <f t="shared" ref="AD303:AE303" si="480">+AD302</f>
        <v>134.16999999999999</v>
      </c>
      <c r="AE303" s="185">
        <f t="shared" si="480"/>
        <v>188.55</v>
      </c>
      <c r="AF303" s="185">
        <f t="shared" si="407"/>
        <v>3132.8699999999944</v>
      </c>
      <c r="AG303" s="185">
        <f t="shared" si="408"/>
        <v>-7621225.339999998</v>
      </c>
      <c r="AH303" s="185">
        <f t="shared" si="409"/>
        <v>8808691.3399999961</v>
      </c>
      <c r="AI303" s="411">
        <f t="shared" si="392"/>
        <v>710813.99999999767</v>
      </c>
      <c r="AJ303" s="411">
        <f t="shared" si="458"/>
        <v>-8280062.7599999998</v>
      </c>
      <c r="AK303" s="411">
        <f t="shared" si="393"/>
        <v>-7569248.7600000016</v>
      </c>
      <c r="AL303" s="185">
        <f t="shared" si="410"/>
        <v>8607325.3399999999</v>
      </c>
      <c r="AM303" s="317">
        <f t="shared" si="439"/>
        <v>23</v>
      </c>
      <c r="AN303" s="14">
        <f t="shared" si="394"/>
        <v>6591.25</v>
      </c>
      <c r="AO303" s="14">
        <f t="shared" si="477"/>
        <v>722737.58</v>
      </c>
      <c r="AP303" s="14">
        <f t="shared" si="395"/>
        <v>2810.15</v>
      </c>
      <c r="AS303" s="14">
        <f t="shared" si="433"/>
        <v>6591.25</v>
      </c>
      <c r="AT303" s="14">
        <f t="shared" si="440"/>
        <v>1897799.44</v>
      </c>
      <c r="AU303" s="185">
        <f t="shared" si="441"/>
        <v>3030.7746543077005</v>
      </c>
      <c r="AV303" s="185">
        <f t="shared" si="442"/>
        <v>624715.63637738791</v>
      </c>
    </row>
    <row r="304" spans="1:48">
      <c r="A304" s="401" t="str">
        <f t="shared" si="397"/>
        <v xml:space="preserve"> </v>
      </c>
      <c r="B304" s="185">
        <f t="shared" si="434"/>
        <v>0</v>
      </c>
      <c r="C304" s="14">
        <f t="shared" si="427"/>
        <v>0</v>
      </c>
      <c r="D304" s="14">
        <f t="shared" si="443"/>
        <v>0</v>
      </c>
      <c r="E304" s="14">
        <f t="shared" si="428"/>
        <v>0</v>
      </c>
      <c r="F304" s="14">
        <f t="shared" si="386"/>
        <v>0</v>
      </c>
      <c r="G304" s="14">
        <f t="shared" si="383"/>
        <v>0</v>
      </c>
      <c r="H304" s="14">
        <f t="shared" si="384"/>
        <v>0</v>
      </c>
      <c r="I304" s="185">
        <f t="shared" si="398"/>
        <v>0</v>
      </c>
      <c r="J304" s="185">
        <f t="shared" si="399"/>
        <v>0</v>
      </c>
      <c r="K304" s="185">
        <f t="shared" si="400"/>
        <v>0</v>
      </c>
      <c r="L304" s="317">
        <f t="shared" si="479"/>
        <v>24</v>
      </c>
      <c r="M304" s="317">
        <f t="shared" si="435"/>
        <v>288</v>
      </c>
      <c r="N304" s="185">
        <f t="shared" si="436"/>
        <v>327262.58000000042</v>
      </c>
      <c r="O304" s="185">
        <f t="shared" si="401"/>
        <v>6591.25</v>
      </c>
      <c r="P304" s="185">
        <f t="shared" si="444"/>
        <v>3011.82</v>
      </c>
      <c r="Q304" s="185">
        <f t="shared" si="402"/>
        <v>3579.43</v>
      </c>
      <c r="R304" s="185">
        <f t="shared" si="389"/>
        <v>134.16999999999999</v>
      </c>
      <c r="S304" s="185">
        <f t="shared" si="390"/>
        <v>188.55</v>
      </c>
      <c r="T304" s="185">
        <f t="shared" si="387"/>
        <v>6913.97</v>
      </c>
      <c r="U304" s="185">
        <f t="shared" si="445"/>
        <v>266374.24000000005</v>
      </c>
      <c r="V304" s="185">
        <f t="shared" si="446"/>
        <v>1638497.0099999991</v>
      </c>
      <c r="W304" s="185">
        <f t="shared" si="403"/>
        <v>324250.76000000042</v>
      </c>
      <c r="X304" s="401" t="str">
        <f t="shared" si="437"/>
        <v xml:space="preserve"> </v>
      </c>
      <c r="Y304" s="185">
        <f t="shared" si="404"/>
        <v>8607325.3399999999</v>
      </c>
      <c r="Z304" s="393">
        <f t="shared" si="429"/>
        <v>0.13125000000000001</v>
      </c>
      <c r="AA304" s="185">
        <f t="shared" si="430"/>
        <v>2810.15</v>
      </c>
      <c r="AB304" s="185">
        <f t="shared" si="405"/>
        <v>-91332.47</v>
      </c>
      <c r="AC304" s="185">
        <f t="shared" si="431"/>
        <v>94142.62</v>
      </c>
      <c r="AD304" s="185">
        <f t="shared" ref="AD304:AE304" si="481">+AD303</f>
        <v>134.16999999999999</v>
      </c>
      <c r="AE304" s="185">
        <f t="shared" si="481"/>
        <v>188.55</v>
      </c>
      <c r="AF304" s="185">
        <f t="shared" si="407"/>
        <v>3132.8699999999944</v>
      </c>
      <c r="AG304" s="185">
        <f t="shared" si="408"/>
        <v>-7712557.8099999977</v>
      </c>
      <c r="AH304" s="185">
        <f t="shared" si="409"/>
        <v>8902833.9599999953</v>
      </c>
      <c r="AI304" s="411">
        <f t="shared" si="392"/>
        <v>714595.09999999765</v>
      </c>
      <c r="AJ304" s="411">
        <f t="shared" si="458"/>
        <v>-8374407.0499999998</v>
      </c>
      <c r="AK304" s="411">
        <f t="shared" si="393"/>
        <v>-7659811.950000002</v>
      </c>
      <c r="AL304" s="185">
        <f t="shared" si="410"/>
        <v>8698657.8100000005</v>
      </c>
      <c r="AM304" s="317">
        <f t="shared" si="439"/>
        <v>24</v>
      </c>
      <c r="AN304" s="14">
        <f t="shared" si="394"/>
        <v>6591.25</v>
      </c>
      <c r="AO304" s="14">
        <f t="shared" si="477"/>
        <v>719725.76</v>
      </c>
      <c r="AP304" s="14">
        <f t="shared" si="395"/>
        <v>2810.15</v>
      </c>
      <c r="AS304" s="14">
        <f t="shared" si="433"/>
        <v>6591.25</v>
      </c>
      <c r="AT304" s="14">
        <f t="shared" si="440"/>
        <v>1904390.69</v>
      </c>
      <c r="AU304" s="185">
        <f t="shared" si="441"/>
        <v>3038.3515909434695</v>
      </c>
      <c r="AV304" s="185">
        <f t="shared" si="442"/>
        <v>627753.98796833144</v>
      </c>
    </row>
    <row r="305" spans="1:48">
      <c r="A305" s="401" t="str">
        <f t="shared" si="397"/>
        <v xml:space="preserve"> </v>
      </c>
      <c r="B305" s="185">
        <f t="shared" si="434"/>
        <v>0</v>
      </c>
      <c r="C305" s="14">
        <f t="shared" si="427"/>
        <v>0</v>
      </c>
      <c r="D305" s="14">
        <f t="shared" si="443"/>
        <v>0</v>
      </c>
      <c r="E305" s="14">
        <f t="shared" si="428"/>
        <v>0</v>
      </c>
      <c r="F305" s="14">
        <f t="shared" si="386"/>
        <v>0</v>
      </c>
      <c r="G305" s="14">
        <f t="shared" si="383"/>
        <v>0</v>
      </c>
      <c r="H305" s="14">
        <f t="shared" si="384"/>
        <v>0</v>
      </c>
      <c r="I305" s="185">
        <f t="shared" si="398"/>
        <v>0</v>
      </c>
      <c r="J305" s="185">
        <f t="shared" si="399"/>
        <v>0</v>
      </c>
      <c r="K305" s="185">
        <f t="shared" si="400"/>
        <v>0</v>
      </c>
      <c r="L305" s="317">
        <f t="shared" si="479"/>
        <v>24</v>
      </c>
      <c r="M305" s="317">
        <f t="shared" si="435"/>
        <v>289</v>
      </c>
      <c r="N305" s="185">
        <f t="shared" si="436"/>
        <v>324250.76000000042</v>
      </c>
      <c r="O305" s="185">
        <f t="shared" si="401"/>
        <v>6591.25</v>
      </c>
      <c r="P305" s="185">
        <f t="shared" si="444"/>
        <v>3044.76</v>
      </c>
      <c r="Q305" s="185">
        <f t="shared" si="402"/>
        <v>3546.49</v>
      </c>
      <c r="R305" s="185">
        <f t="shared" si="389"/>
        <v>134.16999999999999</v>
      </c>
      <c r="S305" s="185">
        <f t="shared" si="390"/>
        <v>188.55</v>
      </c>
      <c r="T305" s="185">
        <f t="shared" si="387"/>
        <v>6913.97</v>
      </c>
      <c r="U305" s="185">
        <f t="shared" si="445"/>
        <v>269419.00000000006</v>
      </c>
      <c r="V305" s="185">
        <f t="shared" si="446"/>
        <v>1642043.4999999991</v>
      </c>
      <c r="W305" s="185">
        <f t="shared" si="403"/>
        <v>321206.00000000041</v>
      </c>
      <c r="X305" s="401" t="str">
        <f t="shared" si="437"/>
        <v xml:space="preserve"> </v>
      </c>
      <c r="Y305" s="185">
        <f t="shared" si="404"/>
        <v>8698657.8100000005</v>
      </c>
      <c r="Z305" s="393">
        <f t="shared" si="429"/>
        <v>0.13125000000000001</v>
      </c>
      <c r="AA305" s="185">
        <f t="shared" si="430"/>
        <v>2810.15</v>
      </c>
      <c r="AB305" s="185">
        <f t="shared" si="405"/>
        <v>-92331.420000000013</v>
      </c>
      <c r="AC305" s="185">
        <f t="shared" si="431"/>
        <v>95141.57</v>
      </c>
      <c r="AD305" s="185">
        <f t="shared" ref="AD305:AE305" si="482">+AD304</f>
        <v>134.16999999999999</v>
      </c>
      <c r="AE305" s="185">
        <f t="shared" si="482"/>
        <v>188.55</v>
      </c>
      <c r="AF305" s="185">
        <f t="shared" si="407"/>
        <v>3132.8699999999944</v>
      </c>
      <c r="AG305" s="185">
        <f t="shared" si="408"/>
        <v>-7804889.2299999977</v>
      </c>
      <c r="AH305" s="185">
        <f t="shared" si="409"/>
        <v>8997975.5299999956</v>
      </c>
      <c r="AI305" s="411">
        <f t="shared" si="392"/>
        <v>718376.19999999763</v>
      </c>
      <c r="AJ305" s="411">
        <f t="shared" si="458"/>
        <v>-8469783.2300000004</v>
      </c>
      <c r="AK305" s="411">
        <f t="shared" si="393"/>
        <v>-7751407.0300000031</v>
      </c>
      <c r="AL305" s="185">
        <f t="shared" si="410"/>
        <v>8790989.2300000004</v>
      </c>
      <c r="AM305" s="317">
        <f t="shared" si="439"/>
        <v>24</v>
      </c>
      <c r="AN305" s="14">
        <f t="shared" si="394"/>
        <v>6591.25</v>
      </c>
      <c r="AO305" s="14">
        <f t="shared" si="477"/>
        <v>716681</v>
      </c>
      <c r="AP305" s="14">
        <f t="shared" si="395"/>
        <v>2810.15</v>
      </c>
      <c r="AS305" s="14">
        <f t="shared" si="433"/>
        <v>6591.25</v>
      </c>
      <c r="AT305" s="14">
        <f t="shared" si="440"/>
        <v>1910981.94</v>
      </c>
      <c r="AU305" s="185">
        <f t="shared" si="441"/>
        <v>3045.9474699208281</v>
      </c>
      <c r="AV305" s="185">
        <f t="shared" si="442"/>
        <v>630799.93543825229</v>
      </c>
    </row>
    <row r="306" spans="1:48">
      <c r="A306" s="401" t="str">
        <f t="shared" si="397"/>
        <v xml:space="preserve"> </v>
      </c>
      <c r="B306" s="185">
        <f t="shared" si="434"/>
        <v>0</v>
      </c>
      <c r="C306" s="14">
        <f t="shared" si="427"/>
        <v>0</v>
      </c>
      <c r="D306" s="14">
        <f t="shared" si="443"/>
        <v>0</v>
      </c>
      <c r="E306" s="14">
        <f t="shared" si="428"/>
        <v>0</v>
      </c>
      <c r="F306" s="14">
        <f t="shared" si="386"/>
        <v>0</v>
      </c>
      <c r="G306" s="14">
        <f t="shared" si="383"/>
        <v>0</v>
      </c>
      <c r="H306" s="14">
        <f t="shared" si="384"/>
        <v>0</v>
      </c>
      <c r="I306" s="185">
        <f t="shared" si="398"/>
        <v>0</v>
      </c>
      <c r="J306" s="185">
        <f t="shared" si="399"/>
        <v>0</v>
      </c>
      <c r="K306" s="185">
        <f t="shared" si="400"/>
        <v>0</v>
      </c>
      <c r="L306" s="317">
        <f t="shared" si="479"/>
        <v>24</v>
      </c>
      <c r="M306" s="317">
        <f t="shared" si="435"/>
        <v>290</v>
      </c>
      <c r="N306" s="185">
        <f t="shared" si="436"/>
        <v>321206.00000000041</v>
      </c>
      <c r="O306" s="185">
        <f t="shared" si="401"/>
        <v>6591.25</v>
      </c>
      <c r="P306" s="185">
        <f t="shared" si="444"/>
        <v>3078.06</v>
      </c>
      <c r="Q306" s="185">
        <f t="shared" si="402"/>
        <v>3513.19</v>
      </c>
      <c r="R306" s="185">
        <f t="shared" si="389"/>
        <v>134.16999999999999</v>
      </c>
      <c r="S306" s="185">
        <f t="shared" si="390"/>
        <v>188.55</v>
      </c>
      <c r="T306" s="185">
        <f t="shared" si="387"/>
        <v>6913.97</v>
      </c>
      <c r="U306" s="185">
        <f t="shared" si="445"/>
        <v>272497.06000000006</v>
      </c>
      <c r="V306" s="185">
        <f t="shared" si="446"/>
        <v>1645556.689999999</v>
      </c>
      <c r="W306" s="185">
        <f t="shared" si="403"/>
        <v>318127.94000000041</v>
      </c>
      <c r="X306" s="401" t="str">
        <f t="shared" si="437"/>
        <v xml:space="preserve"> </v>
      </c>
      <c r="Y306" s="185">
        <f t="shared" si="404"/>
        <v>8790989.2300000004</v>
      </c>
      <c r="Z306" s="393">
        <f t="shared" si="429"/>
        <v>0.13125000000000001</v>
      </c>
      <c r="AA306" s="185">
        <f t="shared" si="430"/>
        <v>2810.15</v>
      </c>
      <c r="AB306" s="185">
        <f t="shared" si="405"/>
        <v>-93341.290000000008</v>
      </c>
      <c r="AC306" s="185">
        <f t="shared" si="431"/>
        <v>96151.44</v>
      </c>
      <c r="AD306" s="185">
        <f t="shared" ref="AD306:AE306" si="483">+AD305</f>
        <v>134.16999999999999</v>
      </c>
      <c r="AE306" s="185">
        <f t="shared" si="483"/>
        <v>188.55</v>
      </c>
      <c r="AF306" s="185">
        <f t="shared" si="407"/>
        <v>3132.8699999999944</v>
      </c>
      <c r="AG306" s="185">
        <f t="shared" si="408"/>
        <v>-7898230.5199999977</v>
      </c>
      <c r="AH306" s="185">
        <f t="shared" si="409"/>
        <v>9094126.9699999951</v>
      </c>
      <c r="AI306" s="411">
        <f t="shared" si="392"/>
        <v>722157.2999999976</v>
      </c>
      <c r="AJ306" s="411">
        <f t="shared" si="458"/>
        <v>-8566202.5799999982</v>
      </c>
      <c r="AK306" s="411">
        <f t="shared" si="393"/>
        <v>-7844045.2800000003</v>
      </c>
      <c r="AL306" s="185">
        <f t="shared" si="410"/>
        <v>8884330.5199999996</v>
      </c>
      <c r="AM306" s="317">
        <f t="shared" si="439"/>
        <v>24</v>
      </c>
      <c r="AN306" s="14">
        <f t="shared" si="394"/>
        <v>6591.25</v>
      </c>
      <c r="AO306" s="14">
        <f t="shared" si="477"/>
        <v>713602.94</v>
      </c>
      <c r="AP306" s="14">
        <f t="shared" si="395"/>
        <v>2810.15</v>
      </c>
      <c r="AS306" s="14">
        <f t="shared" si="433"/>
        <v>6591.25</v>
      </c>
      <c r="AT306" s="14">
        <f t="shared" si="440"/>
        <v>1917573.19</v>
      </c>
      <c r="AU306" s="185">
        <f t="shared" si="441"/>
        <v>3053.562338595631</v>
      </c>
      <c r="AV306" s="185">
        <f t="shared" si="442"/>
        <v>633853.49777684791</v>
      </c>
    </row>
    <row r="307" spans="1:48">
      <c r="A307" s="401" t="str">
        <f t="shared" si="397"/>
        <v xml:space="preserve"> </v>
      </c>
      <c r="B307" s="185">
        <f t="shared" si="434"/>
        <v>0</v>
      </c>
      <c r="C307" s="14">
        <f t="shared" si="427"/>
        <v>0</v>
      </c>
      <c r="D307" s="14">
        <f t="shared" si="443"/>
        <v>0</v>
      </c>
      <c r="E307" s="14">
        <f t="shared" si="428"/>
        <v>0</v>
      </c>
      <c r="F307" s="14">
        <f t="shared" si="386"/>
        <v>0</v>
      </c>
      <c r="G307" s="14">
        <f t="shared" si="383"/>
        <v>0</v>
      </c>
      <c r="H307" s="14">
        <f t="shared" si="384"/>
        <v>0</v>
      </c>
      <c r="I307" s="185">
        <f t="shared" si="398"/>
        <v>0</v>
      </c>
      <c r="J307" s="185">
        <f t="shared" si="399"/>
        <v>0</v>
      </c>
      <c r="K307" s="185">
        <f t="shared" si="400"/>
        <v>0</v>
      </c>
      <c r="L307" s="317">
        <f t="shared" si="479"/>
        <v>24</v>
      </c>
      <c r="M307" s="317">
        <f t="shared" si="435"/>
        <v>291</v>
      </c>
      <c r="N307" s="185">
        <f t="shared" si="436"/>
        <v>318127.94000000041</v>
      </c>
      <c r="O307" s="185">
        <f t="shared" si="401"/>
        <v>6591.25</v>
      </c>
      <c r="P307" s="185">
        <f t="shared" si="444"/>
        <v>3111.73</v>
      </c>
      <c r="Q307" s="185">
        <f t="shared" si="402"/>
        <v>3479.52</v>
      </c>
      <c r="R307" s="185">
        <f t="shared" si="389"/>
        <v>134.16999999999999</v>
      </c>
      <c r="S307" s="185">
        <f t="shared" si="390"/>
        <v>188.55</v>
      </c>
      <c r="T307" s="185">
        <f t="shared" si="387"/>
        <v>6913.97</v>
      </c>
      <c r="U307" s="185">
        <f t="shared" si="445"/>
        <v>275608.79000000004</v>
      </c>
      <c r="V307" s="185">
        <f t="shared" si="446"/>
        <v>1649036.209999999</v>
      </c>
      <c r="W307" s="185">
        <f t="shared" si="403"/>
        <v>315016.21000000043</v>
      </c>
      <c r="X307" s="401" t="str">
        <f t="shared" si="437"/>
        <v xml:space="preserve"> </v>
      </c>
      <c r="Y307" s="185">
        <f t="shared" si="404"/>
        <v>8884330.5199999996</v>
      </c>
      <c r="Z307" s="393">
        <f t="shared" si="429"/>
        <v>0.13125000000000001</v>
      </c>
      <c r="AA307" s="185">
        <f t="shared" si="430"/>
        <v>2810.15</v>
      </c>
      <c r="AB307" s="185">
        <f t="shared" si="405"/>
        <v>-94362.22</v>
      </c>
      <c r="AC307" s="185">
        <f t="shared" si="431"/>
        <v>97172.37</v>
      </c>
      <c r="AD307" s="185">
        <f t="shared" ref="AD307:AE307" si="484">+AD306</f>
        <v>134.16999999999999</v>
      </c>
      <c r="AE307" s="185">
        <f t="shared" si="484"/>
        <v>188.55</v>
      </c>
      <c r="AF307" s="185">
        <f t="shared" si="407"/>
        <v>3132.8699999999944</v>
      </c>
      <c r="AG307" s="185">
        <f t="shared" si="408"/>
        <v>-7992592.7399999974</v>
      </c>
      <c r="AH307" s="185">
        <f t="shared" si="409"/>
        <v>9191299.3399999943</v>
      </c>
      <c r="AI307" s="411">
        <f t="shared" si="392"/>
        <v>725938.39999999758</v>
      </c>
      <c r="AJ307" s="411">
        <f t="shared" si="458"/>
        <v>-8663676.5299999993</v>
      </c>
      <c r="AK307" s="411">
        <f t="shared" si="393"/>
        <v>-7937738.1300000018</v>
      </c>
      <c r="AL307" s="185">
        <f t="shared" si="410"/>
        <v>8978692.7400000002</v>
      </c>
      <c r="AM307" s="317">
        <f t="shared" si="439"/>
        <v>24</v>
      </c>
      <c r="AN307" s="14">
        <f t="shared" si="394"/>
        <v>6591.25</v>
      </c>
      <c r="AO307" s="14">
        <f t="shared" si="477"/>
        <v>710491.21</v>
      </c>
      <c r="AP307" s="14">
        <f t="shared" si="395"/>
        <v>2810.15</v>
      </c>
      <c r="AS307" s="14">
        <f t="shared" si="433"/>
        <v>6591.25</v>
      </c>
      <c r="AT307" s="14">
        <f t="shared" si="440"/>
        <v>1924164.44</v>
      </c>
      <c r="AU307" s="185">
        <f t="shared" si="441"/>
        <v>3061.1962444421192</v>
      </c>
      <c r="AV307" s="185">
        <f t="shared" si="442"/>
        <v>636914.69402129005</v>
      </c>
    </row>
    <row r="308" spans="1:48">
      <c r="A308" s="401" t="str">
        <f t="shared" si="397"/>
        <v xml:space="preserve"> </v>
      </c>
      <c r="B308" s="185">
        <f t="shared" si="434"/>
        <v>0</v>
      </c>
      <c r="C308" s="14">
        <f t="shared" si="427"/>
        <v>0</v>
      </c>
      <c r="D308" s="14">
        <f t="shared" si="443"/>
        <v>0</v>
      </c>
      <c r="E308" s="14">
        <f t="shared" si="428"/>
        <v>0</v>
      </c>
      <c r="F308" s="14">
        <f t="shared" si="386"/>
        <v>0</v>
      </c>
      <c r="G308" s="14">
        <f t="shared" si="383"/>
        <v>0</v>
      </c>
      <c r="H308" s="14">
        <f t="shared" si="384"/>
        <v>0</v>
      </c>
      <c r="I308" s="185">
        <f t="shared" si="398"/>
        <v>0</v>
      </c>
      <c r="J308" s="185">
        <f t="shared" si="399"/>
        <v>0</v>
      </c>
      <c r="K308" s="185">
        <f t="shared" si="400"/>
        <v>0</v>
      </c>
      <c r="L308" s="317">
        <f t="shared" si="479"/>
        <v>24</v>
      </c>
      <c r="M308" s="317">
        <f t="shared" si="435"/>
        <v>292</v>
      </c>
      <c r="N308" s="185">
        <f t="shared" si="436"/>
        <v>315016.21000000043</v>
      </c>
      <c r="O308" s="185">
        <f t="shared" si="401"/>
        <v>6591.25</v>
      </c>
      <c r="P308" s="185">
        <f t="shared" si="444"/>
        <v>3145.76</v>
      </c>
      <c r="Q308" s="185">
        <f t="shared" si="402"/>
        <v>3445.49</v>
      </c>
      <c r="R308" s="185">
        <f t="shared" si="389"/>
        <v>134.16999999999999</v>
      </c>
      <c r="S308" s="185">
        <f t="shared" si="390"/>
        <v>188.55</v>
      </c>
      <c r="T308" s="185">
        <f t="shared" si="387"/>
        <v>6913.97</v>
      </c>
      <c r="U308" s="185">
        <f t="shared" si="445"/>
        <v>278754.55000000005</v>
      </c>
      <c r="V308" s="185">
        <f t="shared" si="446"/>
        <v>1652481.699999999</v>
      </c>
      <c r="W308" s="185">
        <f t="shared" si="403"/>
        <v>311870.45000000042</v>
      </c>
      <c r="X308" s="401" t="str">
        <f t="shared" si="437"/>
        <v xml:space="preserve"> </v>
      </c>
      <c r="Y308" s="185">
        <f t="shared" si="404"/>
        <v>8978692.7400000002</v>
      </c>
      <c r="Z308" s="393">
        <f t="shared" si="429"/>
        <v>0.13125000000000001</v>
      </c>
      <c r="AA308" s="185">
        <f t="shared" si="430"/>
        <v>2810.15</v>
      </c>
      <c r="AB308" s="185">
        <f t="shared" si="405"/>
        <v>-95394.3</v>
      </c>
      <c r="AC308" s="185">
        <f t="shared" si="431"/>
        <v>98204.45</v>
      </c>
      <c r="AD308" s="185">
        <f t="shared" ref="AD308:AE308" si="485">+AD307</f>
        <v>134.16999999999999</v>
      </c>
      <c r="AE308" s="185">
        <f t="shared" si="485"/>
        <v>188.55</v>
      </c>
      <c r="AF308" s="185">
        <f t="shared" si="407"/>
        <v>3132.8699999999944</v>
      </c>
      <c r="AG308" s="185">
        <f t="shared" si="408"/>
        <v>-8087987.0399999972</v>
      </c>
      <c r="AH308" s="185">
        <f t="shared" si="409"/>
        <v>9289503.7899999935</v>
      </c>
      <c r="AI308" s="411">
        <f t="shared" si="392"/>
        <v>729719.49999999756</v>
      </c>
      <c r="AJ308" s="411">
        <f t="shared" si="458"/>
        <v>-8762216.5899999999</v>
      </c>
      <c r="AK308" s="411">
        <f t="shared" si="393"/>
        <v>-8032497.0900000026</v>
      </c>
      <c r="AL308" s="185">
        <f t="shared" si="410"/>
        <v>9074087.040000001</v>
      </c>
      <c r="AM308" s="317">
        <f t="shared" si="439"/>
        <v>24</v>
      </c>
      <c r="AN308" s="14">
        <f t="shared" si="394"/>
        <v>6591.25</v>
      </c>
      <c r="AO308" s="14">
        <f t="shared" si="477"/>
        <v>707345.45</v>
      </c>
      <c r="AP308" s="14">
        <f t="shared" si="395"/>
        <v>2810.15</v>
      </c>
      <c r="AS308" s="14">
        <f t="shared" si="433"/>
        <v>6591.25</v>
      </c>
      <c r="AT308" s="14">
        <f t="shared" si="440"/>
        <v>1930755.69</v>
      </c>
      <c r="AU308" s="185">
        <f t="shared" si="441"/>
        <v>3068.8492350532251</v>
      </c>
      <c r="AV308" s="185">
        <f t="shared" si="442"/>
        <v>639983.54325634323</v>
      </c>
    </row>
    <row r="309" spans="1:48">
      <c r="A309" s="401" t="str">
        <f t="shared" si="397"/>
        <v xml:space="preserve"> </v>
      </c>
      <c r="B309" s="185">
        <f t="shared" si="434"/>
        <v>0</v>
      </c>
      <c r="C309" s="14">
        <f t="shared" si="427"/>
        <v>0</v>
      </c>
      <c r="D309" s="14">
        <f t="shared" si="443"/>
        <v>0</v>
      </c>
      <c r="E309" s="14">
        <f t="shared" si="428"/>
        <v>0</v>
      </c>
      <c r="F309" s="14">
        <f t="shared" si="386"/>
        <v>0</v>
      </c>
      <c r="G309" s="14">
        <f t="shared" si="383"/>
        <v>0</v>
      </c>
      <c r="H309" s="14">
        <f t="shared" si="384"/>
        <v>0</v>
      </c>
      <c r="I309" s="185">
        <f t="shared" si="398"/>
        <v>0</v>
      </c>
      <c r="J309" s="185">
        <f t="shared" si="399"/>
        <v>0</v>
      </c>
      <c r="K309" s="185">
        <f t="shared" si="400"/>
        <v>0</v>
      </c>
      <c r="L309" s="317">
        <f t="shared" si="479"/>
        <v>24</v>
      </c>
      <c r="M309" s="317">
        <f t="shared" si="435"/>
        <v>293</v>
      </c>
      <c r="N309" s="185">
        <f t="shared" si="436"/>
        <v>311870.45000000042</v>
      </c>
      <c r="O309" s="185">
        <f t="shared" si="401"/>
        <v>6591.25</v>
      </c>
      <c r="P309" s="185">
        <f t="shared" si="444"/>
        <v>3180.17</v>
      </c>
      <c r="Q309" s="185">
        <f t="shared" si="402"/>
        <v>3411.08</v>
      </c>
      <c r="R309" s="185">
        <f t="shared" si="389"/>
        <v>134.16999999999999</v>
      </c>
      <c r="S309" s="185">
        <f t="shared" si="390"/>
        <v>188.55</v>
      </c>
      <c r="T309" s="185">
        <f t="shared" si="387"/>
        <v>6913.97</v>
      </c>
      <c r="U309" s="185">
        <f t="shared" si="445"/>
        <v>281934.72000000003</v>
      </c>
      <c r="V309" s="185">
        <f t="shared" si="446"/>
        <v>1655892.7799999991</v>
      </c>
      <c r="W309" s="185">
        <f t="shared" si="403"/>
        <v>308690.28000000044</v>
      </c>
      <c r="X309" s="401" t="str">
        <f t="shared" si="437"/>
        <v xml:space="preserve"> </v>
      </c>
      <c r="Y309" s="185">
        <f t="shared" si="404"/>
        <v>9074087.040000001</v>
      </c>
      <c r="Z309" s="393">
        <f t="shared" si="429"/>
        <v>0.13125000000000001</v>
      </c>
      <c r="AA309" s="185">
        <f t="shared" si="430"/>
        <v>2810.15</v>
      </c>
      <c r="AB309" s="185">
        <f t="shared" si="405"/>
        <v>-96437.680000000008</v>
      </c>
      <c r="AC309" s="185">
        <f t="shared" si="431"/>
        <v>99247.83</v>
      </c>
      <c r="AD309" s="185">
        <f t="shared" ref="AD309:AE309" si="486">+AD308</f>
        <v>134.16999999999999</v>
      </c>
      <c r="AE309" s="185">
        <f t="shared" si="486"/>
        <v>188.55</v>
      </c>
      <c r="AF309" s="185">
        <f t="shared" si="407"/>
        <v>3132.8699999999944</v>
      </c>
      <c r="AG309" s="185">
        <f t="shared" si="408"/>
        <v>-8184424.7199999969</v>
      </c>
      <c r="AH309" s="185">
        <f t="shared" si="409"/>
        <v>9388751.6199999936</v>
      </c>
      <c r="AI309" s="411">
        <f t="shared" si="392"/>
        <v>733500.59999999753</v>
      </c>
      <c r="AJ309" s="411">
        <f t="shared" si="458"/>
        <v>-8861834.4399999995</v>
      </c>
      <c r="AK309" s="411">
        <f t="shared" si="393"/>
        <v>-8128333.8400000017</v>
      </c>
      <c r="AL309" s="185">
        <f t="shared" si="410"/>
        <v>9170524.7200000007</v>
      </c>
      <c r="AM309" s="317">
        <f t="shared" si="439"/>
        <v>24</v>
      </c>
      <c r="AN309" s="14">
        <f t="shared" si="394"/>
        <v>6591.25</v>
      </c>
      <c r="AO309" s="14">
        <f t="shared" si="477"/>
        <v>704165.28</v>
      </c>
      <c r="AP309" s="14">
        <f t="shared" si="395"/>
        <v>2810.15</v>
      </c>
      <c r="AS309" s="14">
        <f t="shared" si="433"/>
        <v>6591.25</v>
      </c>
      <c r="AT309" s="14">
        <f t="shared" si="440"/>
        <v>1937346.94</v>
      </c>
      <c r="AU309" s="185">
        <f t="shared" si="441"/>
        <v>3076.5213581408584</v>
      </c>
      <c r="AV309" s="185">
        <f t="shared" si="442"/>
        <v>643060.06461448409</v>
      </c>
    </row>
    <row r="310" spans="1:48">
      <c r="A310" s="401" t="str">
        <f t="shared" si="397"/>
        <v xml:space="preserve"> </v>
      </c>
      <c r="B310" s="185">
        <f t="shared" si="434"/>
        <v>0</v>
      </c>
      <c r="C310" s="14">
        <f t="shared" si="427"/>
        <v>0</v>
      </c>
      <c r="D310" s="14">
        <f t="shared" si="443"/>
        <v>0</v>
      </c>
      <c r="E310" s="14">
        <f t="shared" si="428"/>
        <v>0</v>
      </c>
      <c r="F310" s="14">
        <f t="shared" si="386"/>
        <v>0</v>
      </c>
      <c r="G310" s="14">
        <f t="shared" si="383"/>
        <v>0</v>
      </c>
      <c r="H310" s="14">
        <f t="shared" si="384"/>
        <v>0</v>
      </c>
      <c r="I310" s="185">
        <f t="shared" si="398"/>
        <v>0</v>
      </c>
      <c r="J310" s="185">
        <f t="shared" si="399"/>
        <v>0</v>
      </c>
      <c r="K310" s="185">
        <f t="shared" si="400"/>
        <v>0</v>
      </c>
      <c r="L310" s="317">
        <f t="shared" si="479"/>
        <v>24</v>
      </c>
      <c r="M310" s="317">
        <f t="shared" si="435"/>
        <v>294</v>
      </c>
      <c r="N310" s="185">
        <f t="shared" si="436"/>
        <v>308690.28000000044</v>
      </c>
      <c r="O310" s="185">
        <f t="shared" si="401"/>
        <v>6591.25</v>
      </c>
      <c r="P310" s="185">
        <f t="shared" si="444"/>
        <v>3214.95</v>
      </c>
      <c r="Q310" s="185">
        <f t="shared" si="402"/>
        <v>3376.3</v>
      </c>
      <c r="R310" s="185">
        <f t="shared" si="389"/>
        <v>134.16999999999999</v>
      </c>
      <c r="S310" s="185">
        <f t="shared" si="390"/>
        <v>188.55</v>
      </c>
      <c r="T310" s="185">
        <f t="shared" si="387"/>
        <v>6913.97</v>
      </c>
      <c r="U310" s="185">
        <f t="shared" si="445"/>
        <v>285149.67000000004</v>
      </c>
      <c r="V310" s="185">
        <f t="shared" si="446"/>
        <v>1659269.0799999991</v>
      </c>
      <c r="W310" s="185">
        <f t="shared" si="403"/>
        <v>305475.33000000042</v>
      </c>
      <c r="X310" s="401" t="str">
        <f t="shared" si="437"/>
        <v xml:space="preserve"> </v>
      </c>
      <c r="Y310" s="185">
        <f t="shared" si="404"/>
        <v>9170524.7200000007</v>
      </c>
      <c r="Z310" s="393">
        <f t="shared" si="429"/>
        <v>0.13125000000000001</v>
      </c>
      <c r="AA310" s="185">
        <f t="shared" si="430"/>
        <v>2810.15</v>
      </c>
      <c r="AB310" s="185">
        <f t="shared" si="405"/>
        <v>-97492.46</v>
      </c>
      <c r="AC310" s="185">
        <f t="shared" si="431"/>
        <v>100302.61</v>
      </c>
      <c r="AD310" s="185">
        <f t="shared" ref="AD310:AE310" si="487">+AD309</f>
        <v>134.16999999999999</v>
      </c>
      <c r="AE310" s="185">
        <f t="shared" si="487"/>
        <v>188.55</v>
      </c>
      <c r="AF310" s="185">
        <f t="shared" si="407"/>
        <v>3132.8699999999944</v>
      </c>
      <c r="AG310" s="185">
        <f t="shared" si="408"/>
        <v>-8281917.1799999969</v>
      </c>
      <c r="AH310" s="185">
        <f t="shared" si="409"/>
        <v>9489054.229999993</v>
      </c>
      <c r="AI310" s="411">
        <f t="shared" si="392"/>
        <v>737281.69999999751</v>
      </c>
      <c r="AJ310" s="411">
        <f t="shared" si="458"/>
        <v>-8962541.8500000015</v>
      </c>
      <c r="AK310" s="411">
        <f t="shared" si="393"/>
        <v>-8225260.1500000041</v>
      </c>
      <c r="AL310" s="185">
        <f t="shared" si="410"/>
        <v>9268017.1800000016</v>
      </c>
      <c r="AM310" s="317">
        <f t="shared" si="439"/>
        <v>24</v>
      </c>
      <c r="AN310" s="14">
        <f t="shared" si="394"/>
        <v>6591.25</v>
      </c>
      <c r="AO310" s="14">
        <f t="shared" si="477"/>
        <v>700950.33</v>
      </c>
      <c r="AP310" s="14">
        <f t="shared" si="395"/>
        <v>2810.15</v>
      </c>
      <c r="AS310" s="14">
        <f t="shared" si="433"/>
        <v>6591.25</v>
      </c>
      <c r="AT310" s="14">
        <f t="shared" si="440"/>
        <v>1943938.19</v>
      </c>
      <c r="AU310" s="185">
        <f t="shared" si="441"/>
        <v>3084.2126615362104</v>
      </c>
      <c r="AV310" s="185">
        <f t="shared" si="442"/>
        <v>646144.27727602026</v>
      </c>
    </row>
    <row r="311" spans="1:48">
      <c r="A311" s="401" t="str">
        <f t="shared" si="397"/>
        <v xml:space="preserve"> </v>
      </c>
      <c r="B311" s="185">
        <f t="shared" si="434"/>
        <v>0</v>
      </c>
      <c r="C311" s="14">
        <f t="shared" si="427"/>
        <v>0</v>
      </c>
      <c r="D311" s="14">
        <f t="shared" si="443"/>
        <v>0</v>
      </c>
      <c r="E311" s="14">
        <f t="shared" si="428"/>
        <v>0</v>
      </c>
      <c r="F311" s="14">
        <f t="shared" si="386"/>
        <v>0</v>
      </c>
      <c r="G311" s="14">
        <f t="shared" si="383"/>
        <v>0</v>
      </c>
      <c r="H311" s="14">
        <f t="shared" si="384"/>
        <v>0</v>
      </c>
      <c r="I311" s="185">
        <f t="shared" si="398"/>
        <v>0</v>
      </c>
      <c r="J311" s="185">
        <f t="shared" si="399"/>
        <v>0</v>
      </c>
      <c r="K311" s="185">
        <f t="shared" si="400"/>
        <v>0</v>
      </c>
      <c r="L311" s="317">
        <f t="shared" si="479"/>
        <v>24</v>
      </c>
      <c r="M311" s="317">
        <f t="shared" si="435"/>
        <v>295</v>
      </c>
      <c r="N311" s="185">
        <f t="shared" si="436"/>
        <v>305475.33000000042</v>
      </c>
      <c r="O311" s="185">
        <f t="shared" si="401"/>
        <v>6591.25</v>
      </c>
      <c r="P311" s="185">
        <f t="shared" si="444"/>
        <v>3250.11</v>
      </c>
      <c r="Q311" s="185">
        <f t="shared" si="402"/>
        <v>3341.14</v>
      </c>
      <c r="R311" s="185">
        <f t="shared" si="389"/>
        <v>134.16999999999999</v>
      </c>
      <c r="S311" s="185">
        <f t="shared" si="390"/>
        <v>188.55</v>
      </c>
      <c r="T311" s="185">
        <f t="shared" si="387"/>
        <v>6913.97</v>
      </c>
      <c r="U311" s="185">
        <f t="shared" si="445"/>
        <v>288399.78000000003</v>
      </c>
      <c r="V311" s="185">
        <f t="shared" si="446"/>
        <v>1662610.219999999</v>
      </c>
      <c r="W311" s="185">
        <f t="shared" si="403"/>
        <v>302225.22000000044</v>
      </c>
      <c r="X311" s="401" t="str">
        <f t="shared" si="437"/>
        <v xml:space="preserve"> </v>
      </c>
      <c r="Y311" s="185">
        <f t="shared" si="404"/>
        <v>9268017.1800000016</v>
      </c>
      <c r="Z311" s="393">
        <f t="shared" si="429"/>
        <v>0.13125000000000001</v>
      </c>
      <c r="AA311" s="185">
        <f t="shared" si="430"/>
        <v>2810.15</v>
      </c>
      <c r="AB311" s="185">
        <f t="shared" si="405"/>
        <v>-98558.790000000008</v>
      </c>
      <c r="AC311" s="185">
        <f t="shared" si="431"/>
        <v>101368.94</v>
      </c>
      <c r="AD311" s="185">
        <f t="shared" ref="AD311:AE311" si="488">+AD310</f>
        <v>134.16999999999999</v>
      </c>
      <c r="AE311" s="185">
        <f t="shared" si="488"/>
        <v>188.55</v>
      </c>
      <c r="AF311" s="185">
        <f t="shared" si="407"/>
        <v>3132.8699999999944</v>
      </c>
      <c r="AG311" s="185">
        <f t="shared" si="408"/>
        <v>-8380475.9699999969</v>
      </c>
      <c r="AH311" s="185">
        <f t="shared" si="409"/>
        <v>9590423.1699999925</v>
      </c>
      <c r="AI311" s="411">
        <f t="shared" si="392"/>
        <v>741062.79999999749</v>
      </c>
      <c r="AJ311" s="411">
        <f t="shared" si="458"/>
        <v>-9064350.75</v>
      </c>
      <c r="AK311" s="411">
        <f t="shared" si="393"/>
        <v>-8323287.950000003</v>
      </c>
      <c r="AL311" s="185">
        <f t="shared" si="410"/>
        <v>9366575.9700000007</v>
      </c>
      <c r="AM311" s="317">
        <f t="shared" si="439"/>
        <v>24</v>
      </c>
      <c r="AN311" s="14">
        <f t="shared" si="394"/>
        <v>6591.25</v>
      </c>
      <c r="AO311" s="14">
        <f t="shared" si="477"/>
        <v>697700.22</v>
      </c>
      <c r="AP311" s="14">
        <f t="shared" si="395"/>
        <v>2810.15</v>
      </c>
      <c r="AS311" s="14">
        <f t="shared" si="433"/>
        <v>6591.25</v>
      </c>
      <c r="AT311" s="14">
        <f t="shared" si="440"/>
        <v>1950529.44</v>
      </c>
      <c r="AU311" s="185">
        <f t="shared" si="441"/>
        <v>3091.9231931900504</v>
      </c>
      <c r="AV311" s="185">
        <f t="shared" si="442"/>
        <v>649236.20046921028</v>
      </c>
    </row>
    <row r="312" spans="1:48">
      <c r="A312" s="401" t="str">
        <f t="shared" si="397"/>
        <v xml:space="preserve"> </v>
      </c>
      <c r="B312" s="185">
        <f t="shared" si="434"/>
        <v>0</v>
      </c>
      <c r="C312" s="14">
        <f t="shared" si="427"/>
        <v>0</v>
      </c>
      <c r="D312" s="14">
        <f t="shared" si="443"/>
        <v>0</v>
      </c>
      <c r="E312" s="14">
        <f t="shared" si="428"/>
        <v>0</v>
      </c>
      <c r="F312" s="14">
        <f t="shared" si="386"/>
        <v>0</v>
      </c>
      <c r="G312" s="14">
        <f t="shared" si="383"/>
        <v>0</v>
      </c>
      <c r="H312" s="14">
        <f t="shared" si="384"/>
        <v>0</v>
      </c>
      <c r="I312" s="185">
        <f t="shared" si="398"/>
        <v>0</v>
      </c>
      <c r="J312" s="185">
        <f t="shared" si="399"/>
        <v>0</v>
      </c>
      <c r="K312" s="185">
        <f t="shared" si="400"/>
        <v>0</v>
      </c>
      <c r="L312" s="317">
        <f t="shared" si="479"/>
        <v>24</v>
      </c>
      <c r="M312" s="317">
        <f t="shared" si="435"/>
        <v>296</v>
      </c>
      <c r="N312" s="185">
        <f t="shared" si="436"/>
        <v>302225.22000000044</v>
      </c>
      <c r="O312" s="185">
        <f t="shared" si="401"/>
        <v>6591.25</v>
      </c>
      <c r="P312" s="185">
        <f t="shared" si="444"/>
        <v>3285.66</v>
      </c>
      <c r="Q312" s="185">
        <f t="shared" si="402"/>
        <v>3305.59</v>
      </c>
      <c r="R312" s="185">
        <f t="shared" si="389"/>
        <v>134.16999999999999</v>
      </c>
      <c r="S312" s="185">
        <f t="shared" si="390"/>
        <v>188.55</v>
      </c>
      <c r="T312" s="185">
        <f t="shared" si="387"/>
        <v>6913.97</v>
      </c>
      <c r="U312" s="185">
        <f t="shared" si="445"/>
        <v>291685.44</v>
      </c>
      <c r="V312" s="185">
        <f t="shared" si="446"/>
        <v>1665915.8099999991</v>
      </c>
      <c r="W312" s="185">
        <f t="shared" si="403"/>
        <v>298939.56000000046</v>
      </c>
      <c r="X312" s="401" t="str">
        <f t="shared" si="437"/>
        <v xml:space="preserve"> </v>
      </c>
      <c r="Y312" s="185">
        <f t="shared" si="404"/>
        <v>9366575.9700000007</v>
      </c>
      <c r="Z312" s="393">
        <f t="shared" si="429"/>
        <v>0.13125000000000001</v>
      </c>
      <c r="AA312" s="185">
        <f t="shared" si="430"/>
        <v>2810.15</v>
      </c>
      <c r="AB312" s="185">
        <f t="shared" si="405"/>
        <v>-99636.77</v>
      </c>
      <c r="AC312" s="185">
        <f t="shared" si="431"/>
        <v>102446.92</v>
      </c>
      <c r="AD312" s="185">
        <f t="shared" ref="AD312:AE312" si="489">+AD311</f>
        <v>134.16999999999999</v>
      </c>
      <c r="AE312" s="185">
        <f t="shared" si="489"/>
        <v>188.55</v>
      </c>
      <c r="AF312" s="185">
        <f t="shared" si="407"/>
        <v>3132.8699999999944</v>
      </c>
      <c r="AG312" s="185">
        <f t="shared" si="408"/>
        <v>-8480112.7399999965</v>
      </c>
      <c r="AH312" s="185">
        <f t="shared" si="409"/>
        <v>9692870.0899999924</v>
      </c>
      <c r="AI312" s="411">
        <f t="shared" si="392"/>
        <v>744843.89999999746</v>
      </c>
      <c r="AJ312" s="411">
        <f t="shared" si="458"/>
        <v>-9167273.1799999997</v>
      </c>
      <c r="AK312" s="411">
        <f t="shared" si="393"/>
        <v>-8422429.2800000031</v>
      </c>
      <c r="AL312" s="185">
        <f t="shared" si="410"/>
        <v>9466212.7400000002</v>
      </c>
      <c r="AM312" s="317">
        <f t="shared" si="439"/>
        <v>24</v>
      </c>
      <c r="AN312" s="14">
        <f t="shared" si="394"/>
        <v>6591.25</v>
      </c>
      <c r="AO312" s="14">
        <f t="shared" si="477"/>
        <v>694414.56</v>
      </c>
      <c r="AP312" s="14">
        <f t="shared" si="395"/>
        <v>2810.15</v>
      </c>
      <c r="AS312" s="14">
        <f t="shared" si="433"/>
        <v>6591.25</v>
      </c>
      <c r="AT312" s="14">
        <f t="shared" si="440"/>
        <v>1957120.69</v>
      </c>
      <c r="AU312" s="185">
        <f t="shared" si="441"/>
        <v>3099.6530011730251</v>
      </c>
      <c r="AV312" s="185">
        <f t="shared" si="442"/>
        <v>652335.85347038333</v>
      </c>
    </row>
    <row r="313" spans="1:48">
      <c r="A313" s="401" t="str">
        <f t="shared" si="397"/>
        <v xml:space="preserve"> </v>
      </c>
      <c r="B313" s="185">
        <f t="shared" si="434"/>
        <v>0</v>
      </c>
      <c r="C313" s="14">
        <f t="shared" si="427"/>
        <v>0</v>
      </c>
      <c r="D313" s="14">
        <f t="shared" si="443"/>
        <v>0</v>
      </c>
      <c r="E313" s="14">
        <f t="shared" si="428"/>
        <v>0</v>
      </c>
      <c r="F313" s="14">
        <f t="shared" si="386"/>
        <v>0</v>
      </c>
      <c r="G313" s="14">
        <f t="shared" si="383"/>
        <v>0</v>
      </c>
      <c r="H313" s="14">
        <f t="shared" si="384"/>
        <v>0</v>
      </c>
      <c r="I313" s="185">
        <f t="shared" si="398"/>
        <v>0</v>
      </c>
      <c r="J313" s="185">
        <f t="shared" si="399"/>
        <v>0</v>
      </c>
      <c r="K313" s="185">
        <f t="shared" si="400"/>
        <v>0</v>
      </c>
      <c r="L313" s="317">
        <f t="shared" si="479"/>
        <v>24</v>
      </c>
      <c r="M313" s="317">
        <f t="shared" si="435"/>
        <v>297</v>
      </c>
      <c r="N313" s="185">
        <f t="shared" si="436"/>
        <v>298939.56000000046</v>
      </c>
      <c r="O313" s="185">
        <f t="shared" si="401"/>
        <v>6591.25</v>
      </c>
      <c r="P313" s="185">
        <f t="shared" si="444"/>
        <v>3321.6</v>
      </c>
      <c r="Q313" s="185">
        <f t="shared" si="402"/>
        <v>3269.65</v>
      </c>
      <c r="R313" s="185">
        <f t="shared" si="389"/>
        <v>134.16999999999999</v>
      </c>
      <c r="S313" s="185">
        <f t="shared" si="390"/>
        <v>188.55</v>
      </c>
      <c r="T313" s="185">
        <f t="shared" si="387"/>
        <v>6913.97</v>
      </c>
      <c r="U313" s="185">
        <f t="shared" si="445"/>
        <v>295007.03999999998</v>
      </c>
      <c r="V313" s="185">
        <f t="shared" si="446"/>
        <v>1669185.459999999</v>
      </c>
      <c r="W313" s="185">
        <f t="shared" si="403"/>
        <v>295617.96000000049</v>
      </c>
      <c r="X313" s="401" t="str">
        <f t="shared" si="437"/>
        <v xml:space="preserve"> </v>
      </c>
      <c r="Y313" s="185">
        <f t="shared" si="404"/>
        <v>9466212.7400000002</v>
      </c>
      <c r="Z313" s="393">
        <f t="shared" si="429"/>
        <v>0.13125000000000001</v>
      </c>
      <c r="AA313" s="185">
        <f t="shared" si="430"/>
        <v>2810.15</v>
      </c>
      <c r="AB313" s="185">
        <f t="shared" si="405"/>
        <v>-100726.55</v>
      </c>
      <c r="AC313" s="185">
        <f t="shared" si="431"/>
        <v>103536.7</v>
      </c>
      <c r="AD313" s="185">
        <f t="shared" ref="AD313:AE313" si="490">+AD312</f>
        <v>134.16999999999999</v>
      </c>
      <c r="AE313" s="185">
        <f t="shared" si="490"/>
        <v>188.55</v>
      </c>
      <c r="AF313" s="185">
        <f t="shared" si="407"/>
        <v>3132.8699999999944</v>
      </c>
      <c r="AG313" s="185">
        <f t="shared" si="408"/>
        <v>-8580839.2899999972</v>
      </c>
      <c r="AH313" s="185">
        <f t="shared" si="409"/>
        <v>9796406.7899999917</v>
      </c>
      <c r="AI313" s="411">
        <f t="shared" si="392"/>
        <v>748624.99999999744</v>
      </c>
      <c r="AJ313" s="411">
        <f t="shared" si="458"/>
        <v>-9271321.3300000001</v>
      </c>
      <c r="AK313" s="411">
        <f t="shared" si="393"/>
        <v>-8522696.3300000019</v>
      </c>
      <c r="AL313" s="185">
        <f t="shared" si="410"/>
        <v>9566939.290000001</v>
      </c>
      <c r="AM313" s="317">
        <f t="shared" si="439"/>
        <v>24</v>
      </c>
      <c r="AN313" s="14">
        <f t="shared" si="394"/>
        <v>6591.25</v>
      </c>
      <c r="AO313" s="14">
        <f t="shared" si="477"/>
        <v>691092.96</v>
      </c>
      <c r="AP313" s="14">
        <f t="shared" si="395"/>
        <v>2810.15</v>
      </c>
      <c r="AS313" s="14">
        <f t="shared" si="433"/>
        <v>6591.25</v>
      </c>
      <c r="AT313" s="14">
        <f t="shared" si="440"/>
        <v>1963711.94</v>
      </c>
      <c r="AU313" s="185">
        <f t="shared" si="441"/>
        <v>3107.4021336759579</v>
      </c>
      <c r="AV313" s="185">
        <f t="shared" si="442"/>
        <v>655443.25560405932</v>
      </c>
    </row>
    <row r="314" spans="1:48" ht="15.75" thickBot="1">
      <c r="A314" s="404" t="str">
        <f t="shared" si="397"/>
        <v xml:space="preserve"> </v>
      </c>
      <c r="B314" s="237">
        <f t="shared" si="434"/>
        <v>0</v>
      </c>
      <c r="C314" s="21">
        <f t="shared" si="427"/>
        <v>0</v>
      </c>
      <c r="D314" s="21">
        <f t="shared" si="443"/>
        <v>0</v>
      </c>
      <c r="E314" s="21">
        <f t="shared" si="428"/>
        <v>0</v>
      </c>
      <c r="F314" s="21">
        <f t="shared" si="386"/>
        <v>0</v>
      </c>
      <c r="G314" s="21">
        <f t="shared" ref="G314:G377" si="491">+G313</f>
        <v>0</v>
      </c>
      <c r="H314" s="21">
        <f t="shared" ref="H314:H377" si="492">SUM(D314:G314)</f>
        <v>0</v>
      </c>
      <c r="I314" s="237">
        <f t="shared" si="398"/>
        <v>0</v>
      </c>
      <c r="J314" s="237">
        <f t="shared" si="399"/>
        <v>0</v>
      </c>
      <c r="K314" s="237">
        <f t="shared" si="400"/>
        <v>0</v>
      </c>
      <c r="L314" s="318">
        <f t="shared" si="479"/>
        <v>24</v>
      </c>
      <c r="M314" s="318">
        <f t="shared" si="435"/>
        <v>298</v>
      </c>
      <c r="N314" s="237">
        <f t="shared" si="436"/>
        <v>295617.96000000049</v>
      </c>
      <c r="O314" s="237">
        <f t="shared" si="401"/>
        <v>6591.25</v>
      </c>
      <c r="P314" s="237">
        <f t="shared" si="444"/>
        <v>3357.93</v>
      </c>
      <c r="Q314" s="237">
        <f t="shared" si="402"/>
        <v>3233.32</v>
      </c>
      <c r="R314" s="237">
        <f t="shared" si="389"/>
        <v>134.16999999999999</v>
      </c>
      <c r="S314" s="237">
        <f t="shared" si="390"/>
        <v>188.55</v>
      </c>
      <c r="T314" s="237">
        <f t="shared" si="387"/>
        <v>6913.97</v>
      </c>
      <c r="U314" s="237">
        <f t="shared" si="445"/>
        <v>298364.96999999997</v>
      </c>
      <c r="V314" s="237">
        <f t="shared" si="446"/>
        <v>1672418.7799999991</v>
      </c>
      <c r="W314" s="237">
        <f t="shared" si="403"/>
        <v>292260.03000000049</v>
      </c>
      <c r="X314" s="404" t="str">
        <f t="shared" si="437"/>
        <v xml:space="preserve"> </v>
      </c>
      <c r="Y314" s="237">
        <f t="shared" si="404"/>
        <v>9566939.290000001</v>
      </c>
      <c r="Z314" s="394">
        <f t="shared" si="429"/>
        <v>0.13125000000000001</v>
      </c>
      <c r="AA314" s="237">
        <f t="shared" si="430"/>
        <v>2810.15</v>
      </c>
      <c r="AB314" s="237">
        <f t="shared" si="405"/>
        <v>-101828.25</v>
      </c>
      <c r="AC314" s="237">
        <f t="shared" si="431"/>
        <v>104638.39999999999</v>
      </c>
      <c r="AD314" s="237">
        <f t="shared" ref="AD314:AE314" si="493">+AD313</f>
        <v>134.16999999999999</v>
      </c>
      <c r="AE314" s="237">
        <f t="shared" si="493"/>
        <v>188.55</v>
      </c>
      <c r="AF314" s="237">
        <f t="shared" si="407"/>
        <v>3132.8699999999944</v>
      </c>
      <c r="AG314" s="237">
        <f t="shared" si="408"/>
        <v>-8682667.5399999972</v>
      </c>
      <c r="AH314" s="237">
        <f t="shared" si="409"/>
        <v>9901045.189999992</v>
      </c>
      <c r="AI314" s="412">
        <f t="shared" si="392"/>
        <v>752406.09999999742</v>
      </c>
      <c r="AJ314" s="412">
        <f t="shared" si="458"/>
        <v>-9376507.5099999998</v>
      </c>
      <c r="AK314" s="411">
        <f t="shared" si="393"/>
        <v>-8624101.410000002</v>
      </c>
      <c r="AL314" s="237">
        <f t="shared" si="410"/>
        <v>9668767.540000001</v>
      </c>
      <c r="AM314" s="318">
        <f t="shared" si="439"/>
        <v>24</v>
      </c>
      <c r="AN314" s="21">
        <f t="shared" si="394"/>
        <v>6591.25</v>
      </c>
      <c r="AO314" s="21">
        <f t="shared" si="477"/>
        <v>687735.03</v>
      </c>
      <c r="AP314" s="21">
        <f t="shared" si="395"/>
        <v>2810.15</v>
      </c>
      <c r="AQ314" s="21"/>
      <c r="AR314" s="23"/>
      <c r="AS314" s="21">
        <f t="shared" si="433"/>
        <v>6591.25</v>
      </c>
      <c r="AT314" s="21">
        <f t="shared" si="440"/>
        <v>1970303.19</v>
      </c>
      <c r="AU314" s="237">
        <f t="shared" si="441"/>
        <v>3115.1706390101485</v>
      </c>
      <c r="AV314" s="237">
        <f t="shared" si="442"/>
        <v>658558.42624306947</v>
      </c>
    </row>
    <row r="315" spans="1:48">
      <c r="A315" s="401" t="str">
        <f t="shared" ref="A315:A378" si="494">IF(K315&lt;=0," ",+A314+30)</f>
        <v xml:space="preserve"> </v>
      </c>
      <c r="B315" s="185">
        <f t="shared" si="434"/>
        <v>0</v>
      </c>
      <c r="C315" s="14">
        <f t="shared" si="427"/>
        <v>0</v>
      </c>
      <c r="D315" s="14">
        <f t="shared" si="443"/>
        <v>0</v>
      </c>
      <c r="E315" s="14">
        <f t="shared" si="428"/>
        <v>0</v>
      </c>
      <c r="F315" s="14">
        <f t="shared" ref="F315:F378" si="495">+F314</f>
        <v>0</v>
      </c>
      <c r="G315" s="14">
        <f t="shared" si="491"/>
        <v>0</v>
      </c>
      <c r="H315" s="14">
        <f t="shared" si="492"/>
        <v>0</v>
      </c>
      <c r="I315" s="185">
        <f t="shared" ref="I315:I378" si="496">$D315+$I314</f>
        <v>0</v>
      </c>
      <c r="J315" s="185">
        <f t="shared" ref="J315:J378" si="497">$E315+$J314</f>
        <v>0</v>
      </c>
      <c r="K315" s="185">
        <f t="shared" ref="K315:K378" si="498">+B315-D315</f>
        <v>0</v>
      </c>
      <c r="L315" s="317">
        <f t="shared" si="479"/>
        <v>24</v>
      </c>
      <c r="M315" s="317">
        <f t="shared" si="435"/>
        <v>299</v>
      </c>
      <c r="N315" s="185">
        <f t="shared" si="436"/>
        <v>292260.03000000049</v>
      </c>
      <c r="O315" s="185">
        <f t="shared" si="401"/>
        <v>6591.25</v>
      </c>
      <c r="P315" s="185">
        <f t="shared" si="444"/>
        <v>3394.66</v>
      </c>
      <c r="Q315" s="185">
        <f t="shared" si="402"/>
        <v>3196.59</v>
      </c>
      <c r="R315" s="185">
        <f t="shared" si="389"/>
        <v>134.16999999999999</v>
      </c>
      <c r="S315" s="185">
        <f t="shared" si="390"/>
        <v>188.55</v>
      </c>
      <c r="T315" s="185">
        <f t="shared" ref="T315:T378" si="499">SUM(P315:S315)</f>
        <v>6913.97</v>
      </c>
      <c r="U315" s="185">
        <f t="shared" si="445"/>
        <v>301759.62999999995</v>
      </c>
      <c r="V315" s="185">
        <f t="shared" si="446"/>
        <v>1675615.3699999992</v>
      </c>
      <c r="W315" s="185">
        <f t="shared" ref="W315:W378" si="500">+N315-P315</f>
        <v>288865.37000000052</v>
      </c>
      <c r="X315" s="401" t="str">
        <f t="shared" si="437"/>
        <v xml:space="preserve"> </v>
      </c>
      <c r="Y315" s="185">
        <f t="shared" si="404"/>
        <v>9668767.540000001</v>
      </c>
      <c r="Z315" s="393">
        <f t="shared" si="429"/>
        <v>0.13125000000000001</v>
      </c>
      <c r="AA315" s="185">
        <f t="shared" si="430"/>
        <v>2810.15</v>
      </c>
      <c r="AB315" s="185">
        <f t="shared" si="405"/>
        <v>-102941.99</v>
      </c>
      <c r="AC315" s="185">
        <f t="shared" si="431"/>
        <v>105752.14</v>
      </c>
      <c r="AD315" s="185">
        <f t="shared" ref="AD315:AE315" si="501">+AD314</f>
        <v>134.16999999999999</v>
      </c>
      <c r="AE315" s="185">
        <f t="shared" si="501"/>
        <v>188.55</v>
      </c>
      <c r="AF315" s="185">
        <f t="shared" si="407"/>
        <v>3132.8699999999944</v>
      </c>
      <c r="AG315" s="185">
        <f t="shared" si="408"/>
        <v>-8785609.5299999975</v>
      </c>
      <c r="AH315" s="185">
        <f t="shared" si="409"/>
        <v>10006797.329999993</v>
      </c>
      <c r="AI315" s="411">
        <f t="shared" si="392"/>
        <v>756187.19999999739</v>
      </c>
      <c r="AJ315" s="411">
        <f t="shared" si="458"/>
        <v>-9482844.1600000001</v>
      </c>
      <c r="AK315" s="411">
        <f t="shared" si="393"/>
        <v>-8726656.9600000028</v>
      </c>
      <c r="AL315" s="185">
        <f t="shared" si="410"/>
        <v>9771709.5300000012</v>
      </c>
      <c r="AM315" s="317">
        <f t="shared" si="439"/>
        <v>24</v>
      </c>
      <c r="AN315" s="14">
        <f t="shared" si="394"/>
        <v>6591.25</v>
      </c>
      <c r="AO315" s="14">
        <f t="shared" si="477"/>
        <v>684340.37000000011</v>
      </c>
      <c r="AP315" s="14">
        <f t="shared" si="395"/>
        <v>2810.15</v>
      </c>
      <c r="AS315" s="14">
        <f t="shared" si="433"/>
        <v>6591.25</v>
      </c>
      <c r="AT315" s="14">
        <f t="shared" si="440"/>
        <v>1976894.44</v>
      </c>
      <c r="AU315" s="185">
        <f t="shared" si="441"/>
        <v>3122.9585656076738</v>
      </c>
      <c r="AV315" s="185">
        <f t="shared" si="442"/>
        <v>661681.38480867713</v>
      </c>
    </row>
    <row r="316" spans="1:48">
      <c r="A316" s="401" t="str">
        <f t="shared" si="494"/>
        <v xml:space="preserve"> </v>
      </c>
      <c r="B316" s="185">
        <f t="shared" si="434"/>
        <v>0</v>
      </c>
      <c r="C316" s="14">
        <f t="shared" si="427"/>
        <v>0</v>
      </c>
      <c r="D316" s="14">
        <f t="shared" si="443"/>
        <v>0</v>
      </c>
      <c r="E316" s="14">
        <f t="shared" si="428"/>
        <v>0</v>
      </c>
      <c r="F316" s="14">
        <f t="shared" si="495"/>
        <v>0</v>
      </c>
      <c r="G316" s="14">
        <f t="shared" si="491"/>
        <v>0</v>
      </c>
      <c r="H316" s="14">
        <f t="shared" si="492"/>
        <v>0</v>
      </c>
      <c r="I316" s="185">
        <f t="shared" si="496"/>
        <v>0</v>
      </c>
      <c r="J316" s="185">
        <f t="shared" si="497"/>
        <v>0</v>
      </c>
      <c r="K316" s="185">
        <f t="shared" si="498"/>
        <v>0</v>
      </c>
      <c r="L316" s="317">
        <f t="shared" si="479"/>
        <v>25</v>
      </c>
      <c r="M316" s="317">
        <f t="shared" si="435"/>
        <v>300</v>
      </c>
      <c r="N316" s="185">
        <f t="shared" si="436"/>
        <v>288865.37000000052</v>
      </c>
      <c r="O316" s="185">
        <f t="shared" si="401"/>
        <v>6591.25</v>
      </c>
      <c r="P316" s="185">
        <f t="shared" si="444"/>
        <v>3431.79</v>
      </c>
      <c r="Q316" s="185">
        <f t="shared" si="402"/>
        <v>3159.46</v>
      </c>
      <c r="R316" s="185">
        <f t="shared" ref="R316:R379" si="502">+R315</f>
        <v>134.16999999999999</v>
      </c>
      <c r="S316" s="185">
        <f t="shared" ref="S316:S379" si="503">+S315</f>
        <v>188.55</v>
      </c>
      <c r="T316" s="185">
        <f t="shared" si="499"/>
        <v>6913.97</v>
      </c>
      <c r="U316" s="185">
        <f t="shared" si="445"/>
        <v>305191.41999999993</v>
      </c>
      <c r="V316" s="185">
        <f t="shared" si="446"/>
        <v>1678774.8299999991</v>
      </c>
      <c r="W316" s="185">
        <f t="shared" si="500"/>
        <v>285433.58000000054</v>
      </c>
      <c r="X316" s="401" t="str">
        <f t="shared" si="437"/>
        <v xml:space="preserve"> </v>
      </c>
      <c r="Y316" s="185">
        <f t="shared" si="404"/>
        <v>9771709.5300000012</v>
      </c>
      <c r="Z316" s="393">
        <f t="shared" si="429"/>
        <v>0.13125000000000001</v>
      </c>
      <c r="AA316" s="185">
        <f t="shared" si="430"/>
        <v>2810.15</v>
      </c>
      <c r="AB316" s="185">
        <f t="shared" si="405"/>
        <v>-104067.92000000001</v>
      </c>
      <c r="AC316" s="185">
        <f t="shared" si="431"/>
        <v>106878.07</v>
      </c>
      <c r="AD316" s="185">
        <f t="shared" ref="AD316:AE316" si="504">+AD315</f>
        <v>134.16999999999999</v>
      </c>
      <c r="AE316" s="185">
        <f t="shared" si="504"/>
        <v>188.55</v>
      </c>
      <c r="AF316" s="185">
        <f t="shared" si="407"/>
        <v>3132.8699999999944</v>
      </c>
      <c r="AG316" s="185">
        <f t="shared" si="408"/>
        <v>-8889677.4499999974</v>
      </c>
      <c r="AH316" s="185">
        <f t="shared" si="409"/>
        <v>10113675.399999993</v>
      </c>
      <c r="AI316" s="411">
        <f t="shared" ref="AI316:AI379" si="505">O316-AA316+AI315</f>
        <v>759968.29999999737</v>
      </c>
      <c r="AJ316" s="411">
        <f t="shared" si="458"/>
        <v>-9590343.870000001</v>
      </c>
      <c r="AK316" s="411">
        <f t="shared" ref="AK316:AK379" si="506">SUM(AI316:AJ316)</f>
        <v>-8830375.570000004</v>
      </c>
      <c r="AL316" s="185">
        <f t="shared" si="410"/>
        <v>9875777.4500000011</v>
      </c>
      <c r="AM316" s="317">
        <f t="shared" si="439"/>
        <v>25</v>
      </c>
      <c r="AN316" s="14">
        <f t="shared" ref="AN316:AN379" si="507">IF(O316=0,0,+O316-C316)</f>
        <v>6591.25</v>
      </c>
      <c r="AO316" s="14">
        <f t="shared" si="477"/>
        <v>680908.58000000007</v>
      </c>
      <c r="AP316" s="14">
        <f t="shared" ref="AP316:AP379" si="508">IF($O316=0,0,+AA316-$C316)</f>
        <v>2810.15</v>
      </c>
      <c r="AS316" s="14">
        <f t="shared" si="433"/>
        <v>6591.25</v>
      </c>
      <c r="AT316" s="14">
        <f t="shared" si="440"/>
        <v>1983485.69</v>
      </c>
      <c r="AU316" s="185">
        <f t="shared" si="441"/>
        <v>3130.7659620216928</v>
      </c>
      <c r="AV316" s="185">
        <f t="shared" si="442"/>
        <v>664812.15077069879</v>
      </c>
    </row>
    <row r="317" spans="1:48">
      <c r="A317" s="401" t="str">
        <f t="shared" si="494"/>
        <v xml:space="preserve"> </v>
      </c>
      <c r="B317" s="185">
        <f t="shared" si="434"/>
        <v>0</v>
      </c>
      <c r="C317" s="14">
        <f t="shared" si="427"/>
        <v>0</v>
      </c>
      <c r="D317" s="14">
        <f t="shared" si="443"/>
        <v>0</v>
      </c>
      <c r="E317" s="14">
        <f t="shared" si="428"/>
        <v>0</v>
      </c>
      <c r="F317" s="14">
        <f t="shared" si="495"/>
        <v>0</v>
      </c>
      <c r="G317" s="14">
        <f t="shared" si="491"/>
        <v>0</v>
      </c>
      <c r="H317" s="14">
        <f t="shared" si="492"/>
        <v>0</v>
      </c>
      <c r="I317" s="185">
        <f t="shared" si="496"/>
        <v>0</v>
      </c>
      <c r="J317" s="185">
        <f t="shared" si="497"/>
        <v>0</v>
      </c>
      <c r="K317" s="185">
        <f t="shared" si="498"/>
        <v>0</v>
      </c>
      <c r="L317" s="317">
        <f t="shared" si="479"/>
        <v>25</v>
      </c>
      <c r="M317" s="317">
        <f t="shared" si="435"/>
        <v>301</v>
      </c>
      <c r="N317" s="185">
        <f t="shared" si="436"/>
        <v>285433.58000000054</v>
      </c>
      <c r="O317" s="185">
        <f t="shared" si="401"/>
        <v>6591.25</v>
      </c>
      <c r="P317" s="185">
        <f t="shared" si="444"/>
        <v>3469.32</v>
      </c>
      <c r="Q317" s="185">
        <f t="shared" si="402"/>
        <v>3121.93</v>
      </c>
      <c r="R317" s="185">
        <f t="shared" si="502"/>
        <v>134.16999999999999</v>
      </c>
      <c r="S317" s="185">
        <f t="shared" si="503"/>
        <v>188.55</v>
      </c>
      <c r="T317" s="185">
        <f t="shared" si="499"/>
        <v>6913.97</v>
      </c>
      <c r="U317" s="185">
        <f t="shared" si="445"/>
        <v>308660.73999999993</v>
      </c>
      <c r="V317" s="185">
        <f t="shared" si="446"/>
        <v>1681896.7599999991</v>
      </c>
      <c r="W317" s="185">
        <f t="shared" si="500"/>
        <v>281964.26000000053</v>
      </c>
      <c r="X317" s="401" t="str">
        <f t="shared" si="437"/>
        <v xml:space="preserve"> </v>
      </c>
      <c r="Y317" s="185">
        <f t="shared" si="404"/>
        <v>9875777.4500000011</v>
      </c>
      <c r="Z317" s="393">
        <f t="shared" si="429"/>
        <v>0.13125000000000001</v>
      </c>
      <c r="AA317" s="185">
        <f t="shared" si="430"/>
        <v>2810.15</v>
      </c>
      <c r="AB317" s="185">
        <f t="shared" si="405"/>
        <v>-105206.17000000001</v>
      </c>
      <c r="AC317" s="185">
        <f t="shared" si="431"/>
        <v>108016.32000000001</v>
      </c>
      <c r="AD317" s="185">
        <f t="shared" ref="AD317:AE317" si="509">+AD316</f>
        <v>134.16999999999999</v>
      </c>
      <c r="AE317" s="185">
        <f t="shared" si="509"/>
        <v>188.55</v>
      </c>
      <c r="AF317" s="185">
        <f t="shared" si="407"/>
        <v>3132.8699999999944</v>
      </c>
      <c r="AG317" s="185">
        <f t="shared" si="408"/>
        <v>-8994883.6199999973</v>
      </c>
      <c r="AH317" s="185">
        <f t="shared" si="409"/>
        <v>10221691.719999993</v>
      </c>
      <c r="AI317" s="411">
        <f t="shared" si="505"/>
        <v>763749.39999999735</v>
      </c>
      <c r="AJ317" s="411">
        <f t="shared" si="458"/>
        <v>-9699019.3600000013</v>
      </c>
      <c r="AK317" s="411">
        <f t="shared" si="506"/>
        <v>-8935269.9600000046</v>
      </c>
      <c r="AL317" s="185">
        <f t="shared" si="410"/>
        <v>9980983.620000001</v>
      </c>
      <c r="AM317" s="317">
        <f t="shared" si="439"/>
        <v>25</v>
      </c>
      <c r="AN317" s="14">
        <f t="shared" si="507"/>
        <v>6591.25</v>
      </c>
      <c r="AO317" s="14">
        <f t="shared" si="477"/>
        <v>677439.26</v>
      </c>
      <c r="AP317" s="14">
        <f t="shared" si="508"/>
        <v>2810.15</v>
      </c>
      <c r="AS317" s="14">
        <f t="shared" si="433"/>
        <v>6591.25</v>
      </c>
      <c r="AT317" s="14">
        <f t="shared" si="440"/>
        <v>1990076.94</v>
      </c>
      <c r="AU317" s="185">
        <f t="shared" si="441"/>
        <v>3138.5928769267466</v>
      </c>
      <c r="AV317" s="185">
        <f t="shared" si="442"/>
        <v>667950.74364762555</v>
      </c>
    </row>
    <row r="318" spans="1:48">
      <c r="A318" s="401" t="str">
        <f t="shared" si="494"/>
        <v xml:space="preserve"> </v>
      </c>
      <c r="B318" s="185">
        <f t="shared" si="434"/>
        <v>0</v>
      </c>
      <c r="C318" s="14">
        <f t="shared" si="427"/>
        <v>0</v>
      </c>
      <c r="D318" s="14">
        <f t="shared" si="443"/>
        <v>0</v>
      </c>
      <c r="E318" s="14">
        <f t="shared" si="428"/>
        <v>0</v>
      </c>
      <c r="F318" s="14">
        <f t="shared" si="495"/>
        <v>0</v>
      </c>
      <c r="G318" s="14">
        <f t="shared" si="491"/>
        <v>0</v>
      </c>
      <c r="H318" s="14">
        <f t="shared" si="492"/>
        <v>0</v>
      </c>
      <c r="I318" s="185">
        <f t="shared" si="496"/>
        <v>0</v>
      </c>
      <c r="J318" s="185">
        <f t="shared" si="497"/>
        <v>0</v>
      </c>
      <c r="K318" s="185">
        <f t="shared" si="498"/>
        <v>0</v>
      </c>
      <c r="L318" s="317">
        <f t="shared" si="479"/>
        <v>25</v>
      </c>
      <c r="M318" s="317">
        <f t="shared" si="435"/>
        <v>302</v>
      </c>
      <c r="N318" s="185">
        <f t="shared" si="436"/>
        <v>281964.26000000053</v>
      </c>
      <c r="O318" s="185">
        <f t="shared" ref="O318:O381" si="510">IF($O$9&lt;=A318,IF(+$W317&lt;=0,0,$O$8),0)</f>
        <v>6591.25</v>
      </c>
      <c r="P318" s="185">
        <f t="shared" si="444"/>
        <v>3507.27</v>
      </c>
      <c r="Q318" s="185">
        <f t="shared" ref="Q318:Q381" si="511">IF($O$9&lt;=A318,ROUND(N318*($O$6/12),2),0)</f>
        <v>3083.98</v>
      </c>
      <c r="R318" s="185">
        <f t="shared" si="502"/>
        <v>134.16999999999999</v>
      </c>
      <c r="S318" s="185">
        <f t="shared" si="503"/>
        <v>188.55</v>
      </c>
      <c r="T318" s="185">
        <f t="shared" si="499"/>
        <v>6913.97</v>
      </c>
      <c r="U318" s="185">
        <f t="shared" si="445"/>
        <v>312168.00999999995</v>
      </c>
      <c r="V318" s="185">
        <f t="shared" si="446"/>
        <v>1684980.7399999991</v>
      </c>
      <c r="W318" s="185">
        <f t="shared" si="500"/>
        <v>278456.99000000051</v>
      </c>
      <c r="X318" s="401" t="str">
        <f t="shared" si="437"/>
        <v xml:space="preserve"> </v>
      </c>
      <c r="Y318" s="185">
        <f t="shared" ref="Y318:Y381" si="512">IF(+AL317&lt;0,0,+AL317)</f>
        <v>9980983.620000001</v>
      </c>
      <c r="Z318" s="393">
        <f t="shared" si="429"/>
        <v>0.13125000000000001</v>
      </c>
      <c r="AA318" s="185">
        <f t="shared" si="430"/>
        <v>2810.15</v>
      </c>
      <c r="AB318" s="185">
        <f t="shared" ref="AB318:AB381" si="513">+AA318-AC318</f>
        <v>-106356.86</v>
      </c>
      <c r="AC318" s="185">
        <f t="shared" si="431"/>
        <v>109167.01</v>
      </c>
      <c r="AD318" s="185">
        <f t="shared" ref="AD318:AE318" si="514">+AD317</f>
        <v>134.16999999999999</v>
      </c>
      <c r="AE318" s="185">
        <f t="shared" si="514"/>
        <v>188.55</v>
      </c>
      <c r="AF318" s="185">
        <f t="shared" ref="AF318:AF381" si="515">SUM(AB318:AE318)</f>
        <v>3132.8699999999944</v>
      </c>
      <c r="AG318" s="185">
        <f t="shared" ref="AG318:AG381" si="516">+AB318+AG317</f>
        <v>-9101240.4799999967</v>
      </c>
      <c r="AH318" s="185">
        <f t="shared" ref="AH318:AH381" si="517">+AH317+AC318</f>
        <v>10330858.729999993</v>
      </c>
      <c r="AI318" s="411">
        <f t="shared" si="505"/>
        <v>767530.49999999732</v>
      </c>
      <c r="AJ318" s="411">
        <f t="shared" si="458"/>
        <v>-9808883.4900000002</v>
      </c>
      <c r="AK318" s="411">
        <f t="shared" si="506"/>
        <v>-9041352.9900000021</v>
      </c>
      <c r="AL318" s="185">
        <f t="shared" ref="AL318:AL381" si="518">+Y318-AB318</f>
        <v>10087340.48</v>
      </c>
      <c r="AM318" s="317">
        <f t="shared" si="439"/>
        <v>25</v>
      </c>
      <c r="AN318" s="14">
        <f t="shared" si="507"/>
        <v>6591.25</v>
      </c>
      <c r="AO318" s="14">
        <f t="shared" si="477"/>
        <v>673931.99</v>
      </c>
      <c r="AP318" s="14">
        <f t="shared" si="508"/>
        <v>2810.15</v>
      </c>
      <c r="AS318" s="14">
        <f t="shared" si="433"/>
        <v>6591.25</v>
      </c>
      <c r="AT318" s="14">
        <f t="shared" si="440"/>
        <v>1996668.19</v>
      </c>
      <c r="AU318" s="185">
        <f t="shared" si="441"/>
        <v>3146.4393591190642</v>
      </c>
      <c r="AV318" s="185">
        <f t="shared" si="442"/>
        <v>671097.1830067446</v>
      </c>
    </row>
    <row r="319" spans="1:48">
      <c r="A319" s="401" t="str">
        <f t="shared" si="494"/>
        <v xml:space="preserve"> </v>
      </c>
      <c r="B319" s="185">
        <f t="shared" si="434"/>
        <v>0</v>
      </c>
      <c r="C319" s="14">
        <f t="shared" si="427"/>
        <v>0</v>
      </c>
      <c r="D319" s="14">
        <f t="shared" si="443"/>
        <v>0</v>
      </c>
      <c r="E319" s="14">
        <f t="shared" si="428"/>
        <v>0</v>
      </c>
      <c r="F319" s="14">
        <f t="shared" si="495"/>
        <v>0</v>
      </c>
      <c r="G319" s="14">
        <f t="shared" si="491"/>
        <v>0</v>
      </c>
      <c r="H319" s="14">
        <f t="shared" si="492"/>
        <v>0</v>
      </c>
      <c r="I319" s="185">
        <f t="shared" si="496"/>
        <v>0</v>
      </c>
      <c r="J319" s="185">
        <f t="shared" si="497"/>
        <v>0</v>
      </c>
      <c r="K319" s="185">
        <f t="shared" si="498"/>
        <v>0</v>
      </c>
      <c r="L319" s="317">
        <f t="shared" si="479"/>
        <v>25</v>
      </c>
      <c r="M319" s="317">
        <f t="shared" si="435"/>
        <v>303</v>
      </c>
      <c r="N319" s="185">
        <f t="shared" si="436"/>
        <v>278456.99000000051</v>
      </c>
      <c r="O319" s="185">
        <f t="shared" si="510"/>
        <v>6591.25</v>
      </c>
      <c r="P319" s="185">
        <f t="shared" si="444"/>
        <v>3545.63</v>
      </c>
      <c r="Q319" s="185">
        <f t="shared" si="511"/>
        <v>3045.62</v>
      </c>
      <c r="R319" s="185">
        <f t="shared" si="502"/>
        <v>134.16999999999999</v>
      </c>
      <c r="S319" s="185">
        <f t="shared" si="503"/>
        <v>188.55</v>
      </c>
      <c r="T319" s="185">
        <f t="shared" si="499"/>
        <v>6913.97</v>
      </c>
      <c r="U319" s="185">
        <f t="shared" si="445"/>
        <v>315713.63999999996</v>
      </c>
      <c r="V319" s="185">
        <f t="shared" si="446"/>
        <v>1688026.3599999992</v>
      </c>
      <c r="W319" s="185">
        <f t="shared" si="500"/>
        <v>274911.36000000051</v>
      </c>
      <c r="X319" s="401" t="str">
        <f t="shared" si="437"/>
        <v xml:space="preserve"> </v>
      </c>
      <c r="Y319" s="185">
        <f t="shared" si="512"/>
        <v>10087340.48</v>
      </c>
      <c r="Z319" s="393">
        <f t="shared" si="429"/>
        <v>0.13125000000000001</v>
      </c>
      <c r="AA319" s="185">
        <f t="shared" si="430"/>
        <v>2810.15</v>
      </c>
      <c r="AB319" s="185">
        <f t="shared" si="513"/>
        <v>-107520.14</v>
      </c>
      <c r="AC319" s="185">
        <f t="shared" si="431"/>
        <v>110330.29</v>
      </c>
      <c r="AD319" s="185">
        <f t="shared" ref="AD319:AE319" si="519">+AD318</f>
        <v>134.16999999999999</v>
      </c>
      <c r="AE319" s="185">
        <f t="shared" si="519"/>
        <v>188.55</v>
      </c>
      <c r="AF319" s="185">
        <f t="shared" si="515"/>
        <v>3132.8699999999944</v>
      </c>
      <c r="AG319" s="185">
        <f t="shared" si="516"/>
        <v>-9208760.6199999973</v>
      </c>
      <c r="AH319" s="185">
        <f t="shared" si="517"/>
        <v>10441189.019999992</v>
      </c>
      <c r="AI319" s="411">
        <f t="shared" si="505"/>
        <v>771311.5999999973</v>
      </c>
      <c r="AJ319" s="411">
        <f t="shared" si="458"/>
        <v>-9919949.2599999998</v>
      </c>
      <c r="AK319" s="411">
        <f t="shared" si="506"/>
        <v>-9148637.660000002</v>
      </c>
      <c r="AL319" s="185">
        <f t="shared" si="518"/>
        <v>10194860.620000001</v>
      </c>
      <c r="AM319" s="317">
        <f t="shared" si="439"/>
        <v>25</v>
      </c>
      <c r="AN319" s="14">
        <f t="shared" si="507"/>
        <v>6591.25</v>
      </c>
      <c r="AO319" s="14">
        <f t="shared" si="477"/>
        <v>670386.3600000001</v>
      </c>
      <c r="AP319" s="14">
        <f t="shared" si="508"/>
        <v>2810.15</v>
      </c>
      <c r="AS319" s="14">
        <f t="shared" si="433"/>
        <v>6591.25</v>
      </c>
      <c r="AT319" s="14">
        <f t="shared" si="440"/>
        <v>2003259.44</v>
      </c>
      <c r="AU319" s="185">
        <f t="shared" si="441"/>
        <v>3154.3054575168612</v>
      </c>
      <c r="AV319" s="185">
        <f t="shared" si="442"/>
        <v>674251.48846426141</v>
      </c>
    </row>
    <row r="320" spans="1:48">
      <c r="A320" s="401" t="str">
        <f t="shared" si="494"/>
        <v xml:space="preserve"> </v>
      </c>
      <c r="B320" s="185">
        <f t="shared" si="434"/>
        <v>0</v>
      </c>
      <c r="C320" s="14">
        <f t="shared" si="427"/>
        <v>0</v>
      </c>
      <c r="D320" s="14">
        <f t="shared" si="443"/>
        <v>0</v>
      </c>
      <c r="E320" s="14">
        <f t="shared" si="428"/>
        <v>0</v>
      </c>
      <c r="F320" s="14">
        <f t="shared" si="495"/>
        <v>0</v>
      </c>
      <c r="G320" s="14">
        <f t="shared" si="491"/>
        <v>0</v>
      </c>
      <c r="H320" s="14">
        <f t="shared" si="492"/>
        <v>0</v>
      </c>
      <c r="I320" s="185">
        <f t="shared" si="496"/>
        <v>0</v>
      </c>
      <c r="J320" s="185">
        <f t="shared" si="497"/>
        <v>0</v>
      </c>
      <c r="K320" s="185">
        <f t="shared" si="498"/>
        <v>0</v>
      </c>
      <c r="L320" s="317">
        <f t="shared" si="479"/>
        <v>25</v>
      </c>
      <c r="M320" s="317">
        <f t="shared" si="435"/>
        <v>304</v>
      </c>
      <c r="N320" s="185">
        <f t="shared" si="436"/>
        <v>274911.36000000051</v>
      </c>
      <c r="O320" s="185">
        <f t="shared" si="510"/>
        <v>6591.25</v>
      </c>
      <c r="P320" s="185">
        <f t="shared" si="444"/>
        <v>3584.41</v>
      </c>
      <c r="Q320" s="185">
        <f t="shared" si="511"/>
        <v>3006.84</v>
      </c>
      <c r="R320" s="185">
        <f t="shared" si="502"/>
        <v>134.16999999999999</v>
      </c>
      <c r="S320" s="185">
        <f t="shared" si="503"/>
        <v>188.55</v>
      </c>
      <c r="T320" s="185">
        <f t="shared" si="499"/>
        <v>6913.97</v>
      </c>
      <c r="U320" s="185">
        <f t="shared" si="445"/>
        <v>319298.04999999993</v>
      </c>
      <c r="V320" s="185">
        <f t="shared" si="446"/>
        <v>1691033.1999999993</v>
      </c>
      <c r="W320" s="185">
        <f t="shared" si="500"/>
        <v>271326.95000000054</v>
      </c>
      <c r="X320" s="401" t="str">
        <f t="shared" si="437"/>
        <v xml:space="preserve"> </v>
      </c>
      <c r="Y320" s="185">
        <f t="shared" si="512"/>
        <v>10194860.620000001</v>
      </c>
      <c r="Z320" s="393">
        <f t="shared" si="429"/>
        <v>0.13125000000000001</v>
      </c>
      <c r="AA320" s="185">
        <f t="shared" si="430"/>
        <v>2810.15</v>
      </c>
      <c r="AB320" s="185">
        <f t="shared" si="513"/>
        <v>-108696.14</v>
      </c>
      <c r="AC320" s="185">
        <f t="shared" si="431"/>
        <v>111506.29</v>
      </c>
      <c r="AD320" s="185">
        <f t="shared" ref="AD320:AE320" si="520">+AD319</f>
        <v>134.16999999999999</v>
      </c>
      <c r="AE320" s="185">
        <f t="shared" si="520"/>
        <v>188.55</v>
      </c>
      <c r="AF320" s="185">
        <f t="shared" si="515"/>
        <v>3132.8699999999944</v>
      </c>
      <c r="AG320" s="185">
        <f t="shared" si="516"/>
        <v>-9317456.7599999979</v>
      </c>
      <c r="AH320" s="185">
        <f t="shared" si="517"/>
        <v>10552695.309999991</v>
      </c>
      <c r="AI320" s="411">
        <f t="shared" si="505"/>
        <v>775092.69999999728</v>
      </c>
      <c r="AJ320" s="411">
        <f t="shared" si="458"/>
        <v>-10032229.810000001</v>
      </c>
      <c r="AK320" s="411">
        <f t="shared" si="506"/>
        <v>-9257137.1100000031</v>
      </c>
      <c r="AL320" s="185">
        <f t="shared" si="518"/>
        <v>10303556.760000002</v>
      </c>
      <c r="AM320" s="317">
        <f t="shared" si="439"/>
        <v>25</v>
      </c>
      <c r="AN320" s="14">
        <f t="shared" si="507"/>
        <v>6591.25</v>
      </c>
      <c r="AO320" s="14">
        <f t="shared" si="477"/>
        <v>666801.95000000007</v>
      </c>
      <c r="AP320" s="14">
        <f t="shared" si="508"/>
        <v>2810.15</v>
      </c>
      <c r="AS320" s="14">
        <f t="shared" si="433"/>
        <v>6591.25</v>
      </c>
      <c r="AT320" s="14">
        <f t="shared" si="440"/>
        <v>2009850.69</v>
      </c>
      <c r="AU320" s="185">
        <f t="shared" si="441"/>
        <v>3162.1912211606536</v>
      </c>
      <c r="AV320" s="185">
        <f t="shared" si="442"/>
        <v>677413.6796854221</v>
      </c>
    </row>
    <row r="321" spans="1:48">
      <c r="A321" s="401" t="str">
        <f t="shared" si="494"/>
        <v xml:space="preserve"> </v>
      </c>
      <c r="B321" s="185">
        <f t="shared" si="434"/>
        <v>0</v>
      </c>
      <c r="C321" s="14">
        <f t="shared" si="427"/>
        <v>0</v>
      </c>
      <c r="D321" s="14">
        <f t="shared" si="443"/>
        <v>0</v>
      </c>
      <c r="E321" s="14">
        <f t="shared" si="428"/>
        <v>0</v>
      </c>
      <c r="F321" s="14">
        <f t="shared" si="495"/>
        <v>0</v>
      </c>
      <c r="G321" s="14">
        <f t="shared" si="491"/>
        <v>0</v>
      </c>
      <c r="H321" s="14">
        <f t="shared" si="492"/>
        <v>0</v>
      </c>
      <c r="I321" s="185">
        <f t="shared" si="496"/>
        <v>0</v>
      </c>
      <c r="J321" s="185">
        <f t="shared" si="497"/>
        <v>0</v>
      </c>
      <c r="K321" s="185">
        <f t="shared" si="498"/>
        <v>0</v>
      </c>
      <c r="L321" s="317">
        <f t="shared" si="479"/>
        <v>25</v>
      </c>
      <c r="M321" s="317">
        <f t="shared" si="435"/>
        <v>305</v>
      </c>
      <c r="N321" s="185">
        <f t="shared" si="436"/>
        <v>271326.95000000054</v>
      </c>
      <c r="O321" s="185">
        <f t="shared" si="510"/>
        <v>6591.25</v>
      </c>
      <c r="P321" s="185">
        <f t="shared" si="444"/>
        <v>3623.61</v>
      </c>
      <c r="Q321" s="185">
        <f t="shared" si="511"/>
        <v>2967.64</v>
      </c>
      <c r="R321" s="185">
        <f t="shared" si="502"/>
        <v>134.16999999999999</v>
      </c>
      <c r="S321" s="185">
        <f t="shared" si="503"/>
        <v>188.55</v>
      </c>
      <c r="T321" s="185">
        <f t="shared" si="499"/>
        <v>6913.97</v>
      </c>
      <c r="U321" s="185">
        <f t="shared" si="445"/>
        <v>322921.65999999992</v>
      </c>
      <c r="V321" s="185">
        <f t="shared" si="446"/>
        <v>1694000.8399999992</v>
      </c>
      <c r="W321" s="185">
        <f t="shared" si="500"/>
        <v>267703.34000000055</v>
      </c>
      <c r="X321" s="401" t="str">
        <f t="shared" si="437"/>
        <v xml:space="preserve"> </v>
      </c>
      <c r="Y321" s="185">
        <f t="shared" si="512"/>
        <v>10303556.760000002</v>
      </c>
      <c r="Z321" s="393">
        <f t="shared" si="429"/>
        <v>0.13125000000000001</v>
      </c>
      <c r="AA321" s="185">
        <f t="shared" si="430"/>
        <v>2810.15</v>
      </c>
      <c r="AB321" s="185">
        <f t="shared" si="513"/>
        <v>-109885</v>
      </c>
      <c r="AC321" s="185">
        <f t="shared" si="431"/>
        <v>112695.15</v>
      </c>
      <c r="AD321" s="185">
        <f t="shared" ref="AD321:AE321" si="521">+AD320</f>
        <v>134.16999999999999</v>
      </c>
      <c r="AE321" s="185">
        <f t="shared" si="521"/>
        <v>188.55</v>
      </c>
      <c r="AF321" s="185">
        <f t="shared" si="515"/>
        <v>3132.8699999999944</v>
      </c>
      <c r="AG321" s="185">
        <f t="shared" si="516"/>
        <v>-9427341.7599999979</v>
      </c>
      <c r="AH321" s="185">
        <f t="shared" si="517"/>
        <v>10665390.459999992</v>
      </c>
      <c r="AI321" s="411">
        <f t="shared" si="505"/>
        <v>778873.79999999725</v>
      </c>
      <c r="AJ321" s="411">
        <f t="shared" si="458"/>
        <v>-10145738.420000002</v>
      </c>
      <c r="AK321" s="411">
        <f t="shared" si="506"/>
        <v>-9366864.6200000048</v>
      </c>
      <c r="AL321" s="185">
        <f t="shared" si="518"/>
        <v>10413441.760000002</v>
      </c>
      <c r="AM321" s="317">
        <f t="shared" si="439"/>
        <v>25</v>
      </c>
      <c r="AN321" s="14">
        <f t="shared" si="507"/>
        <v>6591.25</v>
      </c>
      <c r="AO321" s="14">
        <f t="shared" si="477"/>
        <v>663178.34000000008</v>
      </c>
      <c r="AP321" s="14">
        <f t="shared" si="508"/>
        <v>2810.15</v>
      </c>
      <c r="AS321" s="14">
        <f t="shared" si="433"/>
        <v>6591.25</v>
      </c>
      <c r="AT321" s="14">
        <f t="shared" si="440"/>
        <v>2016441.94</v>
      </c>
      <c r="AU321" s="185">
        <f t="shared" si="441"/>
        <v>3170.096699213555</v>
      </c>
      <c r="AV321" s="185">
        <f t="shared" si="442"/>
        <v>680583.77638463571</v>
      </c>
    </row>
    <row r="322" spans="1:48">
      <c r="A322" s="401" t="str">
        <f t="shared" si="494"/>
        <v xml:space="preserve"> </v>
      </c>
      <c r="B322" s="185">
        <f t="shared" si="434"/>
        <v>0</v>
      </c>
      <c r="C322" s="14">
        <f t="shared" si="427"/>
        <v>0</v>
      </c>
      <c r="D322" s="14">
        <f t="shared" si="443"/>
        <v>0</v>
      </c>
      <c r="E322" s="14">
        <f t="shared" si="428"/>
        <v>0</v>
      </c>
      <c r="F322" s="14">
        <f t="shared" si="495"/>
        <v>0</v>
      </c>
      <c r="G322" s="14">
        <f t="shared" si="491"/>
        <v>0</v>
      </c>
      <c r="H322" s="14">
        <f t="shared" si="492"/>
        <v>0</v>
      </c>
      <c r="I322" s="185">
        <f t="shared" si="496"/>
        <v>0</v>
      </c>
      <c r="J322" s="185">
        <f t="shared" si="497"/>
        <v>0</v>
      </c>
      <c r="K322" s="185">
        <f t="shared" si="498"/>
        <v>0</v>
      </c>
      <c r="L322" s="317">
        <f t="shared" si="479"/>
        <v>25</v>
      </c>
      <c r="M322" s="317">
        <f t="shared" si="435"/>
        <v>306</v>
      </c>
      <c r="N322" s="185">
        <f t="shared" si="436"/>
        <v>267703.34000000055</v>
      </c>
      <c r="O322" s="185">
        <f t="shared" si="510"/>
        <v>6591.25</v>
      </c>
      <c r="P322" s="185">
        <f t="shared" si="444"/>
        <v>3663.24</v>
      </c>
      <c r="Q322" s="185">
        <f t="shared" si="511"/>
        <v>2928.01</v>
      </c>
      <c r="R322" s="185">
        <f t="shared" si="502"/>
        <v>134.16999999999999</v>
      </c>
      <c r="S322" s="185">
        <f t="shared" si="503"/>
        <v>188.55</v>
      </c>
      <c r="T322" s="185">
        <f t="shared" si="499"/>
        <v>6913.97</v>
      </c>
      <c r="U322" s="185">
        <f t="shared" si="445"/>
        <v>326584.89999999991</v>
      </c>
      <c r="V322" s="185">
        <f t="shared" si="446"/>
        <v>1696928.8499999992</v>
      </c>
      <c r="W322" s="185">
        <f t="shared" si="500"/>
        <v>264040.10000000056</v>
      </c>
      <c r="X322" s="401" t="str">
        <f t="shared" si="437"/>
        <v xml:space="preserve"> </v>
      </c>
      <c r="Y322" s="185">
        <f t="shared" si="512"/>
        <v>10413441.760000002</v>
      </c>
      <c r="Z322" s="393">
        <f t="shared" si="429"/>
        <v>0.13125000000000001</v>
      </c>
      <c r="AA322" s="185">
        <f t="shared" si="430"/>
        <v>2810.15</v>
      </c>
      <c r="AB322" s="185">
        <f t="shared" si="513"/>
        <v>-111086.87000000001</v>
      </c>
      <c r="AC322" s="185">
        <f t="shared" si="431"/>
        <v>113897.02</v>
      </c>
      <c r="AD322" s="185">
        <f t="shared" ref="AD322:AE322" si="522">+AD321</f>
        <v>134.16999999999999</v>
      </c>
      <c r="AE322" s="185">
        <f t="shared" si="522"/>
        <v>188.55</v>
      </c>
      <c r="AF322" s="185">
        <f t="shared" si="515"/>
        <v>3132.8699999999944</v>
      </c>
      <c r="AG322" s="185">
        <f t="shared" si="516"/>
        <v>-9538428.6299999971</v>
      </c>
      <c r="AH322" s="185">
        <f t="shared" si="517"/>
        <v>10779287.479999991</v>
      </c>
      <c r="AI322" s="411">
        <f t="shared" si="505"/>
        <v>782654.89999999723</v>
      </c>
      <c r="AJ322" s="411">
        <f t="shared" si="458"/>
        <v>-10260488.530000001</v>
      </c>
      <c r="AK322" s="411">
        <f t="shared" si="506"/>
        <v>-9477833.6300000045</v>
      </c>
      <c r="AL322" s="185">
        <f t="shared" si="518"/>
        <v>10524528.630000001</v>
      </c>
      <c r="AM322" s="317">
        <f t="shared" si="439"/>
        <v>25</v>
      </c>
      <c r="AN322" s="14">
        <f t="shared" si="507"/>
        <v>6591.25</v>
      </c>
      <c r="AO322" s="14">
        <f t="shared" si="477"/>
        <v>659515.10000000009</v>
      </c>
      <c r="AP322" s="14">
        <f t="shared" si="508"/>
        <v>2810.15</v>
      </c>
      <c r="AS322" s="14">
        <f t="shared" si="433"/>
        <v>6591.25</v>
      </c>
      <c r="AT322" s="14">
        <f t="shared" si="440"/>
        <v>2023033.19</v>
      </c>
      <c r="AU322" s="185">
        <f t="shared" si="441"/>
        <v>3178.0219409615893</v>
      </c>
      <c r="AV322" s="185">
        <f t="shared" si="442"/>
        <v>683761.79832559731</v>
      </c>
    </row>
    <row r="323" spans="1:48">
      <c r="A323" s="401" t="str">
        <f t="shared" si="494"/>
        <v xml:space="preserve"> </v>
      </c>
      <c r="B323" s="185">
        <f t="shared" si="434"/>
        <v>0</v>
      </c>
      <c r="C323" s="14">
        <f t="shared" si="427"/>
        <v>0</v>
      </c>
      <c r="D323" s="14">
        <f t="shared" si="443"/>
        <v>0</v>
      </c>
      <c r="E323" s="14">
        <f t="shared" si="428"/>
        <v>0</v>
      </c>
      <c r="F323" s="14">
        <f t="shared" si="495"/>
        <v>0</v>
      </c>
      <c r="G323" s="14">
        <f t="shared" si="491"/>
        <v>0</v>
      </c>
      <c r="H323" s="14">
        <f t="shared" si="492"/>
        <v>0</v>
      </c>
      <c r="I323" s="185">
        <f t="shared" si="496"/>
        <v>0</v>
      </c>
      <c r="J323" s="185">
        <f t="shared" si="497"/>
        <v>0</v>
      </c>
      <c r="K323" s="185">
        <f t="shared" si="498"/>
        <v>0</v>
      </c>
      <c r="L323" s="317">
        <f t="shared" si="479"/>
        <v>25</v>
      </c>
      <c r="M323" s="317">
        <f t="shared" si="435"/>
        <v>307</v>
      </c>
      <c r="N323" s="185">
        <f t="shared" si="436"/>
        <v>264040.10000000056</v>
      </c>
      <c r="O323" s="185">
        <f t="shared" si="510"/>
        <v>6591.25</v>
      </c>
      <c r="P323" s="185">
        <f t="shared" si="444"/>
        <v>3703.31</v>
      </c>
      <c r="Q323" s="185">
        <f t="shared" si="511"/>
        <v>2887.94</v>
      </c>
      <c r="R323" s="185">
        <f t="shared" si="502"/>
        <v>134.16999999999999</v>
      </c>
      <c r="S323" s="185">
        <f t="shared" si="503"/>
        <v>188.55</v>
      </c>
      <c r="T323" s="185">
        <f t="shared" si="499"/>
        <v>6913.97</v>
      </c>
      <c r="U323" s="185">
        <f t="shared" si="445"/>
        <v>330288.2099999999</v>
      </c>
      <c r="V323" s="185">
        <f t="shared" si="446"/>
        <v>1699816.7899999991</v>
      </c>
      <c r="W323" s="185">
        <f t="shared" si="500"/>
        <v>260336.79000000056</v>
      </c>
      <c r="X323" s="401" t="str">
        <f t="shared" si="437"/>
        <v xml:space="preserve"> </v>
      </c>
      <c r="Y323" s="185">
        <f t="shared" si="512"/>
        <v>10524528.630000001</v>
      </c>
      <c r="Z323" s="393">
        <f t="shared" si="429"/>
        <v>0.13125000000000001</v>
      </c>
      <c r="AA323" s="185">
        <f t="shared" si="430"/>
        <v>2810.15</v>
      </c>
      <c r="AB323" s="185">
        <f t="shared" si="513"/>
        <v>-112301.88</v>
      </c>
      <c r="AC323" s="185">
        <f t="shared" si="431"/>
        <v>115112.03</v>
      </c>
      <c r="AD323" s="185">
        <f t="shared" ref="AD323:AE323" si="523">+AD322</f>
        <v>134.16999999999999</v>
      </c>
      <c r="AE323" s="185">
        <f t="shared" si="523"/>
        <v>188.55</v>
      </c>
      <c r="AF323" s="185">
        <f t="shared" si="515"/>
        <v>3132.8699999999944</v>
      </c>
      <c r="AG323" s="185">
        <f t="shared" si="516"/>
        <v>-9650730.5099999979</v>
      </c>
      <c r="AH323" s="185">
        <f t="shared" si="517"/>
        <v>10894399.50999999</v>
      </c>
      <c r="AI323" s="411">
        <f t="shared" si="505"/>
        <v>786435.99999999721</v>
      </c>
      <c r="AJ323" s="411">
        <f t="shared" si="458"/>
        <v>-10376493.720000001</v>
      </c>
      <c r="AK323" s="411">
        <f t="shared" si="506"/>
        <v>-9590057.7200000025</v>
      </c>
      <c r="AL323" s="185">
        <f t="shared" si="518"/>
        <v>10636830.510000002</v>
      </c>
      <c r="AM323" s="317">
        <f t="shared" si="439"/>
        <v>25</v>
      </c>
      <c r="AN323" s="14">
        <f t="shared" si="507"/>
        <v>6591.25</v>
      </c>
      <c r="AO323" s="14">
        <f t="shared" si="477"/>
        <v>655811.79</v>
      </c>
      <c r="AP323" s="14">
        <f t="shared" si="508"/>
        <v>2810.15</v>
      </c>
      <c r="AS323" s="14">
        <f t="shared" si="433"/>
        <v>6591.25</v>
      </c>
      <c r="AT323" s="14">
        <f t="shared" si="440"/>
        <v>2029624.44</v>
      </c>
      <c r="AU323" s="185">
        <f t="shared" si="441"/>
        <v>3185.966995813993</v>
      </c>
      <c r="AV323" s="185">
        <f t="shared" si="442"/>
        <v>686947.76532141131</v>
      </c>
    </row>
    <row r="324" spans="1:48">
      <c r="A324" s="401" t="str">
        <f t="shared" si="494"/>
        <v xml:space="preserve"> </v>
      </c>
      <c r="B324" s="185">
        <f t="shared" si="434"/>
        <v>0</v>
      </c>
      <c r="C324" s="14">
        <f t="shared" si="427"/>
        <v>0</v>
      </c>
      <c r="D324" s="14">
        <f t="shared" si="443"/>
        <v>0</v>
      </c>
      <c r="E324" s="14">
        <f t="shared" si="428"/>
        <v>0</v>
      </c>
      <c r="F324" s="14">
        <f t="shared" si="495"/>
        <v>0</v>
      </c>
      <c r="G324" s="14">
        <f t="shared" si="491"/>
        <v>0</v>
      </c>
      <c r="H324" s="14">
        <f t="shared" si="492"/>
        <v>0</v>
      </c>
      <c r="I324" s="185">
        <f t="shared" si="496"/>
        <v>0</v>
      </c>
      <c r="J324" s="185">
        <f t="shared" si="497"/>
        <v>0</v>
      </c>
      <c r="K324" s="185">
        <f t="shared" si="498"/>
        <v>0</v>
      </c>
      <c r="L324" s="317">
        <f t="shared" si="479"/>
        <v>25</v>
      </c>
      <c r="M324" s="317">
        <f t="shared" si="435"/>
        <v>308</v>
      </c>
      <c r="N324" s="185">
        <f t="shared" si="436"/>
        <v>260336.79000000056</v>
      </c>
      <c r="O324" s="185">
        <f t="shared" si="510"/>
        <v>6591.25</v>
      </c>
      <c r="P324" s="185">
        <f t="shared" si="444"/>
        <v>3743.82</v>
      </c>
      <c r="Q324" s="185">
        <f t="shared" si="511"/>
        <v>2847.43</v>
      </c>
      <c r="R324" s="185">
        <f t="shared" si="502"/>
        <v>134.16999999999999</v>
      </c>
      <c r="S324" s="185">
        <f t="shared" si="503"/>
        <v>188.55</v>
      </c>
      <c r="T324" s="185">
        <f t="shared" si="499"/>
        <v>6913.97</v>
      </c>
      <c r="U324" s="185">
        <f t="shared" si="445"/>
        <v>334032.02999999991</v>
      </c>
      <c r="V324" s="185">
        <f t="shared" si="446"/>
        <v>1702664.219999999</v>
      </c>
      <c r="W324" s="185">
        <f t="shared" si="500"/>
        <v>256592.97000000055</v>
      </c>
      <c r="X324" s="401" t="str">
        <f t="shared" si="437"/>
        <v xml:space="preserve"> </v>
      </c>
      <c r="Y324" s="185">
        <f t="shared" si="512"/>
        <v>10636830.510000002</v>
      </c>
      <c r="Z324" s="393">
        <f t="shared" si="429"/>
        <v>0.13125000000000001</v>
      </c>
      <c r="AA324" s="185">
        <f t="shared" si="430"/>
        <v>2810.15</v>
      </c>
      <c r="AB324" s="185">
        <f t="shared" si="513"/>
        <v>-113530.18000000001</v>
      </c>
      <c r="AC324" s="185">
        <f t="shared" si="431"/>
        <v>116340.33</v>
      </c>
      <c r="AD324" s="185">
        <f t="shared" ref="AD324:AE324" si="524">+AD323</f>
        <v>134.16999999999999</v>
      </c>
      <c r="AE324" s="185">
        <f t="shared" si="524"/>
        <v>188.55</v>
      </c>
      <c r="AF324" s="185">
        <f t="shared" si="515"/>
        <v>3132.8699999999944</v>
      </c>
      <c r="AG324" s="185">
        <f t="shared" si="516"/>
        <v>-9764260.6899999976</v>
      </c>
      <c r="AH324" s="185">
        <f t="shared" si="517"/>
        <v>11010739.839999991</v>
      </c>
      <c r="AI324" s="411">
        <f t="shared" si="505"/>
        <v>790217.09999999718</v>
      </c>
      <c r="AJ324" s="411">
        <f t="shared" si="458"/>
        <v>-10493767.720000001</v>
      </c>
      <c r="AK324" s="411">
        <f t="shared" si="506"/>
        <v>-9703550.6200000029</v>
      </c>
      <c r="AL324" s="185">
        <f t="shared" si="518"/>
        <v>10750360.690000001</v>
      </c>
      <c r="AM324" s="317">
        <f t="shared" si="439"/>
        <v>25</v>
      </c>
      <c r="AN324" s="14">
        <f t="shared" si="507"/>
        <v>6591.25</v>
      </c>
      <c r="AO324" s="14">
        <f t="shared" si="477"/>
        <v>652067.97000000009</v>
      </c>
      <c r="AP324" s="14">
        <f t="shared" si="508"/>
        <v>2810.15</v>
      </c>
      <c r="AS324" s="14">
        <f t="shared" si="433"/>
        <v>6591.25</v>
      </c>
      <c r="AT324" s="14">
        <f t="shared" si="440"/>
        <v>2036215.69</v>
      </c>
      <c r="AU324" s="185">
        <f t="shared" si="441"/>
        <v>3193.9319133035278</v>
      </c>
      <c r="AV324" s="185">
        <f t="shared" si="442"/>
        <v>690141.69723471487</v>
      </c>
    </row>
    <row r="325" spans="1:48">
      <c r="A325" s="401" t="str">
        <f t="shared" si="494"/>
        <v xml:space="preserve"> </v>
      </c>
      <c r="B325" s="185">
        <f t="shared" si="434"/>
        <v>0</v>
      </c>
      <c r="C325" s="14">
        <f t="shared" si="427"/>
        <v>0</v>
      </c>
      <c r="D325" s="14">
        <f t="shared" si="443"/>
        <v>0</v>
      </c>
      <c r="E325" s="14">
        <f t="shared" si="428"/>
        <v>0</v>
      </c>
      <c r="F325" s="14">
        <f t="shared" si="495"/>
        <v>0</v>
      </c>
      <c r="G325" s="14">
        <f t="shared" si="491"/>
        <v>0</v>
      </c>
      <c r="H325" s="14">
        <f t="shared" si="492"/>
        <v>0</v>
      </c>
      <c r="I325" s="185">
        <f t="shared" si="496"/>
        <v>0</v>
      </c>
      <c r="J325" s="185">
        <f t="shared" si="497"/>
        <v>0</v>
      </c>
      <c r="K325" s="185">
        <f t="shared" si="498"/>
        <v>0</v>
      </c>
      <c r="L325" s="317">
        <f t="shared" si="479"/>
        <v>25</v>
      </c>
      <c r="M325" s="317">
        <f t="shared" si="435"/>
        <v>309</v>
      </c>
      <c r="N325" s="185">
        <f t="shared" si="436"/>
        <v>256592.97000000055</v>
      </c>
      <c r="O325" s="185">
        <f t="shared" si="510"/>
        <v>6591.25</v>
      </c>
      <c r="P325" s="185">
        <f t="shared" si="444"/>
        <v>3784.76</v>
      </c>
      <c r="Q325" s="185">
        <f t="shared" si="511"/>
        <v>2806.49</v>
      </c>
      <c r="R325" s="185">
        <f t="shared" si="502"/>
        <v>134.16999999999999</v>
      </c>
      <c r="S325" s="185">
        <f t="shared" si="503"/>
        <v>188.55</v>
      </c>
      <c r="T325" s="185">
        <f t="shared" si="499"/>
        <v>6913.97</v>
      </c>
      <c r="U325" s="185">
        <f t="shared" si="445"/>
        <v>337816.78999999992</v>
      </c>
      <c r="V325" s="185">
        <f t="shared" si="446"/>
        <v>1705470.709999999</v>
      </c>
      <c r="W325" s="185">
        <f t="shared" si="500"/>
        <v>252808.21000000054</v>
      </c>
      <c r="X325" s="401" t="str">
        <f t="shared" si="437"/>
        <v xml:space="preserve"> </v>
      </c>
      <c r="Y325" s="185">
        <f t="shared" si="512"/>
        <v>10750360.690000001</v>
      </c>
      <c r="Z325" s="393">
        <f t="shared" si="429"/>
        <v>0.13125000000000001</v>
      </c>
      <c r="AA325" s="185">
        <f t="shared" si="430"/>
        <v>2810.15</v>
      </c>
      <c r="AB325" s="185">
        <f t="shared" si="513"/>
        <v>-114771.92000000001</v>
      </c>
      <c r="AC325" s="185">
        <f t="shared" si="431"/>
        <v>117582.07</v>
      </c>
      <c r="AD325" s="185">
        <f t="shared" ref="AD325:AE325" si="525">+AD324</f>
        <v>134.16999999999999</v>
      </c>
      <c r="AE325" s="185">
        <f t="shared" si="525"/>
        <v>188.55</v>
      </c>
      <c r="AF325" s="185">
        <f t="shared" si="515"/>
        <v>3132.8699999999944</v>
      </c>
      <c r="AG325" s="185">
        <f t="shared" si="516"/>
        <v>-9879032.6099999975</v>
      </c>
      <c r="AH325" s="185">
        <f t="shared" si="517"/>
        <v>11128321.909999991</v>
      </c>
      <c r="AI325" s="411">
        <f t="shared" si="505"/>
        <v>793998.19999999716</v>
      </c>
      <c r="AJ325" s="411">
        <f t="shared" si="458"/>
        <v>-10612324.4</v>
      </c>
      <c r="AK325" s="411">
        <f t="shared" si="506"/>
        <v>-9818326.200000003</v>
      </c>
      <c r="AL325" s="185">
        <f t="shared" si="518"/>
        <v>10865132.610000001</v>
      </c>
      <c r="AM325" s="317">
        <f t="shared" si="439"/>
        <v>25</v>
      </c>
      <c r="AN325" s="14">
        <f t="shared" si="507"/>
        <v>6591.25</v>
      </c>
      <c r="AO325" s="14">
        <f t="shared" si="477"/>
        <v>648283.21000000008</v>
      </c>
      <c r="AP325" s="14">
        <f t="shared" si="508"/>
        <v>2810.15</v>
      </c>
      <c r="AS325" s="14">
        <f t="shared" si="433"/>
        <v>6591.25</v>
      </c>
      <c r="AT325" s="14">
        <f t="shared" si="440"/>
        <v>2042806.94</v>
      </c>
      <c r="AU325" s="185">
        <f t="shared" si="441"/>
        <v>3201.9167430867869</v>
      </c>
      <c r="AV325" s="185">
        <f t="shared" si="442"/>
        <v>693343.61397780164</v>
      </c>
    </row>
    <row r="326" spans="1:48" ht="15.75" thickBot="1">
      <c r="A326" s="404" t="str">
        <f t="shared" si="494"/>
        <v xml:space="preserve"> </v>
      </c>
      <c r="B326" s="237">
        <f t="shared" si="434"/>
        <v>0</v>
      </c>
      <c r="C326" s="21">
        <f t="shared" si="427"/>
        <v>0</v>
      </c>
      <c r="D326" s="21">
        <f t="shared" si="443"/>
        <v>0</v>
      </c>
      <c r="E326" s="21">
        <f t="shared" si="428"/>
        <v>0</v>
      </c>
      <c r="F326" s="21">
        <f t="shared" si="495"/>
        <v>0</v>
      </c>
      <c r="G326" s="21">
        <f t="shared" si="491"/>
        <v>0</v>
      </c>
      <c r="H326" s="21">
        <f t="shared" si="492"/>
        <v>0</v>
      </c>
      <c r="I326" s="237">
        <f t="shared" si="496"/>
        <v>0</v>
      </c>
      <c r="J326" s="237">
        <f t="shared" si="497"/>
        <v>0</v>
      </c>
      <c r="K326" s="237">
        <f t="shared" si="498"/>
        <v>0</v>
      </c>
      <c r="L326" s="318">
        <f t="shared" si="479"/>
        <v>25</v>
      </c>
      <c r="M326" s="318">
        <f t="shared" si="435"/>
        <v>310</v>
      </c>
      <c r="N326" s="237">
        <f t="shared" si="436"/>
        <v>252808.21000000054</v>
      </c>
      <c r="O326" s="237">
        <f t="shared" si="510"/>
        <v>6591.25</v>
      </c>
      <c r="P326" s="237">
        <f t="shared" si="444"/>
        <v>3826.16</v>
      </c>
      <c r="Q326" s="237">
        <f t="shared" si="511"/>
        <v>2765.09</v>
      </c>
      <c r="R326" s="237">
        <f t="shared" si="502"/>
        <v>134.16999999999999</v>
      </c>
      <c r="S326" s="237">
        <f t="shared" si="503"/>
        <v>188.55</v>
      </c>
      <c r="T326" s="237">
        <f t="shared" si="499"/>
        <v>6913.97</v>
      </c>
      <c r="U326" s="237">
        <f t="shared" si="445"/>
        <v>341642.9499999999</v>
      </c>
      <c r="V326" s="237">
        <f t="shared" si="446"/>
        <v>1708235.7999999991</v>
      </c>
      <c r="W326" s="237">
        <f t="shared" si="500"/>
        <v>248982.05000000054</v>
      </c>
      <c r="X326" s="404" t="str">
        <f t="shared" si="437"/>
        <v xml:space="preserve"> </v>
      </c>
      <c r="Y326" s="237">
        <f t="shared" si="512"/>
        <v>10865132.610000001</v>
      </c>
      <c r="Z326" s="394">
        <f t="shared" si="429"/>
        <v>0.13125000000000001</v>
      </c>
      <c r="AA326" s="237">
        <f t="shared" si="430"/>
        <v>2810.15</v>
      </c>
      <c r="AB326" s="237">
        <f t="shared" si="513"/>
        <v>-116027.24</v>
      </c>
      <c r="AC326" s="237">
        <f t="shared" si="431"/>
        <v>118837.39</v>
      </c>
      <c r="AD326" s="237">
        <f t="shared" ref="AD326:AE326" si="526">+AD325</f>
        <v>134.16999999999999</v>
      </c>
      <c r="AE326" s="237">
        <f t="shared" si="526"/>
        <v>188.55</v>
      </c>
      <c r="AF326" s="237">
        <f t="shared" si="515"/>
        <v>3132.8699999999944</v>
      </c>
      <c r="AG326" s="237">
        <f t="shared" si="516"/>
        <v>-9995059.8499999978</v>
      </c>
      <c r="AH326" s="237">
        <f t="shared" si="517"/>
        <v>11247159.299999991</v>
      </c>
      <c r="AI326" s="412">
        <f t="shared" si="505"/>
        <v>797779.29999999714</v>
      </c>
      <c r="AJ326" s="412">
        <f t="shared" si="458"/>
        <v>-10732177.800000001</v>
      </c>
      <c r="AK326" s="411">
        <f t="shared" si="506"/>
        <v>-9934398.5000000037</v>
      </c>
      <c r="AL326" s="237">
        <f t="shared" si="518"/>
        <v>10981159.850000001</v>
      </c>
      <c r="AM326" s="318">
        <f t="shared" si="439"/>
        <v>25</v>
      </c>
      <c r="AN326" s="21">
        <f t="shared" si="507"/>
        <v>6591.25</v>
      </c>
      <c r="AO326" s="21">
        <f t="shared" si="477"/>
        <v>644457.05000000005</v>
      </c>
      <c r="AP326" s="21">
        <f t="shared" si="508"/>
        <v>2810.15</v>
      </c>
      <c r="AQ326" s="21"/>
      <c r="AR326" s="23"/>
      <c r="AS326" s="21">
        <f t="shared" si="433"/>
        <v>6591.25</v>
      </c>
      <c r="AT326" s="21">
        <f t="shared" si="440"/>
        <v>2049398.19</v>
      </c>
      <c r="AU326" s="237">
        <f t="shared" si="441"/>
        <v>3209.9215349445039</v>
      </c>
      <c r="AV326" s="237">
        <f t="shared" si="442"/>
        <v>696553.5355127462</v>
      </c>
    </row>
    <row r="327" spans="1:48">
      <c r="A327" s="401" t="str">
        <f t="shared" si="494"/>
        <v xml:space="preserve"> </v>
      </c>
      <c r="B327" s="185">
        <f t="shared" si="434"/>
        <v>0</v>
      </c>
      <c r="C327" s="14">
        <f t="shared" si="427"/>
        <v>0</v>
      </c>
      <c r="D327" s="14">
        <f t="shared" si="443"/>
        <v>0</v>
      </c>
      <c r="E327" s="14">
        <f t="shared" si="428"/>
        <v>0</v>
      </c>
      <c r="F327" s="14">
        <f t="shared" si="495"/>
        <v>0</v>
      </c>
      <c r="G327" s="14">
        <f t="shared" si="491"/>
        <v>0</v>
      </c>
      <c r="H327" s="14">
        <f t="shared" si="492"/>
        <v>0</v>
      </c>
      <c r="I327" s="185">
        <f t="shared" si="496"/>
        <v>0</v>
      </c>
      <c r="J327" s="185">
        <f t="shared" si="497"/>
        <v>0</v>
      </c>
      <c r="K327" s="185">
        <f t="shared" si="498"/>
        <v>0</v>
      </c>
      <c r="L327" s="317">
        <f t="shared" si="479"/>
        <v>25</v>
      </c>
      <c r="M327" s="317">
        <f t="shared" si="435"/>
        <v>311</v>
      </c>
      <c r="N327" s="185">
        <f t="shared" si="436"/>
        <v>248982.05000000054</v>
      </c>
      <c r="O327" s="185">
        <f t="shared" si="510"/>
        <v>6591.25</v>
      </c>
      <c r="P327" s="185">
        <f t="shared" si="444"/>
        <v>3868.01</v>
      </c>
      <c r="Q327" s="185">
        <f t="shared" si="511"/>
        <v>2723.24</v>
      </c>
      <c r="R327" s="185">
        <f t="shared" si="502"/>
        <v>134.16999999999999</v>
      </c>
      <c r="S327" s="185">
        <f t="shared" si="503"/>
        <v>188.55</v>
      </c>
      <c r="T327" s="185">
        <f t="shared" si="499"/>
        <v>6913.97</v>
      </c>
      <c r="U327" s="185">
        <f t="shared" si="445"/>
        <v>345510.9599999999</v>
      </c>
      <c r="V327" s="185">
        <f t="shared" si="446"/>
        <v>1710959.0399999991</v>
      </c>
      <c r="W327" s="185">
        <f t="shared" si="500"/>
        <v>245114.04000000053</v>
      </c>
      <c r="X327" s="401" t="str">
        <f t="shared" si="437"/>
        <v xml:space="preserve"> </v>
      </c>
      <c r="Y327" s="185">
        <f t="shared" si="512"/>
        <v>10981159.850000001</v>
      </c>
      <c r="Z327" s="393">
        <f t="shared" si="429"/>
        <v>0.13125000000000001</v>
      </c>
      <c r="AA327" s="185">
        <f t="shared" si="430"/>
        <v>2810.15</v>
      </c>
      <c r="AB327" s="185">
        <f t="shared" si="513"/>
        <v>-117296.29000000001</v>
      </c>
      <c r="AC327" s="185">
        <f t="shared" si="431"/>
        <v>120106.44</v>
      </c>
      <c r="AD327" s="185">
        <f t="shared" ref="AD327:AE327" si="527">+AD326</f>
        <v>134.16999999999999</v>
      </c>
      <c r="AE327" s="185">
        <f t="shared" si="527"/>
        <v>188.55</v>
      </c>
      <c r="AF327" s="185">
        <f t="shared" si="515"/>
        <v>3132.8699999999944</v>
      </c>
      <c r="AG327" s="185">
        <f t="shared" si="516"/>
        <v>-10112356.139999997</v>
      </c>
      <c r="AH327" s="185">
        <f t="shared" si="517"/>
        <v>11367265.739999991</v>
      </c>
      <c r="AI327" s="411">
        <f t="shared" si="505"/>
        <v>801560.39999999711</v>
      </c>
      <c r="AJ327" s="411">
        <f t="shared" si="458"/>
        <v>-10853342.1</v>
      </c>
      <c r="AK327" s="411">
        <f t="shared" si="506"/>
        <v>-10051781.700000003</v>
      </c>
      <c r="AL327" s="185">
        <f t="shared" si="518"/>
        <v>11098456.140000001</v>
      </c>
      <c r="AM327" s="317">
        <f t="shared" si="439"/>
        <v>25</v>
      </c>
      <c r="AN327" s="14">
        <f t="shared" si="507"/>
        <v>6591.25</v>
      </c>
      <c r="AO327" s="14">
        <f t="shared" si="477"/>
        <v>640589.04</v>
      </c>
      <c r="AP327" s="14">
        <f t="shared" si="508"/>
        <v>2810.15</v>
      </c>
      <c r="AS327" s="14">
        <f t="shared" si="433"/>
        <v>6591.25</v>
      </c>
      <c r="AT327" s="14">
        <f t="shared" si="440"/>
        <v>2055989.44</v>
      </c>
      <c r="AU327" s="185">
        <f t="shared" si="441"/>
        <v>3217.9463387818655</v>
      </c>
      <c r="AV327" s="185">
        <f t="shared" si="442"/>
        <v>699771.48185152805</v>
      </c>
    </row>
    <row r="328" spans="1:48">
      <c r="A328" s="401" t="str">
        <f t="shared" si="494"/>
        <v xml:space="preserve"> </v>
      </c>
      <c r="B328" s="185">
        <f t="shared" si="434"/>
        <v>0</v>
      </c>
      <c r="C328" s="14">
        <f t="shared" si="427"/>
        <v>0</v>
      </c>
      <c r="D328" s="14">
        <f t="shared" si="443"/>
        <v>0</v>
      </c>
      <c r="E328" s="14">
        <f t="shared" si="428"/>
        <v>0</v>
      </c>
      <c r="F328" s="14">
        <f t="shared" si="495"/>
        <v>0</v>
      </c>
      <c r="G328" s="14">
        <f t="shared" si="491"/>
        <v>0</v>
      </c>
      <c r="H328" s="14">
        <f t="shared" si="492"/>
        <v>0</v>
      </c>
      <c r="I328" s="185">
        <f t="shared" si="496"/>
        <v>0</v>
      </c>
      <c r="J328" s="185">
        <f t="shared" si="497"/>
        <v>0</v>
      </c>
      <c r="K328" s="185">
        <f t="shared" si="498"/>
        <v>0</v>
      </c>
      <c r="L328" s="317">
        <f t="shared" si="479"/>
        <v>26</v>
      </c>
      <c r="M328" s="317">
        <f t="shared" si="435"/>
        <v>312</v>
      </c>
      <c r="N328" s="185">
        <f t="shared" si="436"/>
        <v>245114.04000000053</v>
      </c>
      <c r="O328" s="185">
        <f t="shared" si="510"/>
        <v>6591.25</v>
      </c>
      <c r="P328" s="185">
        <f t="shared" si="444"/>
        <v>3910.32</v>
      </c>
      <c r="Q328" s="185">
        <f t="shared" si="511"/>
        <v>2680.93</v>
      </c>
      <c r="R328" s="185">
        <f t="shared" si="502"/>
        <v>134.16999999999999</v>
      </c>
      <c r="S328" s="185">
        <f t="shared" si="503"/>
        <v>188.55</v>
      </c>
      <c r="T328" s="185">
        <f t="shared" si="499"/>
        <v>6913.97</v>
      </c>
      <c r="U328" s="185">
        <f t="shared" si="445"/>
        <v>349421.27999999991</v>
      </c>
      <c r="V328" s="185">
        <f t="shared" si="446"/>
        <v>1713639.969999999</v>
      </c>
      <c r="W328" s="185">
        <f t="shared" si="500"/>
        <v>241203.72000000053</v>
      </c>
      <c r="X328" s="401" t="str">
        <f t="shared" si="437"/>
        <v xml:space="preserve"> </v>
      </c>
      <c r="Y328" s="185">
        <f t="shared" si="512"/>
        <v>11098456.140000001</v>
      </c>
      <c r="Z328" s="393">
        <f t="shared" si="429"/>
        <v>0.13125000000000001</v>
      </c>
      <c r="AA328" s="185">
        <f t="shared" si="430"/>
        <v>2810.15</v>
      </c>
      <c r="AB328" s="185">
        <f t="shared" si="513"/>
        <v>-118579.21</v>
      </c>
      <c r="AC328" s="185">
        <f t="shared" si="431"/>
        <v>121389.36</v>
      </c>
      <c r="AD328" s="185">
        <f t="shared" ref="AD328:AE328" si="528">+AD327</f>
        <v>134.16999999999999</v>
      </c>
      <c r="AE328" s="185">
        <f t="shared" si="528"/>
        <v>188.55</v>
      </c>
      <c r="AF328" s="185">
        <f t="shared" si="515"/>
        <v>3132.8699999999944</v>
      </c>
      <c r="AG328" s="185">
        <f t="shared" si="516"/>
        <v>-10230935.349999998</v>
      </c>
      <c r="AH328" s="185">
        <f t="shared" si="517"/>
        <v>11488655.09999999</v>
      </c>
      <c r="AI328" s="411">
        <f t="shared" si="505"/>
        <v>805341.49999999709</v>
      </c>
      <c r="AJ328" s="411">
        <f t="shared" si="458"/>
        <v>-10975831.630000001</v>
      </c>
      <c r="AK328" s="411">
        <f t="shared" si="506"/>
        <v>-10170490.130000005</v>
      </c>
      <c r="AL328" s="185">
        <f t="shared" si="518"/>
        <v>11217035.350000001</v>
      </c>
      <c r="AM328" s="317">
        <f t="shared" si="439"/>
        <v>26</v>
      </c>
      <c r="AN328" s="14">
        <f t="shared" si="507"/>
        <v>6591.25</v>
      </c>
      <c r="AO328" s="14">
        <f t="shared" si="477"/>
        <v>636678.72000000009</v>
      </c>
      <c r="AP328" s="14">
        <f t="shared" si="508"/>
        <v>2810.15</v>
      </c>
      <c r="AS328" s="14">
        <f t="shared" si="433"/>
        <v>6591.25</v>
      </c>
      <c r="AT328" s="14">
        <f t="shared" si="440"/>
        <v>2062580.69</v>
      </c>
      <c r="AU328" s="185">
        <f t="shared" si="441"/>
        <v>3225.9912046288196</v>
      </c>
      <c r="AV328" s="185">
        <f t="shared" si="442"/>
        <v>702997.47305615689</v>
      </c>
    </row>
    <row r="329" spans="1:48">
      <c r="A329" s="401" t="str">
        <f t="shared" si="494"/>
        <v xml:space="preserve"> </v>
      </c>
      <c r="B329" s="185">
        <f t="shared" si="434"/>
        <v>0</v>
      </c>
      <c r="C329" s="14">
        <f t="shared" si="427"/>
        <v>0</v>
      </c>
      <c r="D329" s="14">
        <f t="shared" si="443"/>
        <v>0</v>
      </c>
      <c r="E329" s="14">
        <f t="shared" si="428"/>
        <v>0</v>
      </c>
      <c r="F329" s="14">
        <f t="shared" si="495"/>
        <v>0</v>
      </c>
      <c r="G329" s="14">
        <f t="shared" si="491"/>
        <v>0</v>
      </c>
      <c r="H329" s="14">
        <f t="shared" si="492"/>
        <v>0</v>
      </c>
      <c r="I329" s="185">
        <f t="shared" si="496"/>
        <v>0</v>
      </c>
      <c r="J329" s="185">
        <f t="shared" si="497"/>
        <v>0</v>
      </c>
      <c r="K329" s="185">
        <f t="shared" si="498"/>
        <v>0</v>
      </c>
      <c r="L329" s="317">
        <f t="shared" si="479"/>
        <v>26</v>
      </c>
      <c r="M329" s="317">
        <f t="shared" si="435"/>
        <v>313</v>
      </c>
      <c r="N329" s="185">
        <f t="shared" si="436"/>
        <v>241203.72000000053</v>
      </c>
      <c r="O329" s="185">
        <f t="shared" si="510"/>
        <v>6591.25</v>
      </c>
      <c r="P329" s="185">
        <f t="shared" si="444"/>
        <v>3953.08</v>
      </c>
      <c r="Q329" s="185">
        <f t="shared" si="511"/>
        <v>2638.17</v>
      </c>
      <c r="R329" s="185">
        <f t="shared" si="502"/>
        <v>134.16999999999999</v>
      </c>
      <c r="S329" s="185">
        <f t="shared" si="503"/>
        <v>188.55</v>
      </c>
      <c r="T329" s="185">
        <f t="shared" si="499"/>
        <v>6913.97</v>
      </c>
      <c r="U329" s="185">
        <f t="shared" si="445"/>
        <v>353374.35999999993</v>
      </c>
      <c r="V329" s="185">
        <f t="shared" si="446"/>
        <v>1716278.139999999</v>
      </c>
      <c r="W329" s="185">
        <f t="shared" si="500"/>
        <v>237250.64000000054</v>
      </c>
      <c r="X329" s="401" t="str">
        <f t="shared" si="437"/>
        <v xml:space="preserve"> </v>
      </c>
      <c r="Y329" s="185">
        <f t="shared" si="512"/>
        <v>11217035.350000001</v>
      </c>
      <c r="Z329" s="393">
        <f t="shared" si="429"/>
        <v>0.13125000000000001</v>
      </c>
      <c r="AA329" s="185">
        <f t="shared" si="430"/>
        <v>2810.15</v>
      </c>
      <c r="AB329" s="185">
        <f t="shared" si="513"/>
        <v>-119876.17000000001</v>
      </c>
      <c r="AC329" s="185">
        <f t="shared" si="431"/>
        <v>122686.32</v>
      </c>
      <c r="AD329" s="185">
        <f t="shared" ref="AD329:AE329" si="529">+AD328</f>
        <v>134.16999999999999</v>
      </c>
      <c r="AE329" s="185">
        <f t="shared" si="529"/>
        <v>188.55</v>
      </c>
      <c r="AF329" s="185">
        <f t="shared" si="515"/>
        <v>3132.8699999999944</v>
      </c>
      <c r="AG329" s="185">
        <f t="shared" si="516"/>
        <v>-10350811.519999998</v>
      </c>
      <c r="AH329" s="185">
        <f t="shared" si="517"/>
        <v>11611341.419999991</v>
      </c>
      <c r="AI329" s="411">
        <f t="shared" si="505"/>
        <v>809122.59999999707</v>
      </c>
      <c r="AJ329" s="411">
        <f t="shared" si="458"/>
        <v>-11099660.880000001</v>
      </c>
      <c r="AK329" s="411">
        <f t="shared" si="506"/>
        <v>-10290538.280000003</v>
      </c>
      <c r="AL329" s="185">
        <f t="shared" si="518"/>
        <v>11336911.520000001</v>
      </c>
      <c r="AM329" s="317">
        <f t="shared" si="439"/>
        <v>26</v>
      </c>
      <c r="AN329" s="14">
        <f t="shared" si="507"/>
        <v>6591.25</v>
      </c>
      <c r="AO329" s="14">
        <f t="shared" si="477"/>
        <v>632725.64000000013</v>
      </c>
      <c r="AP329" s="14">
        <f t="shared" si="508"/>
        <v>2810.15</v>
      </c>
      <c r="AS329" s="14">
        <f t="shared" si="433"/>
        <v>6591.25</v>
      </c>
      <c r="AT329" s="14">
        <f t="shared" si="440"/>
        <v>2069171.94</v>
      </c>
      <c r="AU329" s="185">
        <f t="shared" si="441"/>
        <v>3234.0561826403919</v>
      </c>
      <c r="AV329" s="185">
        <f t="shared" si="442"/>
        <v>706231.52923879726</v>
      </c>
    </row>
    <row r="330" spans="1:48">
      <c r="A330" s="401" t="str">
        <f t="shared" si="494"/>
        <v xml:space="preserve"> </v>
      </c>
      <c r="B330" s="185">
        <f t="shared" si="434"/>
        <v>0</v>
      </c>
      <c r="C330" s="14">
        <f t="shared" si="427"/>
        <v>0</v>
      </c>
      <c r="D330" s="14">
        <f t="shared" si="443"/>
        <v>0</v>
      </c>
      <c r="E330" s="14">
        <f t="shared" si="428"/>
        <v>0</v>
      </c>
      <c r="F330" s="14">
        <f t="shared" si="495"/>
        <v>0</v>
      </c>
      <c r="G330" s="14">
        <f t="shared" si="491"/>
        <v>0</v>
      </c>
      <c r="H330" s="14">
        <f t="shared" si="492"/>
        <v>0</v>
      </c>
      <c r="I330" s="185">
        <f t="shared" si="496"/>
        <v>0</v>
      </c>
      <c r="J330" s="185">
        <f t="shared" si="497"/>
        <v>0</v>
      </c>
      <c r="K330" s="185">
        <f t="shared" si="498"/>
        <v>0</v>
      </c>
      <c r="L330" s="317">
        <f t="shared" si="479"/>
        <v>26</v>
      </c>
      <c r="M330" s="317">
        <f t="shared" si="435"/>
        <v>314</v>
      </c>
      <c r="N330" s="185">
        <f t="shared" si="436"/>
        <v>237250.64000000054</v>
      </c>
      <c r="O330" s="185">
        <f t="shared" si="510"/>
        <v>6591.25</v>
      </c>
      <c r="P330" s="185">
        <f t="shared" si="444"/>
        <v>3996.32</v>
      </c>
      <c r="Q330" s="185">
        <f t="shared" si="511"/>
        <v>2594.9299999999998</v>
      </c>
      <c r="R330" s="185">
        <f t="shared" si="502"/>
        <v>134.16999999999999</v>
      </c>
      <c r="S330" s="185">
        <f t="shared" si="503"/>
        <v>188.55</v>
      </c>
      <c r="T330" s="185">
        <f t="shared" si="499"/>
        <v>6913.97</v>
      </c>
      <c r="U330" s="185">
        <f t="shared" si="445"/>
        <v>357370.67999999993</v>
      </c>
      <c r="V330" s="185">
        <f t="shared" si="446"/>
        <v>1718873.0699999989</v>
      </c>
      <c r="W330" s="185">
        <f t="shared" si="500"/>
        <v>233254.32000000053</v>
      </c>
      <c r="X330" s="401" t="str">
        <f t="shared" si="437"/>
        <v xml:space="preserve"> </v>
      </c>
      <c r="Y330" s="185">
        <f t="shared" si="512"/>
        <v>11336911.520000001</v>
      </c>
      <c r="Z330" s="393">
        <f t="shared" si="429"/>
        <v>0.13125000000000001</v>
      </c>
      <c r="AA330" s="185">
        <f t="shared" si="430"/>
        <v>2810.15</v>
      </c>
      <c r="AB330" s="185">
        <f t="shared" si="513"/>
        <v>-121187.32</v>
      </c>
      <c r="AC330" s="185">
        <f t="shared" si="431"/>
        <v>123997.47</v>
      </c>
      <c r="AD330" s="185">
        <f t="shared" ref="AD330:AE330" si="530">+AD329</f>
        <v>134.16999999999999</v>
      </c>
      <c r="AE330" s="185">
        <f t="shared" si="530"/>
        <v>188.55</v>
      </c>
      <c r="AF330" s="185">
        <f t="shared" si="515"/>
        <v>3132.8699999999944</v>
      </c>
      <c r="AG330" s="185">
        <f t="shared" si="516"/>
        <v>-10471998.839999998</v>
      </c>
      <c r="AH330" s="185">
        <f t="shared" si="517"/>
        <v>11735338.889999991</v>
      </c>
      <c r="AI330" s="411">
        <f t="shared" si="505"/>
        <v>812903.69999999704</v>
      </c>
      <c r="AJ330" s="411">
        <f t="shared" si="458"/>
        <v>-11224844.520000001</v>
      </c>
      <c r="AK330" s="411">
        <f t="shared" si="506"/>
        <v>-10411940.820000004</v>
      </c>
      <c r="AL330" s="185">
        <f t="shared" si="518"/>
        <v>11458098.840000002</v>
      </c>
      <c r="AM330" s="317">
        <f t="shared" si="439"/>
        <v>26</v>
      </c>
      <c r="AN330" s="14">
        <f t="shared" si="507"/>
        <v>6591.25</v>
      </c>
      <c r="AO330" s="14">
        <f t="shared" si="477"/>
        <v>628729.32000000007</v>
      </c>
      <c r="AP330" s="14">
        <f t="shared" si="508"/>
        <v>2810.15</v>
      </c>
      <c r="AS330" s="14">
        <f t="shared" si="433"/>
        <v>6591.25</v>
      </c>
      <c r="AT330" s="14">
        <f t="shared" si="440"/>
        <v>2075763.19</v>
      </c>
      <c r="AU330" s="185">
        <f t="shared" si="441"/>
        <v>3242.1413230969933</v>
      </c>
      <c r="AV330" s="185">
        <f t="shared" si="442"/>
        <v>709473.67056189431</v>
      </c>
    </row>
    <row r="331" spans="1:48">
      <c r="A331" s="401" t="str">
        <f t="shared" si="494"/>
        <v xml:space="preserve"> </v>
      </c>
      <c r="B331" s="185">
        <f t="shared" si="434"/>
        <v>0</v>
      </c>
      <c r="C331" s="14">
        <f t="shared" si="427"/>
        <v>0</v>
      </c>
      <c r="D331" s="14">
        <f t="shared" si="443"/>
        <v>0</v>
      </c>
      <c r="E331" s="14">
        <f t="shared" si="428"/>
        <v>0</v>
      </c>
      <c r="F331" s="14">
        <f t="shared" si="495"/>
        <v>0</v>
      </c>
      <c r="G331" s="14">
        <f t="shared" si="491"/>
        <v>0</v>
      </c>
      <c r="H331" s="14">
        <f t="shared" si="492"/>
        <v>0</v>
      </c>
      <c r="I331" s="185">
        <f t="shared" si="496"/>
        <v>0</v>
      </c>
      <c r="J331" s="185">
        <f t="shared" si="497"/>
        <v>0</v>
      </c>
      <c r="K331" s="185">
        <f t="shared" si="498"/>
        <v>0</v>
      </c>
      <c r="L331" s="317">
        <f t="shared" si="479"/>
        <v>26</v>
      </c>
      <c r="M331" s="317">
        <f t="shared" si="435"/>
        <v>315</v>
      </c>
      <c r="N331" s="185">
        <f t="shared" si="436"/>
        <v>233254.32000000053</v>
      </c>
      <c r="O331" s="185">
        <f t="shared" si="510"/>
        <v>6591.25</v>
      </c>
      <c r="P331" s="185">
        <f t="shared" si="444"/>
        <v>4040.03</v>
      </c>
      <c r="Q331" s="185">
        <f t="shared" si="511"/>
        <v>2551.2199999999998</v>
      </c>
      <c r="R331" s="185">
        <f t="shared" si="502"/>
        <v>134.16999999999999</v>
      </c>
      <c r="S331" s="185">
        <f t="shared" si="503"/>
        <v>188.55</v>
      </c>
      <c r="T331" s="185">
        <f t="shared" si="499"/>
        <v>6913.97</v>
      </c>
      <c r="U331" s="185">
        <f t="shared" si="445"/>
        <v>361410.70999999996</v>
      </c>
      <c r="V331" s="185">
        <f t="shared" si="446"/>
        <v>1721424.2899999989</v>
      </c>
      <c r="W331" s="185">
        <f t="shared" si="500"/>
        <v>229214.29000000053</v>
      </c>
      <c r="X331" s="401" t="str">
        <f t="shared" si="437"/>
        <v xml:space="preserve"> </v>
      </c>
      <c r="Y331" s="185">
        <f t="shared" si="512"/>
        <v>11458098.840000002</v>
      </c>
      <c r="Z331" s="393">
        <f t="shared" si="429"/>
        <v>0.13125000000000001</v>
      </c>
      <c r="AA331" s="185">
        <f t="shared" si="430"/>
        <v>2810.15</v>
      </c>
      <c r="AB331" s="185">
        <f t="shared" si="513"/>
        <v>-122512.81000000001</v>
      </c>
      <c r="AC331" s="185">
        <f t="shared" si="431"/>
        <v>125322.96</v>
      </c>
      <c r="AD331" s="185">
        <f t="shared" ref="AD331:AE331" si="531">+AD330</f>
        <v>134.16999999999999</v>
      </c>
      <c r="AE331" s="185">
        <f t="shared" si="531"/>
        <v>188.55</v>
      </c>
      <c r="AF331" s="185">
        <f t="shared" si="515"/>
        <v>3132.8699999999944</v>
      </c>
      <c r="AG331" s="185">
        <f t="shared" si="516"/>
        <v>-10594511.649999999</v>
      </c>
      <c r="AH331" s="185">
        <f t="shared" si="517"/>
        <v>11860661.849999992</v>
      </c>
      <c r="AI331" s="411">
        <f t="shared" si="505"/>
        <v>816684.79999999702</v>
      </c>
      <c r="AJ331" s="411">
        <f t="shared" si="458"/>
        <v>-11351397.360000001</v>
      </c>
      <c r="AK331" s="411">
        <f t="shared" si="506"/>
        <v>-10534712.560000004</v>
      </c>
      <c r="AL331" s="185">
        <f t="shared" si="518"/>
        <v>11580611.650000002</v>
      </c>
      <c r="AM331" s="317">
        <f t="shared" si="439"/>
        <v>26</v>
      </c>
      <c r="AN331" s="14">
        <f t="shared" si="507"/>
        <v>6591.25</v>
      </c>
      <c r="AO331" s="14">
        <f t="shared" si="477"/>
        <v>624689.29</v>
      </c>
      <c r="AP331" s="14">
        <f t="shared" si="508"/>
        <v>2810.15</v>
      </c>
      <c r="AS331" s="14">
        <f t="shared" si="433"/>
        <v>6591.25</v>
      </c>
      <c r="AT331" s="14">
        <f t="shared" si="440"/>
        <v>2082354.44</v>
      </c>
      <c r="AU331" s="185">
        <f t="shared" si="441"/>
        <v>3250.2466764047354</v>
      </c>
      <c r="AV331" s="185">
        <f t="shared" si="442"/>
        <v>712723.91723829904</v>
      </c>
    </row>
    <row r="332" spans="1:48">
      <c r="A332" s="401" t="str">
        <f t="shared" si="494"/>
        <v xml:space="preserve"> </v>
      </c>
      <c r="B332" s="185">
        <f t="shared" si="434"/>
        <v>0</v>
      </c>
      <c r="C332" s="14">
        <f t="shared" si="427"/>
        <v>0</v>
      </c>
      <c r="D332" s="14">
        <f t="shared" si="443"/>
        <v>0</v>
      </c>
      <c r="E332" s="14">
        <f t="shared" si="428"/>
        <v>0</v>
      </c>
      <c r="F332" s="14">
        <f t="shared" si="495"/>
        <v>0</v>
      </c>
      <c r="G332" s="14">
        <f t="shared" si="491"/>
        <v>0</v>
      </c>
      <c r="H332" s="14">
        <f t="shared" si="492"/>
        <v>0</v>
      </c>
      <c r="I332" s="185">
        <f t="shared" si="496"/>
        <v>0</v>
      </c>
      <c r="J332" s="185">
        <f t="shared" si="497"/>
        <v>0</v>
      </c>
      <c r="K332" s="185">
        <f t="shared" si="498"/>
        <v>0</v>
      </c>
      <c r="L332" s="317">
        <f t="shared" si="479"/>
        <v>26</v>
      </c>
      <c r="M332" s="317">
        <f t="shared" si="435"/>
        <v>316</v>
      </c>
      <c r="N332" s="185">
        <f t="shared" si="436"/>
        <v>229214.29000000053</v>
      </c>
      <c r="O332" s="185">
        <f t="shared" si="510"/>
        <v>6591.25</v>
      </c>
      <c r="P332" s="185">
        <f t="shared" si="444"/>
        <v>4084.22</v>
      </c>
      <c r="Q332" s="185">
        <f t="shared" si="511"/>
        <v>2507.0300000000002</v>
      </c>
      <c r="R332" s="185">
        <f t="shared" si="502"/>
        <v>134.16999999999999</v>
      </c>
      <c r="S332" s="185">
        <f t="shared" si="503"/>
        <v>188.55</v>
      </c>
      <c r="T332" s="185">
        <f t="shared" si="499"/>
        <v>6913.97</v>
      </c>
      <c r="U332" s="185">
        <f t="shared" si="445"/>
        <v>365494.92999999993</v>
      </c>
      <c r="V332" s="185">
        <f t="shared" si="446"/>
        <v>1723931.3199999989</v>
      </c>
      <c r="W332" s="185">
        <f t="shared" si="500"/>
        <v>225130.07000000053</v>
      </c>
      <c r="X332" s="401" t="str">
        <f t="shared" si="437"/>
        <v xml:space="preserve"> </v>
      </c>
      <c r="Y332" s="185">
        <f t="shared" si="512"/>
        <v>11580611.650000002</v>
      </c>
      <c r="Z332" s="393">
        <f t="shared" si="429"/>
        <v>0.13125000000000001</v>
      </c>
      <c r="AA332" s="185">
        <f t="shared" si="430"/>
        <v>2810.15</v>
      </c>
      <c r="AB332" s="185">
        <f t="shared" si="513"/>
        <v>-123852.79000000001</v>
      </c>
      <c r="AC332" s="185">
        <f t="shared" si="431"/>
        <v>126662.94</v>
      </c>
      <c r="AD332" s="185">
        <f t="shared" ref="AD332:AE332" si="532">+AD331</f>
        <v>134.16999999999999</v>
      </c>
      <c r="AE332" s="185">
        <f t="shared" si="532"/>
        <v>188.55</v>
      </c>
      <c r="AF332" s="185">
        <f t="shared" si="515"/>
        <v>3132.8699999999944</v>
      </c>
      <c r="AG332" s="185">
        <f t="shared" si="516"/>
        <v>-10718364.439999998</v>
      </c>
      <c r="AH332" s="185">
        <f t="shared" si="517"/>
        <v>11987324.789999992</v>
      </c>
      <c r="AI332" s="411">
        <f t="shared" si="505"/>
        <v>820465.899999997</v>
      </c>
      <c r="AJ332" s="411">
        <f t="shared" si="458"/>
        <v>-11479334.370000001</v>
      </c>
      <c r="AK332" s="411">
        <f t="shared" si="506"/>
        <v>-10658868.470000004</v>
      </c>
      <c r="AL332" s="185">
        <f t="shared" si="518"/>
        <v>11704464.440000001</v>
      </c>
      <c r="AM332" s="317">
        <f t="shared" si="439"/>
        <v>26</v>
      </c>
      <c r="AN332" s="14">
        <f t="shared" si="507"/>
        <v>6591.25</v>
      </c>
      <c r="AO332" s="14">
        <f t="shared" si="477"/>
        <v>620605.07000000007</v>
      </c>
      <c r="AP332" s="14">
        <f t="shared" si="508"/>
        <v>2810.15</v>
      </c>
      <c r="AS332" s="14">
        <f t="shared" si="433"/>
        <v>6591.25</v>
      </c>
      <c r="AT332" s="14">
        <f t="shared" si="440"/>
        <v>2088945.69</v>
      </c>
      <c r="AU332" s="185">
        <f t="shared" si="441"/>
        <v>3258.3722930957479</v>
      </c>
      <c r="AV332" s="185">
        <f t="shared" si="442"/>
        <v>715982.28953139484</v>
      </c>
    </row>
    <row r="333" spans="1:48">
      <c r="A333" s="401" t="str">
        <f t="shared" si="494"/>
        <v xml:space="preserve"> </v>
      </c>
      <c r="B333" s="185">
        <f t="shared" si="434"/>
        <v>0</v>
      </c>
      <c r="C333" s="14">
        <f t="shared" si="427"/>
        <v>0</v>
      </c>
      <c r="D333" s="14">
        <f t="shared" si="443"/>
        <v>0</v>
      </c>
      <c r="E333" s="14">
        <f t="shared" si="428"/>
        <v>0</v>
      </c>
      <c r="F333" s="14">
        <f t="shared" si="495"/>
        <v>0</v>
      </c>
      <c r="G333" s="14">
        <f t="shared" si="491"/>
        <v>0</v>
      </c>
      <c r="H333" s="14">
        <f t="shared" si="492"/>
        <v>0</v>
      </c>
      <c r="I333" s="185">
        <f t="shared" si="496"/>
        <v>0</v>
      </c>
      <c r="J333" s="185">
        <f t="shared" si="497"/>
        <v>0</v>
      </c>
      <c r="K333" s="185">
        <f t="shared" si="498"/>
        <v>0</v>
      </c>
      <c r="L333" s="317">
        <f t="shared" si="479"/>
        <v>26</v>
      </c>
      <c r="M333" s="317">
        <f t="shared" si="435"/>
        <v>317</v>
      </c>
      <c r="N333" s="185">
        <f t="shared" si="436"/>
        <v>225130.07000000053</v>
      </c>
      <c r="O333" s="185">
        <f t="shared" si="510"/>
        <v>6591.25</v>
      </c>
      <c r="P333" s="185">
        <f t="shared" si="444"/>
        <v>4128.8899999999994</v>
      </c>
      <c r="Q333" s="185">
        <f t="shared" si="511"/>
        <v>2462.36</v>
      </c>
      <c r="R333" s="185">
        <f t="shared" si="502"/>
        <v>134.16999999999999</v>
      </c>
      <c r="S333" s="185">
        <f t="shared" si="503"/>
        <v>188.55</v>
      </c>
      <c r="T333" s="185">
        <f t="shared" si="499"/>
        <v>6913.97</v>
      </c>
      <c r="U333" s="185">
        <f t="shared" si="445"/>
        <v>369623.81999999995</v>
      </c>
      <c r="V333" s="185">
        <f t="shared" si="446"/>
        <v>1726393.679999999</v>
      </c>
      <c r="W333" s="185">
        <f t="shared" si="500"/>
        <v>221001.18000000052</v>
      </c>
      <c r="X333" s="401" t="str">
        <f t="shared" si="437"/>
        <v xml:space="preserve"> </v>
      </c>
      <c r="Y333" s="185">
        <f t="shared" si="512"/>
        <v>11704464.440000001</v>
      </c>
      <c r="Z333" s="393">
        <f t="shared" si="429"/>
        <v>0.13125000000000001</v>
      </c>
      <c r="AA333" s="185">
        <f t="shared" si="430"/>
        <v>2810.15</v>
      </c>
      <c r="AB333" s="185">
        <f t="shared" si="513"/>
        <v>-125207.43000000001</v>
      </c>
      <c r="AC333" s="185">
        <f t="shared" si="431"/>
        <v>128017.58</v>
      </c>
      <c r="AD333" s="185">
        <f t="shared" ref="AD333:AE333" si="533">+AD332</f>
        <v>134.16999999999999</v>
      </c>
      <c r="AE333" s="185">
        <f t="shared" si="533"/>
        <v>188.55</v>
      </c>
      <c r="AF333" s="185">
        <f t="shared" si="515"/>
        <v>3132.8699999999944</v>
      </c>
      <c r="AG333" s="185">
        <f t="shared" si="516"/>
        <v>-10843571.869999997</v>
      </c>
      <c r="AH333" s="185">
        <f t="shared" si="517"/>
        <v>12115342.369999992</v>
      </c>
      <c r="AI333" s="411">
        <f t="shared" si="505"/>
        <v>824246.99999999697</v>
      </c>
      <c r="AJ333" s="411">
        <f t="shared" si="458"/>
        <v>-11608670.690000001</v>
      </c>
      <c r="AK333" s="411">
        <f t="shared" si="506"/>
        <v>-10784423.690000005</v>
      </c>
      <c r="AL333" s="185">
        <f t="shared" si="518"/>
        <v>11829671.870000001</v>
      </c>
      <c r="AM333" s="317">
        <f t="shared" si="439"/>
        <v>26</v>
      </c>
      <c r="AN333" s="14">
        <f t="shared" si="507"/>
        <v>6591.25</v>
      </c>
      <c r="AO333" s="14">
        <f t="shared" si="477"/>
        <v>616476.18000000005</v>
      </c>
      <c r="AP333" s="14">
        <f t="shared" si="508"/>
        <v>2810.15</v>
      </c>
      <c r="AS333" s="14">
        <f t="shared" si="433"/>
        <v>6591.25</v>
      </c>
      <c r="AT333" s="14">
        <f t="shared" si="440"/>
        <v>2095536.94</v>
      </c>
      <c r="AU333" s="185">
        <f t="shared" si="441"/>
        <v>3266.518223828487</v>
      </c>
      <c r="AV333" s="185">
        <f t="shared" si="442"/>
        <v>719248.80775522336</v>
      </c>
    </row>
    <row r="334" spans="1:48">
      <c r="A334" s="401" t="str">
        <f t="shared" si="494"/>
        <v xml:space="preserve"> </v>
      </c>
      <c r="B334" s="185">
        <f t="shared" si="434"/>
        <v>0</v>
      </c>
      <c r="C334" s="14">
        <f t="shared" si="427"/>
        <v>0</v>
      </c>
      <c r="D334" s="14">
        <f t="shared" si="443"/>
        <v>0</v>
      </c>
      <c r="E334" s="14">
        <f t="shared" si="428"/>
        <v>0</v>
      </c>
      <c r="F334" s="14">
        <f t="shared" si="495"/>
        <v>0</v>
      </c>
      <c r="G334" s="14">
        <f t="shared" si="491"/>
        <v>0</v>
      </c>
      <c r="H334" s="14">
        <f t="shared" si="492"/>
        <v>0</v>
      </c>
      <c r="I334" s="185">
        <f t="shared" si="496"/>
        <v>0</v>
      </c>
      <c r="J334" s="185">
        <f t="shared" si="497"/>
        <v>0</v>
      </c>
      <c r="K334" s="185">
        <f t="shared" si="498"/>
        <v>0</v>
      </c>
      <c r="L334" s="317">
        <f t="shared" si="479"/>
        <v>26</v>
      </c>
      <c r="M334" s="317">
        <f t="shared" si="435"/>
        <v>318</v>
      </c>
      <c r="N334" s="185">
        <f t="shared" si="436"/>
        <v>221001.18000000052</v>
      </c>
      <c r="O334" s="185">
        <f t="shared" si="510"/>
        <v>6591.25</v>
      </c>
      <c r="P334" s="185">
        <f t="shared" si="444"/>
        <v>4174.05</v>
      </c>
      <c r="Q334" s="185">
        <f t="shared" si="511"/>
        <v>2417.1999999999998</v>
      </c>
      <c r="R334" s="185">
        <f t="shared" si="502"/>
        <v>134.16999999999999</v>
      </c>
      <c r="S334" s="185">
        <f t="shared" si="503"/>
        <v>188.55</v>
      </c>
      <c r="T334" s="185">
        <f t="shared" si="499"/>
        <v>6913.97</v>
      </c>
      <c r="U334" s="185">
        <f t="shared" si="445"/>
        <v>373797.86999999994</v>
      </c>
      <c r="V334" s="185">
        <f t="shared" si="446"/>
        <v>1728810.879999999</v>
      </c>
      <c r="W334" s="185">
        <f t="shared" si="500"/>
        <v>216827.13000000053</v>
      </c>
      <c r="X334" s="401" t="str">
        <f t="shared" si="437"/>
        <v xml:space="preserve"> </v>
      </c>
      <c r="Y334" s="185">
        <f t="shared" si="512"/>
        <v>11829671.870000001</v>
      </c>
      <c r="Z334" s="393">
        <f t="shared" si="429"/>
        <v>0.13125000000000001</v>
      </c>
      <c r="AA334" s="185">
        <f t="shared" si="430"/>
        <v>2810.15</v>
      </c>
      <c r="AB334" s="185">
        <f t="shared" si="513"/>
        <v>-126576.89</v>
      </c>
      <c r="AC334" s="185">
        <f t="shared" si="431"/>
        <v>129387.04</v>
      </c>
      <c r="AD334" s="185">
        <f t="shared" ref="AD334:AE334" si="534">+AD333</f>
        <v>134.16999999999999</v>
      </c>
      <c r="AE334" s="185">
        <f t="shared" si="534"/>
        <v>188.55</v>
      </c>
      <c r="AF334" s="185">
        <f t="shared" si="515"/>
        <v>3132.8699999999944</v>
      </c>
      <c r="AG334" s="185">
        <f t="shared" si="516"/>
        <v>-10970148.759999998</v>
      </c>
      <c r="AH334" s="185">
        <f t="shared" si="517"/>
        <v>12244729.409999991</v>
      </c>
      <c r="AI334" s="411">
        <f t="shared" si="505"/>
        <v>828028.09999999695</v>
      </c>
      <c r="AJ334" s="411">
        <f t="shared" si="458"/>
        <v>-11739421.630000001</v>
      </c>
      <c r="AK334" s="411">
        <f t="shared" si="506"/>
        <v>-10911393.530000003</v>
      </c>
      <c r="AL334" s="185">
        <f t="shared" si="518"/>
        <v>11956248.760000002</v>
      </c>
      <c r="AM334" s="317">
        <f t="shared" si="439"/>
        <v>26</v>
      </c>
      <c r="AN334" s="14">
        <f t="shared" si="507"/>
        <v>6591.25</v>
      </c>
      <c r="AO334" s="14">
        <f t="shared" si="477"/>
        <v>612302.13000000012</v>
      </c>
      <c r="AP334" s="14">
        <f t="shared" si="508"/>
        <v>2810.15</v>
      </c>
      <c r="AS334" s="14">
        <f t="shared" si="433"/>
        <v>6591.25</v>
      </c>
      <c r="AT334" s="14">
        <f t="shared" si="440"/>
        <v>2102128.19</v>
      </c>
      <c r="AU334" s="185">
        <f t="shared" si="441"/>
        <v>3274.6845193880586</v>
      </c>
      <c r="AV334" s="185">
        <f t="shared" si="442"/>
        <v>722523.49227461137</v>
      </c>
    </row>
    <row r="335" spans="1:48">
      <c r="A335" s="401" t="str">
        <f t="shared" si="494"/>
        <v xml:space="preserve"> </v>
      </c>
      <c r="B335" s="185">
        <f t="shared" si="434"/>
        <v>0</v>
      </c>
      <c r="C335" s="14">
        <f t="shared" ref="C335:C398" si="535">IF(+$K334&lt;=0,0,$C$5)</f>
        <v>0</v>
      </c>
      <c r="D335" s="14">
        <f t="shared" si="443"/>
        <v>0</v>
      </c>
      <c r="E335" s="14">
        <f t="shared" ref="E335:E398" si="536">ROUND($B335*($C$3/12), 2)</f>
        <v>0</v>
      </c>
      <c r="F335" s="14">
        <f t="shared" si="495"/>
        <v>0</v>
      </c>
      <c r="G335" s="14">
        <f t="shared" si="491"/>
        <v>0</v>
      </c>
      <c r="H335" s="14">
        <f t="shared" si="492"/>
        <v>0</v>
      </c>
      <c r="I335" s="185">
        <f t="shared" si="496"/>
        <v>0</v>
      </c>
      <c r="J335" s="185">
        <f t="shared" si="497"/>
        <v>0</v>
      </c>
      <c r="K335" s="185">
        <f t="shared" si="498"/>
        <v>0</v>
      </c>
      <c r="L335" s="317">
        <f t="shared" si="479"/>
        <v>26</v>
      </c>
      <c r="M335" s="317">
        <f t="shared" si="435"/>
        <v>319</v>
      </c>
      <c r="N335" s="185">
        <f t="shared" si="436"/>
        <v>216827.13000000053</v>
      </c>
      <c r="O335" s="185">
        <f t="shared" si="510"/>
        <v>6591.25</v>
      </c>
      <c r="P335" s="185">
        <f t="shared" si="444"/>
        <v>4219.7</v>
      </c>
      <c r="Q335" s="185">
        <f t="shared" si="511"/>
        <v>2371.5500000000002</v>
      </c>
      <c r="R335" s="185">
        <f t="shared" si="502"/>
        <v>134.16999999999999</v>
      </c>
      <c r="S335" s="185">
        <f t="shared" si="503"/>
        <v>188.55</v>
      </c>
      <c r="T335" s="185">
        <f t="shared" si="499"/>
        <v>6913.97</v>
      </c>
      <c r="U335" s="185">
        <f t="shared" si="445"/>
        <v>378017.56999999995</v>
      </c>
      <c r="V335" s="185">
        <f t="shared" si="446"/>
        <v>1731182.429999999</v>
      </c>
      <c r="W335" s="185">
        <f t="shared" si="500"/>
        <v>212607.43000000052</v>
      </c>
      <c r="X335" s="401" t="str">
        <f t="shared" si="437"/>
        <v xml:space="preserve"> </v>
      </c>
      <c r="Y335" s="185">
        <f t="shared" si="512"/>
        <v>11956248.760000002</v>
      </c>
      <c r="Z335" s="393">
        <f t="shared" ref="Z335:Z398" si="537">IF(L335&gt;4,$AA$9,$AA$8)</f>
        <v>0.13125000000000001</v>
      </c>
      <c r="AA335" s="185">
        <f t="shared" ref="AA335:AA398" si="538">IF($O$9&lt;=$A335,IF(+AL334&lt;=0,0,IF(Z335=$AA$8,$Z$8,$Z$9)),0)</f>
        <v>2810.15</v>
      </c>
      <c r="AB335" s="185">
        <f t="shared" si="513"/>
        <v>-127961.32</v>
      </c>
      <c r="AC335" s="185">
        <f t="shared" ref="AC335:AC398" si="539">IF($O$9&lt;=$A335,ROUND(Y335*(Z335/12),2),0)</f>
        <v>130771.47</v>
      </c>
      <c r="AD335" s="185">
        <f t="shared" ref="AD335:AE335" si="540">+AD334</f>
        <v>134.16999999999999</v>
      </c>
      <c r="AE335" s="185">
        <f t="shared" si="540"/>
        <v>188.55</v>
      </c>
      <c r="AF335" s="185">
        <f t="shared" si="515"/>
        <v>3132.8699999999944</v>
      </c>
      <c r="AG335" s="185">
        <f t="shared" si="516"/>
        <v>-11098110.079999998</v>
      </c>
      <c r="AH335" s="185">
        <f t="shared" si="517"/>
        <v>12375500.879999992</v>
      </c>
      <c r="AI335" s="411">
        <f t="shared" si="505"/>
        <v>831809.19999999693</v>
      </c>
      <c r="AJ335" s="411">
        <f t="shared" si="458"/>
        <v>-11871602.650000002</v>
      </c>
      <c r="AK335" s="411">
        <f t="shared" si="506"/>
        <v>-11039793.450000005</v>
      </c>
      <c r="AL335" s="185">
        <f t="shared" si="518"/>
        <v>12084210.080000002</v>
      </c>
      <c r="AM335" s="317">
        <f t="shared" si="439"/>
        <v>26</v>
      </c>
      <c r="AN335" s="14">
        <f t="shared" si="507"/>
        <v>6591.25</v>
      </c>
      <c r="AO335" s="14">
        <f t="shared" si="477"/>
        <v>608082.43000000005</v>
      </c>
      <c r="AP335" s="14">
        <f t="shared" si="508"/>
        <v>2810.15</v>
      </c>
      <c r="AS335" s="14">
        <f t="shared" ref="AS335:AS398" si="541">+AN335-AR335</f>
        <v>6591.25</v>
      </c>
      <c r="AT335" s="14">
        <f t="shared" si="440"/>
        <v>2108719.44</v>
      </c>
      <c r="AU335" s="185">
        <f t="shared" si="441"/>
        <v>3282.8712306865277</v>
      </c>
      <c r="AV335" s="185">
        <f t="shared" si="442"/>
        <v>725806.36350529792</v>
      </c>
    </row>
    <row r="336" spans="1:48">
      <c r="A336" s="401" t="str">
        <f t="shared" si="494"/>
        <v xml:space="preserve"> </v>
      </c>
      <c r="B336" s="185">
        <f t="shared" ref="B336:B373" si="542">IF(+K335&lt;0,0,+K335)</f>
        <v>0</v>
      </c>
      <c r="C336" s="14">
        <f t="shared" si="535"/>
        <v>0</v>
      </c>
      <c r="D336" s="14">
        <f t="shared" si="443"/>
        <v>0</v>
      </c>
      <c r="E336" s="14">
        <f t="shared" si="536"/>
        <v>0</v>
      </c>
      <c r="F336" s="14">
        <f t="shared" si="495"/>
        <v>0</v>
      </c>
      <c r="G336" s="14">
        <f t="shared" si="491"/>
        <v>0</v>
      </c>
      <c r="H336" s="14">
        <f t="shared" si="492"/>
        <v>0</v>
      </c>
      <c r="I336" s="185">
        <f t="shared" si="496"/>
        <v>0</v>
      </c>
      <c r="J336" s="185">
        <f t="shared" si="497"/>
        <v>0</v>
      </c>
      <c r="K336" s="185">
        <f t="shared" si="498"/>
        <v>0</v>
      </c>
      <c r="L336" s="317">
        <f t="shared" si="479"/>
        <v>26</v>
      </c>
      <c r="M336" s="317">
        <f t="shared" ref="M336:M399" si="543">IF(N336&lt;&gt;"",IF(N336=$O$5,0,+M335+1),0)</f>
        <v>320</v>
      </c>
      <c r="N336" s="185">
        <f t="shared" ref="N336:N399" si="544">IF(+W335&lt;0,0,+W335)</f>
        <v>212607.43000000052</v>
      </c>
      <c r="O336" s="185">
        <f t="shared" si="510"/>
        <v>6591.25</v>
      </c>
      <c r="P336" s="185">
        <f t="shared" si="444"/>
        <v>4265.8600000000006</v>
      </c>
      <c r="Q336" s="185">
        <f t="shared" si="511"/>
        <v>2325.39</v>
      </c>
      <c r="R336" s="185">
        <f t="shared" si="502"/>
        <v>134.16999999999999</v>
      </c>
      <c r="S336" s="185">
        <f t="shared" si="503"/>
        <v>188.55</v>
      </c>
      <c r="T336" s="185">
        <f t="shared" si="499"/>
        <v>6913.97</v>
      </c>
      <c r="U336" s="185">
        <f t="shared" si="445"/>
        <v>382283.42999999993</v>
      </c>
      <c r="V336" s="185">
        <f t="shared" si="446"/>
        <v>1733507.8199999989</v>
      </c>
      <c r="W336" s="185">
        <f t="shared" si="500"/>
        <v>208341.57000000053</v>
      </c>
      <c r="X336" s="401" t="str">
        <f t="shared" ref="X336:X399" si="545">+A336</f>
        <v xml:space="preserve"> </v>
      </c>
      <c r="Y336" s="185">
        <f t="shared" si="512"/>
        <v>12084210.080000002</v>
      </c>
      <c r="Z336" s="393">
        <f t="shared" si="537"/>
        <v>0.13125000000000001</v>
      </c>
      <c r="AA336" s="185">
        <f t="shared" si="538"/>
        <v>2810.15</v>
      </c>
      <c r="AB336" s="185">
        <f t="shared" si="513"/>
        <v>-129360.9</v>
      </c>
      <c r="AC336" s="185">
        <f t="shared" si="539"/>
        <v>132171.04999999999</v>
      </c>
      <c r="AD336" s="185">
        <f t="shared" ref="AD336:AE336" si="546">+AD335</f>
        <v>134.16999999999999</v>
      </c>
      <c r="AE336" s="185">
        <f t="shared" si="546"/>
        <v>188.55</v>
      </c>
      <c r="AF336" s="185">
        <f t="shared" si="515"/>
        <v>3132.8699999999944</v>
      </c>
      <c r="AG336" s="185">
        <f t="shared" si="516"/>
        <v>-11227470.979999999</v>
      </c>
      <c r="AH336" s="185">
        <f t="shared" si="517"/>
        <v>12507671.929999992</v>
      </c>
      <c r="AI336" s="411">
        <f t="shared" si="505"/>
        <v>835590.2999999969</v>
      </c>
      <c r="AJ336" s="411">
        <f t="shared" si="458"/>
        <v>-12005229.410000002</v>
      </c>
      <c r="AK336" s="411">
        <f t="shared" si="506"/>
        <v>-11169639.110000005</v>
      </c>
      <c r="AL336" s="185">
        <f t="shared" si="518"/>
        <v>12213570.980000002</v>
      </c>
      <c r="AM336" s="317">
        <f t="shared" ref="AM336:AM399" si="547">+L336</f>
        <v>26</v>
      </c>
      <c r="AN336" s="14">
        <f t="shared" si="507"/>
        <v>6591.25</v>
      </c>
      <c r="AO336" s="14">
        <f t="shared" si="477"/>
        <v>603816.57000000007</v>
      </c>
      <c r="AP336" s="14">
        <f t="shared" si="508"/>
        <v>2810.15</v>
      </c>
      <c r="AS336" s="14">
        <f t="shared" si="541"/>
        <v>6591.25</v>
      </c>
      <c r="AT336" s="14">
        <f t="shared" ref="AT336:AT399" si="548">IF(W336&lt;=0,0,+AS336+AT335)</f>
        <v>2115310.69</v>
      </c>
      <c r="AU336" s="185">
        <f t="shared" ref="AU336:AU399" si="549">IF(W336&lt;=0,0,+($O$5+AV335)*$AQ$2/12)</f>
        <v>3291.0784087632442</v>
      </c>
      <c r="AV336" s="185">
        <f t="shared" ref="AV336:AV399" si="550">IF(W336&lt;=0,0,+AV335+AU336)</f>
        <v>729097.4419140612</v>
      </c>
    </row>
    <row r="337" spans="1:48">
      <c r="A337" s="401" t="str">
        <f t="shared" si="494"/>
        <v xml:space="preserve"> </v>
      </c>
      <c r="B337" s="185">
        <f t="shared" si="542"/>
        <v>0</v>
      </c>
      <c r="C337" s="14">
        <f t="shared" si="535"/>
        <v>0</v>
      </c>
      <c r="D337" s="14">
        <f t="shared" ref="D337:D400" si="551">+C337-E337</f>
        <v>0</v>
      </c>
      <c r="E337" s="14">
        <f t="shared" si="536"/>
        <v>0</v>
      </c>
      <c r="F337" s="14">
        <f t="shared" si="495"/>
        <v>0</v>
      </c>
      <c r="G337" s="14">
        <f t="shared" si="491"/>
        <v>0</v>
      </c>
      <c r="H337" s="14">
        <f t="shared" si="492"/>
        <v>0</v>
      </c>
      <c r="I337" s="185">
        <f t="shared" si="496"/>
        <v>0</v>
      </c>
      <c r="J337" s="185">
        <f t="shared" si="497"/>
        <v>0</v>
      </c>
      <c r="K337" s="185">
        <f t="shared" si="498"/>
        <v>0</v>
      </c>
      <c r="L337" s="317">
        <f t="shared" si="479"/>
        <v>26</v>
      </c>
      <c r="M337" s="317">
        <f t="shared" si="543"/>
        <v>321</v>
      </c>
      <c r="N337" s="185">
        <f t="shared" si="544"/>
        <v>208341.57000000053</v>
      </c>
      <c r="O337" s="185">
        <f t="shared" si="510"/>
        <v>6591.25</v>
      </c>
      <c r="P337" s="185">
        <f t="shared" ref="P337:P400" si="552">+O337-Q337</f>
        <v>4312.51</v>
      </c>
      <c r="Q337" s="185">
        <f t="shared" si="511"/>
        <v>2278.7399999999998</v>
      </c>
      <c r="R337" s="185">
        <f t="shared" si="502"/>
        <v>134.16999999999999</v>
      </c>
      <c r="S337" s="185">
        <f t="shared" si="503"/>
        <v>188.55</v>
      </c>
      <c r="T337" s="185">
        <f t="shared" si="499"/>
        <v>6913.97</v>
      </c>
      <c r="U337" s="185">
        <f t="shared" ref="U337:U400" si="553">+P337+U336</f>
        <v>386595.93999999994</v>
      </c>
      <c r="V337" s="185">
        <f t="shared" ref="V337:V400" si="554">+V336+Q337</f>
        <v>1735786.5599999989</v>
      </c>
      <c r="W337" s="185">
        <f t="shared" si="500"/>
        <v>204029.06000000052</v>
      </c>
      <c r="X337" s="401" t="str">
        <f t="shared" si="545"/>
        <v xml:space="preserve"> </v>
      </c>
      <c r="Y337" s="185">
        <f t="shared" si="512"/>
        <v>12213570.980000002</v>
      </c>
      <c r="Z337" s="393">
        <f t="shared" si="537"/>
        <v>0.13125000000000001</v>
      </c>
      <c r="AA337" s="185">
        <f t="shared" si="538"/>
        <v>2810.15</v>
      </c>
      <c r="AB337" s="185">
        <f t="shared" si="513"/>
        <v>-130775.78</v>
      </c>
      <c r="AC337" s="185">
        <f t="shared" si="539"/>
        <v>133585.93</v>
      </c>
      <c r="AD337" s="185">
        <f t="shared" ref="AD337:AE337" si="555">+AD336</f>
        <v>134.16999999999999</v>
      </c>
      <c r="AE337" s="185">
        <f t="shared" si="555"/>
        <v>188.55</v>
      </c>
      <c r="AF337" s="185">
        <f t="shared" si="515"/>
        <v>3132.8699999999944</v>
      </c>
      <c r="AG337" s="185">
        <f t="shared" si="516"/>
        <v>-11358246.759999998</v>
      </c>
      <c r="AH337" s="185">
        <f t="shared" si="517"/>
        <v>12641257.859999992</v>
      </c>
      <c r="AI337" s="411">
        <f t="shared" si="505"/>
        <v>839371.39999999688</v>
      </c>
      <c r="AJ337" s="411">
        <f t="shared" si="458"/>
        <v>-12140317.700000001</v>
      </c>
      <c r="AK337" s="411">
        <f t="shared" si="506"/>
        <v>-11300946.300000004</v>
      </c>
      <c r="AL337" s="185">
        <f t="shared" si="518"/>
        <v>12344346.760000002</v>
      </c>
      <c r="AM337" s="317">
        <f t="shared" si="547"/>
        <v>26</v>
      </c>
      <c r="AN337" s="14">
        <f t="shared" si="507"/>
        <v>6591.25</v>
      </c>
      <c r="AO337" s="14">
        <f t="shared" si="477"/>
        <v>599504.06000000006</v>
      </c>
      <c r="AP337" s="14">
        <f t="shared" si="508"/>
        <v>2810.15</v>
      </c>
      <c r="AS337" s="14">
        <f t="shared" si="541"/>
        <v>6591.25</v>
      </c>
      <c r="AT337" s="14">
        <f t="shared" si="548"/>
        <v>2121901.94</v>
      </c>
      <c r="AU337" s="185">
        <f t="shared" si="549"/>
        <v>3299.3061047851529</v>
      </c>
      <c r="AV337" s="185">
        <f t="shared" si="550"/>
        <v>732396.74801884638</v>
      </c>
    </row>
    <row r="338" spans="1:48" ht="15.75" thickBot="1">
      <c r="A338" s="404" t="str">
        <f t="shared" si="494"/>
        <v xml:space="preserve"> </v>
      </c>
      <c r="B338" s="237">
        <f t="shared" si="542"/>
        <v>0</v>
      </c>
      <c r="C338" s="21">
        <f t="shared" si="535"/>
        <v>0</v>
      </c>
      <c r="D338" s="21">
        <f t="shared" si="551"/>
        <v>0</v>
      </c>
      <c r="E338" s="21">
        <f t="shared" si="536"/>
        <v>0</v>
      </c>
      <c r="F338" s="21">
        <f t="shared" si="495"/>
        <v>0</v>
      </c>
      <c r="G338" s="21">
        <f t="shared" si="491"/>
        <v>0</v>
      </c>
      <c r="H338" s="21">
        <f t="shared" si="492"/>
        <v>0</v>
      </c>
      <c r="I338" s="237">
        <f t="shared" si="496"/>
        <v>0</v>
      </c>
      <c r="J338" s="237">
        <f t="shared" si="497"/>
        <v>0</v>
      </c>
      <c r="K338" s="237">
        <f t="shared" si="498"/>
        <v>0</v>
      </c>
      <c r="L338" s="318">
        <f t="shared" si="479"/>
        <v>26</v>
      </c>
      <c r="M338" s="318">
        <f t="shared" si="543"/>
        <v>322</v>
      </c>
      <c r="N338" s="237">
        <f t="shared" si="544"/>
        <v>204029.06000000052</v>
      </c>
      <c r="O338" s="237">
        <f t="shared" si="510"/>
        <v>6591.25</v>
      </c>
      <c r="P338" s="237">
        <f t="shared" si="552"/>
        <v>4359.68</v>
      </c>
      <c r="Q338" s="237">
        <f t="shared" si="511"/>
        <v>2231.5700000000002</v>
      </c>
      <c r="R338" s="237">
        <f t="shared" si="502"/>
        <v>134.16999999999999</v>
      </c>
      <c r="S338" s="237">
        <f t="shared" si="503"/>
        <v>188.55</v>
      </c>
      <c r="T338" s="237">
        <f t="shared" si="499"/>
        <v>6913.97</v>
      </c>
      <c r="U338" s="237">
        <f t="shared" si="553"/>
        <v>390955.61999999994</v>
      </c>
      <c r="V338" s="237">
        <f t="shared" si="554"/>
        <v>1738018.129999999</v>
      </c>
      <c r="W338" s="237">
        <f t="shared" si="500"/>
        <v>199669.38000000053</v>
      </c>
      <c r="X338" s="404" t="str">
        <f t="shared" si="545"/>
        <v xml:space="preserve"> </v>
      </c>
      <c r="Y338" s="237">
        <f t="shared" si="512"/>
        <v>12344346.760000002</v>
      </c>
      <c r="Z338" s="394">
        <f t="shared" si="537"/>
        <v>0.13125000000000001</v>
      </c>
      <c r="AA338" s="237">
        <f t="shared" si="538"/>
        <v>2810.15</v>
      </c>
      <c r="AB338" s="237">
        <f t="shared" si="513"/>
        <v>-132206.14000000001</v>
      </c>
      <c r="AC338" s="237">
        <f t="shared" si="539"/>
        <v>135016.29</v>
      </c>
      <c r="AD338" s="237">
        <f t="shared" ref="AD338:AE338" si="556">+AD337</f>
        <v>134.16999999999999</v>
      </c>
      <c r="AE338" s="237">
        <f t="shared" si="556"/>
        <v>188.55</v>
      </c>
      <c r="AF338" s="237">
        <f t="shared" si="515"/>
        <v>3132.8699999999944</v>
      </c>
      <c r="AG338" s="237">
        <f t="shared" si="516"/>
        <v>-11490452.899999999</v>
      </c>
      <c r="AH338" s="237">
        <f t="shared" si="517"/>
        <v>12776274.149999991</v>
      </c>
      <c r="AI338" s="412">
        <f t="shared" si="505"/>
        <v>843152.49999999686</v>
      </c>
      <c r="AJ338" s="412">
        <f t="shared" si="458"/>
        <v>-12276883.520000001</v>
      </c>
      <c r="AK338" s="411">
        <f t="shared" si="506"/>
        <v>-11433731.020000005</v>
      </c>
      <c r="AL338" s="237">
        <f t="shared" si="518"/>
        <v>12476552.900000002</v>
      </c>
      <c r="AM338" s="318">
        <f t="shared" si="547"/>
        <v>26</v>
      </c>
      <c r="AN338" s="21">
        <f t="shared" si="507"/>
        <v>6591.25</v>
      </c>
      <c r="AO338" s="21">
        <f t="shared" si="477"/>
        <v>595144.38000000012</v>
      </c>
      <c r="AP338" s="21">
        <f t="shared" si="508"/>
        <v>2810.15</v>
      </c>
      <c r="AQ338" s="21"/>
      <c r="AR338" s="23"/>
      <c r="AS338" s="21">
        <f t="shared" si="541"/>
        <v>6591.25</v>
      </c>
      <c r="AT338" s="21">
        <f t="shared" si="548"/>
        <v>2128493.19</v>
      </c>
      <c r="AU338" s="237">
        <f t="shared" si="549"/>
        <v>3307.5543700471158</v>
      </c>
      <c r="AV338" s="237">
        <f t="shared" si="550"/>
        <v>735704.30238889344</v>
      </c>
    </row>
    <row r="339" spans="1:48">
      <c r="A339" s="401" t="str">
        <f t="shared" si="494"/>
        <v xml:space="preserve"> </v>
      </c>
      <c r="B339" s="185">
        <f t="shared" si="542"/>
        <v>0</v>
      </c>
      <c r="C339" s="14">
        <f t="shared" si="535"/>
        <v>0</v>
      </c>
      <c r="D339" s="14">
        <f t="shared" si="551"/>
        <v>0</v>
      </c>
      <c r="E339" s="14">
        <f t="shared" si="536"/>
        <v>0</v>
      </c>
      <c r="F339" s="14">
        <f t="shared" si="495"/>
        <v>0</v>
      </c>
      <c r="G339" s="14">
        <f t="shared" si="491"/>
        <v>0</v>
      </c>
      <c r="H339" s="14">
        <f t="shared" si="492"/>
        <v>0</v>
      </c>
      <c r="I339" s="185">
        <f t="shared" si="496"/>
        <v>0</v>
      </c>
      <c r="J339" s="185">
        <f t="shared" si="497"/>
        <v>0</v>
      </c>
      <c r="K339" s="185">
        <f t="shared" si="498"/>
        <v>0</v>
      </c>
      <c r="L339" s="317">
        <f t="shared" si="479"/>
        <v>26</v>
      </c>
      <c r="M339" s="317">
        <f t="shared" si="543"/>
        <v>323</v>
      </c>
      <c r="N339" s="185">
        <f t="shared" si="544"/>
        <v>199669.38000000053</v>
      </c>
      <c r="O339" s="185">
        <f t="shared" si="510"/>
        <v>6591.25</v>
      </c>
      <c r="P339" s="185">
        <f t="shared" si="552"/>
        <v>4407.37</v>
      </c>
      <c r="Q339" s="185">
        <f t="shared" si="511"/>
        <v>2183.88</v>
      </c>
      <c r="R339" s="185">
        <f t="shared" si="502"/>
        <v>134.16999999999999</v>
      </c>
      <c r="S339" s="185">
        <f t="shared" si="503"/>
        <v>188.55</v>
      </c>
      <c r="T339" s="185">
        <f t="shared" si="499"/>
        <v>6913.97</v>
      </c>
      <c r="U339" s="185">
        <f t="shared" si="553"/>
        <v>395362.98999999993</v>
      </c>
      <c r="V339" s="185">
        <f t="shared" si="554"/>
        <v>1740202.0099999988</v>
      </c>
      <c r="W339" s="185">
        <f t="shared" si="500"/>
        <v>195262.01000000053</v>
      </c>
      <c r="X339" s="401" t="str">
        <f t="shared" si="545"/>
        <v xml:space="preserve"> </v>
      </c>
      <c r="Y339" s="185">
        <f t="shared" si="512"/>
        <v>12476552.900000002</v>
      </c>
      <c r="Z339" s="393">
        <f t="shared" si="537"/>
        <v>0.13125000000000001</v>
      </c>
      <c r="AA339" s="185">
        <f t="shared" si="538"/>
        <v>2810.15</v>
      </c>
      <c r="AB339" s="185">
        <f t="shared" si="513"/>
        <v>-133652.15</v>
      </c>
      <c r="AC339" s="185">
        <f t="shared" si="539"/>
        <v>136462.29999999999</v>
      </c>
      <c r="AD339" s="185">
        <f t="shared" ref="AD339:AE339" si="557">+AD338</f>
        <v>134.16999999999999</v>
      </c>
      <c r="AE339" s="185">
        <f t="shared" si="557"/>
        <v>188.55</v>
      </c>
      <c r="AF339" s="185">
        <f t="shared" si="515"/>
        <v>3132.8699999999944</v>
      </c>
      <c r="AG339" s="185">
        <f t="shared" si="516"/>
        <v>-11624105.049999999</v>
      </c>
      <c r="AH339" s="185">
        <f t="shared" si="517"/>
        <v>12912736.449999992</v>
      </c>
      <c r="AI339" s="411">
        <f t="shared" si="505"/>
        <v>846933.59999999683</v>
      </c>
      <c r="AJ339" s="411">
        <f t="shared" si="458"/>
        <v>-12414943.040000003</v>
      </c>
      <c r="AK339" s="411">
        <f t="shared" si="506"/>
        <v>-11568009.440000005</v>
      </c>
      <c r="AL339" s="185">
        <f t="shared" si="518"/>
        <v>12610205.050000003</v>
      </c>
      <c r="AM339" s="317">
        <f t="shared" si="547"/>
        <v>26</v>
      </c>
      <c r="AN339" s="14">
        <f t="shared" si="507"/>
        <v>6591.25</v>
      </c>
      <c r="AO339" s="14">
        <f t="shared" si="477"/>
        <v>590737.01</v>
      </c>
      <c r="AP339" s="14">
        <f t="shared" si="508"/>
        <v>2810.15</v>
      </c>
      <c r="AS339" s="14">
        <f t="shared" si="541"/>
        <v>6591.25</v>
      </c>
      <c r="AT339" s="14">
        <f t="shared" si="548"/>
        <v>2135084.44</v>
      </c>
      <c r="AU339" s="185">
        <f t="shared" si="549"/>
        <v>3315.8232559722333</v>
      </c>
      <c r="AV339" s="185">
        <f t="shared" si="550"/>
        <v>739020.12564486568</v>
      </c>
    </row>
    <row r="340" spans="1:48">
      <c r="A340" s="401" t="str">
        <f t="shared" si="494"/>
        <v xml:space="preserve"> </v>
      </c>
      <c r="B340" s="185">
        <f t="shared" si="542"/>
        <v>0</v>
      </c>
      <c r="C340" s="14">
        <f t="shared" si="535"/>
        <v>0</v>
      </c>
      <c r="D340" s="14">
        <f t="shared" si="551"/>
        <v>0</v>
      </c>
      <c r="E340" s="14">
        <f t="shared" si="536"/>
        <v>0</v>
      </c>
      <c r="F340" s="14">
        <f t="shared" si="495"/>
        <v>0</v>
      </c>
      <c r="G340" s="14">
        <f t="shared" si="491"/>
        <v>0</v>
      </c>
      <c r="H340" s="14">
        <f t="shared" si="492"/>
        <v>0</v>
      </c>
      <c r="I340" s="185">
        <f t="shared" si="496"/>
        <v>0</v>
      </c>
      <c r="J340" s="185">
        <f t="shared" si="497"/>
        <v>0</v>
      </c>
      <c r="K340" s="185">
        <f t="shared" si="498"/>
        <v>0</v>
      </c>
      <c r="L340" s="317">
        <f t="shared" si="479"/>
        <v>27</v>
      </c>
      <c r="M340" s="317">
        <f t="shared" si="543"/>
        <v>324</v>
      </c>
      <c r="N340" s="185">
        <f t="shared" si="544"/>
        <v>195262.01000000053</v>
      </c>
      <c r="O340" s="185">
        <f t="shared" si="510"/>
        <v>6591.25</v>
      </c>
      <c r="P340" s="185">
        <f t="shared" si="552"/>
        <v>4455.57</v>
      </c>
      <c r="Q340" s="185">
        <f t="shared" si="511"/>
        <v>2135.6799999999998</v>
      </c>
      <c r="R340" s="185">
        <f t="shared" si="502"/>
        <v>134.16999999999999</v>
      </c>
      <c r="S340" s="185">
        <f t="shared" si="503"/>
        <v>188.55</v>
      </c>
      <c r="T340" s="185">
        <f t="shared" si="499"/>
        <v>6913.97</v>
      </c>
      <c r="U340" s="185">
        <f t="shared" si="553"/>
        <v>399818.55999999994</v>
      </c>
      <c r="V340" s="185">
        <f t="shared" si="554"/>
        <v>1742337.6899999988</v>
      </c>
      <c r="W340" s="185">
        <f t="shared" si="500"/>
        <v>190806.44000000053</v>
      </c>
      <c r="X340" s="401" t="str">
        <f t="shared" si="545"/>
        <v xml:space="preserve"> </v>
      </c>
      <c r="Y340" s="185">
        <f t="shared" si="512"/>
        <v>12610205.050000003</v>
      </c>
      <c r="Z340" s="393">
        <f t="shared" si="537"/>
        <v>0.13125000000000001</v>
      </c>
      <c r="AA340" s="185">
        <f t="shared" si="538"/>
        <v>2810.15</v>
      </c>
      <c r="AB340" s="185">
        <f t="shared" si="513"/>
        <v>-135113.97</v>
      </c>
      <c r="AC340" s="185">
        <f t="shared" si="539"/>
        <v>137924.12</v>
      </c>
      <c r="AD340" s="185">
        <f t="shared" ref="AD340:AE340" si="558">+AD339</f>
        <v>134.16999999999999</v>
      </c>
      <c r="AE340" s="185">
        <f t="shared" si="558"/>
        <v>188.55</v>
      </c>
      <c r="AF340" s="185">
        <f t="shared" si="515"/>
        <v>3132.8699999999944</v>
      </c>
      <c r="AG340" s="185">
        <f t="shared" si="516"/>
        <v>-11759219.02</v>
      </c>
      <c r="AH340" s="185">
        <f t="shared" si="517"/>
        <v>13050660.569999991</v>
      </c>
      <c r="AI340" s="411">
        <f t="shared" si="505"/>
        <v>850714.69999999681</v>
      </c>
      <c r="AJ340" s="411">
        <f t="shared" si="458"/>
        <v>-12554512.580000002</v>
      </c>
      <c r="AK340" s="411">
        <f t="shared" si="506"/>
        <v>-11703797.880000005</v>
      </c>
      <c r="AL340" s="185">
        <f t="shared" si="518"/>
        <v>12745319.020000003</v>
      </c>
      <c r="AM340" s="317">
        <f t="shared" si="547"/>
        <v>27</v>
      </c>
      <c r="AN340" s="14">
        <f t="shared" si="507"/>
        <v>6591.25</v>
      </c>
      <c r="AO340" s="14">
        <f t="shared" si="477"/>
        <v>586281.44000000006</v>
      </c>
      <c r="AP340" s="14">
        <f t="shared" si="508"/>
        <v>2810.15</v>
      </c>
      <c r="AS340" s="14">
        <f t="shared" si="541"/>
        <v>6591.25</v>
      </c>
      <c r="AT340" s="14">
        <f t="shared" si="548"/>
        <v>2141675.69</v>
      </c>
      <c r="AU340" s="185">
        <f t="shared" si="549"/>
        <v>3324.112814112164</v>
      </c>
      <c r="AV340" s="185">
        <f t="shared" si="550"/>
        <v>742344.2384589779</v>
      </c>
    </row>
    <row r="341" spans="1:48">
      <c r="A341" s="401" t="str">
        <f t="shared" si="494"/>
        <v xml:space="preserve"> </v>
      </c>
      <c r="B341" s="185">
        <f t="shared" si="542"/>
        <v>0</v>
      </c>
      <c r="C341" s="14">
        <f t="shared" si="535"/>
        <v>0</v>
      </c>
      <c r="D341" s="14">
        <f t="shared" si="551"/>
        <v>0</v>
      </c>
      <c r="E341" s="14">
        <f t="shared" si="536"/>
        <v>0</v>
      </c>
      <c r="F341" s="14">
        <f t="shared" si="495"/>
        <v>0</v>
      </c>
      <c r="G341" s="14">
        <f t="shared" si="491"/>
        <v>0</v>
      </c>
      <c r="H341" s="14">
        <f t="shared" si="492"/>
        <v>0</v>
      </c>
      <c r="I341" s="185">
        <f t="shared" si="496"/>
        <v>0</v>
      </c>
      <c r="J341" s="185">
        <f t="shared" si="497"/>
        <v>0</v>
      </c>
      <c r="K341" s="185">
        <f t="shared" si="498"/>
        <v>0</v>
      </c>
      <c r="L341" s="317">
        <f t="shared" si="479"/>
        <v>27</v>
      </c>
      <c r="M341" s="317">
        <f t="shared" si="543"/>
        <v>325</v>
      </c>
      <c r="N341" s="185">
        <f t="shared" si="544"/>
        <v>190806.44000000053</v>
      </c>
      <c r="O341" s="185">
        <f t="shared" si="510"/>
        <v>6591.25</v>
      </c>
      <c r="P341" s="185">
        <f t="shared" si="552"/>
        <v>4504.3</v>
      </c>
      <c r="Q341" s="185">
        <f t="shared" si="511"/>
        <v>2086.9499999999998</v>
      </c>
      <c r="R341" s="185">
        <f t="shared" si="502"/>
        <v>134.16999999999999</v>
      </c>
      <c r="S341" s="185">
        <f t="shared" si="503"/>
        <v>188.55</v>
      </c>
      <c r="T341" s="185">
        <f t="shared" si="499"/>
        <v>6913.97</v>
      </c>
      <c r="U341" s="185">
        <f t="shared" si="553"/>
        <v>404322.85999999993</v>
      </c>
      <c r="V341" s="185">
        <f t="shared" si="554"/>
        <v>1744424.6399999987</v>
      </c>
      <c r="W341" s="185">
        <f t="shared" si="500"/>
        <v>186302.14000000054</v>
      </c>
      <c r="X341" s="401" t="str">
        <f t="shared" si="545"/>
        <v xml:space="preserve"> </v>
      </c>
      <c r="Y341" s="185">
        <f t="shared" si="512"/>
        <v>12745319.020000003</v>
      </c>
      <c r="Z341" s="393">
        <f t="shared" si="537"/>
        <v>0.13125000000000001</v>
      </c>
      <c r="AA341" s="185">
        <f t="shared" si="538"/>
        <v>2810.15</v>
      </c>
      <c r="AB341" s="185">
        <f t="shared" si="513"/>
        <v>-136591.78</v>
      </c>
      <c r="AC341" s="185">
        <f t="shared" si="539"/>
        <v>139401.93</v>
      </c>
      <c r="AD341" s="185">
        <f t="shared" ref="AD341:AE341" si="559">+AD340</f>
        <v>134.16999999999999</v>
      </c>
      <c r="AE341" s="185">
        <f t="shared" si="559"/>
        <v>188.55</v>
      </c>
      <c r="AF341" s="185">
        <f t="shared" si="515"/>
        <v>3132.8699999999944</v>
      </c>
      <c r="AG341" s="185">
        <f t="shared" si="516"/>
        <v>-11895810.799999999</v>
      </c>
      <c r="AH341" s="185">
        <f t="shared" si="517"/>
        <v>13190062.499999991</v>
      </c>
      <c r="AI341" s="411">
        <f t="shared" si="505"/>
        <v>854495.79999999679</v>
      </c>
      <c r="AJ341" s="411">
        <f t="shared" si="458"/>
        <v>-12695608.660000002</v>
      </c>
      <c r="AK341" s="411">
        <f t="shared" si="506"/>
        <v>-11841112.860000005</v>
      </c>
      <c r="AL341" s="185">
        <f t="shared" si="518"/>
        <v>12881910.800000003</v>
      </c>
      <c r="AM341" s="317">
        <f t="shared" si="547"/>
        <v>27</v>
      </c>
      <c r="AN341" s="14">
        <f t="shared" si="507"/>
        <v>6591.25</v>
      </c>
      <c r="AO341" s="14">
        <f t="shared" si="477"/>
        <v>581777.14000000013</v>
      </c>
      <c r="AP341" s="14">
        <f t="shared" si="508"/>
        <v>2810.15</v>
      </c>
      <c r="AS341" s="14">
        <f t="shared" si="541"/>
        <v>6591.25</v>
      </c>
      <c r="AT341" s="14">
        <f t="shared" si="548"/>
        <v>2148266.94</v>
      </c>
      <c r="AU341" s="185">
        <f t="shared" si="549"/>
        <v>3332.4230961474445</v>
      </c>
      <c r="AV341" s="185">
        <f t="shared" si="550"/>
        <v>745676.66155512538</v>
      </c>
    </row>
    <row r="342" spans="1:48">
      <c r="A342" s="401" t="str">
        <f t="shared" si="494"/>
        <v xml:space="preserve"> </v>
      </c>
      <c r="B342" s="185">
        <f t="shared" si="542"/>
        <v>0</v>
      </c>
      <c r="C342" s="14">
        <f t="shared" si="535"/>
        <v>0</v>
      </c>
      <c r="D342" s="14">
        <f t="shared" si="551"/>
        <v>0</v>
      </c>
      <c r="E342" s="14">
        <f t="shared" si="536"/>
        <v>0</v>
      </c>
      <c r="F342" s="14">
        <f t="shared" si="495"/>
        <v>0</v>
      </c>
      <c r="G342" s="14">
        <f t="shared" si="491"/>
        <v>0</v>
      </c>
      <c r="H342" s="14">
        <f t="shared" si="492"/>
        <v>0</v>
      </c>
      <c r="I342" s="185">
        <f t="shared" si="496"/>
        <v>0</v>
      </c>
      <c r="J342" s="185">
        <f t="shared" si="497"/>
        <v>0</v>
      </c>
      <c r="K342" s="185">
        <f t="shared" si="498"/>
        <v>0</v>
      </c>
      <c r="L342" s="317">
        <f t="shared" si="479"/>
        <v>27</v>
      </c>
      <c r="M342" s="317">
        <f t="shared" si="543"/>
        <v>326</v>
      </c>
      <c r="N342" s="185">
        <f t="shared" si="544"/>
        <v>186302.14000000054</v>
      </c>
      <c r="O342" s="185">
        <f t="shared" si="510"/>
        <v>6591.25</v>
      </c>
      <c r="P342" s="185">
        <f t="shared" si="552"/>
        <v>4553.57</v>
      </c>
      <c r="Q342" s="185">
        <f t="shared" si="511"/>
        <v>2037.68</v>
      </c>
      <c r="R342" s="185">
        <f t="shared" si="502"/>
        <v>134.16999999999999</v>
      </c>
      <c r="S342" s="185">
        <f t="shared" si="503"/>
        <v>188.55</v>
      </c>
      <c r="T342" s="185">
        <f t="shared" si="499"/>
        <v>6913.97</v>
      </c>
      <c r="U342" s="185">
        <f t="shared" si="553"/>
        <v>408876.42999999993</v>
      </c>
      <c r="V342" s="185">
        <f t="shared" si="554"/>
        <v>1746462.3199999987</v>
      </c>
      <c r="W342" s="185">
        <f t="shared" si="500"/>
        <v>181748.57000000053</v>
      </c>
      <c r="X342" s="401" t="str">
        <f t="shared" si="545"/>
        <v xml:space="preserve"> </v>
      </c>
      <c r="Y342" s="185">
        <f t="shared" si="512"/>
        <v>12881910.800000003</v>
      </c>
      <c r="Z342" s="393">
        <f t="shared" si="537"/>
        <v>0.13125000000000001</v>
      </c>
      <c r="AA342" s="185">
        <f t="shared" si="538"/>
        <v>2810.15</v>
      </c>
      <c r="AB342" s="185">
        <f t="shared" si="513"/>
        <v>-138085.75</v>
      </c>
      <c r="AC342" s="185">
        <f t="shared" si="539"/>
        <v>140895.9</v>
      </c>
      <c r="AD342" s="185">
        <f t="shared" ref="AD342:AE342" si="560">+AD341</f>
        <v>134.16999999999999</v>
      </c>
      <c r="AE342" s="185">
        <f t="shared" si="560"/>
        <v>188.55</v>
      </c>
      <c r="AF342" s="185">
        <f t="shared" si="515"/>
        <v>3132.8699999999944</v>
      </c>
      <c r="AG342" s="185">
        <f t="shared" si="516"/>
        <v>-12033896.549999999</v>
      </c>
      <c r="AH342" s="185">
        <f t="shared" si="517"/>
        <v>13330958.399999991</v>
      </c>
      <c r="AI342" s="411">
        <f t="shared" si="505"/>
        <v>858276.89999999676</v>
      </c>
      <c r="AJ342" s="411">
        <f t="shared" si="458"/>
        <v>-12838247.980000002</v>
      </c>
      <c r="AK342" s="411">
        <f t="shared" si="506"/>
        <v>-11979971.080000006</v>
      </c>
      <c r="AL342" s="185">
        <f t="shared" si="518"/>
        <v>13019996.550000003</v>
      </c>
      <c r="AM342" s="317">
        <f t="shared" si="547"/>
        <v>27</v>
      </c>
      <c r="AN342" s="14">
        <f t="shared" si="507"/>
        <v>6591.25</v>
      </c>
      <c r="AO342" s="14">
        <f t="shared" si="477"/>
        <v>577223.57000000007</v>
      </c>
      <c r="AP342" s="14">
        <f t="shared" si="508"/>
        <v>2810.15</v>
      </c>
      <c r="AS342" s="14">
        <f t="shared" si="541"/>
        <v>6591.25</v>
      </c>
      <c r="AT342" s="14">
        <f t="shared" si="548"/>
        <v>2154858.19</v>
      </c>
      <c r="AU342" s="185">
        <f t="shared" si="549"/>
        <v>3340.7541538878136</v>
      </c>
      <c r="AV342" s="185">
        <f t="shared" si="550"/>
        <v>749017.41570901324</v>
      </c>
    </row>
    <row r="343" spans="1:48">
      <c r="A343" s="401" t="str">
        <f t="shared" si="494"/>
        <v xml:space="preserve"> </v>
      </c>
      <c r="B343" s="185">
        <f t="shared" si="542"/>
        <v>0</v>
      </c>
      <c r="C343" s="14">
        <f t="shared" si="535"/>
        <v>0</v>
      </c>
      <c r="D343" s="14">
        <f t="shared" si="551"/>
        <v>0</v>
      </c>
      <c r="E343" s="14">
        <f t="shared" si="536"/>
        <v>0</v>
      </c>
      <c r="F343" s="14">
        <f t="shared" si="495"/>
        <v>0</v>
      </c>
      <c r="G343" s="14">
        <f t="shared" si="491"/>
        <v>0</v>
      </c>
      <c r="H343" s="14">
        <f t="shared" si="492"/>
        <v>0</v>
      </c>
      <c r="I343" s="185">
        <f t="shared" si="496"/>
        <v>0</v>
      </c>
      <c r="J343" s="185">
        <f t="shared" si="497"/>
        <v>0</v>
      </c>
      <c r="K343" s="185">
        <f t="shared" si="498"/>
        <v>0</v>
      </c>
      <c r="L343" s="317">
        <f t="shared" si="479"/>
        <v>27</v>
      </c>
      <c r="M343" s="317">
        <f t="shared" si="543"/>
        <v>327</v>
      </c>
      <c r="N343" s="185">
        <f t="shared" si="544"/>
        <v>181748.57000000053</v>
      </c>
      <c r="O343" s="185">
        <f t="shared" si="510"/>
        <v>6591.25</v>
      </c>
      <c r="P343" s="185">
        <f t="shared" si="552"/>
        <v>4603.38</v>
      </c>
      <c r="Q343" s="185">
        <f t="shared" si="511"/>
        <v>1987.87</v>
      </c>
      <c r="R343" s="185">
        <f t="shared" si="502"/>
        <v>134.16999999999999</v>
      </c>
      <c r="S343" s="185">
        <f t="shared" si="503"/>
        <v>188.55</v>
      </c>
      <c r="T343" s="185">
        <f t="shared" si="499"/>
        <v>6913.97</v>
      </c>
      <c r="U343" s="185">
        <f t="shared" si="553"/>
        <v>413479.80999999994</v>
      </c>
      <c r="V343" s="185">
        <f t="shared" si="554"/>
        <v>1748450.1899999988</v>
      </c>
      <c r="W343" s="185">
        <f t="shared" si="500"/>
        <v>177145.19000000053</v>
      </c>
      <c r="X343" s="401" t="str">
        <f t="shared" si="545"/>
        <v xml:space="preserve"> </v>
      </c>
      <c r="Y343" s="185">
        <f t="shared" si="512"/>
        <v>13019996.550000003</v>
      </c>
      <c r="Z343" s="393">
        <f t="shared" si="537"/>
        <v>0.13125000000000001</v>
      </c>
      <c r="AA343" s="185">
        <f t="shared" si="538"/>
        <v>2810.15</v>
      </c>
      <c r="AB343" s="185">
        <f t="shared" si="513"/>
        <v>-139596.06</v>
      </c>
      <c r="AC343" s="185">
        <f t="shared" si="539"/>
        <v>142406.21</v>
      </c>
      <c r="AD343" s="185">
        <f t="shared" ref="AD343:AE343" si="561">+AD342</f>
        <v>134.16999999999999</v>
      </c>
      <c r="AE343" s="185">
        <f t="shared" si="561"/>
        <v>188.55</v>
      </c>
      <c r="AF343" s="185">
        <f t="shared" si="515"/>
        <v>3132.8699999999944</v>
      </c>
      <c r="AG343" s="185">
        <f t="shared" si="516"/>
        <v>-12173492.609999999</v>
      </c>
      <c r="AH343" s="185">
        <f t="shared" si="517"/>
        <v>13473364.609999992</v>
      </c>
      <c r="AI343" s="411">
        <f t="shared" si="505"/>
        <v>862057.99999999674</v>
      </c>
      <c r="AJ343" s="411">
        <f t="shared" si="458"/>
        <v>-12982447.420000002</v>
      </c>
      <c r="AK343" s="411">
        <f t="shared" si="506"/>
        <v>-12120389.420000006</v>
      </c>
      <c r="AL343" s="185">
        <f t="shared" si="518"/>
        <v>13159592.610000003</v>
      </c>
      <c r="AM343" s="317">
        <f t="shared" si="547"/>
        <v>27</v>
      </c>
      <c r="AN343" s="14">
        <f t="shared" si="507"/>
        <v>6591.25</v>
      </c>
      <c r="AO343" s="14">
        <f t="shared" si="477"/>
        <v>572620.19000000006</v>
      </c>
      <c r="AP343" s="14">
        <f t="shared" si="508"/>
        <v>2810.15</v>
      </c>
      <c r="AS343" s="14">
        <f t="shared" si="541"/>
        <v>6591.25</v>
      </c>
      <c r="AT343" s="14">
        <f t="shared" si="548"/>
        <v>2161449.44</v>
      </c>
      <c r="AU343" s="185">
        <f t="shared" si="549"/>
        <v>3349.1060392725326</v>
      </c>
      <c r="AV343" s="185">
        <f t="shared" si="550"/>
        <v>752366.52174828574</v>
      </c>
    </row>
    <row r="344" spans="1:48">
      <c r="A344" s="401" t="str">
        <f t="shared" si="494"/>
        <v xml:space="preserve"> </v>
      </c>
      <c r="B344" s="185">
        <f t="shared" si="542"/>
        <v>0</v>
      </c>
      <c r="C344" s="14">
        <f t="shared" si="535"/>
        <v>0</v>
      </c>
      <c r="D344" s="14">
        <f t="shared" si="551"/>
        <v>0</v>
      </c>
      <c r="E344" s="14">
        <f t="shared" si="536"/>
        <v>0</v>
      </c>
      <c r="F344" s="14">
        <f t="shared" si="495"/>
        <v>0</v>
      </c>
      <c r="G344" s="14">
        <f t="shared" si="491"/>
        <v>0</v>
      </c>
      <c r="H344" s="14">
        <f t="shared" si="492"/>
        <v>0</v>
      </c>
      <c r="I344" s="185">
        <f t="shared" si="496"/>
        <v>0</v>
      </c>
      <c r="J344" s="185">
        <f t="shared" si="497"/>
        <v>0</v>
      </c>
      <c r="K344" s="185">
        <f t="shared" si="498"/>
        <v>0</v>
      </c>
      <c r="L344" s="317">
        <f t="shared" si="479"/>
        <v>27</v>
      </c>
      <c r="M344" s="317">
        <f t="shared" si="543"/>
        <v>328</v>
      </c>
      <c r="N344" s="185">
        <f t="shared" si="544"/>
        <v>177145.19000000053</v>
      </c>
      <c r="O344" s="185">
        <f t="shared" si="510"/>
        <v>6591.25</v>
      </c>
      <c r="P344" s="185">
        <f t="shared" si="552"/>
        <v>4653.72</v>
      </c>
      <c r="Q344" s="185">
        <f t="shared" si="511"/>
        <v>1937.53</v>
      </c>
      <c r="R344" s="185">
        <f t="shared" si="502"/>
        <v>134.16999999999999</v>
      </c>
      <c r="S344" s="185">
        <f t="shared" si="503"/>
        <v>188.55</v>
      </c>
      <c r="T344" s="185">
        <f t="shared" si="499"/>
        <v>6913.97</v>
      </c>
      <c r="U344" s="185">
        <f t="shared" si="553"/>
        <v>418133.52999999991</v>
      </c>
      <c r="V344" s="185">
        <f t="shared" si="554"/>
        <v>1750387.7199999988</v>
      </c>
      <c r="W344" s="185">
        <f t="shared" si="500"/>
        <v>172491.47000000053</v>
      </c>
      <c r="X344" s="401" t="str">
        <f t="shared" si="545"/>
        <v xml:space="preserve"> </v>
      </c>
      <c r="Y344" s="185">
        <f t="shared" si="512"/>
        <v>13159592.610000003</v>
      </c>
      <c r="Z344" s="393">
        <f t="shared" si="537"/>
        <v>0.13125000000000001</v>
      </c>
      <c r="AA344" s="185">
        <f t="shared" si="538"/>
        <v>2810.15</v>
      </c>
      <c r="AB344" s="185">
        <f t="shared" si="513"/>
        <v>-141122.89000000001</v>
      </c>
      <c r="AC344" s="185">
        <f t="shared" si="539"/>
        <v>143933.04</v>
      </c>
      <c r="AD344" s="185">
        <f t="shared" ref="AD344:AE344" si="562">+AD343</f>
        <v>134.16999999999999</v>
      </c>
      <c r="AE344" s="185">
        <f t="shared" si="562"/>
        <v>188.55</v>
      </c>
      <c r="AF344" s="185">
        <f t="shared" si="515"/>
        <v>3132.8699999999944</v>
      </c>
      <c r="AG344" s="185">
        <f t="shared" si="516"/>
        <v>-12314615.5</v>
      </c>
      <c r="AH344" s="185">
        <f t="shared" si="517"/>
        <v>13617297.649999991</v>
      </c>
      <c r="AI344" s="411">
        <f t="shared" si="505"/>
        <v>865839.09999999672</v>
      </c>
      <c r="AJ344" s="411">
        <f t="shared" si="458"/>
        <v>-13128224.030000003</v>
      </c>
      <c r="AK344" s="411">
        <f t="shared" si="506"/>
        <v>-12262384.930000007</v>
      </c>
      <c r="AL344" s="185">
        <f t="shared" si="518"/>
        <v>13300715.500000004</v>
      </c>
      <c r="AM344" s="317">
        <f t="shared" si="547"/>
        <v>27</v>
      </c>
      <c r="AN344" s="14">
        <f t="shared" si="507"/>
        <v>6591.25</v>
      </c>
      <c r="AO344" s="14">
        <f t="shared" si="477"/>
        <v>567966.47000000009</v>
      </c>
      <c r="AP344" s="14">
        <f t="shared" si="508"/>
        <v>2810.15</v>
      </c>
      <c r="AS344" s="14">
        <f t="shared" si="541"/>
        <v>6591.25</v>
      </c>
      <c r="AT344" s="14">
        <f t="shared" si="548"/>
        <v>2168040.69</v>
      </c>
      <c r="AU344" s="185">
        <f t="shared" si="549"/>
        <v>3357.478804370714</v>
      </c>
      <c r="AV344" s="185">
        <f t="shared" si="550"/>
        <v>755724.00055265648</v>
      </c>
    </row>
    <row r="345" spans="1:48">
      <c r="A345" s="401" t="str">
        <f t="shared" si="494"/>
        <v xml:space="preserve"> </v>
      </c>
      <c r="B345" s="185">
        <f t="shared" si="542"/>
        <v>0</v>
      </c>
      <c r="C345" s="14">
        <f t="shared" si="535"/>
        <v>0</v>
      </c>
      <c r="D345" s="14">
        <f t="shared" si="551"/>
        <v>0</v>
      </c>
      <c r="E345" s="14">
        <f t="shared" si="536"/>
        <v>0</v>
      </c>
      <c r="F345" s="14">
        <f t="shared" si="495"/>
        <v>0</v>
      </c>
      <c r="G345" s="14">
        <f t="shared" si="491"/>
        <v>0</v>
      </c>
      <c r="H345" s="14">
        <f t="shared" si="492"/>
        <v>0</v>
      </c>
      <c r="I345" s="185">
        <f t="shared" si="496"/>
        <v>0</v>
      </c>
      <c r="J345" s="185">
        <f t="shared" si="497"/>
        <v>0</v>
      </c>
      <c r="K345" s="185">
        <f t="shared" si="498"/>
        <v>0</v>
      </c>
      <c r="L345" s="317">
        <f t="shared" si="479"/>
        <v>27</v>
      </c>
      <c r="M345" s="317">
        <f t="shared" si="543"/>
        <v>329</v>
      </c>
      <c r="N345" s="185">
        <f t="shared" si="544"/>
        <v>172491.47000000053</v>
      </c>
      <c r="O345" s="185">
        <f t="shared" si="510"/>
        <v>6591.25</v>
      </c>
      <c r="P345" s="185">
        <f t="shared" si="552"/>
        <v>4704.62</v>
      </c>
      <c r="Q345" s="185">
        <f t="shared" si="511"/>
        <v>1886.63</v>
      </c>
      <c r="R345" s="185">
        <f t="shared" si="502"/>
        <v>134.16999999999999</v>
      </c>
      <c r="S345" s="185">
        <f t="shared" si="503"/>
        <v>188.55</v>
      </c>
      <c r="T345" s="185">
        <f t="shared" si="499"/>
        <v>6913.97</v>
      </c>
      <c r="U345" s="185">
        <f t="shared" si="553"/>
        <v>422838.14999999991</v>
      </c>
      <c r="V345" s="185">
        <f t="shared" si="554"/>
        <v>1752274.3499999987</v>
      </c>
      <c r="W345" s="185">
        <f t="shared" si="500"/>
        <v>167786.85000000053</v>
      </c>
      <c r="X345" s="401" t="str">
        <f t="shared" si="545"/>
        <v xml:space="preserve"> </v>
      </c>
      <c r="Y345" s="185">
        <f t="shared" si="512"/>
        <v>13300715.500000004</v>
      </c>
      <c r="Z345" s="393">
        <f t="shared" si="537"/>
        <v>0.13125000000000001</v>
      </c>
      <c r="AA345" s="185">
        <f t="shared" si="538"/>
        <v>2810.15</v>
      </c>
      <c r="AB345" s="185">
        <f t="shared" si="513"/>
        <v>-142666.43</v>
      </c>
      <c r="AC345" s="185">
        <f t="shared" si="539"/>
        <v>145476.57999999999</v>
      </c>
      <c r="AD345" s="185">
        <f t="shared" ref="AD345:AE345" si="563">+AD344</f>
        <v>134.16999999999999</v>
      </c>
      <c r="AE345" s="185">
        <f t="shared" si="563"/>
        <v>188.55</v>
      </c>
      <c r="AF345" s="185">
        <f t="shared" si="515"/>
        <v>3132.8699999999944</v>
      </c>
      <c r="AG345" s="185">
        <f t="shared" si="516"/>
        <v>-12457281.93</v>
      </c>
      <c r="AH345" s="185">
        <f t="shared" si="517"/>
        <v>13762774.229999991</v>
      </c>
      <c r="AI345" s="411">
        <f t="shared" si="505"/>
        <v>869620.19999999669</v>
      </c>
      <c r="AJ345" s="411">
        <f t="shared" si="458"/>
        <v>-13275595.080000004</v>
      </c>
      <c r="AK345" s="411">
        <f t="shared" si="506"/>
        <v>-12405974.880000006</v>
      </c>
      <c r="AL345" s="185">
        <f t="shared" si="518"/>
        <v>13443381.930000003</v>
      </c>
      <c r="AM345" s="317">
        <f t="shared" si="547"/>
        <v>27</v>
      </c>
      <c r="AN345" s="14">
        <f t="shared" si="507"/>
        <v>6591.25</v>
      </c>
      <c r="AO345" s="14">
        <f t="shared" si="477"/>
        <v>563261.85000000009</v>
      </c>
      <c r="AP345" s="14">
        <f t="shared" si="508"/>
        <v>2810.15</v>
      </c>
      <c r="AS345" s="14">
        <f t="shared" si="541"/>
        <v>6591.25</v>
      </c>
      <c r="AT345" s="14">
        <f t="shared" si="548"/>
        <v>2174631.94</v>
      </c>
      <c r="AU345" s="185">
        <f t="shared" si="549"/>
        <v>3365.8725013816415</v>
      </c>
      <c r="AV345" s="185">
        <f t="shared" si="550"/>
        <v>759089.87305403815</v>
      </c>
    </row>
    <row r="346" spans="1:48">
      <c r="A346" s="401" t="str">
        <f t="shared" si="494"/>
        <v xml:space="preserve"> </v>
      </c>
      <c r="B346" s="185">
        <f t="shared" si="542"/>
        <v>0</v>
      </c>
      <c r="C346" s="14">
        <f t="shared" si="535"/>
        <v>0</v>
      </c>
      <c r="D346" s="14">
        <f t="shared" si="551"/>
        <v>0</v>
      </c>
      <c r="E346" s="14">
        <f t="shared" si="536"/>
        <v>0</v>
      </c>
      <c r="F346" s="14">
        <f t="shared" si="495"/>
        <v>0</v>
      </c>
      <c r="G346" s="14">
        <f t="shared" si="491"/>
        <v>0</v>
      </c>
      <c r="H346" s="14">
        <f t="shared" si="492"/>
        <v>0</v>
      </c>
      <c r="I346" s="185">
        <f t="shared" si="496"/>
        <v>0</v>
      </c>
      <c r="J346" s="185">
        <f t="shared" si="497"/>
        <v>0</v>
      </c>
      <c r="K346" s="185">
        <f t="shared" si="498"/>
        <v>0</v>
      </c>
      <c r="L346" s="317">
        <f t="shared" si="479"/>
        <v>27</v>
      </c>
      <c r="M346" s="317">
        <f t="shared" si="543"/>
        <v>330</v>
      </c>
      <c r="N346" s="185">
        <f t="shared" si="544"/>
        <v>167786.85000000053</v>
      </c>
      <c r="O346" s="185">
        <f t="shared" si="510"/>
        <v>6591.25</v>
      </c>
      <c r="P346" s="185">
        <f t="shared" si="552"/>
        <v>4756.08</v>
      </c>
      <c r="Q346" s="185">
        <f t="shared" si="511"/>
        <v>1835.17</v>
      </c>
      <c r="R346" s="185">
        <f t="shared" si="502"/>
        <v>134.16999999999999</v>
      </c>
      <c r="S346" s="185">
        <f t="shared" si="503"/>
        <v>188.55</v>
      </c>
      <c r="T346" s="185">
        <f t="shared" si="499"/>
        <v>6913.97</v>
      </c>
      <c r="U346" s="185">
        <f t="shared" si="553"/>
        <v>427594.22999999992</v>
      </c>
      <c r="V346" s="185">
        <f t="shared" si="554"/>
        <v>1754109.5199999986</v>
      </c>
      <c r="W346" s="185">
        <f t="shared" si="500"/>
        <v>163030.77000000054</v>
      </c>
      <c r="X346" s="401" t="str">
        <f t="shared" si="545"/>
        <v xml:space="preserve"> </v>
      </c>
      <c r="Y346" s="185">
        <f t="shared" si="512"/>
        <v>13443381.930000003</v>
      </c>
      <c r="Z346" s="393">
        <f t="shared" si="537"/>
        <v>0.13125000000000001</v>
      </c>
      <c r="AA346" s="185">
        <f t="shared" si="538"/>
        <v>2810.15</v>
      </c>
      <c r="AB346" s="185">
        <f t="shared" si="513"/>
        <v>-144226.84</v>
      </c>
      <c r="AC346" s="185">
        <f t="shared" si="539"/>
        <v>147036.99</v>
      </c>
      <c r="AD346" s="185">
        <f t="shared" ref="AD346:AE346" si="564">+AD345</f>
        <v>134.16999999999999</v>
      </c>
      <c r="AE346" s="185">
        <f t="shared" si="564"/>
        <v>188.55</v>
      </c>
      <c r="AF346" s="185">
        <f t="shared" si="515"/>
        <v>3132.8699999999944</v>
      </c>
      <c r="AG346" s="185">
        <f t="shared" si="516"/>
        <v>-12601508.77</v>
      </c>
      <c r="AH346" s="185">
        <f t="shared" si="517"/>
        <v>13909811.219999991</v>
      </c>
      <c r="AI346" s="411">
        <f t="shared" si="505"/>
        <v>873401.29999999667</v>
      </c>
      <c r="AJ346" s="411">
        <f t="shared" si="458"/>
        <v>-13424578.000000002</v>
      </c>
      <c r="AK346" s="411">
        <f t="shared" si="506"/>
        <v>-12551176.700000005</v>
      </c>
      <c r="AL346" s="185">
        <f t="shared" si="518"/>
        <v>13587608.770000003</v>
      </c>
      <c r="AM346" s="317">
        <f t="shared" si="547"/>
        <v>27</v>
      </c>
      <c r="AN346" s="14">
        <f t="shared" si="507"/>
        <v>6591.25</v>
      </c>
      <c r="AO346" s="14">
        <f t="shared" si="477"/>
        <v>558505.77</v>
      </c>
      <c r="AP346" s="14">
        <f t="shared" si="508"/>
        <v>2810.15</v>
      </c>
      <c r="AS346" s="14">
        <f t="shared" si="541"/>
        <v>6591.25</v>
      </c>
      <c r="AT346" s="14">
        <f t="shared" si="548"/>
        <v>2181223.19</v>
      </c>
      <c r="AU346" s="185">
        <f t="shared" si="549"/>
        <v>3374.2871826350952</v>
      </c>
      <c r="AV346" s="185">
        <f t="shared" si="550"/>
        <v>762464.1602366732</v>
      </c>
    </row>
    <row r="347" spans="1:48">
      <c r="A347" s="401" t="str">
        <f t="shared" si="494"/>
        <v xml:space="preserve"> </v>
      </c>
      <c r="B347" s="185">
        <f t="shared" si="542"/>
        <v>0</v>
      </c>
      <c r="C347" s="14">
        <f t="shared" si="535"/>
        <v>0</v>
      </c>
      <c r="D347" s="14">
        <f t="shared" si="551"/>
        <v>0</v>
      </c>
      <c r="E347" s="14">
        <f t="shared" si="536"/>
        <v>0</v>
      </c>
      <c r="F347" s="14">
        <f t="shared" si="495"/>
        <v>0</v>
      </c>
      <c r="G347" s="14">
        <f t="shared" si="491"/>
        <v>0</v>
      </c>
      <c r="H347" s="14">
        <f t="shared" si="492"/>
        <v>0</v>
      </c>
      <c r="I347" s="185">
        <f t="shared" si="496"/>
        <v>0</v>
      </c>
      <c r="J347" s="185">
        <f t="shared" si="497"/>
        <v>0</v>
      </c>
      <c r="K347" s="185">
        <f t="shared" si="498"/>
        <v>0</v>
      </c>
      <c r="L347" s="317">
        <f t="shared" si="479"/>
        <v>27</v>
      </c>
      <c r="M347" s="317">
        <f t="shared" si="543"/>
        <v>331</v>
      </c>
      <c r="N347" s="185">
        <f t="shared" si="544"/>
        <v>163030.77000000054</v>
      </c>
      <c r="O347" s="185">
        <f t="shared" si="510"/>
        <v>6591.25</v>
      </c>
      <c r="P347" s="185">
        <f t="shared" si="552"/>
        <v>4808.1000000000004</v>
      </c>
      <c r="Q347" s="185">
        <f t="shared" si="511"/>
        <v>1783.15</v>
      </c>
      <c r="R347" s="185">
        <f t="shared" si="502"/>
        <v>134.16999999999999</v>
      </c>
      <c r="S347" s="185">
        <f t="shared" si="503"/>
        <v>188.55</v>
      </c>
      <c r="T347" s="185">
        <f t="shared" si="499"/>
        <v>6913.97</v>
      </c>
      <c r="U347" s="185">
        <f t="shared" si="553"/>
        <v>432402.3299999999</v>
      </c>
      <c r="V347" s="185">
        <f t="shared" si="554"/>
        <v>1755892.6699999985</v>
      </c>
      <c r="W347" s="185">
        <f t="shared" si="500"/>
        <v>158222.67000000054</v>
      </c>
      <c r="X347" s="401" t="str">
        <f t="shared" si="545"/>
        <v xml:space="preserve"> </v>
      </c>
      <c r="Y347" s="185">
        <f t="shared" si="512"/>
        <v>13587608.770000003</v>
      </c>
      <c r="Z347" s="393">
        <f t="shared" si="537"/>
        <v>0.13125000000000001</v>
      </c>
      <c r="AA347" s="185">
        <f t="shared" si="538"/>
        <v>2810.15</v>
      </c>
      <c r="AB347" s="185">
        <f t="shared" si="513"/>
        <v>-145804.32</v>
      </c>
      <c r="AC347" s="185">
        <f t="shared" si="539"/>
        <v>148614.47</v>
      </c>
      <c r="AD347" s="185">
        <f t="shared" ref="AD347:AE347" si="565">+AD346</f>
        <v>134.16999999999999</v>
      </c>
      <c r="AE347" s="185">
        <f t="shared" si="565"/>
        <v>188.55</v>
      </c>
      <c r="AF347" s="185">
        <f t="shared" si="515"/>
        <v>3132.8699999999944</v>
      </c>
      <c r="AG347" s="185">
        <f t="shared" si="516"/>
        <v>-12747313.09</v>
      </c>
      <c r="AH347" s="185">
        <f t="shared" si="517"/>
        <v>14058425.689999992</v>
      </c>
      <c r="AI347" s="411">
        <f t="shared" si="505"/>
        <v>877182.39999999665</v>
      </c>
      <c r="AJ347" s="411">
        <f t="shared" ref="AJ347:AJ410" si="566">+W347-AL347</f>
        <v>-13575190.420000004</v>
      </c>
      <c r="AK347" s="411">
        <f t="shared" si="506"/>
        <v>-12698008.020000007</v>
      </c>
      <c r="AL347" s="185">
        <f t="shared" si="518"/>
        <v>13733413.090000004</v>
      </c>
      <c r="AM347" s="317">
        <f t="shared" si="547"/>
        <v>27</v>
      </c>
      <c r="AN347" s="14">
        <f t="shared" si="507"/>
        <v>6591.25</v>
      </c>
      <c r="AO347" s="14">
        <f t="shared" si="477"/>
        <v>553697.67000000016</v>
      </c>
      <c r="AP347" s="14">
        <f t="shared" si="508"/>
        <v>2810.15</v>
      </c>
      <c r="AS347" s="14">
        <f t="shared" si="541"/>
        <v>6591.25</v>
      </c>
      <c r="AT347" s="14">
        <f t="shared" si="548"/>
        <v>2187814.44</v>
      </c>
      <c r="AU347" s="185">
        <f t="shared" si="549"/>
        <v>3382.7229005916829</v>
      </c>
      <c r="AV347" s="185">
        <f t="shared" si="550"/>
        <v>765846.88313726487</v>
      </c>
    </row>
    <row r="348" spans="1:48">
      <c r="A348" s="401" t="str">
        <f t="shared" si="494"/>
        <v xml:space="preserve"> </v>
      </c>
      <c r="B348" s="185">
        <f t="shared" si="542"/>
        <v>0</v>
      </c>
      <c r="C348" s="14">
        <f t="shared" si="535"/>
        <v>0</v>
      </c>
      <c r="D348" s="14">
        <f t="shared" si="551"/>
        <v>0</v>
      </c>
      <c r="E348" s="14">
        <f t="shared" si="536"/>
        <v>0</v>
      </c>
      <c r="F348" s="14">
        <f t="shared" si="495"/>
        <v>0</v>
      </c>
      <c r="G348" s="14">
        <f t="shared" si="491"/>
        <v>0</v>
      </c>
      <c r="H348" s="14">
        <f t="shared" si="492"/>
        <v>0</v>
      </c>
      <c r="I348" s="185">
        <f t="shared" si="496"/>
        <v>0</v>
      </c>
      <c r="J348" s="185">
        <f t="shared" si="497"/>
        <v>0</v>
      </c>
      <c r="K348" s="185">
        <f t="shared" si="498"/>
        <v>0</v>
      </c>
      <c r="L348" s="317">
        <f t="shared" si="479"/>
        <v>27</v>
      </c>
      <c r="M348" s="317">
        <f t="shared" si="543"/>
        <v>332</v>
      </c>
      <c r="N348" s="185">
        <f t="shared" si="544"/>
        <v>158222.67000000054</v>
      </c>
      <c r="O348" s="185">
        <f t="shared" si="510"/>
        <v>6591.25</v>
      </c>
      <c r="P348" s="185">
        <f t="shared" si="552"/>
        <v>4860.6900000000005</v>
      </c>
      <c r="Q348" s="185">
        <f t="shared" si="511"/>
        <v>1730.56</v>
      </c>
      <c r="R348" s="185">
        <f t="shared" si="502"/>
        <v>134.16999999999999</v>
      </c>
      <c r="S348" s="185">
        <f t="shared" si="503"/>
        <v>188.55</v>
      </c>
      <c r="T348" s="185">
        <f t="shared" si="499"/>
        <v>6913.97</v>
      </c>
      <c r="U348" s="185">
        <f t="shared" si="553"/>
        <v>437263.0199999999</v>
      </c>
      <c r="V348" s="185">
        <f t="shared" si="554"/>
        <v>1757623.2299999986</v>
      </c>
      <c r="W348" s="185">
        <f t="shared" si="500"/>
        <v>153361.98000000053</v>
      </c>
      <c r="X348" s="401" t="str">
        <f t="shared" si="545"/>
        <v xml:space="preserve"> </v>
      </c>
      <c r="Y348" s="185">
        <f t="shared" si="512"/>
        <v>13733413.090000004</v>
      </c>
      <c r="Z348" s="393">
        <f t="shared" si="537"/>
        <v>0.13125000000000001</v>
      </c>
      <c r="AA348" s="185">
        <f t="shared" si="538"/>
        <v>2810.15</v>
      </c>
      <c r="AB348" s="185">
        <f t="shared" si="513"/>
        <v>-147399.06</v>
      </c>
      <c r="AC348" s="185">
        <f t="shared" si="539"/>
        <v>150209.21</v>
      </c>
      <c r="AD348" s="185">
        <f t="shared" ref="AD348:AE348" si="567">+AD347</f>
        <v>134.16999999999999</v>
      </c>
      <c r="AE348" s="185">
        <f t="shared" si="567"/>
        <v>188.55</v>
      </c>
      <c r="AF348" s="185">
        <f t="shared" si="515"/>
        <v>3132.8699999999944</v>
      </c>
      <c r="AG348" s="185">
        <f t="shared" si="516"/>
        <v>-12894712.15</v>
      </c>
      <c r="AH348" s="185">
        <f t="shared" si="517"/>
        <v>14208634.899999993</v>
      </c>
      <c r="AI348" s="411">
        <f t="shared" si="505"/>
        <v>880963.49999999662</v>
      </c>
      <c r="AJ348" s="411">
        <f t="shared" si="566"/>
        <v>-13727450.170000004</v>
      </c>
      <c r="AK348" s="411">
        <f t="shared" si="506"/>
        <v>-12846486.670000007</v>
      </c>
      <c r="AL348" s="185">
        <f t="shared" si="518"/>
        <v>13880812.150000004</v>
      </c>
      <c r="AM348" s="317">
        <f t="shared" si="547"/>
        <v>27</v>
      </c>
      <c r="AN348" s="14">
        <f t="shared" si="507"/>
        <v>6591.25</v>
      </c>
      <c r="AO348" s="14">
        <f t="shared" si="477"/>
        <v>548836.9800000001</v>
      </c>
      <c r="AP348" s="14">
        <f t="shared" si="508"/>
        <v>2810.15</v>
      </c>
      <c r="AS348" s="14">
        <f t="shared" si="541"/>
        <v>6591.25</v>
      </c>
      <c r="AT348" s="14">
        <f t="shared" si="548"/>
        <v>2194405.69</v>
      </c>
      <c r="AU348" s="185">
        <f t="shared" si="549"/>
        <v>3391.1797078431614</v>
      </c>
      <c r="AV348" s="185">
        <f t="shared" si="550"/>
        <v>769238.06284510798</v>
      </c>
    </row>
    <row r="349" spans="1:48">
      <c r="A349" s="401" t="str">
        <f t="shared" si="494"/>
        <v xml:space="preserve"> </v>
      </c>
      <c r="B349" s="185">
        <f t="shared" si="542"/>
        <v>0</v>
      </c>
      <c r="C349" s="14">
        <f t="shared" si="535"/>
        <v>0</v>
      </c>
      <c r="D349" s="14">
        <f t="shared" si="551"/>
        <v>0</v>
      </c>
      <c r="E349" s="14">
        <f t="shared" si="536"/>
        <v>0</v>
      </c>
      <c r="F349" s="14">
        <f t="shared" si="495"/>
        <v>0</v>
      </c>
      <c r="G349" s="14">
        <f t="shared" si="491"/>
        <v>0</v>
      </c>
      <c r="H349" s="14">
        <f t="shared" si="492"/>
        <v>0</v>
      </c>
      <c r="I349" s="185">
        <f t="shared" si="496"/>
        <v>0</v>
      </c>
      <c r="J349" s="185">
        <f t="shared" si="497"/>
        <v>0</v>
      </c>
      <c r="K349" s="185">
        <f t="shared" si="498"/>
        <v>0</v>
      </c>
      <c r="L349" s="317">
        <f t="shared" si="479"/>
        <v>27</v>
      </c>
      <c r="M349" s="317">
        <f t="shared" si="543"/>
        <v>333</v>
      </c>
      <c r="N349" s="185">
        <f t="shared" si="544"/>
        <v>153361.98000000053</v>
      </c>
      <c r="O349" s="185">
        <f t="shared" si="510"/>
        <v>6591.25</v>
      </c>
      <c r="P349" s="185">
        <f t="shared" si="552"/>
        <v>4913.8500000000004</v>
      </c>
      <c r="Q349" s="185">
        <f t="shared" si="511"/>
        <v>1677.4</v>
      </c>
      <c r="R349" s="185">
        <f t="shared" si="502"/>
        <v>134.16999999999999</v>
      </c>
      <c r="S349" s="185">
        <f t="shared" si="503"/>
        <v>188.55</v>
      </c>
      <c r="T349" s="185">
        <f t="shared" si="499"/>
        <v>6913.97</v>
      </c>
      <c r="U349" s="185">
        <f t="shared" si="553"/>
        <v>442176.86999999988</v>
      </c>
      <c r="V349" s="185">
        <f t="shared" si="554"/>
        <v>1759300.6299999985</v>
      </c>
      <c r="W349" s="185">
        <f t="shared" si="500"/>
        <v>148448.13000000053</v>
      </c>
      <c r="X349" s="401" t="str">
        <f t="shared" si="545"/>
        <v xml:space="preserve"> </v>
      </c>
      <c r="Y349" s="185">
        <f t="shared" si="512"/>
        <v>13880812.150000004</v>
      </c>
      <c r="Z349" s="393">
        <f t="shared" si="537"/>
        <v>0.13125000000000001</v>
      </c>
      <c r="AA349" s="185">
        <f t="shared" si="538"/>
        <v>2810.15</v>
      </c>
      <c r="AB349" s="185">
        <f t="shared" si="513"/>
        <v>-149011.23000000001</v>
      </c>
      <c r="AC349" s="185">
        <f t="shared" si="539"/>
        <v>151821.38</v>
      </c>
      <c r="AD349" s="185">
        <f t="shared" ref="AD349:AE349" si="568">+AD348</f>
        <v>134.16999999999999</v>
      </c>
      <c r="AE349" s="185">
        <f t="shared" si="568"/>
        <v>188.55</v>
      </c>
      <c r="AF349" s="185">
        <f t="shared" si="515"/>
        <v>3132.8699999999944</v>
      </c>
      <c r="AG349" s="185">
        <f t="shared" si="516"/>
        <v>-13043723.380000001</v>
      </c>
      <c r="AH349" s="185">
        <f t="shared" si="517"/>
        <v>14360456.279999994</v>
      </c>
      <c r="AI349" s="411">
        <f t="shared" si="505"/>
        <v>884744.5999999966</v>
      </c>
      <c r="AJ349" s="411">
        <f t="shared" si="566"/>
        <v>-13881375.250000004</v>
      </c>
      <c r="AK349" s="411">
        <f t="shared" si="506"/>
        <v>-12996630.650000008</v>
      </c>
      <c r="AL349" s="185">
        <f t="shared" si="518"/>
        <v>14029823.380000005</v>
      </c>
      <c r="AM349" s="317">
        <f t="shared" si="547"/>
        <v>27</v>
      </c>
      <c r="AN349" s="14">
        <f t="shared" si="507"/>
        <v>6591.25</v>
      </c>
      <c r="AO349" s="14">
        <f t="shared" si="477"/>
        <v>543923.13000000012</v>
      </c>
      <c r="AP349" s="14">
        <f t="shared" si="508"/>
        <v>2810.15</v>
      </c>
      <c r="AS349" s="14">
        <f t="shared" si="541"/>
        <v>6591.25</v>
      </c>
      <c r="AT349" s="14">
        <f t="shared" si="548"/>
        <v>2200996.94</v>
      </c>
      <c r="AU349" s="185">
        <f t="shared" si="549"/>
        <v>3399.6576571127703</v>
      </c>
      <c r="AV349" s="185">
        <f t="shared" si="550"/>
        <v>772637.72050222079</v>
      </c>
    </row>
    <row r="350" spans="1:48" ht="15.75" thickBot="1">
      <c r="A350" s="404" t="str">
        <f t="shared" si="494"/>
        <v xml:space="preserve"> </v>
      </c>
      <c r="B350" s="237">
        <f t="shared" si="542"/>
        <v>0</v>
      </c>
      <c r="C350" s="21">
        <f t="shared" si="535"/>
        <v>0</v>
      </c>
      <c r="D350" s="21">
        <f t="shared" si="551"/>
        <v>0</v>
      </c>
      <c r="E350" s="21">
        <f t="shared" si="536"/>
        <v>0</v>
      </c>
      <c r="F350" s="21">
        <f t="shared" si="495"/>
        <v>0</v>
      </c>
      <c r="G350" s="21">
        <f t="shared" si="491"/>
        <v>0</v>
      </c>
      <c r="H350" s="21">
        <f t="shared" si="492"/>
        <v>0</v>
      </c>
      <c r="I350" s="237">
        <f t="shared" si="496"/>
        <v>0</v>
      </c>
      <c r="J350" s="237">
        <f t="shared" si="497"/>
        <v>0</v>
      </c>
      <c r="K350" s="237">
        <f t="shared" si="498"/>
        <v>0</v>
      </c>
      <c r="L350" s="318">
        <f t="shared" si="479"/>
        <v>27</v>
      </c>
      <c r="M350" s="318">
        <f t="shared" si="543"/>
        <v>334</v>
      </c>
      <c r="N350" s="237">
        <f t="shared" si="544"/>
        <v>148448.13000000053</v>
      </c>
      <c r="O350" s="237">
        <f t="shared" si="510"/>
        <v>6591.25</v>
      </c>
      <c r="P350" s="237">
        <f t="shared" si="552"/>
        <v>4967.6000000000004</v>
      </c>
      <c r="Q350" s="237">
        <f t="shared" si="511"/>
        <v>1623.65</v>
      </c>
      <c r="R350" s="237">
        <f t="shared" si="502"/>
        <v>134.16999999999999</v>
      </c>
      <c r="S350" s="237">
        <f t="shared" si="503"/>
        <v>188.55</v>
      </c>
      <c r="T350" s="237">
        <f t="shared" si="499"/>
        <v>6913.97</v>
      </c>
      <c r="U350" s="237">
        <f t="shared" si="553"/>
        <v>447144.46999999986</v>
      </c>
      <c r="V350" s="237">
        <f t="shared" si="554"/>
        <v>1760924.2799999984</v>
      </c>
      <c r="W350" s="237">
        <f t="shared" si="500"/>
        <v>143480.53000000052</v>
      </c>
      <c r="X350" s="404" t="str">
        <f t="shared" si="545"/>
        <v xml:space="preserve"> </v>
      </c>
      <c r="Y350" s="237">
        <f t="shared" si="512"/>
        <v>14029823.380000005</v>
      </c>
      <c r="Z350" s="394">
        <f t="shared" si="537"/>
        <v>0.13125000000000001</v>
      </c>
      <c r="AA350" s="237">
        <f t="shared" si="538"/>
        <v>2810.15</v>
      </c>
      <c r="AB350" s="237">
        <f t="shared" si="513"/>
        <v>-150641.04</v>
      </c>
      <c r="AC350" s="237">
        <f t="shared" si="539"/>
        <v>153451.19</v>
      </c>
      <c r="AD350" s="237">
        <f t="shared" ref="AD350:AE350" si="569">+AD349</f>
        <v>134.16999999999999</v>
      </c>
      <c r="AE350" s="237">
        <f t="shared" si="569"/>
        <v>188.55</v>
      </c>
      <c r="AF350" s="237">
        <f t="shared" si="515"/>
        <v>3132.8699999999944</v>
      </c>
      <c r="AG350" s="237">
        <f t="shared" si="516"/>
        <v>-13194364.42</v>
      </c>
      <c r="AH350" s="237">
        <f t="shared" si="517"/>
        <v>14513907.469999993</v>
      </c>
      <c r="AI350" s="412">
        <f t="shared" si="505"/>
        <v>888525.69999999658</v>
      </c>
      <c r="AJ350" s="412">
        <f t="shared" si="566"/>
        <v>-14036983.890000002</v>
      </c>
      <c r="AK350" s="411">
        <f t="shared" si="506"/>
        <v>-13148458.190000005</v>
      </c>
      <c r="AL350" s="237">
        <f t="shared" si="518"/>
        <v>14180464.420000004</v>
      </c>
      <c r="AM350" s="318">
        <f t="shared" si="547"/>
        <v>27</v>
      </c>
      <c r="AN350" s="21">
        <f t="shared" si="507"/>
        <v>6591.25</v>
      </c>
      <c r="AO350" s="21">
        <f t="shared" si="477"/>
        <v>538955.53000000014</v>
      </c>
      <c r="AP350" s="21">
        <f t="shared" si="508"/>
        <v>2810.15</v>
      </c>
      <c r="AQ350" s="21"/>
      <c r="AR350" s="23"/>
      <c r="AS350" s="21">
        <f t="shared" si="541"/>
        <v>6591.25</v>
      </c>
      <c r="AT350" s="21">
        <f t="shared" si="548"/>
        <v>2207588.19</v>
      </c>
      <c r="AU350" s="237">
        <f t="shared" si="549"/>
        <v>3408.1568012555522</v>
      </c>
      <c r="AV350" s="237">
        <f t="shared" si="550"/>
        <v>776045.87730347633</v>
      </c>
    </row>
    <row r="351" spans="1:48">
      <c r="A351" s="401" t="str">
        <f t="shared" si="494"/>
        <v xml:space="preserve"> </v>
      </c>
      <c r="B351" s="185">
        <f t="shared" si="542"/>
        <v>0</v>
      </c>
      <c r="C351" s="14">
        <f t="shared" si="535"/>
        <v>0</v>
      </c>
      <c r="D351" s="14">
        <f t="shared" si="551"/>
        <v>0</v>
      </c>
      <c r="E351" s="14">
        <f t="shared" si="536"/>
        <v>0</v>
      </c>
      <c r="F351" s="14">
        <f t="shared" si="495"/>
        <v>0</v>
      </c>
      <c r="G351" s="14">
        <f t="shared" si="491"/>
        <v>0</v>
      </c>
      <c r="H351" s="14">
        <f t="shared" si="492"/>
        <v>0</v>
      </c>
      <c r="I351" s="185">
        <f t="shared" si="496"/>
        <v>0</v>
      </c>
      <c r="J351" s="185">
        <f t="shared" si="497"/>
        <v>0</v>
      </c>
      <c r="K351" s="185">
        <f t="shared" si="498"/>
        <v>0</v>
      </c>
      <c r="L351" s="317">
        <f t="shared" si="479"/>
        <v>27</v>
      </c>
      <c r="M351" s="317">
        <f t="shared" si="543"/>
        <v>335</v>
      </c>
      <c r="N351" s="185">
        <f t="shared" si="544"/>
        <v>143480.53000000052</v>
      </c>
      <c r="O351" s="185">
        <f t="shared" si="510"/>
        <v>6591.25</v>
      </c>
      <c r="P351" s="185">
        <f t="shared" si="552"/>
        <v>5021.93</v>
      </c>
      <c r="Q351" s="185">
        <f t="shared" si="511"/>
        <v>1569.32</v>
      </c>
      <c r="R351" s="185">
        <f t="shared" si="502"/>
        <v>134.16999999999999</v>
      </c>
      <c r="S351" s="185">
        <f t="shared" si="503"/>
        <v>188.55</v>
      </c>
      <c r="T351" s="185">
        <f t="shared" si="499"/>
        <v>6913.97</v>
      </c>
      <c r="U351" s="185">
        <f t="shared" si="553"/>
        <v>452166.39999999985</v>
      </c>
      <c r="V351" s="185">
        <f t="shared" si="554"/>
        <v>1762493.5999999985</v>
      </c>
      <c r="W351" s="185">
        <f t="shared" si="500"/>
        <v>138458.60000000053</v>
      </c>
      <c r="X351" s="401" t="str">
        <f t="shared" si="545"/>
        <v xml:space="preserve"> </v>
      </c>
      <c r="Y351" s="185">
        <f t="shared" si="512"/>
        <v>14180464.420000004</v>
      </c>
      <c r="Z351" s="393">
        <f t="shared" si="537"/>
        <v>0.13125000000000001</v>
      </c>
      <c r="AA351" s="185">
        <f t="shared" si="538"/>
        <v>2810.15</v>
      </c>
      <c r="AB351" s="185">
        <f t="shared" si="513"/>
        <v>-152288.68</v>
      </c>
      <c r="AC351" s="185">
        <f t="shared" si="539"/>
        <v>155098.82999999999</v>
      </c>
      <c r="AD351" s="185">
        <f t="shared" ref="AD351:AE351" si="570">+AD350</f>
        <v>134.16999999999999</v>
      </c>
      <c r="AE351" s="185">
        <f t="shared" si="570"/>
        <v>188.55</v>
      </c>
      <c r="AF351" s="185">
        <f t="shared" si="515"/>
        <v>3132.8699999999944</v>
      </c>
      <c r="AG351" s="185">
        <f t="shared" si="516"/>
        <v>-13346653.1</v>
      </c>
      <c r="AH351" s="185">
        <f t="shared" si="517"/>
        <v>14669006.299999993</v>
      </c>
      <c r="AI351" s="411">
        <f t="shared" si="505"/>
        <v>892306.79999999655</v>
      </c>
      <c r="AJ351" s="411">
        <f t="shared" si="566"/>
        <v>-14194294.500000004</v>
      </c>
      <c r="AK351" s="411">
        <f t="shared" si="506"/>
        <v>-13301987.700000007</v>
      </c>
      <c r="AL351" s="185">
        <f t="shared" si="518"/>
        <v>14332753.100000003</v>
      </c>
      <c r="AM351" s="317">
        <f t="shared" si="547"/>
        <v>27</v>
      </c>
      <c r="AN351" s="14">
        <f t="shared" si="507"/>
        <v>6591.25</v>
      </c>
      <c r="AO351" s="14">
        <f t="shared" si="477"/>
        <v>533933.60000000009</v>
      </c>
      <c r="AP351" s="14">
        <f t="shared" si="508"/>
        <v>2810.15</v>
      </c>
      <c r="AS351" s="14">
        <f t="shared" si="541"/>
        <v>6591.25</v>
      </c>
      <c r="AT351" s="14">
        <f t="shared" si="548"/>
        <v>2214179.44</v>
      </c>
      <c r="AU351" s="185">
        <f t="shared" si="549"/>
        <v>3416.6771932586907</v>
      </c>
      <c r="AV351" s="185">
        <f t="shared" si="550"/>
        <v>779462.55449673499</v>
      </c>
    </row>
    <row r="352" spans="1:48">
      <c r="A352" s="401" t="str">
        <f t="shared" si="494"/>
        <v xml:space="preserve"> </v>
      </c>
      <c r="B352" s="185">
        <f t="shared" si="542"/>
        <v>0</v>
      </c>
      <c r="C352" s="14">
        <f t="shared" si="535"/>
        <v>0</v>
      </c>
      <c r="D352" s="14">
        <f t="shared" si="551"/>
        <v>0</v>
      </c>
      <c r="E352" s="14">
        <f t="shared" si="536"/>
        <v>0</v>
      </c>
      <c r="F352" s="14">
        <f t="shared" si="495"/>
        <v>0</v>
      </c>
      <c r="G352" s="14">
        <f t="shared" si="491"/>
        <v>0</v>
      </c>
      <c r="H352" s="14">
        <f t="shared" si="492"/>
        <v>0</v>
      </c>
      <c r="I352" s="185">
        <f t="shared" si="496"/>
        <v>0</v>
      </c>
      <c r="J352" s="185">
        <f t="shared" si="497"/>
        <v>0</v>
      </c>
      <c r="K352" s="185">
        <f t="shared" si="498"/>
        <v>0</v>
      </c>
      <c r="L352" s="317">
        <f t="shared" si="479"/>
        <v>28</v>
      </c>
      <c r="M352" s="317">
        <f t="shared" si="543"/>
        <v>336</v>
      </c>
      <c r="N352" s="185">
        <f t="shared" si="544"/>
        <v>138458.60000000053</v>
      </c>
      <c r="O352" s="185">
        <f t="shared" si="510"/>
        <v>6591.25</v>
      </c>
      <c r="P352" s="185">
        <f t="shared" si="552"/>
        <v>5076.8599999999997</v>
      </c>
      <c r="Q352" s="185">
        <f t="shared" si="511"/>
        <v>1514.39</v>
      </c>
      <c r="R352" s="185">
        <f t="shared" si="502"/>
        <v>134.16999999999999</v>
      </c>
      <c r="S352" s="185">
        <f t="shared" si="503"/>
        <v>188.55</v>
      </c>
      <c r="T352" s="185">
        <f t="shared" si="499"/>
        <v>6913.97</v>
      </c>
      <c r="U352" s="185">
        <f t="shared" si="553"/>
        <v>457243.25999999983</v>
      </c>
      <c r="V352" s="185">
        <f t="shared" si="554"/>
        <v>1764007.9899999984</v>
      </c>
      <c r="W352" s="185">
        <f t="shared" si="500"/>
        <v>133381.74000000054</v>
      </c>
      <c r="X352" s="401" t="str">
        <f t="shared" si="545"/>
        <v xml:space="preserve"> </v>
      </c>
      <c r="Y352" s="185">
        <f t="shared" si="512"/>
        <v>14332753.100000003</v>
      </c>
      <c r="Z352" s="393">
        <f t="shared" si="537"/>
        <v>0.13125000000000001</v>
      </c>
      <c r="AA352" s="185">
        <f t="shared" si="538"/>
        <v>2810.15</v>
      </c>
      <c r="AB352" s="185">
        <f t="shared" si="513"/>
        <v>-153954.34</v>
      </c>
      <c r="AC352" s="185">
        <f t="shared" si="539"/>
        <v>156764.49</v>
      </c>
      <c r="AD352" s="185">
        <f t="shared" ref="AD352:AE352" si="571">+AD351</f>
        <v>134.16999999999999</v>
      </c>
      <c r="AE352" s="185">
        <f t="shared" si="571"/>
        <v>188.55</v>
      </c>
      <c r="AF352" s="185">
        <f t="shared" si="515"/>
        <v>3132.8699999999944</v>
      </c>
      <c r="AG352" s="185">
        <f t="shared" si="516"/>
        <v>-13500607.439999999</v>
      </c>
      <c r="AH352" s="185">
        <f t="shared" si="517"/>
        <v>14825770.789999994</v>
      </c>
      <c r="AI352" s="411">
        <f t="shared" si="505"/>
        <v>896087.89999999653</v>
      </c>
      <c r="AJ352" s="411">
        <f t="shared" si="566"/>
        <v>-14353325.700000003</v>
      </c>
      <c r="AK352" s="411">
        <f t="shared" si="506"/>
        <v>-13457237.800000006</v>
      </c>
      <c r="AL352" s="185">
        <f t="shared" si="518"/>
        <v>14486707.440000003</v>
      </c>
      <c r="AM352" s="317">
        <f t="shared" si="547"/>
        <v>28</v>
      </c>
      <c r="AN352" s="14">
        <f t="shared" si="507"/>
        <v>6591.25</v>
      </c>
      <c r="AO352" s="14">
        <f t="shared" si="477"/>
        <v>528856.74000000022</v>
      </c>
      <c r="AP352" s="14">
        <f t="shared" si="508"/>
        <v>2810.15</v>
      </c>
      <c r="AS352" s="14">
        <f t="shared" si="541"/>
        <v>6591.25</v>
      </c>
      <c r="AT352" s="14">
        <f t="shared" si="548"/>
        <v>2220770.69</v>
      </c>
      <c r="AU352" s="185">
        <f t="shared" si="549"/>
        <v>3425.218886241837</v>
      </c>
      <c r="AV352" s="185">
        <f t="shared" si="550"/>
        <v>782887.77338297677</v>
      </c>
    </row>
    <row r="353" spans="1:48">
      <c r="A353" s="401" t="str">
        <f t="shared" si="494"/>
        <v xml:space="preserve"> </v>
      </c>
      <c r="B353" s="185">
        <f t="shared" si="542"/>
        <v>0</v>
      </c>
      <c r="C353" s="14">
        <f t="shared" si="535"/>
        <v>0</v>
      </c>
      <c r="D353" s="14">
        <f t="shared" si="551"/>
        <v>0</v>
      </c>
      <c r="E353" s="14">
        <f t="shared" si="536"/>
        <v>0</v>
      </c>
      <c r="F353" s="14">
        <f t="shared" si="495"/>
        <v>0</v>
      </c>
      <c r="G353" s="14">
        <f t="shared" si="491"/>
        <v>0</v>
      </c>
      <c r="H353" s="14">
        <f t="shared" si="492"/>
        <v>0</v>
      </c>
      <c r="I353" s="185">
        <f t="shared" si="496"/>
        <v>0</v>
      </c>
      <c r="J353" s="185">
        <f t="shared" si="497"/>
        <v>0</v>
      </c>
      <c r="K353" s="185">
        <f t="shared" si="498"/>
        <v>0</v>
      </c>
      <c r="L353" s="317">
        <f t="shared" si="479"/>
        <v>28</v>
      </c>
      <c r="M353" s="317">
        <f t="shared" si="543"/>
        <v>337</v>
      </c>
      <c r="N353" s="185">
        <f t="shared" si="544"/>
        <v>133381.74000000054</v>
      </c>
      <c r="O353" s="185">
        <f t="shared" si="510"/>
        <v>6591.25</v>
      </c>
      <c r="P353" s="185">
        <f t="shared" si="552"/>
        <v>5132.3900000000003</v>
      </c>
      <c r="Q353" s="185">
        <f t="shared" si="511"/>
        <v>1458.86</v>
      </c>
      <c r="R353" s="185">
        <f t="shared" si="502"/>
        <v>134.16999999999999</v>
      </c>
      <c r="S353" s="185">
        <f t="shared" si="503"/>
        <v>188.55</v>
      </c>
      <c r="T353" s="185">
        <f t="shared" si="499"/>
        <v>6913.97</v>
      </c>
      <c r="U353" s="185">
        <f t="shared" si="553"/>
        <v>462375.64999999985</v>
      </c>
      <c r="V353" s="185">
        <f t="shared" si="554"/>
        <v>1765466.8499999985</v>
      </c>
      <c r="W353" s="185">
        <f t="shared" si="500"/>
        <v>128249.35000000054</v>
      </c>
      <c r="X353" s="401" t="str">
        <f t="shared" si="545"/>
        <v xml:space="preserve"> </v>
      </c>
      <c r="Y353" s="185">
        <f t="shared" si="512"/>
        <v>14486707.440000003</v>
      </c>
      <c r="Z353" s="393">
        <f t="shared" si="537"/>
        <v>0.13125000000000001</v>
      </c>
      <c r="AA353" s="185">
        <f t="shared" si="538"/>
        <v>2810.15</v>
      </c>
      <c r="AB353" s="185">
        <f t="shared" si="513"/>
        <v>-155638.21</v>
      </c>
      <c r="AC353" s="185">
        <f t="shared" si="539"/>
        <v>158448.35999999999</v>
      </c>
      <c r="AD353" s="185">
        <f t="shared" ref="AD353:AE353" si="572">+AD352</f>
        <v>134.16999999999999</v>
      </c>
      <c r="AE353" s="185">
        <f t="shared" si="572"/>
        <v>188.55</v>
      </c>
      <c r="AF353" s="185">
        <f t="shared" si="515"/>
        <v>3132.8699999999944</v>
      </c>
      <c r="AG353" s="185">
        <f t="shared" si="516"/>
        <v>-13656245.65</v>
      </c>
      <c r="AH353" s="185">
        <f t="shared" si="517"/>
        <v>14984219.149999993</v>
      </c>
      <c r="AI353" s="411">
        <f t="shared" si="505"/>
        <v>899868.99999999651</v>
      </c>
      <c r="AJ353" s="411">
        <f t="shared" si="566"/>
        <v>-14514096.300000004</v>
      </c>
      <c r="AK353" s="411">
        <f t="shared" si="506"/>
        <v>-13614227.300000008</v>
      </c>
      <c r="AL353" s="185">
        <f t="shared" si="518"/>
        <v>14642345.650000004</v>
      </c>
      <c r="AM353" s="317">
        <f t="shared" si="547"/>
        <v>28</v>
      </c>
      <c r="AN353" s="14">
        <f t="shared" si="507"/>
        <v>6591.25</v>
      </c>
      <c r="AO353" s="14">
        <f t="shared" si="477"/>
        <v>523724.35000000015</v>
      </c>
      <c r="AP353" s="14">
        <f t="shared" si="508"/>
        <v>2810.15</v>
      </c>
      <c r="AS353" s="14">
        <f t="shared" si="541"/>
        <v>6591.25</v>
      </c>
      <c r="AT353" s="14">
        <f t="shared" si="548"/>
        <v>2227361.94</v>
      </c>
      <c r="AU353" s="185">
        <f t="shared" si="549"/>
        <v>3433.7819334574415</v>
      </c>
      <c r="AV353" s="185">
        <f t="shared" si="550"/>
        <v>786321.55531643424</v>
      </c>
    </row>
    <row r="354" spans="1:48">
      <c r="A354" s="401" t="str">
        <f t="shared" si="494"/>
        <v xml:space="preserve"> </v>
      </c>
      <c r="B354" s="185">
        <f t="shared" si="542"/>
        <v>0</v>
      </c>
      <c r="C354" s="14">
        <f t="shared" si="535"/>
        <v>0</v>
      </c>
      <c r="D354" s="14">
        <f t="shared" si="551"/>
        <v>0</v>
      </c>
      <c r="E354" s="14">
        <f t="shared" si="536"/>
        <v>0</v>
      </c>
      <c r="F354" s="14">
        <f t="shared" si="495"/>
        <v>0</v>
      </c>
      <c r="G354" s="14">
        <f t="shared" si="491"/>
        <v>0</v>
      </c>
      <c r="H354" s="14">
        <f t="shared" si="492"/>
        <v>0</v>
      </c>
      <c r="I354" s="185">
        <f t="shared" si="496"/>
        <v>0</v>
      </c>
      <c r="J354" s="185">
        <f t="shared" si="497"/>
        <v>0</v>
      </c>
      <c r="K354" s="185">
        <f t="shared" si="498"/>
        <v>0</v>
      </c>
      <c r="L354" s="317">
        <f t="shared" si="479"/>
        <v>28</v>
      </c>
      <c r="M354" s="317">
        <f t="shared" si="543"/>
        <v>338</v>
      </c>
      <c r="N354" s="185">
        <f t="shared" si="544"/>
        <v>128249.35000000054</v>
      </c>
      <c r="O354" s="185">
        <f t="shared" si="510"/>
        <v>6591.25</v>
      </c>
      <c r="P354" s="185">
        <f t="shared" si="552"/>
        <v>5188.5200000000004</v>
      </c>
      <c r="Q354" s="185">
        <f t="shared" si="511"/>
        <v>1402.73</v>
      </c>
      <c r="R354" s="185">
        <f t="shared" si="502"/>
        <v>134.16999999999999</v>
      </c>
      <c r="S354" s="185">
        <f t="shared" si="503"/>
        <v>188.55</v>
      </c>
      <c r="T354" s="185">
        <f t="shared" si="499"/>
        <v>6913.97</v>
      </c>
      <c r="U354" s="185">
        <f t="shared" si="553"/>
        <v>467564.16999999987</v>
      </c>
      <c r="V354" s="185">
        <f t="shared" si="554"/>
        <v>1766869.5799999984</v>
      </c>
      <c r="W354" s="185">
        <f t="shared" si="500"/>
        <v>123060.83000000054</v>
      </c>
      <c r="X354" s="401" t="str">
        <f t="shared" si="545"/>
        <v xml:space="preserve"> </v>
      </c>
      <c r="Y354" s="185">
        <f t="shared" si="512"/>
        <v>14642345.650000004</v>
      </c>
      <c r="Z354" s="393">
        <f t="shared" si="537"/>
        <v>0.13125000000000001</v>
      </c>
      <c r="AA354" s="185">
        <f t="shared" si="538"/>
        <v>2810.15</v>
      </c>
      <c r="AB354" s="185">
        <f t="shared" si="513"/>
        <v>-157340.51</v>
      </c>
      <c r="AC354" s="185">
        <f t="shared" si="539"/>
        <v>160150.66</v>
      </c>
      <c r="AD354" s="185">
        <f t="shared" ref="AD354:AE354" si="573">+AD353</f>
        <v>134.16999999999999</v>
      </c>
      <c r="AE354" s="185">
        <f t="shared" si="573"/>
        <v>188.55</v>
      </c>
      <c r="AF354" s="185">
        <f t="shared" si="515"/>
        <v>3132.8699999999944</v>
      </c>
      <c r="AG354" s="185">
        <f t="shared" si="516"/>
        <v>-13813586.16</v>
      </c>
      <c r="AH354" s="185">
        <f t="shared" si="517"/>
        <v>15144369.809999993</v>
      </c>
      <c r="AI354" s="411">
        <f t="shared" si="505"/>
        <v>903650.09999999648</v>
      </c>
      <c r="AJ354" s="411">
        <f t="shared" si="566"/>
        <v>-14676625.330000004</v>
      </c>
      <c r="AK354" s="411">
        <f t="shared" si="506"/>
        <v>-13772975.230000008</v>
      </c>
      <c r="AL354" s="185">
        <f t="shared" si="518"/>
        <v>14799686.160000004</v>
      </c>
      <c r="AM354" s="317">
        <f t="shared" si="547"/>
        <v>28</v>
      </c>
      <c r="AN354" s="14">
        <f t="shared" si="507"/>
        <v>6591.25</v>
      </c>
      <c r="AO354" s="14">
        <f t="shared" si="477"/>
        <v>518535.83000000013</v>
      </c>
      <c r="AP354" s="14">
        <f t="shared" si="508"/>
        <v>2810.15</v>
      </c>
      <c r="AS354" s="14">
        <f t="shared" si="541"/>
        <v>6591.25</v>
      </c>
      <c r="AT354" s="14">
        <f t="shared" si="548"/>
        <v>2233953.19</v>
      </c>
      <c r="AU354" s="185">
        <f t="shared" si="549"/>
        <v>3442.3663882910855</v>
      </c>
      <c r="AV354" s="185">
        <f t="shared" si="550"/>
        <v>789763.92170472536</v>
      </c>
    </row>
    <row r="355" spans="1:48">
      <c r="A355" s="401" t="str">
        <f t="shared" si="494"/>
        <v xml:space="preserve"> </v>
      </c>
      <c r="B355" s="185">
        <f t="shared" si="542"/>
        <v>0</v>
      </c>
      <c r="C355" s="14">
        <f t="shared" si="535"/>
        <v>0</v>
      </c>
      <c r="D355" s="14">
        <f t="shared" si="551"/>
        <v>0</v>
      </c>
      <c r="E355" s="14">
        <f t="shared" si="536"/>
        <v>0</v>
      </c>
      <c r="F355" s="14">
        <f t="shared" si="495"/>
        <v>0</v>
      </c>
      <c r="G355" s="14">
        <f t="shared" si="491"/>
        <v>0</v>
      </c>
      <c r="H355" s="14">
        <f t="shared" si="492"/>
        <v>0</v>
      </c>
      <c r="I355" s="185">
        <f t="shared" si="496"/>
        <v>0</v>
      </c>
      <c r="J355" s="185">
        <f t="shared" si="497"/>
        <v>0</v>
      </c>
      <c r="K355" s="185">
        <f t="shared" si="498"/>
        <v>0</v>
      </c>
      <c r="L355" s="317">
        <f t="shared" si="479"/>
        <v>28</v>
      </c>
      <c r="M355" s="317">
        <f t="shared" si="543"/>
        <v>339</v>
      </c>
      <c r="N355" s="185">
        <f t="shared" si="544"/>
        <v>123060.83000000054</v>
      </c>
      <c r="O355" s="185">
        <f t="shared" si="510"/>
        <v>6591.25</v>
      </c>
      <c r="P355" s="185">
        <f t="shared" si="552"/>
        <v>5245.27</v>
      </c>
      <c r="Q355" s="185">
        <f t="shared" si="511"/>
        <v>1345.98</v>
      </c>
      <c r="R355" s="185">
        <f t="shared" si="502"/>
        <v>134.16999999999999</v>
      </c>
      <c r="S355" s="185">
        <f t="shared" si="503"/>
        <v>188.55</v>
      </c>
      <c r="T355" s="185">
        <f t="shared" si="499"/>
        <v>6913.97</v>
      </c>
      <c r="U355" s="185">
        <f t="shared" si="553"/>
        <v>472809.43999999989</v>
      </c>
      <c r="V355" s="185">
        <f t="shared" si="554"/>
        <v>1768215.5599999984</v>
      </c>
      <c r="W355" s="185">
        <f t="shared" si="500"/>
        <v>117815.56000000054</v>
      </c>
      <c r="X355" s="401" t="str">
        <f t="shared" si="545"/>
        <v xml:space="preserve"> </v>
      </c>
      <c r="Y355" s="185">
        <f t="shared" si="512"/>
        <v>14799686.160000004</v>
      </c>
      <c r="Z355" s="393">
        <f t="shared" si="537"/>
        <v>0.13125000000000001</v>
      </c>
      <c r="AA355" s="185">
        <f t="shared" si="538"/>
        <v>2810.15</v>
      </c>
      <c r="AB355" s="185">
        <f t="shared" si="513"/>
        <v>-159061.42000000001</v>
      </c>
      <c r="AC355" s="185">
        <f t="shared" si="539"/>
        <v>161871.57</v>
      </c>
      <c r="AD355" s="185">
        <f t="shared" ref="AD355:AE355" si="574">+AD354</f>
        <v>134.16999999999999</v>
      </c>
      <c r="AE355" s="185">
        <f t="shared" si="574"/>
        <v>188.55</v>
      </c>
      <c r="AF355" s="185">
        <f t="shared" si="515"/>
        <v>3132.8699999999944</v>
      </c>
      <c r="AG355" s="185">
        <f t="shared" si="516"/>
        <v>-13972647.58</v>
      </c>
      <c r="AH355" s="185">
        <f t="shared" si="517"/>
        <v>15306241.379999993</v>
      </c>
      <c r="AI355" s="411">
        <f t="shared" si="505"/>
        <v>907431.19999999646</v>
      </c>
      <c r="AJ355" s="411">
        <f t="shared" si="566"/>
        <v>-14840932.020000003</v>
      </c>
      <c r="AK355" s="411">
        <f t="shared" si="506"/>
        <v>-13933500.820000008</v>
      </c>
      <c r="AL355" s="185">
        <f t="shared" si="518"/>
        <v>14958747.580000004</v>
      </c>
      <c r="AM355" s="317">
        <f t="shared" si="547"/>
        <v>28</v>
      </c>
      <c r="AN355" s="14">
        <f t="shared" si="507"/>
        <v>6591.25</v>
      </c>
      <c r="AO355" s="14">
        <f t="shared" si="477"/>
        <v>513290.56000000011</v>
      </c>
      <c r="AP355" s="14">
        <f t="shared" si="508"/>
        <v>2810.15</v>
      </c>
      <c r="AS355" s="14">
        <f t="shared" si="541"/>
        <v>6591.25</v>
      </c>
      <c r="AT355" s="14">
        <f t="shared" si="548"/>
        <v>2240544.44</v>
      </c>
      <c r="AU355" s="185">
        <f t="shared" si="549"/>
        <v>3450.9723042618134</v>
      </c>
      <c r="AV355" s="185">
        <f t="shared" si="550"/>
        <v>793214.89400898712</v>
      </c>
    </row>
    <row r="356" spans="1:48">
      <c r="A356" s="401" t="str">
        <f t="shared" si="494"/>
        <v xml:space="preserve"> </v>
      </c>
      <c r="B356" s="185">
        <f t="shared" si="542"/>
        <v>0</v>
      </c>
      <c r="C356" s="14">
        <f t="shared" si="535"/>
        <v>0</v>
      </c>
      <c r="D356" s="14">
        <f t="shared" si="551"/>
        <v>0</v>
      </c>
      <c r="E356" s="14">
        <f t="shared" si="536"/>
        <v>0</v>
      </c>
      <c r="F356" s="14">
        <f t="shared" si="495"/>
        <v>0</v>
      </c>
      <c r="G356" s="14">
        <f t="shared" si="491"/>
        <v>0</v>
      </c>
      <c r="H356" s="14">
        <f t="shared" si="492"/>
        <v>0</v>
      </c>
      <c r="I356" s="185">
        <f t="shared" si="496"/>
        <v>0</v>
      </c>
      <c r="J356" s="185">
        <f t="shared" si="497"/>
        <v>0</v>
      </c>
      <c r="K356" s="185">
        <f t="shared" si="498"/>
        <v>0</v>
      </c>
      <c r="L356" s="317">
        <f t="shared" si="479"/>
        <v>28</v>
      </c>
      <c r="M356" s="317">
        <f t="shared" si="543"/>
        <v>340</v>
      </c>
      <c r="N356" s="185">
        <f t="shared" si="544"/>
        <v>117815.56000000054</v>
      </c>
      <c r="O356" s="185">
        <f t="shared" si="510"/>
        <v>6591.25</v>
      </c>
      <c r="P356" s="185">
        <f t="shared" si="552"/>
        <v>5302.64</v>
      </c>
      <c r="Q356" s="185">
        <f t="shared" si="511"/>
        <v>1288.6099999999999</v>
      </c>
      <c r="R356" s="185">
        <f t="shared" si="502"/>
        <v>134.16999999999999</v>
      </c>
      <c r="S356" s="185">
        <f t="shared" si="503"/>
        <v>188.55</v>
      </c>
      <c r="T356" s="185">
        <f t="shared" si="499"/>
        <v>6913.97</v>
      </c>
      <c r="U356" s="185">
        <f t="shared" si="553"/>
        <v>478112.0799999999</v>
      </c>
      <c r="V356" s="185">
        <f t="shared" si="554"/>
        <v>1769504.1699999985</v>
      </c>
      <c r="W356" s="185">
        <f t="shared" si="500"/>
        <v>112512.92000000054</v>
      </c>
      <c r="X356" s="401" t="str">
        <f t="shared" si="545"/>
        <v xml:space="preserve"> </v>
      </c>
      <c r="Y356" s="185">
        <f t="shared" si="512"/>
        <v>14958747.580000004</v>
      </c>
      <c r="Z356" s="393">
        <f t="shared" si="537"/>
        <v>0.13125000000000001</v>
      </c>
      <c r="AA356" s="185">
        <f t="shared" si="538"/>
        <v>2810.15</v>
      </c>
      <c r="AB356" s="185">
        <f t="shared" si="513"/>
        <v>-160801.15</v>
      </c>
      <c r="AC356" s="185">
        <f t="shared" si="539"/>
        <v>163611.29999999999</v>
      </c>
      <c r="AD356" s="185">
        <f t="shared" ref="AD356:AE356" si="575">+AD355</f>
        <v>134.16999999999999</v>
      </c>
      <c r="AE356" s="185">
        <f t="shared" si="575"/>
        <v>188.55</v>
      </c>
      <c r="AF356" s="185">
        <f t="shared" si="515"/>
        <v>3132.8699999999944</v>
      </c>
      <c r="AG356" s="185">
        <f t="shared" si="516"/>
        <v>-14133448.73</v>
      </c>
      <c r="AH356" s="185">
        <f t="shared" si="517"/>
        <v>15469852.679999994</v>
      </c>
      <c r="AI356" s="411">
        <f t="shared" si="505"/>
        <v>911212.29999999644</v>
      </c>
      <c r="AJ356" s="411">
        <f t="shared" si="566"/>
        <v>-15007035.810000004</v>
      </c>
      <c r="AK356" s="411">
        <f t="shared" si="506"/>
        <v>-14095823.510000007</v>
      </c>
      <c r="AL356" s="185">
        <f t="shared" si="518"/>
        <v>15119548.730000004</v>
      </c>
      <c r="AM356" s="317">
        <f t="shared" si="547"/>
        <v>28</v>
      </c>
      <c r="AN356" s="14">
        <f t="shared" si="507"/>
        <v>6591.25</v>
      </c>
      <c r="AO356" s="14">
        <f t="shared" si="477"/>
        <v>507987.9200000001</v>
      </c>
      <c r="AP356" s="14">
        <f t="shared" si="508"/>
        <v>2810.15</v>
      </c>
      <c r="AS356" s="14">
        <f t="shared" si="541"/>
        <v>6591.25</v>
      </c>
      <c r="AT356" s="14">
        <f t="shared" si="548"/>
        <v>2247135.69</v>
      </c>
      <c r="AU356" s="185">
        <f t="shared" si="549"/>
        <v>3459.5997350224679</v>
      </c>
      <c r="AV356" s="185">
        <f t="shared" si="550"/>
        <v>796674.49374400964</v>
      </c>
    </row>
    <row r="357" spans="1:48">
      <c r="A357" s="401" t="str">
        <f t="shared" si="494"/>
        <v xml:space="preserve"> </v>
      </c>
      <c r="B357" s="185">
        <f t="shared" si="542"/>
        <v>0</v>
      </c>
      <c r="C357" s="14">
        <f t="shared" si="535"/>
        <v>0</v>
      </c>
      <c r="D357" s="14">
        <f t="shared" si="551"/>
        <v>0</v>
      </c>
      <c r="E357" s="14">
        <f t="shared" si="536"/>
        <v>0</v>
      </c>
      <c r="F357" s="14">
        <f t="shared" si="495"/>
        <v>0</v>
      </c>
      <c r="G357" s="14">
        <f t="shared" si="491"/>
        <v>0</v>
      </c>
      <c r="H357" s="14">
        <f t="shared" si="492"/>
        <v>0</v>
      </c>
      <c r="I357" s="185">
        <f t="shared" si="496"/>
        <v>0</v>
      </c>
      <c r="J357" s="185">
        <f t="shared" si="497"/>
        <v>0</v>
      </c>
      <c r="K357" s="185">
        <f t="shared" si="498"/>
        <v>0</v>
      </c>
      <c r="L357" s="317">
        <f t="shared" si="479"/>
        <v>28</v>
      </c>
      <c r="M357" s="317">
        <f t="shared" si="543"/>
        <v>341</v>
      </c>
      <c r="N357" s="185">
        <f t="shared" si="544"/>
        <v>112512.92000000054</v>
      </c>
      <c r="O357" s="185">
        <f t="shared" si="510"/>
        <v>6591.25</v>
      </c>
      <c r="P357" s="185">
        <f t="shared" si="552"/>
        <v>5360.64</v>
      </c>
      <c r="Q357" s="185">
        <f t="shared" si="511"/>
        <v>1230.6099999999999</v>
      </c>
      <c r="R357" s="185">
        <f t="shared" si="502"/>
        <v>134.16999999999999</v>
      </c>
      <c r="S357" s="185">
        <f t="shared" si="503"/>
        <v>188.55</v>
      </c>
      <c r="T357" s="185">
        <f t="shared" si="499"/>
        <v>6913.97</v>
      </c>
      <c r="U357" s="185">
        <f t="shared" si="553"/>
        <v>483472.71999999991</v>
      </c>
      <c r="V357" s="185">
        <f t="shared" si="554"/>
        <v>1770734.7799999986</v>
      </c>
      <c r="W357" s="185">
        <f t="shared" si="500"/>
        <v>107152.28000000054</v>
      </c>
      <c r="X357" s="401" t="str">
        <f t="shared" si="545"/>
        <v xml:space="preserve"> </v>
      </c>
      <c r="Y357" s="185">
        <f t="shared" si="512"/>
        <v>15119548.730000004</v>
      </c>
      <c r="Z357" s="393">
        <f t="shared" si="537"/>
        <v>0.13125000000000001</v>
      </c>
      <c r="AA357" s="185">
        <f t="shared" si="538"/>
        <v>2810.15</v>
      </c>
      <c r="AB357" s="185">
        <f t="shared" si="513"/>
        <v>-162559.91</v>
      </c>
      <c r="AC357" s="185">
        <f t="shared" si="539"/>
        <v>165370.06</v>
      </c>
      <c r="AD357" s="185">
        <f t="shared" ref="AD357:AE357" si="576">+AD356</f>
        <v>134.16999999999999</v>
      </c>
      <c r="AE357" s="185">
        <f t="shared" si="576"/>
        <v>188.55</v>
      </c>
      <c r="AF357" s="185">
        <f t="shared" si="515"/>
        <v>3132.8699999999944</v>
      </c>
      <c r="AG357" s="185">
        <f t="shared" si="516"/>
        <v>-14296008.640000001</v>
      </c>
      <c r="AH357" s="185">
        <f t="shared" si="517"/>
        <v>15635222.739999995</v>
      </c>
      <c r="AI357" s="411">
        <f t="shared" si="505"/>
        <v>914993.39999999641</v>
      </c>
      <c r="AJ357" s="411">
        <f t="shared" si="566"/>
        <v>-15174956.360000003</v>
      </c>
      <c r="AK357" s="411">
        <f t="shared" si="506"/>
        <v>-14259962.960000006</v>
      </c>
      <c r="AL357" s="185">
        <f t="shared" si="518"/>
        <v>15282108.640000004</v>
      </c>
      <c r="AM357" s="317">
        <f t="shared" si="547"/>
        <v>28</v>
      </c>
      <c r="AN357" s="14">
        <f t="shared" si="507"/>
        <v>6591.25</v>
      </c>
      <c r="AO357" s="14">
        <f t="shared" si="477"/>
        <v>502627.28000000009</v>
      </c>
      <c r="AP357" s="14">
        <f t="shared" si="508"/>
        <v>2810.15</v>
      </c>
      <c r="AS357" s="14">
        <f t="shared" si="541"/>
        <v>6591.25</v>
      </c>
      <c r="AT357" s="14">
        <f t="shared" si="548"/>
        <v>2253726.94</v>
      </c>
      <c r="AU357" s="185">
        <f t="shared" si="549"/>
        <v>3468.2487343600242</v>
      </c>
      <c r="AV357" s="185">
        <f t="shared" si="550"/>
        <v>800142.74247836962</v>
      </c>
    </row>
    <row r="358" spans="1:48">
      <c r="A358" s="401" t="str">
        <f t="shared" si="494"/>
        <v xml:space="preserve"> </v>
      </c>
      <c r="B358" s="185">
        <f t="shared" si="542"/>
        <v>0</v>
      </c>
      <c r="C358" s="14">
        <f t="shared" si="535"/>
        <v>0</v>
      </c>
      <c r="D358" s="14">
        <f t="shared" si="551"/>
        <v>0</v>
      </c>
      <c r="E358" s="14">
        <f t="shared" si="536"/>
        <v>0</v>
      </c>
      <c r="F358" s="14">
        <f t="shared" si="495"/>
        <v>0</v>
      </c>
      <c r="G358" s="14">
        <f t="shared" si="491"/>
        <v>0</v>
      </c>
      <c r="H358" s="14">
        <f t="shared" si="492"/>
        <v>0</v>
      </c>
      <c r="I358" s="185">
        <f t="shared" si="496"/>
        <v>0</v>
      </c>
      <c r="J358" s="185">
        <f t="shared" si="497"/>
        <v>0</v>
      </c>
      <c r="K358" s="185">
        <f t="shared" si="498"/>
        <v>0</v>
      </c>
      <c r="L358" s="317">
        <f t="shared" si="479"/>
        <v>28</v>
      </c>
      <c r="M358" s="317">
        <f t="shared" si="543"/>
        <v>342</v>
      </c>
      <c r="N358" s="185">
        <f t="shared" si="544"/>
        <v>107152.28000000054</v>
      </c>
      <c r="O358" s="185">
        <f t="shared" si="510"/>
        <v>6591.25</v>
      </c>
      <c r="P358" s="185">
        <f t="shared" si="552"/>
        <v>5419.27</v>
      </c>
      <c r="Q358" s="185">
        <f t="shared" si="511"/>
        <v>1171.98</v>
      </c>
      <c r="R358" s="185">
        <f t="shared" si="502"/>
        <v>134.16999999999999</v>
      </c>
      <c r="S358" s="185">
        <f t="shared" si="503"/>
        <v>188.55</v>
      </c>
      <c r="T358" s="185">
        <f t="shared" si="499"/>
        <v>6913.97</v>
      </c>
      <c r="U358" s="185">
        <f t="shared" si="553"/>
        <v>488891.98999999993</v>
      </c>
      <c r="V358" s="185">
        <f t="shared" si="554"/>
        <v>1771906.7599999986</v>
      </c>
      <c r="W358" s="185">
        <f t="shared" si="500"/>
        <v>101733.01000000053</v>
      </c>
      <c r="X358" s="401" t="str">
        <f t="shared" si="545"/>
        <v xml:space="preserve"> </v>
      </c>
      <c r="Y358" s="185">
        <f t="shared" si="512"/>
        <v>15282108.640000004</v>
      </c>
      <c r="Z358" s="393">
        <f t="shared" si="537"/>
        <v>0.13125000000000001</v>
      </c>
      <c r="AA358" s="185">
        <f t="shared" si="538"/>
        <v>2810.15</v>
      </c>
      <c r="AB358" s="185">
        <f t="shared" si="513"/>
        <v>-164337.91</v>
      </c>
      <c r="AC358" s="185">
        <f t="shared" si="539"/>
        <v>167148.06</v>
      </c>
      <c r="AD358" s="185">
        <f t="shared" ref="AD358:AE358" si="577">+AD357</f>
        <v>134.16999999999999</v>
      </c>
      <c r="AE358" s="185">
        <f t="shared" si="577"/>
        <v>188.55</v>
      </c>
      <c r="AF358" s="185">
        <f t="shared" si="515"/>
        <v>3132.8699999999944</v>
      </c>
      <c r="AG358" s="185">
        <f t="shared" si="516"/>
        <v>-14460346.550000001</v>
      </c>
      <c r="AH358" s="185">
        <f t="shared" si="517"/>
        <v>15802370.799999995</v>
      </c>
      <c r="AI358" s="411">
        <f t="shared" si="505"/>
        <v>918774.49999999639</v>
      </c>
      <c r="AJ358" s="411">
        <f t="shared" si="566"/>
        <v>-15344713.540000005</v>
      </c>
      <c r="AK358" s="411">
        <f t="shared" si="506"/>
        <v>-14425939.040000008</v>
      </c>
      <c r="AL358" s="185">
        <f t="shared" si="518"/>
        <v>15446446.550000004</v>
      </c>
      <c r="AM358" s="317">
        <f t="shared" si="547"/>
        <v>28</v>
      </c>
      <c r="AN358" s="14">
        <f t="shared" si="507"/>
        <v>6591.25</v>
      </c>
      <c r="AO358" s="14">
        <f t="shared" si="477"/>
        <v>497208.01000000007</v>
      </c>
      <c r="AP358" s="14">
        <f t="shared" si="508"/>
        <v>2810.15</v>
      </c>
      <c r="AS358" s="14">
        <f t="shared" si="541"/>
        <v>6591.25</v>
      </c>
      <c r="AT358" s="14">
        <f t="shared" si="548"/>
        <v>2260318.19</v>
      </c>
      <c r="AU358" s="185">
        <f t="shared" si="549"/>
        <v>3476.9193561959241</v>
      </c>
      <c r="AV358" s="185">
        <f t="shared" si="550"/>
        <v>803619.66183456557</v>
      </c>
    </row>
    <row r="359" spans="1:48">
      <c r="A359" s="401" t="str">
        <f t="shared" si="494"/>
        <v xml:space="preserve"> </v>
      </c>
      <c r="B359" s="185">
        <f t="shared" si="542"/>
        <v>0</v>
      </c>
      <c r="C359" s="14">
        <f t="shared" si="535"/>
        <v>0</v>
      </c>
      <c r="D359" s="14">
        <f t="shared" si="551"/>
        <v>0</v>
      </c>
      <c r="E359" s="14">
        <f t="shared" si="536"/>
        <v>0</v>
      </c>
      <c r="F359" s="14">
        <f t="shared" si="495"/>
        <v>0</v>
      </c>
      <c r="G359" s="14">
        <f t="shared" si="491"/>
        <v>0</v>
      </c>
      <c r="H359" s="14">
        <f t="shared" si="492"/>
        <v>0</v>
      </c>
      <c r="I359" s="185">
        <f t="shared" si="496"/>
        <v>0</v>
      </c>
      <c r="J359" s="185">
        <f t="shared" si="497"/>
        <v>0</v>
      </c>
      <c r="K359" s="185">
        <f t="shared" si="498"/>
        <v>0</v>
      </c>
      <c r="L359" s="317">
        <f t="shared" si="479"/>
        <v>28</v>
      </c>
      <c r="M359" s="317">
        <f t="shared" si="543"/>
        <v>343</v>
      </c>
      <c r="N359" s="185">
        <f t="shared" si="544"/>
        <v>101733.01000000053</v>
      </c>
      <c r="O359" s="185">
        <f t="shared" si="510"/>
        <v>6591.25</v>
      </c>
      <c r="P359" s="185">
        <f t="shared" si="552"/>
        <v>5478.55</v>
      </c>
      <c r="Q359" s="185">
        <f t="shared" si="511"/>
        <v>1112.7</v>
      </c>
      <c r="R359" s="185">
        <f t="shared" si="502"/>
        <v>134.16999999999999</v>
      </c>
      <c r="S359" s="185">
        <f t="shared" si="503"/>
        <v>188.55</v>
      </c>
      <c r="T359" s="185">
        <f t="shared" si="499"/>
        <v>6913.97</v>
      </c>
      <c r="U359" s="185">
        <f t="shared" si="553"/>
        <v>494370.53999999992</v>
      </c>
      <c r="V359" s="185">
        <f t="shared" si="554"/>
        <v>1773019.4599999986</v>
      </c>
      <c r="W359" s="185">
        <f t="shared" si="500"/>
        <v>96254.46000000053</v>
      </c>
      <c r="X359" s="401" t="str">
        <f t="shared" si="545"/>
        <v xml:space="preserve"> </v>
      </c>
      <c r="Y359" s="185">
        <f t="shared" si="512"/>
        <v>15446446.550000004</v>
      </c>
      <c r="Z359" s="393">
        <f t="shared" si="537"/>
        <v>0.13125000000000001</v>
      </c>
      <c r="AA359" s="185">
        <f t="shared" si="538"/>
        <v>2810.15</v>
      </c>
      <c r="AB359" s="185">
        <f t="shared" si="513"/>
        <v>-166135.36000000002</v>
      </c>
      <c r="AC359" s="185">
        <f t="shared" si="539"/>
        <v>168945.51</v>
      </c>
      <c r="AD359" s="185">
        <f t="shared" ref="AD359:AE359" si="578">+AD358</f>
        <v>134.16999999999999</v>
      </c>
      <c r="AE359" s="185">
        <f t="shared" si="578"/>
        <v>188.55</v>
      </c>
      <c r="AF359" s="185">
        <f t="shared" si="515"/>
        <v>3132.8699999999944</v>
      </c>
      <c r="AG359" s="185">
        <f t="shared" si="516"/>
        <v>-14626481.91</v>
      </c>
      <c r="AH359" s="185">
        <f t="shared" si="517"/>
        <v>15971316.309999995</v>
      </c>
      <c r="AI359" s="411">
        <f t="shared" si="505"/>
        <v>922555.59999999637</v>
      </c>
      <c r="AJ359" s="411">
        <f t="shared" si="566"/>
        <v>-15516327.450000003</v>
      </c>
      <c r="AK359" s="411">
        <f t="shared" si="506"/>
        <v>-14593771.850000007</v>
      </c>
      <c r="AL359" s="185">
        <f t="shared" si="518"/>
        <v>15612581.910000004</v>
      </c>
      <c r="AM359" s="317">
        <f t="shared" si="547"/>
        <v>28</v>
      </c>
      <c r="AN359" s="14">
        <f t="shared" si="507"/>
        <v>6591.25</v>
      </c>
      <c r="AO359" s="14">
        <f t="shared" si="477"/>
        <v>491729.46000000008</v>
      </c>
      <c r="AP359" s="14">
        <f t="shared" si="508"/>
        <v>2810.15</v>
      </c>
      <c r="AS359" s="14">
        <f t="shared" si="541"/>
        <v>6591.25</v>
      </c>
      <c r="AT359" s="14">
        <f t="shared" si="548"/>
        <v>2266909.44</v>
      </c>
      <c r="AU359" s="185">
        <f t="shared" si="549"/>
        <v>3485.6116545864134</v>
      </c>
      <c r="AV359" s="185">
        <f t="shared" si="550"/>
        <v>807105.27348915196</v>
      </c>
    </row>
    <row r="360" spans="1:48">
      <c r="A360" s="401" t="str">
        <f t="shared" si="494"/>
        <v xml:space="preserve"> </v>
      </c>
      <c r="B360" s="185">
        <f t="shared" si="542"/>
        <v>0</v>
      </c>
      <c r="C360" s="14">
        <f t="shared" si="535"/>
        <v>0</v>
      </c>
      <c r="D360" s="14">
        <f t="shared" si="551"/>
        <v>0</v>
      </c>
      <c r="E360" s="14">
        <f t="shared" si="536"/>
        <v>0</v>
      </c>
      <c r="F360" s="14">
        <f t="shared" si="495"/>
        <v>0</v>
      </c>
      <c r="G360" s="14">
        <f t="shared" si="491"/>
        <v>0</v>
      </c>
      <c r="H360" s="14">
        <f t="shared" si="492"/>
        <v>0</v>
      </c>
      <c r="I360" s="185">
        <f t="shared" si="496"/>
        <v>0</v>
      </c>
      <c r="J360" s="185">
        <f t="shared" si="497"/>
        <v>0</v>
      </c>
      <c r="K360" s="185">
        <f t="shared" si="498"/>
        <v>0</v>
      </c>
      <c r="L360" s="317">
        <f t="shared" si="479"/>
        <v>28</v>
      </c>
      <c r="M360" s="317">
        <f t="shared" si="543"/>
        <v>344</v>
      </c>
      <c r="N360" s="185">
        <f t="shared" si="544"/>
        <v>96254.46000000053</v>
      </c>
      <c r="O360" s="185">
        <f t="shared" si="510"/>
        <v>6591.25</v>
      </c>
      <c r="P360" s="185">
        <f t="shared" si="552"/>
        <v>5538.47</v>
      </c>
      <c r="Q360" s="185">
        <f t="shared" si="511"/>
        <v>1052.78</v>
      </c>
      <c r="R360" s="185">
        <f t="shared" si="502"/>
        <v>134.16999999999999</v>
      </c>
      <c r="S360" s="185">
        <f t="shared" si="503"/>
        <v>188.55</v>
      </c>
      <c r="T360" s="185">
        <f t="shared" si="499"/>
        <v>6913.97</v>
      </c>
      <c r="U360" s="185">
        <f t="shared" si="553"/>
        <v>499909.00999999989</v>
      </c>
      <c r="V360" s="185">
        <f t="shared" si="554"/>
        <v>1774072.2399999986</v>
      </c>
      <c r="W360" s="185">
        <f t="shared" si="500"/>
        <v>90715.990000000529</v>
      </c>
      <c r="X360" s="401" t="str">
        <f t="shared" si="545"/>
        <v xml:space="preserve"> </v>
      </c>
      <c r="Y360" s="185">
        <f t="shared" si="512"/>
        <v>15612581.910000004</v>
      </c>
      <c r="Z360" s="393">
        <f t="shared" si="537"/>
        <v>0.13125000000000001</v>
      </c>
      <c r="AA360" s="185">
        <f t="shared" si="538"/>
        <v>2810.15</v>
      </c>
      <c r="AB360" s="185">
        <f t="shared" si="513"/>
        <v>-167952.46</v>
      </c>
      <c r="AC360" s="185">
        <f t="shared" si="539"/>
        <v>170762.61</v>
      </c>
      <c r="AD360" s="185">
        <f t="shared" ref="AD360:AE360" si="579">+AD359</f>
        <v>134.16999999999999</v>
      </c>
      <c r="AE360" s="185">
        <f t="shared" si="579"/>
        <v>188.55</v>
      </c>
      <c r="AF360" s="185">
        <f t="shared" si="515"/>
        <v>3132.8699999999944</v>
      </c>
      <c r="AG360" s="185">
        <f t="shared" si="516"/>
        <v>-14794434.370000001</v>
      </c>
      <c r="AH360" s="185">
        <f t="shared" si="517"/>
        <v>16142078.919999994</v>
      </c>
      <c r="AI360" s="411">
        <f t="shared" si="505"/>
        <v>926336.69999999634</v>
      </c>
      <c r="AJ360" s="411">
        <f t="shared" si="566"/>
        <v>-15689818.380000005</v>
      </c>
      <c r="AK360" s="411">
        <f t="shared" si="506"/>
        <v>-14763481.680000009</v>
      </c>
      <c r="AL360" s="185">
        <f t="shared" si="518"/>
        <v>15780534.370000005</v>
      </c>
      <c r="AM360" s="317">
        <f t="shared" si="547"/>
        <v>28</v>
      </c>
      <c r="AN360" s="14">
        <f t="shared" si="507"/>
        <v>6591.25</v>
      </c>
      <c r="AO360" s="14">
        <f t="shared" si="477"/>
        <v>486190.99000000011</v>
      </c>
      <c r="AP360" s="14">
        <f t="shared" si="508"/>
        <v>2810.15</v>
      </c>
      <c r="AS360" s="14">
        <f t="shared" si="541"/>
        <v>6591.25</v>
      </c>
      <c r="AT360" s="14">
        <f t="shared" si="548"/>
        <v>2273500.69</v>
      </c>
      <c r="AU360" s="185">
        <f t="shared" si="549"/>
        <v>3494.3256837228801</v>
      </c>
      <c r="AV360" s="185">
        <f t="shared" si="550"/>
        <v>810599.59917287482</v>
      </c>
    </row>
    <row r="361" spans="1:48">
      <c r="A361" s="401" t="str">
        <f t="shared" si="494"/>
        <v xml:space="preserve"> </v>
      </c>
      <c r="B361" s="185">
        <f t="shared" si="542"/>
        <v>0</v>
      </c>
      <c r="C361" s="14">
        <f t="shared" si="535"/>
        <v>0</v>
      </c>
      <c r="D361" s="14">
        <f t="shared" si="551"/>
        <v>0</v>
      </c>
      <c r="E361" s="14">
        <f t="shared" si="536"/>
        <v>0</v>
      </c>
      <c r="F361" s="14">
        <f t="shared" si="495"/>
        <v>0</v>
      </c>
      <c r="G361" s="14">
        <f t="shared" si="491"/>
        <v>0</v>
      </c>
      <c r="H361" s="14">
        <f t="shared" si="492"/>
        <v>0</v>
      </c>
      <c r="I361" s="185">
        <f t="shared" si="496"/>
        <v>0</v>
      </c>
      <c r="J361" s="185">
        <f t="shared" si="497"/>
        <v>0</v>
      </c>
      <c r="K361" s="185">
        <f t="shared" si="498"/>
        <v>0</v>
      </c>
      <c r="L361" s="317">
        <f t="shared" si="479"/>
        <v>28</v>
      </c>
      <c r="M361" s="317">
        <f t="shared" si="543"/>
        <v>345</v>
      </c>
      <c r="N361" s="185">
        <f t="shared" si="544"/>
        <v>90715.990000000529</v>
      </c>
      <c r="O361" s="185">
        <f t="shared" si="510"/>
        <v>6591.25</v>
      </c>
      <c r="P361" s="185">
        <f t="shared" si="552"/>
        <v>5599.04</v>
      </c>
      <c r="Q361" s="185">
        <f t="shared" si="511"/>
        <v>992.21</v>
      </c>
      <c r="R361" s="185">
        <f t="shared" si="502"/>
        <v>134.16999999999999</v>
      </c>
      <c r="S361" s="185">
        <f t="shared" si="503"/>
        <v>188.55</v>
      </c>
      <c r="T361" s="185">
        <f t="shared" si="499"/>
        <v>6913.97</v>
      </c>
      <c r="U361" s="185">
        <f t="shared" si="553"/>
        <v>505508.04999999987</v>
      </c>
      <c r="V361" s="185">
        <f t="shared" si="554"/>
        <v>1775064.4499999986</v>
      </c>
      <c r="W361" s="185">
        <f t="shared" si="500"/>
        <v>85116.950000000536</v>
      </c>
      <c r="X361" s="401" t="str">
        <f t="shared" si="545"/>
        <v xml:space="preserve"> </v>
      </c>
      <c r="Y361" s="185">
        <f t="shared" si="512"/>
        <v>15780534.370000005</v>
      </c>
      <c r="Z361" s="393">
        <f t="shared" si="537"/>
        <v>0.13125000000000001</v>
      </c>
      <c r="AA361" s="185">
        <f t="shared" si="538"/>
        <v>2810.15</v>
      </c>
      <c r="AB361" s="185">
        <f t="shared" si="513"/>
        <v>-169789.44</v>
      </c>
      <c r="AC361" s="185">
        <f t="shared" si="539"/>
        <v>172599.59</v>
      </c>
      <c r="AD361" s="185">
        <f t="shared" ref="AD361:AE361" si="580">+AD360</f>
        <v>134.16999999999999</v>
      </c>
      <c r="AE361" s="185">
        <f t="shared" si="580"/>
        <v>188.55</v>
      </c>
      <c r="AF361" s="185">
        <f t="shared" si="515"/>
        <v>3132.8699999999944</v>
      </c>
      <c r="AG361" s="185">
        <f t="shared" si="516"/>
        <v>-14964223.810000001</v>
      </c>
      <c r="AH361" s="185">
        <f t="shared" si="517"/>
        <v>16314678.509999994</v>
      </c>
      <c r="AI361" s="411">
        <f t="shared" si="505"/>
        <v>930117.79999999632</v>
      </c>
      <c r="AJ361" s="411">
        <f t="shared" si="566"/>
        <v>-15865206.860000003</v>
      </c>
      <c r="AK361" s="411">
        <f t="shared" si="506"/>
        <v>-14935089.060000006</v>
      </c>
      <c r="AL361" s="185">
        <f t="shared" si="518"/>
        <v>15950323.810000004</v>
      </c>
      <c r="AM361" s="317">
        <f t="shared" si="547"/>
        <v>28</v>
      </c>
      <c r="AN361" s="14">
        <f t="shared" si="507"/>
        <v>6591.25</v>
      </c>
      <c r="AO361" s="14">
        <f t="shared" si="477"/>
        <v>480591.95000000013</v>
      </c>
      <c r="AP361" s="14">
        <f t="shared" si="508"/>
        <v>2810.15</v>
      </c>
      <c r="AS361" s="14">
        <f t="shared" si="541"/>
        <v>6591.25</v>
      </c>
      <c r="AT361" s="14">
        <f t="shared" si="548"/>
        <v>2280091.94</v>
      </c>
      <c r="AU361" s="185">
        <f t="shared" si="549"/>
        <v>3503.0614979321872</v>
      </c>
      <c r="AV361" s="185">
        <f t="shared" si="550"/>
        <v>814102.660670807</v>
      </c>
    </row>
    <row r="362" spans="1:48" ht="15.75" thickBot="1">
      <c r="A362" s="404" t="str">
        <f t="shared" si="494"/>
        <v xml:space="preserve"> </v>
      </c>
      <c r="B362" s="237">
        <f t="shared" si="542"/>
        <v>0</v>
      </c>
      <c r="C362" s="21">
        <f t="shared" si="535"/>
        <v>0</v>
      </c>
      <c r="D362" s="21">
        <f t="shared" si="551"/>
        <v>0</v>
      </c>
      <c r="E362" s="21">
        <f t="shared" si="536"/>
        <v>0</v>
      </c>
      <c r="F362" s="21">
        <f t="shared" si="495"/>
        <v>0</v>
      </c>
      <c r="G362" s="21">
        <f t="shared" si="491"/>
        <v>0</v>
      </c>
      <c r="H362" s="21">
        <f t="shared" si="492"/>
        <v>0</v>
      </c>
      <c r="I362" s="237">
        <f t="shared" si="496"/>
        <v>0</v>
      </c>
      <c r="J362" s="237">
        <f t="shared" si="497"/>
        <v>0</v>
      </c>
      <c r="K362" s="237">
        <f t="shared" si="498"/>
        <v>0</v>
      </c>
      <c r="L362" s="318">
        <f t="shared" si="479"/>
        <v>28</v>
      </c>
      <c r="M362" s="318">
        <f t="shared" si="543"/>
        <v>346</v>
      </c>
      <c r="N362" s="237">
        <f t="shared" si="544"/>
        <v>85116.950000000536</v>
      </c>
      <c r="O362" s="237">
        <f t="shared" si="510"/>
        <v>6591.25</v>
      </c>
      <c r="P362" s="237">
        <f t="shared" si="552"/>
        <v>5660.28</v>
      </c>
      <c r="Q362" s="237">
        <f t="shared" si="511"/>
        <v>930.97</v>
      </c>
      <c r="R362" s="237">
        <f t="shared" si="502"/>
        <v>134.16999999999999</v>
      </c>
      <c r="S362" s="237">
        <f t="shared" si="503"/>
        <v>188.55</v>
      </c>
      <c r="T362" s="237">
        <f t="shared" si="499"/>
        <v>6913.97</v>
      </c>
      <c r="U362" s="237">
        <f t="shared" si="553"/>
        <v>511168.3299999999</v>
      </c>
      <c r="V362" s="237">
        <f t="shared" si="554"/>
        <v>1775995.4199999985</v>
      </c>
      <c r="W362" s="237">
        <f t="shared" si="500"/>
        <v>79456.670000000537</v>
      </c>
      <c r="X362" s="404" t="str">
        <f t="shared" si="545"/>
        <v xml:space="preserve"> </v>
      </c>
      <c r="Y362" s="237">
        <f t="shared" si="512"/>
        <v>15950323.810000004</v>
      </c>
      <c r="Z362" s="394">
        <f t="shared" si="537"/>
        <v>0.13125000000000001</v>
      </c>
      <c r="AA362" s="237">
        <f t="shared" si="538"/>
        <v>2810.15</v>
      </c>
      <c r="AB362" s="237">
        <f t="shared" si="513"/>
        <v>-171646.52000000002</v>
      </c>
      <c r="AC362" s="237">
        <f t="shared" si="539"/>
        <v>174456.67</v>
      </c>
      <c r="AD362" s="237">
        <f t="shared" ref="AD362:AE362" si="581">+AD361</f>
        <v>134.16999999999999</v>
      </c>
      <c r="AE362" s="237">
        <f t="shared" si="581"/>
        <v>188.55</v>
      </c>
      <c r="AF362" s="237">
        <f t="shared" si="515"/>
        <v>3132.8699999999944</v>
      </c>
      <c r="AG362" s="237">
        <f t="shared" si="516"/>
        <v>-15135870.33</v>
      </c>
      <c r="AH362" s="237">
        <f t="shared" si="517"/>
        <v>16489135.179999994</v>
      </c>
      <c r="AI362" s="412">
        <f t="shared" si="505"/>
        <v>933898.8999999963</v>
      </c>
      <c r="AJ362" s="412">
        <f t="shared" si="566"/>
        <v>-16042513.660000004</v>
      </c>
      <c r="AK362" s="411">
        <f t="shared" si="506"/>
        <v>-15108614.760000007</v>
      </c>
      <c r="AL362" s="237">
        <f t="shared" si="518"/>
        <v>16121970.330000004</v>
      </c>
      <c r="AM362" s="318">
        <f t="shared" si="547"/>
        <v>28</v>
      </c>
      <c r="AN362" s="21">
        <f t="shared" si="507"/>
        <v>6591.25</v>
      </c>
      <c r="AO362" s="21">
        <f t="shared" si="477"/>
        <v>474931.6700000001</v>
      </c>
      <c r="AP362" s="21">
        <f t="shared" si="508"/>
        <v>2810.15</v>
      </c>
      <c r="AQ362" s="21"/>
      <c r="AR362" s="23"/>
      <c r="AS362" s="21">
        <f t="shared" si="541"/>
        <v>6591.25</v>
      </c>
      <c r="AT362" s="21">
        <f t="shared" si="548"/>
        <v>2286683.19</v>
      </c>
      <c r="AU362" s="237">
        <f t="shared" si="549"/>
        <v>3511.819151677018</v>
      </c>
      <c r="AV362" s="237">
        <f t="shared" si="550"/>
        <v>817614.47982248408</v>
      </c>
    </row>
    <row r="363" spans="1:48">
      <c r="A363" s="401" t="str">
        <f t="shared" si="494"/>
        <v xml:space="preserve"> </v>
      </c>
      <c r="B363" s="185">
        <f t="shared" si="542"/>
        <v>0</v>
      </c>
      <c r="C363" s="14">
        <f t="shared" si="535"/>
        <v>0</v>
      </c>
      <c r="D363" s="14">
        <f t="shared" si="551"/>
        <v>0</v>
      </c>
      <c r="E363" s="14">
        <f t="shared" si="536"/>
        <v>0</v>
      </c>
      <c r="F363" s="14">
        <f t="shared" si="495"/>
        <v>0</v>
      </c>
      <c r="G363" s="14">
        <f t="shared" si="491"/>
        <v>0</v>
      </c>
      <c r="H363" s="14">
        <f t="shared" si="492"/>
        <v>0</v>
      </c>
      <c r="I363" s="185">
        <f t="shared" si="496"/>
        <v>0</v>
      </c>
      <c r="J363" s="185">
        <f t="shared" si="497"/>
        <v>0</v>
      </c>
      <c r="K363" s="185">
        <f t="shared" si="498"/>
        <v>0</v>
      </c>
      <c r="L363" s="317">
        <f t="shared" si="479"/>
        <v>28</v>
      </c>
      <c r="M363" s="317">
        <f t="shared" si="543"/>
        <v>347</v>
      </c>
      <c r="N363" s="185">
        <f t="shared" si="544"/>
        <v>79456.670000000537</v>
      </c>
      <c r="O363" s="185">
        <f t="shared" si="510"/>
        <v>6591.25</v>
      </c>
      <c r="P363" s="185">
        <f t="shared" si="552"/>
        <v>5722.1900000000005</v>
      </c>
      <c r="Q363" s="185">
        <f t="shared" si="511"/>
        <v>869.06</v>
      </c>
      <c r="R363" s="185">
        <f t="shared" si="502"/>
        <v>134.16999999999999</v>
      </c>
      <c r="S363" s="185">
        <f t="shared" si="503"/>
        <v>188.55</v>
      </c>
      <c r="T363" s="185">
        <f t="shared" si="499"/>
        <v>6913.97</v>
      </c>
      <c r="U363" s="185">
        <f t="shared" si="553"/>
        <v>516890.5199999999</v>
      </c>
      <c r="V363" s="185">
        <f t="shared" si="554"/>
        <v>1776864.4799999986</v>
      </c>
      <c r="W363" s="185">
        <f t="shared" si="500"/>
        <v>73734.480000000534</v>
      </c>
      <c r="X363" s="401" t="str">
        <f t="shared" si="545"/>
        <v xml:space="preserve"> </v>
      </c>
      <c r="Y363" s="185">
        <f t="shared" si="512"/>
        <v>16121970.330000004</v>
      </c>
      <c r="Z363" s="393">
        <f t="shared" si="537"/>
        <v>0.13125000000000001</v>
      </c>
      <c r="AA363" s="185">
        <f t="shared" si="538"/>
        <v>2810.15</v>
      </c>
      <c r="AB363" s="185">
        <f t="shared" si="513"/>
        <v>-173523.9</v>
      </c>
      <c r="AC363" s="185">
        <f t="shared" si="539"/>
        <v>176334.05</v>
      </c>
      <c r="AD363" s="185">
        <f t="shared" ref="AD363:AE363" si="582">+AD362</f>
        <v>134.16999999999999</v>
      </c>
      <c r="AE363" s="185">
        <f t="shared" si="582"/>
        <v>188.55</v>
      </c>
      <c r="AF363" s="185">
        <f t="shared" si="515"/>
        <v>3132.8699999999944</v>
      </c>
      <c r="AG363" s="185">
        <f t="shared" si="516"/>
        <v>-15309394.23</v>
      </c>
      <c r="AH363" s="185">
        <f t="shared" si="517"/>
        <v>16665469.229999995</v>
      </c>
      <c r="AI363" s="411">
        <f t="shared" si="505"/>
        <v>937679.99999999627</v>
      </c>
      <c r="AJ363" s="411">
        <f t="shared" si="566"/>
        <v>-16221759.750000004</v>
      </c>
      <c r="AK363" s="411">
        <f t="shared" si="506"/>
        <v>-15284079.750000007</v>
      </c>
      <c r="AL363" s="185">
        <f t="shared" si="518"/>
        <v>16295494.230000004</v>
      </c>
      <c r="AM363" s="317">
        <f t="shared" si="547"/>
        <v>28</v>
      </c>
      <c r="AN363" s="14">
        <f t="shared" si="507"/>
        <v>6591.25</v>
      </c>
      <c r="AO363" s="14">
        <f t="shared" si="477"/>
        <v>469209.4800000001</v>
      </c>
      <c r="AP363" s="14">
        <f t="shared" si="508"/>
        <v>2810.15</v>
      </c>
      <c r="AS363" s="14">
        <f t="shared" si="541"/>
        <v>6591.25</v>
      </c>
      <c r="AT363" s="14">
        <f t="shared" si="548"/>
        <v>2293274.44</v>
      </c>
      <c r="AU363" s="185">
        <f t="shared" si="549"/>
        <v>3520.5986995562102</v>
      </c>
      <c r="AV363" s="185">
        <f t="shared" si="550"/>
        <v>821135.07852204028</v>
      </c>
    </row>
    <row r="364" spans="1:48">
      <c r="A364" s="401" t="str">
        <f t="shared" si="494"/>
        <v xml:space="preserve"> </v>
      </c>
      <c r="B364" s="185">
        <f t="shared" si="542"/>
        <v>0</v>
      </c>
      <c r="C364" s="14">
        <f t="shared" si="535"/>
        <v>0</v>
      </c>
      <c r="D364" s="14">
        <f t="shared" si="551"/>
        <v>0</v>
      </c>
      <c r="E364" s="14">
        <f t="shared" si="536"/>
        <v>0</v>
      </c>
      <c r="F364" s="14">
        <f t="shared" si="495"/>
        <v>0</v>
      </c>
      <c r="G364" s="14">
        <f t="shared" si="491"/>
        <v>0</v>
      </c>
      <c r="H364" s="14">
        <f t="shared" si="492"/>
        <v>0</v>
      </c>
      <c r="I364" s="185">
        <f t="shared" si="496"/>
        <v>0</v>
      </c>
      <c r="J364" s="185">
        <f t="shared" si="497"/>
        <v>0</v>
      </c>
      <c r="K364" s="185">
        <f t="shared" si="498"/>
        <v>0</v>
      </c>
      <c r="L364" s="317">
        <f t="shared" si="479"/>
        <v>29</v>
      </c>
      <c r="M364" s="317">
        <f t="shared" si="543"/>
        <v>348</v>
      </c>
      <c r="N364" s="185">
        <f t="shared" si="544"/>
        <v>73734.480000000534</v>
      </c>
      <c r="O364" s="185">
        <f t="shared" si="510"/>
        <v>6591.25</v>
      </c>
      <c r="P364" s="185">
        <f t="shared" si="552"/>
        <v>5784.78</v>
      </c>
      <c r="Q364" s="185">
        <f t="shared" si="511"/>
        <v>806.47</v>
      </c>
      <c r="R364" s="185">
        <f t="shared" si="502"/>
        <v>134.16999999999999</v>
      </c>
      <c r="S364" s="185">
        <f t="shared" si="503"/>
        <v>188.55</v>
      </c>
      <c r="T364" s="185">
        <f t="shared" si="499"/>
        <v>6913.97</v>
      </c>
      <c r="U364" s="185">
        <f t="shared" si="553"/>
        <v>522675.29999999993</v>
      </c>
      <c r="V364" s="185">
        <f t="shared" si="554"/>
        <v>1777670.9499999986</v>
      </c>
      <c r="W364" s="185">
        <f t="shared" si="500"/>
        <v>67949.700000000536</v>
      </c>
      <c r="X364" s="401" t="str">
        <f t="shared" si="545"/>
        <v xml:space="preserve"> </v>
      </c>
      <c r="Y364" s="185">
        <f t="shared" si="512"/>
        <v>16295494.230000004</v>
      </c>
      <c r="Z364" s="393">
        <f t="shared" si="537"/>
        <v>0.13125000000000001</v>
      </c>
      <c r="AA364" s="185">
        <f t="shared" si="538"/>
        <v>2810.15</v>
      </c>
      <c r="AB364" s="185">
        <f t="shared" si="513"/>
        <v>-175421.82</v>
      </c>
      <c r="AC364" s="185">
        <f t="shared" si="539"/>
        <v>178231.97</v>
      </c>
      <c r="AD364" s="185">
        <f t="shared" ref="AD364:AE364" si="583">+AD363</f>
        <v>134.16999999999999</v>
      </c>
      <c r="AE364" s="185">
        <f t="shared" si="583"/>
        <v>188.55</v>
      </c>
      <c r="AF364" s="185">
        <f t="shared" si="515"/>
        <v>3132.8699999999944</v>
      </c>
      <c r="AG364" s="185">
        <f t="shared" si="516"/>
        <v>-15484816.050000001</v>
      </c>
      <c r="AH364" s="185">
        <f t="shared" si="517"/>
        <v>16843701.199999996</v>
      </c>
      <c r="AI364" s="411">
        <f t="shared" si="505"/>
        <v>941461.09999999625</v>
      </c>
      <c r="AJ364" s="411">
        <f t="shared" si="566"/>
        <v>-16402966.350000003</v>
      </c>
      <c r="AK364" s="411">
        <f t="shared" si="506"/>
        <v>-15461505.250000007</v>
      </c>
      <c r="AL364" s="185">
        <f t="shared" si="518"/>
        <v>16470916.050000004</v>
      </c>
      <c r="AM364" s="317">
        <f t="shared" si="547"/>
        <v>29</v>
      </c>
      <c r="AN364" s="14">
        <f t="shared" si="507"/>
        <v>6591.25</v>
      </c>
      <c r="AO364" s="14">
        <f t="shared" si="477"/>
        <v>463424.70000000007</v>
      </c>
      <c r="AP364" s="14">
        <f t="shared" si="508"/>
        <v>2810.15</v>
      </c>
      <c r="AS364" s="14">
        <f t="shared" si="541"/>
        <v>6591.25</v>
      </c>
      <c r="AT364" s="14">
        <f t="shared" si="548"/>
        <v>2299865.69</v>
      </c>
      <c r="AU364" s="185">
        <f t="shared" si="549"/>
        <v>3529.400196305101</v>
      </c>
      <c r="AV364" s="185">
        <f t="shared" si="550"/>
        <v>824664.4787183454</v>
      </c>
    </row>
    <row r="365" spans="1:48">
      <c r="A365" s="401" t="str">
        <f t="shared" si="494"/>
        <v xml:space="preserve"> </v>
      </c>
      <c r="B365" s="185">
        <f t="shared" si="542"/>
        <v>0</v>
      </c>
      <c r="C365" s="14">
        <f t="shared" si="535"/>
        <v>0</v>
      </c>
      <c r="D365" s="14">
        <f t="shared" si="551"/>
        <v>0</v>
      </c>
      <c r="E365" s="14">
        <f t="shared" si="536"/>
        <v>0</v>
      </c>
      <c r="F365" s="14">
        <f t="shared" si="495"/>
        <v>0</v>
      </c>
      <c r="G365" s="14">
        <f t="shared" si="491"/>
        <v>0</v>
      </c>
      <c r="H365" s="14">
        <f t="shared" si="492"/>
        <v>0</v>
      </c>
      <c r="I365" s="185">
        <f t="shared" si="496"/>
        <v>0</v>
      </c>
      <c r="J365" s="185">
        <f t="shared" si="497"/>
        <v>0</v>
      </c>
      <c r="K365" s="185">
        <f t="shared" si="498"/>
        <v>0</v>
      </c>
      <c r="L365" s="317">
        <f t="shared" si="479"/>
        <v>29</v>
      </c>
      <c r="M365" s="317">
        <f t="shared" si="543"/>
        <v>349</v>
      </c>
      <c r="N365" s="185">
        <f t="shared" si="544"/>
        <v>67949.700000000536</v>
      </c>
      <c r="O365" s="185">
        <f t="shared" si="510"/>
        <v>6591.25</v>
      </c>
      <c r="P365" s="185">
        <f t="shared" si="552"/>
        <v>5848.05</v>
      </c>
      <c r="Q365" s="185">
        <f t="shared" si="511"/>
        <v>743.2</v>
      </c>
      <c r="R365" s="185">
        <f t="shared" si="502"/>
        <v>134.16999999999999</v>
      </c>
      <c r="S365" s="185">
        <f t="shared" si="503"/>
        <v>188.55</v>
      </c>
      <c r="T365" s="185">
        <f t="shared" si="499"/>
        <v>6913.97</v>
      </c>
      <c r="U365" s="185">
        <f t="shared" si="553"/>
        <v>528523.35</v>
      </c>
      <c r="V365" s="185">
        <f t="shared" si="554"/>
        <v>1778414.1499999985</v>
      </c>
      <c r="W365" s="185">
        <f t="shared" si="500"/>
        <v>62101.650000000533</v>
      </c>
      <c r="X365" s="401" t="str">
        <f t="shared" si="545"/>
        <v xml:space="preserve"> </v>
      </c>
      <c r="Y365" s="185">
        <f t="shared" si="512"/>
        <v>16470916.050000004</v>
      </c>
      <c r="Z365" s="393">
        <f t="shared" si="537"/>
        <v>0.13125000000000001</v>
      </c>
      <c r="AA365" s="185">
        <f t="shared" si="538"/>
        <v>2810.15</v>
      </c>
      <c r="AB365" s="185">
        <f t="shared" si="513"/>
        <v>-177340.49000000002</v>
      </c>
      <c r="AC365" s="185">
        <f t="shared" si="539"/>
        <v>180150.64</v>
      </c>
      <c r="AD365" s="185">
        <f t="shared" ref="AD365:AE365" si="584">+AD364</f>
        <v>134.16999999999999</v>
      </c>
      <c r="AE365" s="185">
        <f t="shared" si="584"/>
        <v>188.55</v>
      </c>
      <c r="AF365" s="185">
        <f t="shared" si="515"/>
        <v>3132.8699999999944</v>
      </c>
      <c r="AG365" s="185">
        <f t="shared" si="516"/>
        <v>-15662156.540000001</v>
      </c>
      <c r="AH365" s="185">
        <f t="shared" si="517"/>
        <v>17023851.839999996</v>
      </c>
      <c r="AI365" s="411">
        <f t="shared" si="505"/>
        <v>945242.19999999623</v>
      </c>
      <c r="AJ365" s="411">
        <f t="shared" si="566"/>
        <v>-16586154.890000004</v>
      </c>
      <c r="AK365" s="411">
        <f t="shared" si="506"/>
        <v>-15640912.690000009</v>
      </c>
      <c r="AL365" s="185">
        <f t="shared" si="518"/>
        <v>16648256.540000005</v>
      </c>
      <c r="AM365" s="317">
        <f t="shared" si="547"/>
        <v>29</v>
      </c>
      <c r="AN365" s="14">
        <f t="shared" si="507"/>
        <v>6591.25</v>
      </c>
      <c r="AO365" s="14">
        <f t="shared" ref="AO365:AO428" si="585">IF(W365&lt;=0,0,+$AA$5-$C$2+I365-U365)</f>
        <v>457576.65</v>
      </c>
      <c r="AP365" s="14">
        <f t="shared" si="508"/>
        <v>2810.15</v>
      </c>
      <c r="AS365" s="14">
        <f t="shared" si="541"/>
        <v>6591.25</v>
      </c>
      <c r="AT365" s="14">
        <f t="shared" si="548"/>
        <v>2306456.94</v>
      </c>
      <c r="AU365" s="185">
        <f t="shared" si="549"/>
        <v>3538.2236967958638</v>
      </c>
      <c r="AV365" s="185">
        <f t="shared" si="550"/>
        <v>828202.70241514128</v>
      </c>
    </row>
    <row r="366" spans="1:48">
      <c r="A366" s="401" t="str">
        <f t="shared" si="494"/>
        <v xml:space="preserve"> </v>
      </c>
      <c r="B366" s="185">
        <f t="shared" si="542"/>
        <v>0</v>
      </c>
      <c r="C366" s="14">
        <f t="shared" si="535"/>
        <v>0</v>
      </c>
      <c r="D366" s="14">
        <f t="shared" si="551"/>
        <v>0</v>
      </c>
      <c r="E366" s="14">
        <f t="shared" si="536"/>
        <v>0</v>
      </c>
      <c r="F366" s="14">
        <f t="shared" si="495"/>
        <v>0</v>
      </c>
      <c r="G366" s="14">
        <f t="shared" si="491"/>
        <v>0</v>
      </c>
      <c r="H366" s="14">
        <f t="shared" si="492"/>
        <v>0</v>
      </c>
      <c r="I366" s="185">
        <f t="shared" si="496"/>
        <v>0</v>
      </c>
      <c r="J366" s="185">
        <f t="shared" si="497"/>
        <v>0</v>
      </c>
      <c r="K366" s="185">
        <f t="shared" si="498"/>
        <v>0</v>
      </c>
      <c r="L366" s="317">
        <f t="shared" si="479"/>
        <v>29</v>
      </c>
      <c r="M366" s="317">
        <f t="shared" si="543"/>
        <v>350</v>
      </c>
      <c r="N366" s="185">
        <f t="shared" si="544"/>
        <v>62101.650000000533</v>
      </c>
      <c r="O366" s="185">
        <f t="shared" si="510"/>
        <v>6591.25</v>
      </c>
      <c r="P366" s="185">
        <f t="shared" si="552"/>
        <v>5912.01</v>
      </c>
      <c r="Q366" s="185">
        <f t="shared" si="511"/>
        <v>679.24</v>
      </c>
      <c r="R366" s="185">
        <f t="shared" si="502"/>
        <v>134.16999999999999</v>
      </c>
      <c r="S366" s="185">
        <f t="shared" si="503"/>
        <v>188.55</v>
      </c>
      <c r="T366" s="185">
        <f t="shared" si="499"/>
        <v>6913.97</v>
      </c>
      <c r="U366" s="185">
        <f t="shared" si="553"/>
        <v>534435.36</v>
      </c>
      <c r="V366" s="185">
        <f t="shared" si="554"/>
        <v>1779093.3899999985</v>
      </c>
      <c r="W366" s="185">
        <f t="shared" si="500"/>
        <v>56189.640000000531</v>
      </c>
      <c r="X366" s="401" t="str">
        <f t="shared" si="545"/>
        <v xml:space="preserve"> </v>
      </c>
      <c r="Y366" s="185">
        <f t="shared" si="512"/>
        <v>16648256.540000005</v>
      </c>
      <c r="Z366" s="393">
        <f t="shared" si="537"/>
        <v>0.13125000000000001</v>
      </c>
      <c r="AA366" s="185">
        <f t="shared" si="538"/>
        <v>2810.15</v>
      </c>
      <c r="AB366" s="185">
        <f t="shared" si="513"/>
        <v>-179280.16</v>
      </c>
      <c r="AC366" s="185">
        <f t="shared" si="539"/>
        <v>182090.31</v>
      </c>
      <c r="AD366" s="185">
        <f t="shared" ref="AD366:AE366" si="586">+AD365</f>
        <v>134.16999999999999</v>
      </c>
      <c r="AE366" s="185">
        <f t="shared" si="586"/>
        <v>188.55</v>
      </c>
      <c r="AF366" s="185">
        <f t="shared" si="515"/>
        <v>3132.8699999999944</v>
      </c>
      <c r="AG366" s="185">
        <f t="shared" si="516"/>
        <v>-15841436.700000001</v>
      </c>
      <c r="AH366" s="185">
        <f t="shared" si="517"/>
        <v>17205942.149999995</v>
      </c>
      <c r="AI366" s="411">
        <f t="shared" si="505"/>
        <v>949023.2999999962</v>
      </c>
      <c r="AJ366" s="411">
        <f t="shared" si="566"/>
        <v>-16771347.060000002</v>
      </c>
      <c r="AK366" s="411">
        <f t="shared" si="506"/>
        <v>-15822323.760000005</v>
      </c>
      <c r="AL366" s="185">
        <f t="shared" si="518"/>
        <v>16827536.700000003</v>
      </c>
      <c r="AM366" s="317">
        <f t="shared" si="547"/>
        <v>29</v>
      </c>
      <c r="AN366" s="14">
        <f t="shared" si="507"/>
        <v>6591.25</v>
      </c>
      <c r="AO366" s="14">
        <f t="shared" si="585"/>
        <v>451664.64000000001</v>
      </c>
      <c r="AP366" s="14">
        <f t="shared" si="508"/>
        <v>2810.15</v>
      </c>
      <c r="AS366" s="14">
        <f t="shared" si="541"/>
        <v>6591.25</v>
      </c>
      <c r="AT366" s="14">
        <f t="shared" si="548"/>
        <v>2313048.19</v>
      </c>
      <c r="AU366" s="185">
        <f t="shared" si="549"/>
        <v>3547.0692560378534</v>
      </c>
      <c r="AV366" s="185">
        <f t="shared" si="550"/>
        <v>831749.7716711791</v>
      </c>
    </row>
    <row r="367" spans="1:48">
      <c r="A367" s="401" t="str">
        <f t="shared" si="494"/>
        <v xml:space="preserve"> </v>
      </c>
      <c r="B367" s="185">
        <f t="shared" si="542"/>
        <v>0</v>
      </c>
      <c r="C367" s="14">
        <f t="shared" si="535"/>
        <v>0</v>
      </c>
      <c r="D367" s="14">
        <f t="shared" si="551"/>
        <v>0</v>
      </c>
      <c r="E367" s="14">
        <f t="shared" si="536"/>
        <v>0</v>
      </c>
      <c r="F367" s="14">
        <f t="shared" si="495"/>
        <v>0</v>
      </c>
      <c r="G367" s="14">
        <f t="shared" si="491"/>
        <v>0</v>
      </c>
      <c r="H367" s="14">
        <f t="shared" si="492"/>
        <v>0</v>
      </c>
      <c r="I367" s="185">
        <f t="shared" si="496"/>
        <v>0</v>
      </c>
      <c r="J367" s="185">
        <f t="shared" si="497"/>
        <v>0</v>
      </c>
      <c r="K367" s="185">
        <f t="shared" si="498"/>
        <v>0</v>
      </c>
      <c r="L367" s="317">
        <f t="shared" ref="L367:L430" si="587">IF(MOD(M367,12)=0,M367/12,L366)</f>
        <v>29</v>
      </c>
      <c r="M367" s="317">
        <f t="shared" si="543"/>
        <v>351</v>
      </c>
      <c r="N367" s="185">
        <f t="shared" si="544"/>
        <v>56189.640000000531</v>
      </c>
      <c r="O367" s="185">
        <f t="shared" si="510"/>
        <v>6591.25</v>
      </c>
      <c r="P367" s="185">
        <f t="shared" si="552"/>
        <v>5976.68</v>
      </c>
      <c r="Q367" s="185">
        <f t="shared" si="511"/>
        <v>614.57000000000005</v>
      </c>
      <c r="R367" s="185">
        <f t="shared" si="502"/>
        <v>134.16999999999999</v>
      </c>
      <c r="S367" s="185">
        <f t="shared" si="503"/>
        <v>188.55</v>
      </c>
      <c r="T367" s="185">
        <f t="shared" si="499"/>
        <v>6913.97</v>
      </c>
      <c r="U367" s="185">
        <f t="shared" si="553"/>
        <v>540412.04</v>
      </c>
      <c r="V367" s="185">
        <f t="shared" si="554"/>
        <v>1779707.9599999986</v>
      </c>
      <c r="W367" s="185">
        <f t="shared" si="500"/>
        <v>50212.96000000053</v>
      </c>
      <c r="X367" s="401" t="str">
        <f t="shared" si="545"/>
        <v xml:space="preserve"> </v>
      </c>
      <c r="Y367" s="185">
        <f t="shared" si="512"/>
        <v>16827536.700000003</v>
      </c>
      <c r="Z367" s="393">
        <f t="shared" si="537"/>
        <v>0.13125000000000001</v>
      </c>
      <c r="AA367" s="185">
        <f t="shared" si="538"/>
        <v>2810.15</v>
      </c>
      <c r="AB367" s="185">
        <f t="shared" si="513"/>
        <v>-181241.03</v>
      </c>
      <c r="AC367" s="185">
        <f t="shared" si="539"/>
        <v>184051.18</v>
      </c>
      <c r="AD367" s="185">
        <f t="shared" ref="AD367:AE367" si="588">+AD366</f>
        <v>134.16999999999999</v>
      </c>
      <c r="AE367" s="185">
        <f t="shared" si="588"/>
        <v>188.55</v>
      </c>
      <c r="AF367" s="185">
        <f t="shared" si="515"/>
        <v>3132.8699999999944</v>
      </c>
      <c r="AG367" s="185">
        <f t="shared" si="516"/>
        <v>-16022677.73</v>
      </c>
      <c r="AH367" s="185">
        <f t="shared" si="517"/>
        <v>17389993.329999994</v>
      </c>
      <c r="AI367" s="411">
        <f t="shared" si="505"/>
        <v>952804.39999999618</v>
      </c>
      <c r="AJ367" s="411">
        <f t="shared" si="566"/>
        <v>-16958564.770000003</v>
      </c>
      <c r="AK367" s="411">
        <f t="shared" si="506"/>
        <v>-16005760.370000007</v>
      </c>
      <c r="AL367" s="185">
        <f t="shared" si="518"/>
        <v>17008777.730000004</v>
      </c>
      <c r="AM367" s="317">
        <f t="shared" si="547"/>
        <v>29</v>
      </c>
      <c r="AN367" s="14">
        <f t="shared" si="507"/>
        <v>6591.25</v>
      </c>
      <c r="AO367" s="14">
        <f t="shared" si="585"/>
        <v>445687.95999999996</v>
      </c>
      <c r="AP367" s="14">
        <f t="shared" si="508"/>
        <v>2810.15</v>
      </c>
      <c r="AS367" s="14">
        <f t="shared" si="541"/>
        <v>6591.25</v>
      </c>
      <c r="AT367" s="14">
        <f t="shared" si="548"/>
        <v>2319639.44</v>
      </c>
      <c r="AU367" s="185">
        <f t="shared" si="549"/>
        <v>3555.9369291779481</v>
      </c>
      <c r="AV367" s="185">
        <f t="shared" si="550"/>
        <v>835305.70860035706</v>
      </c>
    </row>
    <row r="368" spans="1:48">
      <c r="A368" s="401" t="str">
        <f t="shared" si="494"/>
        <v xml:space="preserve"> </v>
      </c>
      <c r="B368" s="185">
        <f t="shared" si="542"/>
        <v>0</v>
      </c>
      <c r="C368" s="14">
        <f t="shared" si="535"/>
        <v>0</v>
      </c>
      <c r="D368" s="14">
        <f t="shared" si="551"/>
        <v>0</v>
      </c>
      <c r="E368" s="14">
        <f t="shared" si="536"/>
        <v>0</v>
      </c>
      <c r="F368" s="14">
        <f t="shared" si="495"/>
        <v>0</v>
      </c>
      <c r="G368" s="14">
        <f t="shared" si="491"/>
        <v>0</v>
      </c>
      <c r="H368" s="14">
        <f t="shared" si="492"/>
        <v>0</v>
      </c>
      <c r="I368" s="185">
        <f t="shared" si="496"/>
        <v>0</v>
      </c>
      <c r="J368" s="185">
        <f t="shared" si="497"/>
        <v>0</v>
      </c>
      <c r="K368" s="185">
        <f t="shared" si="498"/>
        <v>0</v>
      </c>
      <c r="L368" s="317">
        <f t="shared" si="587"/>
        <v>29</v>
      </c>
      <c r="M368" s="317">
        <f t="shared" si="543"/>
        <v>352</v>
      </c>
      <c r="N368" s="185">
        <f t="shared" si="544"/>
        <v>50212.96000000053</v>
      </c>
      <c r="O368" s="185">
        <f t="shared" si="510"/>
        <v>6591.25</v>
      </c>
      <c r="P368" s="185">
        <f t="shared" si="552"/>
        <v>6042.05</v>
      </c>
      <c r="Q368" s="185">
        <f t="shared" si="511"/>
        <v>549.20000000000005</v>
      </c>
      <c r="R368" s="185">
        <f t="shared" si="502"/>
        <v>134.16999999999999</v>
      </c>
      <c r="S368" s="185">
        <f t="shared" si="503"/>
        <v>188.55</v>
      </c>
      <c r="T368" s="185">
        <f t="shared" si="499"/>
        <v>6913.97</v>
      </c>
      <c r="U368" s="185">
        <f t="shared" si="553"/>
        <v>546454.09000000008</v>
      </c>
      <c r="V368" s="185">
        <f t="shared" si="554"/>
        <v>1780257.1599999985</v>
      </c>
      <c r="W368" s="185">
        <f t="shared" si="500"/>
        <v>44170.910000000527</v>
      </c>
      <c r="X368" s="401" t="str">
        <f t="shared" si="545"/>
        <v xml:space="preserve"> </v>
      </c>
      <c r="Y368" s="185">
        <f t="shared" si="512"/>
        <v>17008777.730000004</v>
      </c>
      <c r="Z368" s="393">
        <f t="shared" si="537"/>
        <v>0.13125000000000001</v>
      </c>
      <c r="AA368" s="185">
        <f t="shared" si="538"/>
        <v>2810.15</v>
      </c>
      <c r="AB368" s="185">
        <f t="shared" si="513"/>
        <v>-183223.36000000002</v>
      </c>
      <c r="AC368" s="185">
        <f t="shared" si="539"/>
        <v>186033.51</v>
      </c>
      <c r="AD368" s="185">
        <f t="shared" ref="AD368:AE368" si="589">+AD367</f>
        <v>134.16999999999999</v>
      </c>
      <c r="AE368" s="185">
        <f t="shared" si="589"/>
        <v>188.55</v>
      </c>
      <c r="AF368" s="185">
        <f t="shared" si="515"/>
        <v>3132.8699999999944</v>
      </c>
      <c r="AG368" s="185">
        <f t="shared" si="516"/>
        <v>-16205901.09</v>
      </c>
      <c r="AH368" s="185">
        <f t="shared" si="517"/>
        <v>17576026.839999996</v>
      </c>
      <c r="AI368" s="411">
        <f t="shared" si="505"/>
        <v>956585.49999999616</v>
      </c>
      <c r="AJ368" s="411">
        <f t="shared" si="566"/>
        <v>-17147830.180000003</v>
      </c>
      <c r="AK368" s="411">
        <f t="shared" si="506"/>
        <v>-16191244.680000007</v>
      </c>
      <c r="AL368" s="185">
        <f t="shared" si="518"/>
        <v>17192001.090000004</v>
      </c>
      <c r="AM368" s="317">
        <f t="shared" si="547"/>
        <v>29</v>
      </c>
      <c r="AN368" s="14">
        <f t="shared" si="507"/>
        <v>6591.25</v>
      </c>
      <c r="AO368" s="14">
        <f t="shared" si="585"/>
        <v>439645.90999999992</v>
      </c>
      <c r="AP368" s="14">
        <f t="shared" si="508"/>
        <v>2810.15</v>
      </c>
      <c r="AS368" s="14">
        <f t="shared" si="541"/>
        <v>6591.25</v>
      </c>
      <c r="AT368" s="14">
        <f t="shared" si="548"/>
        <v>2326230.69</v>
      </c>
      <c r="AU368" s="185">
        <f t="shared" si="549"/>
        <v>3564.8267715008928</v>
      </c>
      <c r="AV368" s="185">
        <f t="shared" si="550"/>
        <v>838870.53537185793</v>
      </c>
    </row>
    <row r="369" spans="1:48">
      <c r="A369" s="401" t="str">
        <f t="shared" si="494"/>
        <v xml:space="preserve"> </v>
      </c>
      <c r="B369" s="185">
        <f t="shared" si="542"/>
        <v>0</v>
      </c>
      <c r="C369" s="14">
        <f t="shared" si="535"/>
        <v>0</v>
      </c>
      <c r="D369" s="14">
        <f t="shared" si="551"/>
        <v>0</v>
      </c>
      <c r="E369" s="14">
        <f t="shared" si="536"/>
        <v>0</v>
      </c>
      <c r="F369" s="14">
        <f t="shared" si="495"/>
        <v>0</v>
      </c>
      <c r="G369" s="14">
        <f t="shared" si="491"/>
        <v>0</v>
      </c>
      <c r="H369" s="14">
        <f t="shared" si="492"/>
        <v>0</v>
      </c>
      <c r="I369" s="185">
        <f t="shared" si="496"/>
        <v>0</v>
      </c>
      <c r="J369" s="185">
        <f t="shared" si="497"/>
        <v>0</v>
      </c>
      <c r="K369" s="185">
        <f t="shared" si="498"/>
        <v>0</v>
      </c>
      <c r="L369" s="317">
        <f t="shared" si="587"/>
        <v>29</v>
      </c>
      <c r="M369" s="317">
        <f t="shared" si="543"/>
        <v>353</v>
      </c>
      <c r="N369" s="185">
        <f t="shared" si="544"/>
        <v>44170.910000000527</v>
      </c>
      <c r="O369" s="185">
        <f t="shared" si="510"/>
        <v>6591.25</v>
      </c>
      <c r="P369" s="185">
        <f t="shared" si="552"/>
        <v>6108.13</v>
      </c>
      <c r="Q369" s="185">
        <f t="shared" si="511"/>
        <v>483.12</v>
      </c>
      <c r="R369" s="185">
        <f t="shared" si="502"/>
        <v>134.16999999999999</v>
      </c>
      <c r="S369" s="185">
        <f t="shared" si="503"/>
        <v>188.55</v>
      </c>
      <c r="T369" s="185">
        <f t="shared" si="499"/>
        <v>6913.97</v>
      </c>
      <c r="U369" s="185">
        <f t="shared" si="553"/>
        <v>552562.22000000009</v>
      </c>
      <c r="V369" s="185">
        <f t="shared" si="554"/>
        <v>1780740.2799999986</v>
      </c>
      <c r="W369" s="185">
        <f t="shared" si="500"/>
        <v>38062.78000000053</v>
      </c>
      <c r="X369" s="401" t="str">
        <f t="shared" si="545"/>
        <v xml:space="preserve"> </v>
      </c>
      <c r="Y369" s="185">
        <f t="shared" si="512"/>
        <v>17192001.090000004</v>
      </c>
      <c r="Z369" s="393">
        <f t="shared" si="537"/>
        <v>0.13125000000000001</v>
      </c>
      <c r="AA369" s="185">
        <f t="shared" si="538"/>
        <v>2810.15</v>
      </c>
      <c r="AB369" s="185">
        <f t="shared" si="513"/>
        <v>-185227.36000000002</v>
      </c>
      <c r="AC369" s="185">
        <f t="shared" si="539"/>
        <v>188037.51</v>
      </c>
      <c r="AD369" s="185">
        <f t="shared" ref="AD369:AE369" si="590">+AD368</f>
        <v>134.16999999999999</v>
      </c>
      <c r="AE369" s="185">
        <f t="shared" si="590"/>
        <v>188.55</v>
      </c>
      <c r="AF369" s="185">
        <f t="shared" si="515"/>
        <v>3132.8699999999944</v>
      </c>
      <c r="AG369" s="185">
        <f t="shared" si="516"/>
        <v>-16391128.449999999</v>
      </c>
      <c r="AH369" s="185">
        <f t="shared" si="517"/>
        <v>17764064.349999998</v>
      </c>
      <c r="AI369" s="411">
        <f t="shared" si="505"/>
        <v>960366.59999999614</v>
      </c>
      <c r="AJ369" s="411">
        <f t="shared" si="566"/>
        <v>-17339165.670000002</v>
      </c>
      <c r="AK369" s="411">
        <f t="shared" si="506"/>
        <v>-16378799.070000006</v>
      </c>
      <c r="AL369" s="185">
        <f t="shared" si="518"/>
        <v>17377228.450000003</v>
      </c>
      <c r="AM369" s="317">
        <f t="shared" si="547"/>
        <v>29</v>
      </c>
      <c r="AN369" s="14">
        <f t="shared" si="507"/>
        <v>6591.25</v>
      </c>
      <c r="AO369" s="14">
        <f t="shared" si="585"/>
        <v>433537.77999999991</v>
      </c>
      <c r="AP369" s="14">
        <f t="shared" si="508"/>
        <v>2810.15</v>
      </c>
      <c r="AS369" s="14">
        <f t="shared" si="541"/>
        <v>6591.25</v>
      </c>
      <c r="AT369" s="14">
        <f t="shared" si="548"/>
        <v>2332821.94</v>
      </c>
      <c r="AU369" s="185">
        <f t="shared" si="549"/>
        <v>3573.7388384296446</v>
      </c>
      <c r="AV369" s="185">
        <f t="shared" si="550"/>
        <v>842444.27421028761</v>
      </c>
    </row>
    <row r="370" spans="1:48">
      <c r="A370" s="401" t="str">
        <f t="shared" si="494"/>
        <v xml:space="preserve"> </v>
      </c>
      <c r="B370" s="185">
        <f t="shared" si="542"/>
        <v>0</v>
      </c>
      <c r="C370" s="14">
        <f t="shared" si="535"/>
        <v>0</v>
      </c>
      <c r="D370" s="14">
        <f t="shared" si="551"/>
        <v>0</v>
      </c>
      <c r="E370" s="14">
        <f t="shared" si="536"/>
        <v>0</v>
      </c>
      <c r="F370" s="14">
        <f t="shared" si="495"/>
        <v>0</v>
      </c>
      <c r="G370" s="14">
        <f t="shared" si="491"/>
        <v>0</v>
      </c>
      <c r="H370" s="14">
        <f t="shared" si="492"/>
        <v>0</v>
      </c>
      <c r="I370" s="185">
        <f t="shared" si="496"/>
        <v>0</v>
      </c>
      <c r="J370" s="185">
        <f t="shared" si="497"/>
        <v>0</v>
      </c>
      <c r="K370" s="185">
        <f t="shared" si="498"/>
        <v>0</v>
      </c>
      <c r="L370" s="317">
        <f t="shared" si="587"/>
        <v>29</v>
      </c>
      <c r="M370" s="317">
        <f t="shared" si="543"/>
        <v>354</v>
      </c>
      <c r="N370" s="185">
        <f t="shared" si="544"/>
        <v>38062.78000000053</v>
      </c>
      <c r="O370" s="185">
        <f t="shared" si="510"/>
        <v>6591.25</v>
      </c>
      <c r="P370" s="185">
        <f t="shared" si="552"/>
        <v>6174.94</v>
      </c>
      <c r="Q370" s="185">
        <f t="shared" si="511"/>
        <v>416.31</v>
      </c>
      <c r="R370" s="185">
        <f t="shared" si="502"/>
        <v>134.16999999999999</v>
      </c>
      <c r="S370" s="185">
        <f t="shared" si="503"/>
        <v>188.55</v>
      </c>
      <c r="T370" s="185">
        <f t="shared" si="499"/>
        <v>6913.97</v>
      </c>
      <c r="U370" s="185">
        <f t="shared" si="553"/>
        <v>558737.16</v>
      </c>
      <c r="V370" s="185">
        <f t="shared" si="554"/>
        <v>1781156.5899999987</v>
      </c>
      <c r="W370" s="185">
        <f t="shared" si="500"/>
        <v>31887.840000000531</v>
      </c>
      <c r="X370" s="401" t="str">
        <f t="shared" si="545"/>
        <v xml:space="preserve"> </v>
      </c>
      <c r="Y370" s="185">
        <f t="shared" si="512"/>
        <v>17377228.450000003</v>
      </c>
      <c r="Z370" s="393">
        <f t="shared" si="537"/>
        <v>0.13125000000000001</v>
      </c>
      <c r="AA370" s="185">
        <f t="shared" si="538"/>
        <v>2810.15</v>
      </c>
      <c r="AB370" s="185">
        <f t="shared" si="513"/>
        <v>-187253.29</v>
      </c>
      <c r="AC370" s="185">
        <f t="shared" si="539"/>
        <v>190063.44</v>
      </c>
      <c r="AD370" s="185">
        <f t="shared" ref="AD370:AE370" si="591">+AD369</f>
        <v>134.16999999999999</v>
      </c>
      <c r="AE370" s="185">
        <f t="shared" si="591"/>
        <v>188.55</v>
      </c>
      <c r="AF370" s="185">
        <f t="shared" si="515"/>
        <v>3132.8699999999944</v>
      </c>
      <c r="AG370" s="185">
        <f t="shared" si="516"/>
        <v>-16578381.739999998</v>
      </c>
      <c r="AH370" s="185">
        <f t="shared" si="517"/>
        <v>17954127.789999999</v>
      </c>
      <c r="AI370" s="411">
        <f t="shared" si="505"/>
        <v>964147.69999999611</v>
      </c>
      <c r="AJ370" s="411">
        <f t="shared" si="566"/>
        <v>-17532593.900000002</v>
      </c>
      <c r="AK370" s="411">
        <f t="shared" si="506"/>
        <v>-16568446.200000007</v>
      </c>
      <c r="AL370" s="185">
        <f t="shared" si="518"/>
        <v>17564481.740000002</v>
      </c>
      <c r="AM370" s="317">
        <f t="shared" si="547"/>
        <v>29</v>
      </c>
      <c r="AN370" s="14">
        <f t="shared" si="507"/>
        <v>6591.25</v>
      </c>
      <c r="AO370" s="14">
        <f t="shared" si="585"/>
        <v>427362.83999999997</v>
      </c>
      <c r="AP370" s="14">
        <f t="shared" si="508"/>
        <v>2810.15</v>
      </c>
      <c r="AS370" s="14">
        <f t="shared" si="541"/>
        <v>6591.25</v>
      </c>
      <c r="AT370" s="14">
        <f t="shared" si="548"/>
        <v>2339413.19</v>
      </c>
      <c r="AU370" s="185">
        <f t="shared" si="549"/>
        <v>3582.673185525719</v>
      </c>
      <c r="AV370" s="185">
        <f t="shared" si="550"/>
        <v>846026.9473958133</v>
      </c>
    </row>
    <row r="371" spans="1:48">
      <c r="A371" s="401" t="str">
        <f t="shared" si="494"/>
        <v xml:space="preserve"> </v>
      </c>
      <c r="B371" s="185">
        <f t="shared" si="542"/>
        <v>0</v>
      </c>
      <c r="C371" s="14">
        <f t="shared" si="535"/>
        <v>0</v>
      </c>
      <c r="D371" s="14">
        <f t="shared" si="551"/>
        <v>0</v>
      </c>
      <c r="E371" s="14">
        <f t="shared" si="536"/>
        <v>0</v>
      </c>
      <c r="F371" s="14">
        <f t="shared" si="495"/>
        <v>0</v>
      </c>
      <c r="G371" s="14">
        <f t="shared" si="491"/>
        <v>0</v>
      </c>
      <c r="H371" s="14">
        <f t="shared" si="492"/>
        <v>0</v>
      </c>
      <c r="I371" s="185">
        <f t="shared" si="496"/>
        <v>0</v>
      </c>
      <c r="J371" s="185">
        <f t="shared" si="497"/>
        <v>0</v>
      </c>
      <c r="K371" s="185">
        <f t="shared" si="498"/>
        <v>0</v>
      </c>
      <c r="L371" s="317">
        <f t="shared" si="587"/>
        <v>29</v>
      </c>
      <c r="M371" s="317">
        <f t="shared" si="543"/>
        <v>355</v>
      </c>
      <c r="N371" s="185">
        <f t="shared" si="544"/>
        <v>31887.840000000531</v>
      </c>
      <c r="O371" s="185">
        <f t="shared" si="510"/>
        <v>6591.25</v>
      </c>
      <c r="P371" s="185">
        <f t="shared" si="552"/>
        <v>6242.48</v>
      </c>
      <c r="Q371" s="185">
        <f t="shared" si="511"/>
        <v>348.77</v>
      </c>
      <c r="R371" s="185">
        <f t="shared" si="502"/>
        <v>134.16999999999999</v>
      </c>
      <c r="S371" s="185">
        <f t="shared" si="503"/>
        <v>188.55</v>
      </c>
      <c r="T371" s="185">
        <f t="shared" si="499"/>
        <v>6913.97</v>
      </c>
      <c r="U371" s="185">
        <f t="shared" si="553"/>
        <v>564979.64</v>
      </c>
      <c r="V371" s="185">
        <f t="shared" si="554"/>
        <v>1781505.3599999987</v>
      </c>
      <c r="W371" s="185">
        <f t="shared" si="500"/>
        <v>25645.360000000532</v>
      </c>
      <c r="X371" s="401" t="str">
        <f t="shared" si="545"/>
        <v xml:space="preserve"> </v>
      </c>
      <c r="Y371" s="185">
        <f t="shared" si="512"/>
        <v>17564481.740000002</v>
      </c>
      <c r="Z371" s="393">
        <f t="shared" si="537"/>
        <v>0.13125000000000001</v>
      </c>
      <c r="AA371" s="185">
        <f t="shared" si="538"/>
        <v>2810.15</v>
      </c>
      <c r="AB371" s="185">
        <f t="shared" si="513"/>
        <v>-189301.37</v>
      </c>
      <c r="AC371" s="185">
        <f t="shared" si="539"/>
        <v>192111.52</v>
      </c>
      <c r="AD371" s="185">
        <f t="shared" ref="AD371:AE371" si="592">+AD370</f>
        <v>134.16999999999999</v>
      </c>
      <c r="AE371" s="185">
        <f t="shared" si="592"/>
        <v>188.55</v>
      </c>
      <c r="AF371" s="185">
        <f t="shared" si="515"/>
        <v>3132.8699999999944</v>
      </c>
      <c r="AG371" s="185">
        <f t="shared" si="516"/>
        <v>-16767683.109999998</v>
      </c>
      <c r="AH371" s="185">
        <f t="shared" si="517"/>
        <v>18146239.309999999</v>
      </c>
      <c r="AI371" s="411">
        <f t="shared" si="505"/>
        <v>967928.79999999609</v>
      </c>
      <c r="AJ371" s="411">
        <f t="shared" si="566"/>
        <v>-17728137.750000004</v>
      </c>
      <c r="AK371" s="411">
        <f t="shared" si="506"/>
        <v>-16760208.950000007</v>
      </c>
      <c r="AL371" s="185">
        <f t="shared" si="518"/>
        <v>17753783.110000003</v>
      </c>
      <c r="AM371" s="317">
        <f t="shared" si="547"/>
        <v>29</v>
      </c>
      <c r="AN371" s="14">
        <f t="shared" si="507"/>
        <v>6591.25</v>
      </c>
      <c r="AO371" s="14">
        <f t="shared" si="585"/>
        <v>421120.36</v>
      </c>
      <c r="AP371" s="14">
        <f t="shared" si="508"/>
        <v>2810.15</v>
      </c>
      <c r="AS371" s="14">
        <f t="shared" si="541"/>
        <v>6591.25</v>
      </c>
      <c r="AT371" s="14">
        <f t="shared" si="548"/>
        <v>2346004.44</v>
      </c>
      <c r="AU371" s="185">
        <f t="shared" si="549"/>
        <v>3591.6298684895332</v>
      </c>
      <c r="AV371" s="185">
        <f t="shared" si="550"/>
        <v>849618.57726430288</v>
      </c>
    </row>
    <row r="372" spans="1:48">
      <c r="A372" s="401" t="str">
        <f t="shared" si="494"/>
        <v xml:space="preserve"> </v>
      </c>
      <c r="B372" s="185">
        <f t="shared" si="542"/>
        <v>0</v>
      </c>
      <c r="C372" s="14">
        <f t="shared" si="535"/>
        <v>0</v>
      </c>
      <c r="D372" s="14">
        <f t="shared" si="551"/>
        <v>0</v>
      </c>
      <c r="E372" s="14">
        <f t="shared" si="536"/>
        <v>0</v>
      </c>
      <c r="F372" s="14">
        <f t="shared" si="495"/>
        <v>0</v>
      </c>
      <c r="G372" s="14">
        <f t="shared" si="491"/>
        <v>0</v>
      </c>
      <c r="H372" s="14">
        <f t="shared" si="492"/>
        <v>0</v>
      </c>
      <c r="I372" s="185">
        <f t="shared" si="496"/>
        <v>0</v>
      </c>
      <c r="J372" s="185">
        <f t="shared" si="497"/>
        <v>0</v>
      </c>
      <c r="K372" s="185">
        <f t="shared" si="498"/>
        <v>0</v>
      </c>
      <c r="L372" s="317">
        <f t="shared" si="587"/>
        <v>29</v>
      </c>
      <c r="M372" s="317">
        <f t="shared" si="543"/>
        <v>356</v>
      </c>
      <c r="N372" s="185">
        <f t="shared" si="544"/>
        <v>25645.360000000532</v>
      </c>
      <c r="O372" s="185">
        <f t="shared" si="510"/>
        <v>6591.25</v>
      </c>
      <c r="P372" s="185">
        <f t="shared" si="552"/>
        <v>6310.75</v>
      </c>
      <c r="Q372" s="185">
        <f t="shared" si="511"/>
        <v>280.5</v>
      </c>
      <c r="R372" s="185">
        <f t="shared" si="502"/>
        <v>134.16999999999999</v>
      </c>
      <c r="S372" s="185">
        <f t="shared" si="503"/>
        <v>188.55</v>
      </c>
      <c r="T372" s="185">
        <f t="shared" si="499"/>
        <v>6913.97</v>
      </c>
      <c r="U372" s="185">
        <f t="shared" si="553"/>
        <v>571290.39</v>
      </c>
      <c r="V372" s="185">
        <f t="shared" si="554"/>
        <v>1781785.8599999987</v>
      </c>
      <c r="W372" s="185">
        <f t="shared" si="500"/>
        <v>19334.610000000532</v>
      </c>
      <c r="X372" s="401" t="str">
        <f t="shared" si="545"/>
        <v xml:space="preserve"> </v>
      </c>
      <c r="Y372" s="185">
        <f t="shared" si="512"/>
        <v>17753783.110000003</v>
      </c>
      <c r="Z372" s="393">
        <f t="shared" si="537"/>
        <v>0.13125000000000001</v>
      </c>
      <c r="AA372" s="185">
        <f t="shared" si="538"/>
        <v>2810.15</v>
      </c>
      <c r="AB372" s="185">
        <f t="shared" si="513"/>
        <v>-191371.85</v>
      </c>
      <c r="AC372" s="185">
        <f t="shared" si="539"/>
        <v>194182</v>
      </c>
      <c r="AD372" s="185">
        <f t="shared" ref="AD372:AE372" si="593">+AD371</f>
        <v>134.16999999999999</v>
      </c>
      <c r="AE372" s="185">
        <f t="shared" si="593"/>
        <v>188.55</v>
      </c>
      <c r="AF372" s="185">
        <f t="shared" si="515"/>
        <v>3132.8699999999944</v>
      </c>
      <c r="AG372" s="185">
        <f t="shared" si="516"/>
        <v>-16959054.959999997</v>
      </c>
      <c r="AH372" s="185">
        <f t="shared" si="517"/>
        <v>18340421.309999999</v>
      </c>
      <c r="AI372" s="411">
        <f t="shared" si="505"/>
        <v>971709.89999999607</v>
      </c>
      <c r="AJ372" s="411">
        <f t="shared" si="566"/>
        <v>-17925820.350000005</v>
      </c>
      <c r="AK372" s="411">
        <f t="shared" si="506"/>
        <v>-16954110.45000001</v>
      </c>
      <c r="AL372" s="185">
        <f t="shared" si="518"/>
        <v>17945154.960000005</v>
      </c>
      <c r="AM372" s="317">
        <f t="shared" si="547"/>
        <v>29</v>
      </c>
      <c r="AN372" s="14">
        <f t="shared" si="507"/>
        <v>6591.25</v>
      </c>
      <c r="AO372" s="14">
        <f t="shared" si="585"/>
        <v>414809.61</v>
      </c>
      <c r="AP372" s="14">
        <f t="shared" si="508"/>
        <v>2810.15</v>
      </c>
      <c r="AS372" s="14">
        <f t="shared" si="541"/>
        <v>6591.25</v>
      </c>
      <c r="AT372" s="14">
        <f t="shared" si="548"/>
        <v>2352595.69</v>
      </c>
      <c r="AU372" s="185">
        <f t="shared" si="549"/>
        <v>3600.6089431607575</v>
      </c>
      <c r="AV372" s="185">
        <f t="shared" si="550"/>
        <v>853219.18620746362</v>
      </c>
    </row>
    <row r="373" spans="1:48">
      <c r="A373" s="401" t="str">
        <f t="shared" si="494"/>
        <v xml:space="preserve"> </v>
      </c>
      <c r="B373" s="185">
        <f t="shared" si="542"/>
        <v>0</v>
      </c>
      <c r="C373" s="14">
        <f t="shared" si="535"/>
        <v>0</v>
      </c>
      <c r="D373" s="14">
        <f t="shared" si="551"/>
        <v>0</v>
      </c>
      <c r="E373" s="14">
        <f t="shared" si="536"/>
        <v>0</v>
      </c>
      <c r="F373" s="14">
        <f t="shared" si="495"/>
        <v>0</v>
      </c>
      <c r="G373" s="14">
        <f t="shared" si="491"/>
        <v>0</v>
      </c>
      <c r="H373" s="14">
        <f t="shared" si="492"/>
        <v>0</v>
      </c>
      <c r="I373" s="185">
        <f t="shared" si="496"/>
        <v>0</v>
      </c>
      <c r="J373" s="185">
        <f t="shared" si="497"/>
        <v>0</v>
      </c>
      <c r="K373" s="185">
        <f t="shared" si="498"/>
        <v>0</v>
      </c>
      <c r="L373" s="317">
        <f t="shared" si="587"/>
        <v>29</v>
      </c>
      <c r="M373" s="317">
        <f t="shared" si="543"/>
        <v>357</v>
      </c>
      <c r="N373" s="185">
        <f t="shared" si="544"/>
        <v>19334.610000000532</v>
      </c>
      <c r="O373" s="185">
        <f t="shared" si="510"/>
        <v>6591.25</v>
      </c>
      <c r="P373" s="185">
        <f t="shared" si="552"/>
        <v>6379.78</v>
      </c>
      <c r="Q373" s="185">
        <f t="shared" si="511"/>
        <v>211.47</v>
      </c>
      <c r="R373" s="185">
        <f t="shared" si="502"/>
        <v>134.16999999999999</v>
      </c>
      <c r="S373" s="185">
        <f t="shared" si="503"/>
        <v>188.55</v>
      </c>
      <c r="T373" s="185">
        <f t="shared" si="499"/>
        <v>6913.97</v>
      </c>
      <c r="U373" s="185">
        <f t="shared" si="553"/>
        <v>577670.17000000004</v>
      </c>
      <c r="V373" s="185">
        <f t="shared" si="554"/>
        <v>1781997.3299999987</v>
      </c>
      <c r="W373" s="185">
        <f t="shared" si="500"/>
        <v>12954.830000000533</v>
      </c>
      <c r="X373" s="401" t="str">
        <f t="shared" si="545"/>
        <v xml:space="preserve"> </v>
      </c>
      <c r="Y373" s="185">
        <f t="shared" si="512"/>
        <v>17945154.960000005</v>
      </c>
      <c r="Z373" s="393">
        <f t="shared" si="537"/>
        <v>0.13125000000000001</v>
      </c>
      <c r="AA373" s="185">
        <f t="shared" si="538"/>
        <v>2810.15</v>
      </c>
      <c r="AB373" s="185">
        <f t="shared" si="513"/>
        <v>-193464.98</v>
      </c>
      <c r="AC373" s="185">
        <f t="shared" si="539"/>
        <v>196275.13</v>
      </c>
      <c r="AD373" s="185">
        <f t="shared" ref="AD373:AE373" si="594">+AD372</f>
        <v>134.16999999999999</v>
      </c>
      <c r="AE373" s="185">
        <f t="shared" si="594"/>
        <v>188.55</v>
      </c>
      <c r="AF373" s="185">
        <f t="shared" si="515"/>
        <v>3132.8699999999944</v>
      </c>
      <c r="AG373" s="185">
        <f t="shared" si="516"/>
        <v>-17152519.939999998</v>
      </c>
      <c r="AH373" s="185">
        <f t="shared" si="517"/>
        <v>18536696.439999998</v>
      </c>
      <c r="AI373" s="411">
        <f t="shared" si="505"/>
        <v>975490.99999999604</v>
      </c>
      <c r="AJ373" s="411">
        <f t="shared" si="566"/>
        <v>-18125665.110000003</v>
      </c>
      <c r="AK373" s="411">
        <f t="shared" si="506"/>
        <v>-17150174.110000007</v>
      </c>
      <c r="AL373" s="185">
        <f t="shared" si="518"/>
        <v>18138619.940000005</v>
      </c>
      <c r="AM373" s="317">
        <f t="shared" si="547"/>
        <v>29</v>
      </c>
      <c r="AN373" s="14">
        <f t="shared" si="507"/>
        <v>6591.25</v>
      </c>
      <c r="AO373" s="14">
        <f t="shared" si="585"/>
        <v>408429.82999999996</v>
      </c>
      <c r="AP373" s="14">
        <f t="shared" si="508"/>
        <v>2810.15</v>
      </c>
      <c r="AS373" s="14">
        <f t="shared" si="541"/>
        <v>6591.25</v>
      </c>
      <c r="AT373" s="14">
        <f t="shared" si="548"/>
        <v>2359186.94</v>
      </c>
      <c r="AU373" s="185">
        <f t="shared" si="549"/>
        <v>3609.6104655186587</v>
      </c>
      <c r="AV373" s="185">
        <f t="shared" si="550"/>
        <v>856828.79667298228</v>
      </c>
    </row>
    <row r="374" spans="1:48" ht="15.75" thickBot="1">
      <c r="A374" s="404" t="str">
        <f t="shared" si="494"/>
        <v xml:space="preserve"> </v>
      </c>
      <c r="B374" s="237">
        <f>IF(+K373&lt;0,0,+K373)</f>
        <v>0</v>
      </c>
      <c r="C374" s="21">
        <f t="shared" si="535"/>
        <v>0</v>
      </c>
      <c r="D374" s="21">
        <f t="shared" si="551"/>
        <v>0</v>
      </c>
      <c r="E374" s="21">
        <f t="shared" si="536"/>
        <v>0</v>
      </c>
      <c r="F374" s="21">
        <f t="shared" si="495"/>
        <v>0</v>
      </c>
      <c r="G374" s="21">
        <f t="shared" si="491"/>
        <v>0</v>
      </c>
      <c r="H374" s="21">
        <f t="shared" si="492"/>
        <v>0</v>
      </c>
      <c r="I374" s="237">
        <f t="shared" si="496"/>
        <v>0</v>
      </c>
      <c r="J374" s="237">
        <f t="shared" si="497"/>
        <v>0</v>
      </c>
      <c r="K374" s="237">
        <f t="shared" si="498"/>
        <v>0</v>
      </c>
      <c r="L374" s="318">
        <f t="shared" si="587"/>
        <v>29</v>
      </c>
      <c r="M374" s="318">
        <f t="shared" si="543"/>
        <v>358</v>
      </c>
      <c r="N374" s="237">
        <f t="shared" si="544"/>
        <v>12954.830000000533</v>
      </c>
      <c r="O374" s="237">
        <f t="shared" si="510"/>
        <v>6591.25</v>
      </c>
      <c r="P374" s="237">
        <f t="shared" si="552"/>
        <v>6449.56</v>
      </c>
      <c r="Q374" s="237">
        <f t="shared" si="511"/>
        <v>141.69</v>
      </c>
      <c r="R374" s="237">
        <f t="shared" si="502"/>
        <v>134.16999999999999</v>
      </c>
      <c r="S374" s="237">
        <f t="shared" si="503"/>
        <v>188.55</v>
      </c>
      <c r="T374" s="237">
        <f t="shared" si="499"/>
        <v>6913.97</v>
      </c>
      <c r="U374" s="237">
        <f t="shared" si="553"/>
        <v>584119.7300000001</v>
      </c>
      <c r="V374" s="237">
        <f t="shared" si="554"/>
        <v>1782139.0199999986</v>
      </c>
      <c r="W374" s="237">
        <f t="shared" si="500"/>
        <v>6505.2700000005325</v>
      </c>
      <c r="X374" s="404" t="str">
        <f t="shared" si="545"/>
        <v xml:space="preserve"> </v>
      </c>
      <c r="Y374" s="237">
        <f t="shared" si="512"/>
        <v>18138619.940000005</v>
      </c>
      <c r="Z374" s="394">
        <f t="shared" si="537"/>
        <v>0.13125000000000001</v>
      </c>
      <c r="AA374" s="237">
        <f t="shared" si="538"/>
        <v>2810.15</v>
      </c>
      <c r="AB374" s="237">
        <f t="shared" si="513"/>
        <v>-195581.01</v>
      </c>
      <c r="AC374" s="237">
        <f t="shared" si="539"/>
        <v>198391.16</v>
      </c>
      <c r="AD374" s="237">
        <f t="shared" ref="AD374:AE374" si="595">+AD373</f>
        <v>134.16999999999999</v>
      </c>
      <c r="AE374" s="237">
        <f t="shared" si="595"/>
        <v>188.55</v>
      </c>
      <c r="AF374" s="237">
        <f t="shared" si="515"/>
        <v>3132.8699999999944</v>
      </c>
      <c r="AG374" s="237">
        <f t="shared" si="516"/>
        <v>-17348100.949999999</v>
      </c>
      <c r="AH374" s="237">
        <f t="shared" si="517"/>
        <v>18735087.599999998</v>
      </c>
      <c r="AI374" s="412">
        <f t="shared" si="505"/>
        <v>979272.09999999602</v>
      </c>
      <c r="AJ374" s="412">
        <f t="shared" si="566"/>
        <v>-18327695.680000007</v>
      </c>
      <c r="AK374" s="411">
        <f t="shared" si="506"/>
        <v>-17348423.580000009</v>
      </c>
      <c r="AL374" s="237">
        <f t="shared" si="518"/>
        <v>18334200.950000007</v>
      </c>
      <c r="AM374" s="318">
        <f t="shared" si="547"/>
        <v>29</v>
      </c>
      <c r="AN374" s="21">
        <f t="shared" si="507"/>
        <v>6591.25</v>
      </c>
      <c r="AO374" s="21">
        <f t="shared" si="585"/>
        <v>401980.2699999999</v>
      </c>
      <c r="AP374" s="21">
        <f t="shared" si="508"/>
        <v>2810.15</v>
      </c>
      <c r="AQ374" s="21"/>
      <c r="AR374" s="23"/>
      <c r="AS374" s="21">
        <f t="shared" si="541"/>
        <v>6591.25</v>
      </c>
      <c r="AT374" s="21">
        <f t="shared" si="548"/>
        <v>2365778.19</v>
      </c>
      <c r="AU374" s="237">
        <f t="shared" si="549"/>
        <v>3618.6344916824551</v>
      </c>
      <c r="AV374" s="237">
        <f t="shared" si="550"/>
        <v>860447.43116466468</v>
      </c>
    </row>
    <row r="375" spans="1:48">
      <c r="A375" s="401" t="str">
        <f t="shared" si="494"/>
        <v xml:space="preserve"> </v>
      </c>
      <c r="B375" s="185">
        <f>IF(+$K374&lt;0,0,+K374)</f>
        <v>0</v>
      </c>
      <c r="C375" s="14">
        <f t="shared" si="535"/>
        <v>0</v>
      </c>
      <c r="D375" s="14">
        <f t="shared" si="551"/>
        <v>0</v>
      </c>
      <c r="E375" s="14">
        <f t="shared" si="536"/>
        <v>0</v>
      </c>
      <c r="F375" s="14">
        <f t="shared" si="495"/>
        <v>0</v>
      </c>
      <c r="G375" s="14">
        <f t="shared" si="491"/>
        <v>0</v>
      </c>
      <c r="H375" s="14">
        <f t="shared" si="492"/>
        <v>0</v>
      </c>
      <c r="I375" s="185">
        <f t="shared" si="496"/>
        <v>0</v>
      </c>
      <c r="J375" s="185">
        <f t="shared" si="497"/>
        <v>0</v>
      </c>
      <c r="K375" s="185">
        <f t="shared" si="498"/>
        <v>0</v>
      </c>
      <c r="L375" s="317">
        <f t="shared" si="587"/>
        <v>29</v>
      </c>
      <c r="M375" s="317">
        <f t="shared" si="543"/>
        <v>359</v>
      </c>
      <c r="N375" s="185">
        <f t="shared" si="544"/>
        <v>6505.2700000005325</v>
      </c>
      <c r="O375" s="185">
        <f t="shared" si="510"/>
        <v>6591.25</v>
      </c>
      <c r="P375" s="185">
        <f t="shared" si="552"/>
        <v>6520.1</v>
      </c>
      <c r="Q375" s="185">
        <f t="shared" si="511"/>
        <v>71.150000000000006</v>
      </c>
      <c r="R375" s="185">
        <f t="shared" si="502"/>
        <v>134.16999999999999</v>
      </c>
      <c r="S375" s="185">
        <f t="shared" si="503"/>
        <v>188.55</v>
      </c>
      <c r="T375" s="185">
        <f t="shared" si="499"/>
        <v>6913.97</v>
      </c>
      <c r="U375" s="185">
        <f t="shared" si="553"/>
        <v>590639.83000000007</v>
      </c>
      <c r="V375" s="185">
        <f t="shared" si="554"/>
        <v>1782210.1699999985</v>
      </c>
      <c r="W375" s="185">
        <f t="shared" si="500"/>
        <v>-14.829999999467873</v>
      </c>
      <c r="X375" s="401" t="str">
        <f t="shared" si="545"/>
        <v xml:space="preserve"> </v>
      </c>
      <c r="Y375" s="185">
        <f t="shared" si="512"/>
        <v>18334200.950000007</v>
      </c>
      <c r="Z375" s="393">
        <f t="shared" si="537"/>
        <v>0.13125000000000001</v>
      </c>
      <c r="AA375" s="185">
        <f t="shared" si="538"/>
        <v>2810.15</v>
      </c>
      <c r="AB375" s="185">
        <f t="shared" si="513"/>
        <v>-197720.17</v>
      </c>
      <c r="AC375" s="185">
        <f t="shared" si="539"/>
        <v>200530.32</v>
      </c>
      <c r="AD375" s="185">
        <f t="shared" ref="AD375:AE375" si="596">+AD374</f>
        <v>134.16999999999999</v>
      </c>
      <c r="AE375" s="185">
        <f t="shared" si="596"/>
        <v>188.55</v>
      </c>
      <c r="AF375" s="185">
        <f t="shared" si="515"/>
        <v>3132.8699999999944</v>
      </c>
      <c r="AG375" s="185">
        <f t="shared" si="516"/>
        <v>-17545821.120000001</v>
      </c>
      <c r="AH375" s="185">
        <f t="shared" si="517"/>
        <v>18935617.919999998</v>
      </c>
      <c r="AI375" s="411">
        <f t="shared" si="505"/>
        <v>983053.199999996</v>
      </c>
      <c r="AJ375" s="411">
        <f t="shared" si="566"/>
        <v>-18531935.950000007</v>
      </c>
      <c r="AK375" s="411">
        <f t="shared" si="506"/>
        <v>-17548882.750000011</v>
      </c>
      <c r="AL375" s="185">
        <f t="shared" si="518"/>
        <v>18531921.120000008</v>
      </c>
      <c r="AM375" s="317">
        <f t="shared" si="547"/>
        <v>29</v>
      </c>
      <c r="AN375" s="14">
        <f t="shared" si="507"/>
        <v>6591.25</v>
      </c>
      <c r="AO375" s="14">
        <f t="shared" si="585"/>
        <v>0</v>
      </c>
      <c r="AP375" s="14">
        <f t="shared" si="508"/>
        <v>2810.15</v>
      </c>
      <c r="AS375" s="14">
        <f t="shared" si="541"/>
        <v>6591.25</v>
      </c>
      <c r="AT375" s="14">
        <f t="shared" si="548"/>
        <v>0</v>
      </c>
      <c r="AU375" s="185">
        <f t="shared" si="549"/>
        <v>0</v>
      </c>
      <c r="AV375" s="185">
        <f t="shared" si="550"/>
        <v>0</v>
      </c>
    </row>
    <row r="376" spans="1:48">
      <c r="A376" s="401" t="str">
        <f t="shared" si="494"/>
        <v xml:space="preserve"> </v>
      </c>
      <c r="B376" s="185">
        <f t="shared" ref="B376:B439" si="597">IF(+K375&lt;0,0,+K375)</f>
        <v>0</v>
      </c>
      <c r="C376" s="14">
        <f t="shared" si="535"/>
        <v>0</v>
      </c>
      <c r="D376" s="14">
        <f t="shared" si="551"/>
        <v>0</v>
      </c>
      <c r="E376" s="14">
        <f t="shared" si="536"/>
        <v>0</v>
      </c>
      <c r="F376" s="14">
        <f t="shared" si="495"/>
        <v>0</v>
      </c>
      <c r="G376" s="14">
        <f t="shared" si="491"/>
        <v>0</v>
      </c>
      <c r="H376" s="14">
        <f t="shared" si="492"/>
        <v>0</v>
      </c>
      <c r="I376" s="185">
        <f t="shared" si="496"/>
        <v>0</v>
      </c>
      <c r="J376" s="185">
        <f t="shared" si="497"/>
        <v>0</v>
      </c>
      <c r="K376" s="185">
        <f t="shared" si="498"/>
        <v>0</v>
      </c>
      <c r="L376" s="317">
        <f t="shared" si="587"/>
        <v>30</v>
      </c>
      <c r="M376" s="317">
        <f t="shared" si="543"/>
        <v>360</v>
      </c>
      <c r="N376" s="185">
        <f t="shared" si="544"/>
        <v>0</v>
      </c>
      <c r="O376" s="185">
        <f t="shared" si="510"/>
        <v>0</v>
      </c>
      <c r="P376" s="185">
        <f t="shared" si="552"/>
        <v>0</v>
      </c>
      <c r="Q376" s="185">
        <f t="shared" si="511"/>
        <v>0</v>
      </c>
      <c r="R376" s="185">
        <f t="shared" si="502"/>
        <v>134.16999999999999</v>
      </c>
      <c r="S376" s="185">
        <f t="shared" si="503"/>
        <v>188.55</v>
      </c>
      <c r="T376" s="185">
        <f t="shared" si="499"/>
        <v>322.72000000000003</v>
      </c>
      <c r="U376" s="185">
        <f t="shared" si="553"/>
        <v>590639.83000000007</v>
      </c>
      <c r="V376" s="185">
        <f t="shared" si="554"/>
        <v>1782210.1699999985</v>
      </c>
      <c r="W376" s="185">
        <f t="shared" si="500"/>
        <v>0</v>
      </c>
      <c r="X376" s="401" t="str">
        <f t="shared" si="545"/>
        <v xml:space="preserve"> </v>
      </c>
      <c r="Y376" s="185">
        <f t="shared" si="512"/>
        <v>18531921.120000008</v>
      </c>
      <c r="Z376" s="393">
        <f t="shared" si="537"/>
        <v>0.13125000000000001</v>
      </c>
      <c r="AA376" s="185">
        <f t="shared" si="538"/>
        <v>2810.15</v>
      </c>
      <c r="AB376" s="185">
        <f t="shared" si="513"/>
        <v>-199882.74000000002</v>
      </c>
      <c r="AC376" s="185">
        <f t="shared" si="539"/>
        <v>202692.89</v>
      </c>
      <c r="AD376" s="185">
        <f t="shared" ref="AD376:AE376" si="598">+AD375</f>
        <v>134.16999999999999</v>
      </c>
      <c r="AE376" s="185">
        <f t="shared" si="598"/>
        <v>188.55</v>
      </c>
      <c r="AF376" s="185">
        <f t="shared" si="515"/>
        <v>3132.8699999999944</v>
      </c>
      <c r="AG376" s="185">
        <f t="shared" si="516"/>
        <v>-17745703.859999999</v>
      </c>
      <c r="AH376" s="185">
        <f t="shared" si="517"/>
        <v>19138310.809999999</v>
      </c>
      <c r="AI376" s="411">
        <f t="shared" si="505"/>
        <v>980243.04999999597</v>
      </c>
      <c r="AJ376" s="411">
        <f t="shared" si="566"/>
        <v>-18731803.860000007</v>
      </c>
      <c r="AK376" s="411">
        <f t="shared" si="506"/>
        <v>-17751560.81000001</v>
      </c>
      <c r="AL376" s="185">
        <f t="shared" si="518"/>
        <v>18731803.860000007</v>
      </c>
      <c r="AM376" s="317">
        <f t="shared" si="547"/>
        <v>30</v>
      </c>
      <c r="AN376" s="14">
        <f t="shared" si="507"/>
        <v>0</v>
      </c>
      <c r="AO376" s="14">
        <f t="shared" si="585"/>
        <v>0</v>
      </c>
      <c r="AP376" s="14">
        <f t="shared" si="508"/>
        <v>0</v>
      </c>
      <c r="AS376" s="14">
        <f t="shared" si="541"/>
        <v>0</v>
      </c>
      <c r="AT376" s="14">
        <f t="shared" si="548"/>
        <v>0</v>
      </c>
      <c r="AU376" s="185">
        <f t="shared" si="549"/>
        <v>0</v>
      </c>
      <c r="AV376" s="185">
        <f t="shared" si="550"/>
        <v>0</v>
      </c>
    </row>
    <row r="377" spans="1:48">
      <c r="A377" s="401" t="str">
        <f t="shared" si="494"/>
        <v xml:space="preserve"> </v>
      </c>
      <c r="B377" s="185">
        <f t="shared" si="597"/>
        <v>0</v>
      </c>
      <c r="C377" s="14">
        <f t="shared" si="535"/>
        <v>0</v>
      </c>
      <c r="D377" s="14">
        <f t="shared" si="551"/>
        <v>0</v>
      </c>
      <c r="E377" s="14">
        <f t="shared" si="536"/>
        <v>0</v>
      </c>
      <c r="F377" s="14">
        <f t="shared" si="495"/>
        <v>0</v>
      </c>
      <c r="G377" s="14">
        <f t="shared" si="491"/>
        <v>0</v>
      </c>
      <c r="H377" s="14">
        <f t="shared" si="492"/>
        <v>0</v>
      </c>
      <c r="I377" s="185">
        <f t="shared" si="496"/>
        <v>0</v>
      </c>
      <c r="J377" s="185">
        <f t="shared" si="497"/>
        <v>0</v>
      </c>
      <c r="K377" s="185">
        <f t="shared" si="498"/>
        <v>0</v>
      </c>
      <c r="L377" s="317">
        <f t="shared" si="587"/>
        <v>30</v>
      </c>
      <c r="M377" s="317">
        <f t="shared" si="543"/>
        <v>361</v>
      </c>
      <c r="N377" s="185">
        <f t="shared" si="544"/>
        <v>0</v>
      </c>
      <c r="O377" s="185">
        <f t="shared" si="510"/>
        <v>0</v>
      </c>
      <c r="P377" s="185">
        <f t="shared" si="552"/>
        <v>0</v>
      </c>
      <c r="Q377" s="185">
        <f t="shared" si="511"/>
        <v>0</v>
      </c>
      <c r="R377" s="185">
        <f t="shared" si="502"/>
        <v>134.16999999999999</v>
      </c>
      <c r="S377" s="185">
        <f t="shared" si="503"/>
        <v>188.55</v>
      </c>
      <c r="T377" s="185">
        <f t="shared" si="499"/>
        <v>322.72000000000003</v>
      </c>
      <c r="U377" s="185">
        <f t="shared" si="553"/>
        <v>590639.83000000007</v>
      </c>
      <c r="V377" s="185">
        <f t="shared" si="554"/>
        <v>1782210.1699999985</v>
      </c>
      <c r="W377" s="185">
        <f t="shared" si="500"/>
        <v>0</v>
      </c>
      <c r="X377" s="401" t="str">
        <f t="shared" si="545"/>
        <v xml:space="preserve"> </v>
      </c>
      <c r="Y377" s="185">
        <f t="shared" si="512"/>
        <v>18731803.860000007</v>
      </c>
      <c r="Z377" s="393">
        <f t="shared" si="537"/>
        <v>0.13125000000000001</v>
      </c>
      <c r="AA377" s="185">
        <f t="shared" si="538"/>
        <v>2810.15</v>
      </c>
      <c r="AB377" s="185">
        <f t="shared" si="513"/>
        <v>-202068.95</v>
      </c>
      <c r="AC377" s="185">
        <f t="shared" si="539"/>
        <v>204879.1</v>
      </c>
      <c r="AD377" s="185">
        <f t="shared" ref="AD377:AE377" si="599">+AD376</f>
        <v>134.16999999999999</v>
      </c>
      <c r="AE377" s="185">
        <f t="shared" si="599"/>
        <v>188.55</v>
      </c>
      <c r="AF377" s="185">
        <f t="shared" si="515"/>
        <v>3132.8699999999944</v>
      </c>
      <c r="AG377" s="185">
        <f t="shared" si="516"/>
        <v>-17947772.809999999</v>
      </c>
      <c r="AH377" s="185">
        <f t="shared" si="517"/>
        <v>19343189.91</v>
      </c>
      <c r="AI377" s="411">
        <f t="shared" si="505"/>
        <v>977432.89999999595</v>
      </c>
      <c r="AJ377" s="411">
        <f t="shared" si="566"/>
        <v>-18933872.810000006</v>
      </c>
      <c r="AK377" s="411">
        <f t="shared" si="506"/>
        <v>-17956439.910000011</v>
      </c>
      <c r="AL377" s="185">
        <f t="shared" si="518"/>
        <v>18933872.810000006</v>
      </c>
      <c r="AM377" s="317">
        <f t="shared" si="547"/>
        <v>30</v>
      </c>
      <c r="AN377" s="14">
        <f t="shared" si="507"/>
        <v>0</v>
      </c>
      <c r="AO377" s="14">
        <f t="shared" si="585"/>
        <v>0</v>
      </c>
      <c r="AP377" s="14">
        <f t="shared" si="508"/>
        <v>0</v>
      </c>
      <c r="AS377" s="14">
        <f t="shared" si="541"/>
        <v>0</v>
      </c>
      <c r="AT377" s="14">
        <f t="shared" si="548"/>
        <v>0</v>
      </c>
      <c r="AU377" s="185">
        <f t="shared" si="549"/>
        <v>0</v>
      </c>
      <c r="AV377" s="185">
        <f t="shared" si="550"/>
        <v>0</v>
      </c>
    </row>
    <row r="378" spans="1:48">
      <c r="A378" s="401" t="str">
        <f t="shared" si="494"/>
        <v xml:space="preserve"> </v>
      </c>
      <c r="B378" s="185">
        <f t="shared" si="597"/>
        <v>0</v>
      </c>
      <c r="C378" s="14">
        <f t="shared" si="535"/>
        <v>0</v>
      </c>
      <c r="D378" s="14">
        <f t="shared" si="551"/>
        <v>0</v>
      </c>
      <c r="E378" s="14">
        <f t="shared" si="536"/>
        <v>0</v>
      </c>
      <c r="F378" s="14">
        <f t="shared" si="495"/>
        <v>0</v>
      </c>
      <c r="G378" s="14">
        <f t="shared" ref="G378:G441" si="600">+G377</f>
        <v>0</v>
      </c>
      <c r="H378" s="14">
        <f t="shared" ref="H378:H441" si="601">SUM(D378:G378)</f>
        <v>0</v>
      </c>
      <c r="I378" s="185">
        <f t="shared" si="496"/>
        <v>0</v>
      </c>
      <c r="J378" s="185">
        <f t="shared" si="497"/>
        <v>0</v>
      </c>
      <c r="K378" s="185">
        <f t="shared" si="498"/>
        <v>0</v>
      </c>
      <c r="L378" s="317">
        <f t="shared" si="587"/>
        <v>30</v>
      </c>
      <c r="M378" s="317">
        <f t="shared" si="543"/>
        <v>362</v>
      </c>
      <c r="N378" s="185">
        <f t="shared" si="544"/>
        <v>0</v>
      </c>
      <c r="O378" s="185">
        <f t="shared" si="510"/>
        <v>0</v>
      </c>
      <c r="P378" s="185">
        <f t="shared" si="552"/>
        <v>0</v>
      </c>
      <c r="Q378" s="185">
        <f t="shared" si="511"/>
        <v>0</v>
      </c>
      <c r="R378" s="185">
        <f t="shared" si="502"/>
        <v>134.16999999999999</v>
      </c>
      <c r="S378" s="185">
        <f t="shared" si="503"/>
        <v>188.55</v>
      </c>
      <c r="T378" s="185">
        <f t="shared" si="499"/>
        <v>322.72000000000003</v>
      </c>
      <c r="U378" s="185">
        <f t="shared" si="553"/>
        <v>590639.83000000007</v>
      </c>
      <c r="V378" s="185">
        <f t="shared" si="554"/>
        <v>1782210.1699999985</v>
      </c>
      <c r="W378" s="185">
        <f t="shared" si="500"/>
        <v>0</v>
      </c>
      <c r="X378" s="401" t="str">
        <f t="shared" si="545"/>
        <v xml:space="preserve"> </v>
      </c>
      <c r="Y378" s="185">
        <f t="shared" si="512"/>
        <v>18933872.810000006</v>
      </c>
      <c r="Z378" s="393">
        <f t="shared" si="537"/>
        <v>0.13125000000000001</v>
      </c>
      <c r="AA378" s="185">
        <f t="shared" si="538"/>
        <v>2810.15</v>
      </c>
      <c r="AB378" s="185">
        <f t="shared" si="513"/>
        <v>-204279.08000000002</v>
      </c>
      <c r="AC378" s="185">
        <f t="shared" si="539"/>
        <v>207089.23</v>
      </c>
      <c r="AD378" s="185">
        <f t="shared" ref="AD378:AE378" si="602">+AD377</f>
        <v>134.16999999999999</v>
      </c>
      <c r="AE378" s="185">
        <f t="shared" si="602"/>
        <v>188.55</v>
      </c>
      <c r="AF378" s="185">
        <f t="shared" si="515"/>
        <v>3132.8699999999944</v>
      </c>
      <c r="AG378" s="185">
        <f t="shared" si="516"/>
        <v>-18152051.889999997</v>
      </c>
      <c r="AH378" s="185">
        <f t="shared" si="517"/>
        <v>19550279.140000001</v>
      </c>
      <c r="AI378" s="411">
        <f t="shared" si="505"/>
        <v>974622.74999999593</v>
      </c>
      <c r="AJ378" s="411">
        <f t="shared" si="566"/>
        <v>-19138151.890000004</v>
      </c>
      <c r="AK378" s="411">
        <f t="shared" si="506"/>
        <v>-18163529.140000008</v>
      </c>
      <c r="AL378" s="185">
        <f t="shared" si="518"/>
        <v>19138151.890000004</v>
      </c>
      <c r="AM378" s="317">
        <f t="shared" si="547"/>
        <v>30</v>
      </c>
      <c r="AN378" s="14">
        <f t="shared" si="507"/>
        <v>0</v>
      </c>
      <c r="AO378" s="14">
        <f t="shared" si="585"/>
        <v>0</v>
      </c>
      <c r="AP378" s="14">
        <f t="shared" si="508"/>
        <v>0</v>
      </c>
      <c r="AS378" s="14">
        <f t="shared" si="541"/>
        <v>0</v>
      </c>
      <c r="AT378" s="14">
        <f t="shared" si="548"/>
        <v>0</v>
      </c>
      <c r="AU378" s="185">
        <f t="shared" si="549"/>
        <v>0</v>
      </c>
      <c r="AV378" s="185">
        <f t="shared" si="550"/>
        <v>0</v>
      </c>
    </row>
    <row r="379" spans="1:48">
      <c r="A379" s="401" t="str">
        <f t="shared" ref="A379:A442" si="603">IF(K379&lt;=0," ",+A378+30)</f>
        <v xml:space="preserve"> </v>
      </c>
      <c r="B379" s="185">
        <f t="shared" si="597"/>
        <v>0</v>
      </c>
      <c r="C379" s="14">
        <f t="shared" si="535"/>
        <v>0</v>
      </c>
      <c r="D379" s="14">
        <f t="shared" si="551"/>
        <v>0</v>
      </c>
      <c r="E379" s="14">
        <f t="shared" si="536"/>
        <v>0</v>
      </c>
      <c r="F379" s="14">
        <f t="shared" ref="F379:F442" si="604">+F378</f>
        <v>0</v>
      </c>
      <c r="G379" s="14">
        <f t="shared" si="600"/>
        <v>0</v>
      </c>
      <c r="H379" s="14">
        <f t="shared" si="601"/>
        <v>0</v>
      </c>
      <c r="I379" s="185">
        <f t="shared" ref="I379:I442" si="605">$D379+$I378</f>
        <v>0</v>
      </c>
      <c r="J379" s="185">
        <f t="shared" ref="J379:J442" si="606">$E379+$J378</f>
        <v>0</v>
      </c>
      <c r="K379" s="185">
        <f t="shared" ref="K379:K442" si="607">+B379-D379</f>
        <v>0</v>
      </c>
      <c r="L379" s="317">
        <f t="shared" si="587"/>
        <v>30</v>
      </c>
      <c r="M379" s="317">
        <f t="shared" si="543"/>
        <v>363</v>
      </c>
      <c r="N379" s="185">
        <f t="shared" si="544"/>
        <v>0</v>
      </c>
      <c r="O379" s="185">
        <f t="shared" si="510"/>
        <v>0</v>
      </c>
      <c r="P379" s="185">
        <f t="shared" si="552"/>
        <v>0</v>
      </c>
      <c r="Q379" s="185">
        <f t="shared" si="511"/>
        <v>0</v>
      </c>
      <c r="R379" s="185">
        <f t="shared" si="502"/>
        <v>134.16999999999999</v>
      </c>
      <c r="S379" s="185">
        <f t="shared" si="503"/>
        <v>188.55</v>
      </c>
      <c r="T379" s="185">
        <f t="shared" ref="T379:T442" si="608">SUM(P379:S379)</f>
        <v>322.72000000000003</v>
      </c>
      <c r="U379" s="185">
        <f t="shared" si="553"/>
        <v>590639.83000000007</v>
      </c>
      <c r="V379" s="185">
        <f t="shared" si="554"/>
        <v>1782210.1699999985</v>
      </c>
      <c r="W379" s="185">
        <f t="shared" ref="W379:W442" si="609">+N379-P379</f>
        <v>0</v>
      </c>
      <c r="X379" s="401" t="str">
        <f t="shared" si="545"/>
        <v xml:space="preserve"> </v>
      </c>
      <c r="Y379" s="185">
        <f t="shared" si="512"/>
        <v>19138151.890000004</v>
      </c>
      <c r="Z379" s="393">
        <f t="shared" si="537"/>
        <v>0.13125000000000001</v>
      </c>
      <c r="AA379" s="185">
        <f t="shared" si="538"/>
        <v>2810.15</v>
      </c>
      <c r="AB379" s="185">
        <f t="shared" si="513"/>
        <v>-206513.39</v>
      </c>
      <c r="AC379" s="185">
        <f t="shared" si="539"/>
        <v>209323.54</v>
      </c>
      <c r="AD379" s="185">
        <f t="shared" ref="AD379:AE379" si="610">+AD378</f>
        <v>134.16999999999999</v>
      </c>
      <c r="AE379" s="185">
        <f t="shared" si="610"/>
        <v>188.55</v>
      </c>
      <c r="AF379" s="185">
        <f t="shared" si="515"/>
        <v>3132.8699999999944</v>
      </c>
      <c r="AG379" s="185">
        <f t="shared" si="516"/>
        <v>-18358565.279999997</v>
      </c>
      <c r="AH379" s="185">
        <f t="shared" si="517"/>
        <v>19759602.68</v>
      </c>
      <c r="AI379" s="411">
        <f t="shared" si="505"/>
        <v>971812.5999999959</v>
      </c>
      <c r="AJ379" s="411">
        <f t="shared" si="566"/>
        <v>-19344665.280000005</v>
      </c>
      <c r="AK379" s="411">
        <f t="shared" si="506"/>
        <v>-18372852.680000007</v>
      </c>
      <c r="AL379" s="185">
        <f t="shared" si="518"/>
        <v>19344665.280000005</v>
      </c>
      <c r="AM379" s="317">
        <f t="shared" si="547"/>
        <v>30</v>
      </c>
      <c r="AN379" s="14">
        <f t="shared" si="507"/>
        <v>0</v>
      </c>
      <c r="AO379" s="14">
        <f t="shared" si="585"/>
        <v>0</v>
      </c>
      <c r="AP379" s="14">
        <f t="shared" si="508"/>
        <v>0</v>
      </c>
      <c r="AS379" s="14">
        <f t="shared" si="541"/>
        <v>0</v>
      </c>
      <c r="AT379" s="14">
        <f t="shared" si="548"/>
        <v>0</v>
      </c>
      <c r="AU379" s="185">
        <f t="shared" si="549"/>
        <v>0</v>
      </c>
      <c r="AV379" s="185">
        <f t="shared" si="550"/>
        <v>0</v>
      </c>
    </row>
    <row r="380" spans="1:48">
      <c r="A380" s="401" t="str">
        <f t="shared" si="603"/>
        <v xml:space="preserve"> </v>
      </c>
      <c r="B380" s="185">
        <f t="shared" si="597"/>
        <v>0</v>
      </c>
      <c r="C380" s="14">
        <f t="shared" si="535"/>
        <v>0</v>
      </c>
      <c r="D380" s="14">
        <f t="shared" si="551"/>
        <v>0</v>
      </c>
      <c r="E380" s="14">
        <f t="shared" si="536"/>
        <v>0</v>
      </c>
      <c r="F380" s="14">
        <f t="shared" si="604"/>
        <v>0</v>
      </c>
      <c r="G380" s="14">
        <f t="shared" si="600"/>
        <v>0</v>
      </c>
      <c r="H380" s="14">
        <f t="shared" si="601"/>
        <v>0</v>
      </c>
      <c r="I380" s="185">
        <f t="shared" si="605"/>
        <v>0</v>
      </c>
      <c r="J380" s="185">
        <f t="shared" si="606"/>
        <v>0</v>
      </c>
      <c r="K380" s="185">
        <f t="shared" si="607"/>
        <v>0</v>
      </c>
      <c r="L380" s="317">
        <f t="shared" si="587"/>
        <v>30</v>
      </c>
      <c r="M380" s="317">
        <f t="shared" si="543"/>
        <v>364</v>
      </c>
      <c r="N380" s="185">
        <f t="shared" si="544"/>
        <v>0</v>
      </c>
      <c r="O380" s="185">
        <f t="shared" si="510"/>
        <v>0</v>
      </c>
      <c r="P380" s="185">
        <f t="shared" si="552"/>
        <v>0</v>
      </c>
      <c r="Q380" s="185">
        <f t="shared" si="511"/>
        <v>0</v>
      </c>
      <c r="R380" s="185">
        <f t="shared" ref="R380:R443" si="611">+R379</f>
        <v>134.16999999999999</v>
      </c>
      <c r="S380" s="185">
        <f t="shared" ref="S380:S443" si="612">+S379</f>
        <v>188.55</v>
      </c>
      <c r="T380" s="185">
        <f t="shared" si="608"/>
        <v>322.72000000000003</v>
      </c>
      <c r="U380" s="185">
        <f t="shared" si="553"/>
        <v>590639.83000000007</v>
      </c>
      <c r="V380" s="185">
        <f t="shared" si="554"/>
        <v>1782210.1699999985</v>
      </c>
      <c r="W380" s="185">
        <f t="shared" si="609"/>
        <v>0</v>
      </c>
      <c r="X380" s="401" t="str">
        <f t="shared" si="545"/>
        <v xml:space="preserve"> </v>
      </c>
      <c r="Y380" s="185">
        <f t="shared" si="512"/>
        <v>19344665.280000005</v>
      </c>
      <c r="Z380" s="393">
        <f t="shared" si="537"/>
        <v>0.13125000000000001</v>
      </c>
      <c r="AA380" s="185">
        <f t="shared" si="538"/>
        <v>2810.15</v>
      </c>
      <c r="AB380" s="185">
        <f t="shared" si="513"/>
        <v>-208772.13</v>
      </c>
      <c r="AC380" s="185">
        <f t="shared" si="539"/>
        <v>211582.28</v>
      </c>
      <c r="AD380" s="185">
        <f t="shared" ref="AD380:AE380" si="613">+AD379</f>
        <v>134.16999999999999</v>
      </c>
      <c r="AE380" s="185">
        <f t="shared" si="613"/>
        <v>188.55</v>
      </c>
      <c r="AF380" s="185">
        <f t="shared" si="515"/>
        <v>3132.8699999999944</v>
      </c>
      <c r="AG380" s="185">
        <f t="shared" si="516"/>
        <v>-18567337.409999996</v>
      </c>
      <c r="AH380" s="185">
        <f t="shared" si="517"/>
        <v>19971184.960000001</v>
      </c>
      <c r="AI380" s="411">
        <f t="shared" ref="AI380:AI443" si="614">O380-AA380+AI379</f>
        <v>969002.44999999588</v>
      </c>
      <c r="AJ380" s="411">
        <f t="shared" si="566"/>
        <v>-19553437.410000004</v>
      </c>
      <c r="AK380" s="411">
        <f t="shared" ref="AK380:AK443" si="615">SUM(AI380:AJ380)</f>
        <v>-18584434.960000008</v>
      </c>
      <c r="AL380" s="185">
        <f t="shared" si="518"/>
        <v>19553437.410000004</v>
      </c>
      <c r="AM380" s="317">
        <f t="shared" si="547"/>
        <v>30</v>
      </c>
      <c r="AN380" s="14">
        <f t="shared" ref="AN380:AN443" si="616">IF(O380=0,0,+O380-C380)</f>
        <v>0</v>
      </c>
      <c r="AO380" s="14">
        <f t="shared" si="585"/>
        <v>0</v>
      </c>
      <c r="AP380" s="14">
        <f t="shared" ref="AP380:AP443" si="617">IF($O380=0,0,+AA380-$C380)</f>
        <v>0</v>
      </c>
      <c r="AS380" s="14">
        <f t="shared" si="541"/>
        <v>0</v>
      </c>
      <c r="AT380" s="14">
        <f t="shared" si="548"/>
        <v>0</v>
      </c>
      <c r="AU380" s="185">
        <f t="shared" si="549"/>
        <v>0</v>
      </c>
      <c r="AV380" s="185">
        <f t="shared" si="550"/>
        <v>0</v>
      </c>
    </row>
    <row r="381" spans="1:48">
      <c r="A381" s="401" t="str">
        <f t="shared" si="603"/>
        <v xml:space="preserve"> </v>
      </c>
      <c r="B381" s="185">
        <f t="shared" si="597"/>
        <v>0</v>
      </c>
      <c r="C381" s="14">
        <f t="shared" si="535"/>
        <v>0</v>
      </c>
      <c r="D381" s="14">
        <f t="shared" si="551"/>
        <v>0</v>
      </c>
      <c r="E381" s="14">
        <f t="shared" si="536"/>
        <v>0</v>
      </c>
      <c r="F381" s="14">
        <f t="shared" si="604"/>
        <v>0</v>
      </c>
      <c r="G381" s="14">
        <f t="shared" si="600"/>
        <v>0</v>
      </c>
      <c r="H381" s="14">
        <f t="shared" si="601"/>
        <v>0</v>
      </c>
      <c r="I381" s="185">
        <f t="shared" si="605"/>
        <v>0</v>
      </c>
      <c r="J381" s="185">
        <f t="shared" si="606"/>
        <v>0</v>
      </c>
      <c r="K381" s="185">
        <f t="shared" si="607"/>
        <v>0</v>
      </c>
      <c r="L381" s="317">
        <f t="shared" si="587"/>
        <v>30</v>
      </c>
      <c r="M381" s="317">
        <f t="shared" si="543"/>
        <v>365</v>
      </c>
      <c r="N381" s="185">
        <f t="shared" si="544"/>
        <v>0</v>
      </c>
      <c r="O381" s="185">
        <f t="shared" si="510"/>
        <v>0</v>
      </c>
      <c r="P381" s="185">
        <f t="shared" si="552"/>
        <v>0</v>
      </c>
      <c r="Q381" s="185">
        <f t="shared" si="511"/>
        <v>0</v>
      </c>
      <c r="R381" s="185">
        <f t="shared" si="611"/>
        <v>134.16999999999999</v>
      </c>
      <c r="S381" s="185">
        <f t="shared" si="612"/>
        <v>188.55</v>
      </c>
      <c r="T381" s="185">
        <f t="shared" si="608"/>
        <v>322.72000000000003</v>
      </c>
      <c r="U381" s="185">
        <f t="shared" si="553"/>
        <v>590639.83000000007</v>
      </c>
      <c r="V381" s="185">
        <f t="shared" si="554"/>
        <v>1782210.1699999985</v>
      </c>
      <c r="W381" s="185">
        <f t="shared" si="609"/>
        <v>0</v>
      </c>
      <c r="X381" s="401" t="str">
        <f t="shared" si="545"/>
        <v xml:space="preserve"> </v>
      </c>
      <c r="Y381" s="185">
        <f t="shared" si="512"/>
        <v>19553437.410000004</v>
      </c>
      <c r="Z381" s="393">
        <f t="shared" si="537"/>
        <v>0.13125000000000001</v>
      </c>
      <c r="AA381" s="185">
        <f t="shared" si="538"/>
        <v>2810.15</v>
      </c>
      <c r="AB381" s="185">
        <f t="shared" si="513"/>
        <v>-211055.57</v>
      </c>
      <c r="AC381" s="185">
        <f t="shared" si="539"/>
        <v>213865.72</v>
      </c>
      <c r="AD381" s="185">
        <f t="shared" ref="AD381:AE381" si="618">+AD380</f>
        <v>134.16999999999999</v>
      </c>
      <c r="AE381" s="185">
        <f t="shared" si="618"/>
        <v>188.55</v>
      </c>
      <c r="AF381" s="185">
        <f t="shared" si="515"/>
        <v>3132.8699999999944</v>
      </c>
      <c r="AG381" s="185">
        <f t="shared" si="516"/>
        <v>-18778392.979999997</v>
      </c>
      <c r="AH381" s="185">
        <f t="shared" si="517"/>
        <v>20185050.68</v>
      </c>
      <c r="AI381" s="411">
        <f t="shared" si="614"/>
        <v>966192.29999999586</v>
      </c>
      <c r="AJ381" s="411">
        <f t="shared" si="566"/>
        <v>-19764492.980000004</v>
      </c>
      <c r="AK381" s="411">
        <f t="shared" si="615"/>
        <v>-18798300.680000007</v>
      </c>
      <c r="AL381" s="185">
        <f t="shared" si="518"/>
        <v>19764492.980000004</v>
      </c>
      <c r="AM381" s="317">
        <f t="shared" si="547"/>
        <v>30</v>
      </c>
      <c r="AN381" s="14">
        <f t="shared" si="616"/>
        <v>0</v>
      </c>
      <c r="AO381" s="14">
        <f t="shared" si="585"/>
        <v>0</v>
      </c>
      <c r="AP381" s="14">
        <f t="shared" si="617"/>
        <v>0</v>
      </c>
      <c r="AS381" s="14">
        <f t="shared" si="541"/>
        <v>0</v>
      </c>
      <c r="AT381" s="14">
        <f t="shared" si="548"/>
        <v>0</v>
      </c>
      <c r="AU381" s="185">
        <f t="shared" si="549"/>
        <v>0</v>
      </c>
      <c r="AV381" s="185">
        <f t="shared" si="550"/>
        <v>0</v>
      </c>
    </row>
    <row r="382" spans="1:48">
      <c r="A382" s="401" t="str">
        <f t="shared" si="603"/>
        <v xml:space="preserve"> </v>
      </c>
      <c r="B382" s="185">
        <f t="shared" si="597"/>
        <v>0</v>
      </c>
      <c r="C382" s="14">
        <f t="shared" si="535"/>
        <v>0</v>
      </c>
      <c r="D382" s="14">
        <f t="shared" si="551"/>
        <v>0</v>
      </c>
      <c r="E382" s="14">
        <f t="shared" si="536"/>
        <v>0</v>
      </c>
      <c r="F382" s="14">
        <f t="shared" si="604"/>
        <v>0</v>
      </c>
      <c r="G382" s="14">
        <f t="shared" si="600"/>
        <v>0</v>
      </c>
      <c r="H382" s="14">
        <f t="shared" si="601"/>
        <v>0</v>
      </c>
      <c r="I382" s="185">
        <f t="shared" si="605"/>
        <v>0</v>
      </c>
      <c r="J382" s="185">
        <f t="shared" si="606"/>
        <v>0</v>
      </c>
      <c r="K382" s="185">
        <f t="shared" si="607"/>
        <v>0</v>
      </c>
      <c r="L382" s="317">
        <f t="shared" si="587"/>
        <v>30</v>
      </c>
      <c r="M382" s="317">
        <f t="shared" si="543"/>
        <v>366</v>
      </c>
      <c r="N382" s="185">
        <f t="shared" si="544"/>
        <v>0</v>
      </c>
      <c r="O382" s="185">
        <f t="shared" ref="O382:O445" si="619">IF($O$9&lt;=A382,IF(+$W381&lt;=0,0,$O$8),0)</f>
        <v>0</v>
      </c>
      <c r="P382" s="185">
        <f t="shared" si="552"/>
        <v>0</v>
      </c>
      <c r="Q382" s="185">
        <f t="shared" ref="Q382:Q445" si="620">IF($O$9&lt;=A382,ROUND(N382*($O$6/12),2),0)</f>
        <v>0</v>
      </c>
      <c r="R382" s="185">
        <f t="shared" si="611"/>
        <v>134.16999999999999</v>
      </c>
      <c r="S382" s="185">
        <f t="shared" si="612"/>
        <v>188.55</v>
      </c>
      <c r="T382" s="185">
        <f t="shared" si="608"/>
        <v>322.72000000000003</v>
      </c>
      <c r="U382" s="185">
        <f t="shared" si="553"/>
        <v>590639.83000000007</v>
      </c>
      <c r="V382" s="185">
        <f t="shared" si="554"/>
        <v>1782210.1699999985</v>
      </c>
      <c r="W382" s="185">
        <f t="shared" si="609"/>
        <v>0</v>
      </c>
      <c r="X382" s="401" t="str">
        <f t="shared" si="545"/>
        <v xml:space="preserve"> </v>
      </c>
      <c r="Y382" s="185">
        <f t="shared" ref="Y382:Y445" si="621">IF(+AL381&lt;0,0,+AL381)</f>
        <v>19764492.980000004</v>
      </c>
      <c r="Z382" s="393">
        <f t="shared" si="537"/>
        <v>0.13125000000000001</v>
      </c>
      <c r="AA382" s="185">
        <f t="shared" si="538"/>
        <v>2810.15</v>
      </c>
      <c r="AB382" s="185">
        <f t="shared" ref="AB382:AB445" si="622">+AA382-AC382</f>
        <v>-213363.99000000002</v>
      </c>
      <c r="AC382" s="185">
        <f t="shared" si="539"/>
        <v>216174.14</v>
      </c>
      <c r="AD382" s="185">
        <f t="shared" ref="AD382:AE382" si="623">+AD381</f>
        <v>134.16999999999999</v>
      </c>
      <c r="AE382" s="185">
        <f t="shared" si="623"/>
        <v>188.55</v>
      </c>
      <c r="AF382" s="185">
        <f t="shared" ref="AF382:AF445" si="624">SUM(AB382:AE382)</f>
        <v>3132.8699999999944</v>
      </c>
      <c r="AG382" s="185">
        <f t="shared" ref="AG382:AG445" si="625">+AB382+AG381</f>
        <v>-18991756.969999995</v>
      </c>
      <c r="AH382" s="185">
        <f t="shared" ref="AH382:AH445" si="626">+AH381+AC382</f>
        <v>20401224.82</v>
      </c>
      <c r="AI382" s="411">
        <f t="shared" si="614"/>
        <v>963382.14999999583</v>
      </c>
      <c r="AJ382" s="411">
        <f t="shared" si="566"/>
        <v>-19977856.970000003</v>
      </c>
      <c r="AK382" s="411">
        <f t="shared" si="615"/>
        <v>-19014474.820000008</v>
      </c>
      <c r="AL382" s="185">
        <f t="shared" ref="AL382:AL445" si="627">+Y382-AB382</f>
        <v>19977856.970000003</v>
      </c>
      <c r="AM382" s="317">
        <f t="shared" si="547"/>
        <v>30</v>
      </c>
      <c r="AN382" s="14">
        <f t="shared" si="616"/>
        <v>0</v>
      </c>
      <c r="AO382" s="14">
        <f t="shared" si="585"/>
        <v>0</v>
      </c>
      <c r="AP382" s="14">
        <f t="shared" si="617"/>
        <v>0</v>
      </c>
      <c r="AS382" s="14">
        <f t="shared" si="541"/>
        <v>0</v>
      </c>
      <c r="AT382" s="14">
        <f t="shared" si="548"/>
        <v>0</v>
      </c>
      <c r="AU382" s="185">
        <f t="shared" si="549"/>
        <v>0</v>
      </c>
      <c r="AV382" s="185">
        <f t="shared" si="550"/>
        <v>0</v>
      </c>
    </row>
    <row r="383" spans="1:48">
      <c r="A383" s="401" t="str">
        <f t="shared" si="603"/>
        <v xml:space="preserve"> </v>
      </c>
      <c r="B383" s="185">
        <f t="shared" si="597"/>
        <v>0</v>
      </c>
      <c r="C383" s="14">
        <f t="shared" si="535"/>
        <v>0</v>
      </c>
      <c r="D383" s="14">
        <f t="shared" si="551"/>
        <v>0</v>
      </c>
      <c r="E383" s="14">
        <f t="shared" si="536"/>
        <v>0</v>
      </c>
      <c r="F383" s="14">
        <f t="shared" si="604"/>
        <v>0</v>
      </c>
      <c r="G383" s="14">
        <f t="shared" si="600"/>
        <v>0</v>
      </c>
      <c r="H383" s="14">
        <f t="shared" si="601"/>
        <v>0</v>
      </c>
      <c r="I383" s="185">
        <f t="shared" si="605"/>
        <v>0</v>
      </c>
      <c r="J383" s="185">
        <f t="shared" si="606"/>
        <v>0</v>
      </c>
      <c r="K383" s="185">
        <f t="shared" si="607"/>
        <v>0</v>
      </c>
      <c r="L383" s="317">
        <f t="shared" si="587"/>
        <v>30</v>
      </c>
      <c r="M383" s="317">
        <f t="shared" si="543"/>
        <v>367</v>
      </c>
      <c r="N383" s="185">
        <f t="shared" si="544"/>
        <v>0</v>
      </c>
      <c r="O383" s="185">
        <f t="shared" si="619"/>
        <v>0</v>
      </c>
      <c r="P383" s="185">
        <f t="shared" si="552"/>
        <v>0</v>
      </c>
      <c r="Q383" s="185">
        <f t="shared" si="620"/>
        <v>0</v>
      </c>
      <c r="R383" s="185">
        <f t="shared" si="611"/>
        <v>134.16999999999999</v>
      </c>
      <c r="S383" s="185">
        <f t="shared" si="612"/>
        <v>188.55</v>
      </c>
      <c r="T383" s="185">
        <f t="shared" si="608"/>
        <v>322.72000000000003</v>
      </c>
      <c r="U383" s="185">
        <f t="shared" si="553"/>
        <v>590639.83000000007</v>
      </c>
      <c r="V383" s="185">
        <f t="shared" si="554"/>
        <v>1782210.1699999985</v>
      </c>
      <c r="W383" s="185">
        <f t="shared" si="609"/>
        <v>0</v>
      </c>
      <c r="X383" s="401" t="str">
        <f t="shared" si="545"/>
        <v xml:space="preserve"> </v>
      </c>
      <c r="Y383" s="185">
        <f t="shared" si="621"/>
        <v>19977856.970000003</v>
      </c>
      <c r="Z383" s="393">
        <f t="shared" si="537"/>
        <v>0.13125000000000001</v>
      </c>
      <c r="AA383" s="185">
        <f t="shared" si="538"/>
        <v>2810.15</v>
      </c>
      <c r="AB383" s="185">
        <f t="shared" si="622"/>
        <v>-215697.66</v>
      </c>
      <c r="AC383" s="185">
        <f t="shared" si="539"/>
        <v>218507.81</v>
      </c>
      <c r="AD383" s="185">
        <f t="shared" ref="AD383:AE383" si="628">+AD382</f>
        <v>134.16999999999999</v>
      </c>
      <c r="AE383" s="185">
        <f t="shared" si="628"/>
        <v>188.55</v>
      </c>
      <c r="AF383" s="185">
        <f t="shared" si="624"/>
        <v>3132.8699999999944</v>
      </c>
      <c r="AG383" s="185">
        <f t="shared" si="625"/>
        <v>-19207454.629999995</v>
      </c>
      <c r="AH383" s="185">
        <f t="shared" si="626"/>
        <v>20619732.629999999</v>
      </c>
      <c r="AI383" s="411">
        <f t="shared" si="614"/>
        <v>960571.99999999581</v>
      </c>
      <c r="AJ383" s="411">
        <f t="shared" si="566"/>
        <v>-20193554.630000003</v>
      </c>
      <c r="AK383" s="411">
        <f t="shared" si="615"/>
        <v>-19232982.630000006</v>
      </c>
      <c r="AL383" s="185">
        <f t="shared" si="627"/>
        <v>20193554.630000003</v>
      </c>
      <c r="AM383" s="317">
        <f t="shared" si="547"/>
        <v>30</v>
      </c>
      <c r="AN383" s="14">
        <f t="shared" si="616"/>
        <v>0</v>
      </c>
      <c r="AO383" s="14">
        <f t="shared" si="585"/>
        <v>0</v>
      </c>
      <c r="AP383" s="14">
        <f t="shared" si="617"/>
        <v>0</v>
      </c>
      <c r="AS383" s="14">
        <f t="shared" si="541"/>
        <v>0</v>
      </c>
      <c r="AT383" s="14">
        <f t="shared" si="548"/>
        <v>0</v>
      </c>
      <c r="AU383" s="185">
        <f t="shared" si="549"/>
        <v>0</v>
      </c>
      <c r="AV383" s="185">
        <f t="shared" si="550"/>
        <v>0</v>
      </c>
    </row>
    <row r="384" spans="1:48">
      <c r="A384" s="401" t="str">
        <f t="shared" si="603"/>
        <v xml:space="preserve"> </v>
      </c>
      <c r="B384" s="185">
        <f t="shared" si="597"/>
        <v>0</v>
      </c>
      <c r="C384" s="14">
        <f t="shared" si="535"/>
        <v>0</v>
      </c>
      <c r="D384" s="14">
        <f t="shared" si="551"/>
        <v>0</v>
      </c>
      <c r="E384" s="14">
        <f t="shared" si="536"/>
        <v>0</v>
      </c>
      <c r="F384" s="14">
        <f t="shared" si="604"/>
        <v>0</v>
      </c>
      <c r="G384" s="14">
        <f t="shared" si="600"/>
        <v>0</v>
      </c>
      <c r="H384" s="14">
        <f t="shared" si="601"/>
        <v>0</v>
      </c>
      <c r="I384" s="185">
        <f t="shared" si="605"/>
        <v>0</v>
      </c>
      <c r="J384" s="185">
        <f t="shared" si="606"/>
        <v>0</v>
      </c>
      <c r="K384" s="185">
        <f t="shared" si="607"/>
        <v>0</v>
      </c>
      <c r="L384" s="317">
        <f t="shared" si="587"/>
        <v>30</v>
      </c>
      <c r="M384" s="317">
        <f t="shared" si="543"/>
        <v>368</v>
      </c>
      <c r="N384" s="185">
        <f t="shared" si="544"/>
        <v>0</v>
      </c>
      <c r="O384" s="185">
        <f t="shared" si="619"/>
        <v>0</v>
      </c>
      <c r="P384" s="185">
        <f t="shared" si="552"/>
        <v>0</v>
      </c>
      <c r="Q384" s="185">
        <f t="shared" si="620"/>
        <v>0</v>
      </c>
      <c r="R384" s="185">
        <f t="shared" si="611"/>
        <v>134.16999999999999</v>
      </c>
      <c r="S384" s="185">
        <f t="shared" si="612"/>
        <v>188.55</v>
      </c>
      <c r="T384" s="185">
        <f t="shared" si="608"/>
        <v>322.72000000000003</v>
      </c>
      <c r="U384" s="185">
        <f t="shared" si="553"/>
        <v>590639.83000000007</v>
      </c>
      <c r="V384" s="185">
        <f t="shared" si="554"/>
        <v>1782210.1699999985</v>
      </c>
      <c r="W384" s="185">
        <f t="shared" si="609"/>
        <v>0</v>
      </c>
      <c r="X384" s="401" t="str">
        <f t="shared" si="545"/>
        <v xml:space="preserve"> </v>
      </c>
      <c r="Y384" s="185">
        <f t="shared" si="621"/>
        <v>20193554.630000003</v>
      </c>
      <c r="Z384" s="393">
        <f t="shared" si="537"/>
        <v>0.13125000000000001</v>
      </c>
      <c r="AA384" s="185">
        <f t="shared" si="538"/>
        <v>2810.15</v>
      </c>
      <c r="AB384" s="185">
        <f t="shared" si="622"/>
        <v>-218056.85</v>
      </c>
      <c r="AC384" s="185">
        <f t="shared" si="539"/>
        <v>220867</v>
      </c>
      <c r="AD384" s="185">
        <f t="shared" ref="AD384:AE384" si="629">+AD383</f>
        <v>134.16999999999999</v>
      </c>
      <c r="AE384" s="185">
        <f t="shared" si="629"/>
        <v>188.55</v>
      </c>
      <c r="AF384" s="185">
        <f t="shared" si="624"/>
        <v>3132.8699999999944</v>
      </c>
      <c r="AG384" s="185">
        <f t="shared" si="625"/>
        <v>-19425511.479999997</v>
      </c>
      <c r="AH384" s="185">
        <f t="shared" si="626"/>
        <v>20840599.629999999</v>
      </c>
      <c r="AI384" s="411">
        <f t="shared" si="614"/>
        <v>957761.84999999579</v>
      </c>
      <c r="AJ384" s="411">
        <f t="shared" si="566"/>
        <v>-20411611.480000004</v>
      </c>
      <c r="AK384" s="411">
        <f t="shared" si="615"/>
        <v>-19453849.63000001</v>
      </c>
      <c r="AL384" s="185">
        <f t="shared" si="627"/>
        <v>20411611.480000004</v>
      </c>
      <c r="AM384" s="317">
        <f t="shared" si="547"/>
        <v>30</v>
      </c>
      <c r="AN384" s="14">
        <f t="shared" si="616"/>
        <v>0</v>
      </c>
      <c r="AO384" s="14">
        <f t="shared" si="585"/>
        <v>0</v>
      </c>
      <c r="AP384" s="14">
        <f t="shared" si="617"/>
        <v>0</v>
      </c>
      <c r="AS384" s="14">
        <f t="shared" si="541"/>
        <v>0</v>
      </c>
      <c r="AT384" s="14">
        <f t="shared" si="548"/>
        <v>0</v>
      </c>
      <c r="AU384" s="185">
        <f t="shared" si="549"/>
        <v>0</v>
      </c>
      <c r="AV384" s="185">
        <f t="shared" si="550"/>
        <v>0</v>
      </c>
    </row>
    <row r="385" spans="1:48">
      <c r="A385" s="401" t="str">
        <f t="shared" si="603"/>
        <v xml:space="preserve"> </v>
      </c>
      <c r="B385" s="185">
        <f t="shared" si="597"/>
        <v>0</v>
      </c>
      <c r="C385" s="14">
        <f t="shared" si="535"/>
        <v>0</v>
      </c>
      <c r="D385" s="14">
        <f t="shared" si="551"/>
        <v>0</v>
      </c>
      <c r="E385" s="14">
        <f t="shared" si="536"/>
        <v>0</v>
      </c>
      <c r="F385" s="14">
        <f t="shared" si="604"/>
        <v>0</v>
      </c>
      <c r="G385" s="14">
        <f t="shared" si="600"/>
        <v>0</v>
      </c>
      <c r="H385" s="14">
        <f t="shared" si="601"/>
        <v>0</v>
      </c>
      <c r="I385" s="185">
        <f t="shared" si="605"/>
        <v>0</v>
      </c>
      <c r="J385" s="185">
        <f t="shared" si="606"/>
        <v>0</v>
      </c>
      <c r="K385" s="185">
        <f t="shared" si="607"/>
        <v>0</v>
      </c>
      <c r="L385" s="317">
        <f t="shared" si="587"/>
        <v>30</v>
      </c>
      <c r="M385" s="317">
        <f t="shared" si="543"/>
        <v>369</v>
      </c>
      <c r="N385" s="185">
        <f t="shared" si="544"/>
        <v>0</v>
      </c>
      <c r="O385" s="185">
        <f t="shared" si="619"/>
        <v>0</v>
      </c>
      <c r="P385" s="185">
        <f t="shared" si="552"/>
        <v>0</v>
      </c>
      <c r="Q385" s="185">
        <f t="shared" si="620"/>
        <v>0</v>
      </c>
      <c r="R385" s="185">
        <f t="shared" si="611"/>
        <v>134.16999999999999</v>
      </c>
      <c r="S385" s="185">
        <f t="shared" si="612"/>
        <v>188.55</v>
      </c>
      <c r="T385" s="185">
        <f t="shared" si="608"/>
        <v>322.72000000000003</v>
      </c>
      <c r="U385" s="185">
        <f t="shared" si="553"/>
        <v>590639.83000000007</v>
      </c>
      <c r="V385" s="185">
        <f t="shared" si="554"/>
        <v>1782210.1699999985</v>
      </c>
      <c r="W385" s="185">
        <f t="shared" si="609"/>
        <v>0</v>
      </c>
      <c r="X385" s="401" t="str">
        <f t="shared" si="545"/>
        <v xml:space="preserve"> </v>
      </c>
      <c r="Y385" s="185">
        <f t="shared" si="621"/>
        <v>20411611.480000004</v>
      </c>
      <c r="Z385" s="393">
        <f t="shared" si="537"/>
        <v>0.13125000000000001</v>
      </c>
      <c r="AA385" s="185">
        <f t="shared" si="538"/>
        <v>2810.15</v>
      </c>
      <c r="AB385" s="185">
        <f t="shared" si="622"/>
        <v>-220441.85</v>
      </c>
      <c r="AC385" s="185">
        <f t="shared" si="539"/>
        <v>223252</v>
      </c>
      <c r="AD385" s="185">
        <f t="shared" ref="AD385:AE385" si="630">+AD384</f>
        <v>134.16999999999999</v>
      </c>
      <c r="AE385" s="185">
        <f t="shared" si="630"/>
        <v>188.55</v>
      </c>
      <c r="AF385" s="185">
        <f t="shared" si="624"/>
        <v>3132.8699999999944</v>
      </c>
      <c r="AG385" s="185">
        <f t="shared" si="625"/>
        <v>-19645953.329999998</v>
      </c>
      <c r="AH385" s="185">
        <f t="shared" si="626"/>
        <v>21063851.629999999</v>
      </c>
      <c r="AI385" s="411">
        <f t="shared" si="614"/>
        <v>954951.69999999576</v>
      </c>
      <c r="AJ385" s="411">
        <f t="shared" si="566"/>
        <v>-20632053.330000006</v>
      </c>
      <c r="AK385" s="411">
        <f t="shared" si="615"/>
        <v>-19677101.63000001</v>
      </c>
      <c r="AL385" s="185">
        <f t="shared" si="627"/>
        <v>20632053.330000006</v>
      </c>
      <c r="AM385" s="317">
        <f t="shared" si="547"/>
        <v>30</v>
      </c>
      <c r="AN385" s="14">
        <f t="shared" si="616"/>
        <v>0</v>
      </c>
      <c r="AO385" s="14">
        <f t="shared" si="585"/>
        <v>0</v>
      </c>
      <c r="AP385" s="14">
        <f t="shared" si="617"/>
        <v>0</v>
      </c>
      <c r="AS385" s="14">
        <f t="shared" si="541"/>
        <v>0</v>
      </c>
      <c r="AT385" s="14">
        <f t="shared" si="548"/>
        <v>0</v>
      </c>
      <c r="AU385" s="185">
        <f t="shared" si="549"/>
        <v>0</v>
      </c>
      <c r="AV385" s="185">
        <f t="shared" si="550"/>
        <v>0</v>
      </c>
    </row>
    <row r="386" spans="1:48" ht="15.75" thickBot="1">
      <c r="A386" s="404" t="str">
        <f t="shared" si="603"/>
        <v xml:space="preserve"> </v>
      </c>
      <c r="B386" s="237">
        <f t="shared" si="597"/>
        <v>0</v>
      </c>
      <c r="C386" s="21">
        <f t="shared" si="535"/>
        <v>0</v>
      </c>
      <c r="D386" s="21">
        <f t="shared" si="551"/>
        <v>0</v>
      </c>
      <c r="E386" s="21">
        <f t="shared" si="536"/>
        <v>0</v>
      </c>
      <c r="F386" s="21">
        <f t="shared" si="604"/>
        <v>0</v>
      </c>
      <c r="G386" s="21">
        <f t="shared" si="600"/>
        <v>0</v>
      </c>
      <c r="H386" s="21">
        <f t="shared" si="601"/>
        <v>0</v>
      </c>
      <c r="I386" s="237">
        <f t="shared" si="605"/>
        <v>0</v>
      </c>
      <c r="J386" s="237">
        <f t="shared" si="606"/>
        <v>0</v>
      </c>
      <c r="K386" s="237">
        <f t="shared" si="607"/>
        <v>0</v>
      </c>
      <c r="L386" s="318">
        <f t="shared" si="587"/>
        <v>30</v>
      </c>
      <c r="M386" s="318">
        <f t="shared" si="543"/>
        <v>370</v>
      </c>
      <c r="N386" s="237">
        <f t="shared" si="544"/>
        <v>0</v>
      </c>
      <c r="O386" s="237">
        <f t="shared" si="619"/>
        <v>0</v>
      </c>
      <c r="P386" s="237">
        <f t="shared" si="552"/>
        <v>0</v>
      </c>
      <c r="Q386" s="237">
        <f t="shared" si="620"/>
        <v>0</v>
      </c>
      <c r="R386" s="237">
        <f t="shared" si="611"/>
        <v>134.16999999999999</v>
      </c>
      <c r="S386" s="237">
        <f t="shared" si="612"/>
        <v>188.55</v>
      </c>
      <c r="T386" s="237">
        <f t="shared" si="608"/>
        <v>322.72000000000003</v>
      </c>
      <c r="U386" s="237">
        <f t="shared" si="553"/>
        <v>590639.83000000007</v>
      </c>
      <c r="V386" s="237">
        <f t="shared" si="554"/>
        <v>1782210.1699999985</v>
      </c>
      <c r="W386" s="237">
        <f t="shared" si="609"/>
        <v>0</v>
      </c>
      <c r="X386" s="404" t="str">
        <f t="shared" si="545"/>
        <v xml:space="preserve"> </v>
      </c>
      <c r="Y386" s="237">
        <f t="shared" si="621"/>
        <v>20632053.330000006</v>
      </c>
      <c r="Z386" s="394">
        <f t="shared" si="537"/>
        <v>0.13125000000000001</v>
      </c>
      <c r="AA386" s="237">
        <f t="shared" si="538"/>
        <v>2810.15</v>
      </c>
      <c r="AB386" s="237">
        <f t="shared" si="622"/>
        <v>-222852.93</v>
      </c>
      <c r="AC386" s="237">
        <f t="shared" si="539"/>
        <v>225663.08</v>
      </c>
      <c r="AD386" s="237">
        <f t="shared" ref="AD386:AE386" si="631">+AD385</f>
        <v>134.16999999999999</v>
      </c>
      <c r="AE386" s="237">
        <f t="shared" si="631"/>
        <v>188.55</v>
      </c>
      <c r="AF386" s="237">
        <f t="shared" si="624"/>
        <v>3132.8699999999944</v>
      </c>
      <c r="AG386" s="237">
        <f t="shared" si="625"/>
        <v>-19868806.259999998</v>
      </c>
      <c r="AH386" s="237">
        <f t="shared" si="626"/>
        <v>21289514.709999997</v>
      </c>
      <c r="AI386" s="412">
        <f t="shared" si="614"/>
        <v>952141.54999999574</v>
      </c>
      <c r="AJ386" s="412">
        <f t="shared" si="566"/>
        <v>-20854906.260000005</v>
      </c>
      <c r="AK386" s="411">
        <f t="shared" si="615"/>
        <v>-19902764.710000008</v>
      </c>
      <c r="AL386" s="237">
        <f t="shared" si="627"/>
        <v>20854906.260000005</v>
      </c>
      <c r="AM386" s="318">
        <f t="shared" si="547"/>
        <v>30</v>
      </c>
      <c r="AN386" s="21">
        <f t="shared" si="616"/>
        <v>0</v>
      </c>
      <c r="AO386" s="21">
        <f t="shared" si="585"/>
        <v>0</v>
      </c>
      <c r="AP386" s="21">
        <f t="shared" si="617"/>
        <v>0</v>
      </c>
      <c r="AQ386" s="21"/>
      <c r="AR386" s="23"/>
      <c r="AS386" s="21">
        <f t="shared" si="541"/>
        <v>0</v>
      </c>
      <c r="AT386" s="21">
        <f t="shared" si="548"/>
        <v>0</v>
      </c>
      <c r="AU386" s="237">
        <f t="shared" si="549"/>
        <v>0</v>
      </c>
      <c r="AV386" s="237">
        <f t="shared" si="550"/>
        <v>0</v>
      </c>
    </row>
    <row r="387" spans="1:48">
      <c r="A387" s="401" t="str">
        <f t="shared" si="603"/>
        <v xml:space="preserve"> </v>
      </c>
      <c r="B387" s="185">
        <f t="shared" si="597"/>
        <v>0</v>
      </c>
      <c r="C387" s="14">
        <f t="shared" si="535"/>
        <v>0</v>
      </c>
      <c r="D387" s="14">
        <f t="shared" si="551"/>
        <v>0</v>
      </c>
      <c r="E387" s="14">
        <f t="shared" si="536"/>
        <v>0</v>
      </c>
      <c r="F387" s="14">
        <f t="shared" si="604"/>
        <v>0</v>
      </c>
      <c r="G387" s="14">
        <f t="shared" si="600"/>
        <v>0</v>
      </c>
      <c r="H387" s="14">
        <f t="shared" si="601"/>
        <v>0</v>
      </c>
      <c r="I387" s="185">
        <f t="shared" si="605"/>
        <v>0</v>
      </c>
      <c r="J387" s="185">
        <f t="shared" si="606"/>
        <v>0</v>
      </c>
      <c r="K387" s="185">
        <f t="shared" si="607"/>
        <v>0</v>
      </c>
      <c r="L387" s="317">
        <f t="shared" si="587"/>
        <v>30</v>
      </c>
      <c r="M387" s="317">
        <f t="shared" si="543"/>
        <v>371</v>
      </c>
      <c r="N387" s="185">
        <f t="shared" si="544"/>
        <v>0</v>
      </c>
      <c r="O387" s="185">
        <f t="shared" si="619"/>
        <v>0</v>
      </c>
      <c r="P387" s="185">
        <f t="shared" si="552"/>
        <v>0</v>
      </c>
      <c r="Q387" s="185">
        <f t="shared" si="620"/>
        <v>0</v>
      </c>
      <c r="R387" s="185">
        <f t="shared" si="611"/>
        <v>134.16999999999999</v>
      </c>
      <c r="S387" s="185">
        <f t="shared" si="612"/>
        <v>188.55</v>
      </c>
      <c r="T387" s="185">
        <f t="shared" si="608"/>
        <v>322.72000000000003</v>
      </c>
      <c r="U387" s="185">
        <f t="shared" si="553"/>
        <v>590639.83000000007</v>
      </c>
      <c r="V387" s="185">
        <f t="shared" si="554"/>
        <v>1782210.1699999985</v>
      </c>
      <c r="W387" s="185">
        <f t="shared" si="609"/>
        <v>0</v>
      </c>
      <c r="X387" s="401" t="str">
        <f t="shared" si="545"/>
        <v xml:space="preserve"> </v>
      </c>
      <c r="Y387" s="185">
        <f t="shared" si="621"/>
        <v>20854906.260000005</v>
      </c>
      <c r="Z387" s="393">
        <f t="shared" si="537"/>
        <v>0.13125000000000001</v>
      </c>
      <c r="AA387" s="185">
        <f t="shared" si="538"/>
        <v>2810.15</v>
      </c>
      <c r="AB387" s="185">
        <f t="shared" si="622"/>
        <v>-225290.39</v>
      </c>
      <c r="AC387" s="185">
        <f t="shared" si="539"/>
        <v>228100.54</v>
      </c>
      <c r="AD387" s="185">
        <f t="shared" ref="AD387:AE387" si="632">+AD386</f>
        <v>134.16999999999999</v>
      </c>
      <c r="AE387" s="185">
        <f t="shared" si="632"/>
        <v>188.55</v>
      </c>
      <c r="AF387" s="185">
        <f t="shared" si="624"/>
        <v>3132.8699999999944</v>
      </c>
      <c r="AG387" s="185">
        <f t="shared" si="625"/>
        <v>-20094096.649999999</v>
      </c>
      <c r="AH387" s="185">
        <f t="shared" si="626"/>
        <v>21517615.249999996</v>
      </c>
      <c r="AI387" s="411">
        <f t="shared" si="614"/>
        <v>949331.39999999572</v>
      </c>
      <c r="AJ387" s="411">
        <f t="shared" si="566"/>
        <v>-21080196.650000006</v>
      </c>
      <c r="AK387" s="411">
        <f t="shared" si="615"/>
        <v>-20130865.250000011</v>
      </c>
      <c r="AL387" s="185">
        <f t="shared" si="627"/>
        <v>21080196.650000006</v>
      </c>
      <c r="AM387" s="317">
        <f t="shared" si="547"/>
        <v>30</v>
      </c>
      <c r="AN387" s="14">
        <f t="shared" si="616"/>
        <v>0</v>
      </c>
      <c r="AO387" s="14">
        <f t="shared" si="585"/>
        <v>0</v>
      </c>
      <c r="AP387" s="14">
        <f t="shared" si="617"/>
        <v>0</v>
      </c>
      <c r="AS387" s="14">
        <f t="shared" si="541"/>
        <v>0</v>
      </c>
      <c r="AT387" s="14">
        <f t="shared" si="548"/>
        <v>0</v>
      </c>
      <c r="AU387" s="185">
        <f t="shared" si="549"/>
        <v>0</v>
      </c>
      <c r="AV387" s="185">
        <f t="shared" si="550"/>
        <v>0</v>
      </c>
    </row>
    <row r="388" spans="1:48">
      <c r="A388" s="401" t="str">
        <f t="shared" si="603"/>
        <v xml:space="preserve"> </v>
      </c>
      <c r="B388" s="185">
        <f t="shared" si="597"/>
        <v>0</v>
      </c>
      <c r="C388" s="14">
        <f t="shared" si="535"/>
        <v>0</v>
      </c>
      <c r="D388" s="14">
        <f t="shared" si="551"/>
        <v>0</v>
      </c>
      <c r="E388" s="14">
        <f t="shared" si="536"/>
        <v>0</v>
      </c>
      <c r="F388" s="14">
        <f t="shared" si="604"/>
        <v>0</v>
      </c>
      <c r="G388" s="14">
        <f t="shared" si="600"/>
        <v>0</v>
      </c>
      <c r="H388" s="14">
        <f t="shared" si="601"/>
        <v>0</v>
      </c>
      <c r="I388" s="185">
        <f t="shared" si="605"/>
        <v>0</v>
      </c>
      <c r="J388" s="185">
        <f t="shared" si="606"/>
        <v>0</v>
      </c>
      <c r="K388" s="185">
        <f t="shared" si="607"/>
        <v>0</v>
      </c>
      <c r="L388" s="317">
        <f t="shared" si="587"/>
        <v>31</v>
      </c>
      <c r="M388" s="317">
        <f t="shared" si="543"/>
        <v>372</v>
      </c>
      <c r="N388" s="185">
        <f t="shared" si="544"/>
        <v>0</v>
      </c>
      <c r="O388" s="185">
        <f t="shared" si="619"/>
        <v>0</v>
      </c>
      <c r="P388" s="185">
        <f t="shared" si="552"/>
        <v>0</v>
      </c>
      <c r="Q388" s="185">
        <f t="shared" si="620"/>
        <v>0</v>
      </c>
      <c r="R388" s="185">
        <f t="shared" si="611"/>
        <v>134.16999999999999</v>
      </c>
      <c r="S388" s="185">
        <f t="shared" si="612"/>
        <v>188.55</v>
      </c>
      <c r="T388" s="185">
        <f t="shared" si="608"/>
        <v>322.72000000000003</v>
      </c>
      <c r="U388" s="185">
        <f t="shared" si="553"/>
        <v>590639.83000000007</v>
      </c>
      <c r="V388" s="185">
        <f t="shared" si="554"/>
        <v>1782210.1699999985</v>
      </c>
      <c r="W388" s="185">
        <f t="shared" si="609"/>
        <v>0</v>
      </c>
      <c r="X388" s="401" t="str">
        <f t="shared" si="545"/>
        <v xml:space="preserve"> </v>
      </c>
      <c r="Y388" s="185">
        <f t="shared" si="621"/>
        <v>21080196.650000006</v>
      </c>
      <c r="Z388" s="393">
        <f t="shared" si="537"/>
        <v>0.13125000000000001</v>
      </c>
      <c r="AA388" s="185">
        <f t="shared" si="538"/>
        <v>2810.15</v>
      </c>
      <c r="AB388" s="185">
        <f t="shared" si="622"/>
        <v>-227754.5</v>
      </c>
      <c r="AC388" s="185">
        <f t="shared" si="539"/>
        <v>230564.65</v>
      </c>
      <c r="AD388" s="185">
        <f t="shared" ref="AD388:AE388" si="633">+AD387</f>
        <v>134.16999999999999</v>
      </c>
      <c r="AE388" s="185">
        <f t="shared" si="633"/>
        <v>188.55</v>
      </c>
      <c r="AF388" s="185">
        <f t="shared" si="624"/>
        <v>3132.8699999999944</v>
      </c>
      <c r="AG388" s="185">
        <f t="shared" si="625"/>
        <v>-20321851.149999999</v>
      </c>
      <c r="AH388" s="185">
        <f t="shared" si="626"/>
        <v>21748179.899999995</v>
      </c>
      <c r="AI388" s="411">
        <f t="shared" si="614"/>
        <v>946521.24999999569</v>
      </c>
      <c r="AJ388" s="411">
        <f t="shared" si="566"/>
        <v>-21307951.150000006</v>
      </c>
      <c r="AK388" s="411">
        <f t="shared" si="615"/>
        <v>-20361429.90000001</v>
      </c>
      <c r="AL388" s="185">
        <f t="shared" si="627"/>
        <v>21307951.150000006</v>
      </c>
      <c r="AM388" s="317">
        <f t="shared" si="547"/>
        <v>31</v>
      </c>
      <c r="AN388" s="14">
        <f t="shared" si="616"/>
        <v>0</v>
      </c>
      <c r="AO388" s="14">
        <f t="shared" si="585"/>
        <v>0</v>
      </c>
      <c r="AP388" s="14">
        <f t="shared" si="617"/>
        <v>0</v>
      </c>
      <c r="AS388" s="14">
        <f t="shared" si="541"/>
        <v>0</v>
      </c>
      <c r="AT388" s="14">
        <f t="shared" si="548"/>
        <v>0</v>
      </c>
      <c r="AU388" s="185">
        <f t="shared" si="549"/>
        <v>0</v>
      </c>
      <c r="AV388" s="185">
        <f t="shared" si="550"/>
        <v>0</v>
      </c>
    </row>
    <row r="389" spans="1:48">
      <c r="A389" s="401" t="str">
        <f t="shared" si="603"/>
        <v xml:space="preserve"> </v>
      </c>
      <c r="B389" s="185">
        <f t="shared" si="597"/>
        <v>0</v>
      </c>
      <c r="C389" s="14">
        <f t="shared" si="535"/>
        <v>0</v>
      </c>
      <c r="D389" s="14">
        <f t="shared" si="551"/>
        <v>0</v>
      </c>
      <c r="E389" s="14">
        <f t="shared" si="536"/>
        <v>0</v>
      </c>
      <c r="F389" s="14">
        <f t="shared" si="604"/>
        <v>0</v>
      </c>
      <c r="G389" s="14">
        <f t="shared" si="600"/>
        <v>0</v>
      </c>
      <c r="H389" s="14">
        <f t="shared" si="601"/>
        <v>0</v>
      </c>
      <c r="I389" s="185">
        <f t="shared" si="605"/>
        <v>0</v>
      </c>
      <c r="J389" s="185">
        <f t="shared" si="606"/>
        <v>0</v>
      </c>
      <c r="K389" s="185">
        <f t="shared" si="607"/>
        <v>0</v>
      </c>
      <c r="L389" s="317">
        <f t="shared" si="587"/>
        <v>31</v>
      </c>
      <c r="M389" s="317">
        <f t="shared" si="543"/>
        <v>373</v>
      </c>
      <c r="N389" s="185">
        <f t="shared" si="544"/>
        <v>0</v>
      </c>
      <c r="O389" s="185">
        <f t="shared" si="619"/>
        <v>0</v>
      </c>
      <c r="P389" s="185">
        <f t="shared" si="552"/>
        <v>0</v>
      </c>
      <c r="Q389" s="185">
        <f t="shared" si="620"/>
        <v>0</v>
      </c>
      <c r="R389" s="185">
        <f t="shared" si="611"/>
        <v>134.16999999999999</v>
      </c>
      <c r="S389" s="185">
        <f t="shared" si="612"/>
        <v>188.55</v>
      </c>
      <c r="T389" s="185">
        <f t="shared" si="608"/>
        <v>322.72000000000003</v>
      </c>
      <c r="U389" s="185">
        <f t="shared" si="553"/>
        <v>590639.83000000007</v>
      </c>
      <c r="V389" s="185">
        <f t="shared" si="554"/>
        <v>1782210.1699999985</v>
      </c>
      <c r="W389" s="185">
        <f t="shared" si="609"/>
        <v>0</v>
      </c>
      <c r="X389" s="401" t="str">
        <f t="shared" si="545"/>
        <v xml:space="preserve"> </v>
      </c>
      <c r="Y389" s="185">
        <f t="shared" si="621"/>
        <v>21307951.150000006</v>
      </c>
      <c r="Z389" s="393">
        <f t="shared" si="537"/>
        <v>0.13125000000000001</v>
      </c>
      <c r="AA389" s="185">
        <f t="shared" si="538"/>
        <v>2810.15</v>
      </c>
      <c r="AB389" s="185">
        <f t="shared" si="622"/>
        <v>-230245.57</v>
      </c>
      <c r="AC389" s="185">
        <f t="shared" si="539"/>
        <v>233055.72</v>
      </c>
      <c r="AD389" s="185">
        <f t="shared" ref="AD389:AE389" si="634">+AD388</f>
        <v>134.16999999999999</v>
      </c>
      <c r="AE389" s="185">
        <f t="shared" si="634"/>
        <v>188.55</v>
      </c>
      <c r="AF389" s="185">
        <f t="shared" si="624"/>
        <v>3132.8699999999944</v>
      </c>
      <c r="AG389" s="185">
        <f t="shared" si="625"/>
        <v>-20552096.719999999</v>
      </c>
      <c r="AH389" s="185">
        <f t="shared" si="626"/>
        <v>21981235.619999994</v>
      </c>
      <c r="AI389" s="411">
        <f t="shared" si="614"/>
        <v>943711.09999999567</v>
      </c>
      <c r="AJ389" s="411">
        <f t="shared" si="566"/>
        <v>-21538196.720000006</v>
      </c>
      <c r="AK389" s="411">
        <f t="shared" si="615"/>
        <v>-20594485.620000012</v>
      </c>
      <c r="AL389" s="185">
        <f t="shared" si="627"/>
        <v>21538196.720000006</v>
      </c>
      <c r="AM389" s="317">
        <f t="shared" si="547"/>
        <v>31</v>
      </c>
      <c r="AN389" s="14">
        <f t="shared" si="616"/>
        <v>0</v>
      </c>
      <c r="AO389" s="14">
        <f t="shared" si="585"/>
        <v>0</v>
      </c>
      <c r="AP389" s="14">
        <f t="shared" si="617"/>
        <v>0</v>
      </c>
      <c r="AS389" s="14">
        <f t="shared" si="541"/>
        <v>0</v>
      </c>
      <c r="AT389" s="14">
        <f t="shared" si="548"/>
        <v>0</v>
      </c>
      <c r="AU389" s="185">
        <f t="shared" si="549"/>
        <v>0</v>
      </c>
      <c r="AV389" s="185">
        <f t="shared" si="550"/>
        <v>0</v>
      </c>
    </row>
    <row r="390" spans="1:48">
      <c r="A390" s="401" t="str">
        <f t="shared" si="603"/>
        <v xml:space="preserve"> </v>
      </c>
      <c r="B390" s="185">
        <f t="shared" si="597"/>
        <v>0</v>
      </c>
      <c r="C390" s="14">
        <f t="shared" si="535"/>
        <v>0</v>
      </c>
      <c r="D390" s="14">
        <f t="shared" si="551"/>
        <v>0</v>
      </c>
      <c r="E390" s="14">
        <f t="shared" si="536"/>
        <v>0</v>
      </c>
      <c r="F390" s="14">
        <f t="shared" si="604"/>
        <v>0</v>
      </c>
      <c r="G390" s="14">
        <f t="shared" si="600"/>
        <v>0</v>
      </c>
      <c r="H390" s="14">
        <f t="shared" si="601"/>
        <v>0</v>
      </c>
      <c r="I390" s="185">
        <f t="shared" si="605"/>
        <v>0</v>
      </c>
      <c r="J390" s="185">
        <f t="shared" si="606"/>
        <v>0</v>
      </c>
      <c r="K390" s="185">
        <f t="shared" si="607"/>
        <v>0</v>
      </c>
      <c r="L390" s="317">
        <f t="shared" si="587"/>
        <v>31</v>
      </c>
      <c r="M390" s="317">
        <f t="shared" si="543"/>
        <v>374</v>
      </c>
      <c r="N390" s="185">
        <f t="shared" si="544"/>
        <v>0</v>
      </c>
      <c r="O390" s="185">
        <f t="shared" si="619"/>
        <v>0</v>
      </c>
      <c r="P390" s="185">
        <f t="shared" si="552"/>
        <v>0</v>
      </c>
      <c r="Q390" s="185">
        <f t="shared" si="620"/>
        <v>0</v>
      </c>
      <c r="R390" s="185">
        <f t="shared" si="611"/>
        <v>134.16999999999999</v>
      </c>
      <c r="S390" s="185">
        <f t="shared" si="612"/>
        <v>188.55</v>
      </c>
      <c r="T390" s="185">
        <f t="shared" si="608"/>
        <v>322.72000000000003</v>
      </c>
      <c r="U390" s="185">
        <f t="shared" si="553"/>
        <v>590639.83000000007</v>
      </c>
      <c r="V390" s="185">
        <f t="shared" si="554"/>
        <v>1782210.1699999985</v>
      </c>
      <c r="W390" s="185">
        <f t="shared" si="609"/>
        <v>0</v>
      </c>
      <c r="X390" s="401" t="str">
        <f t="shared" si="545"/>
        <v xml:space="preserve"> </v>
      </c>
      <c r="Y390" s="185">
        <f t="shared" si="621"/>
        <v>21538196.720000006</v>
      </c>
      <c r="Z390" s="393">
        <f t="shared" si="537"/>
        <v>0.13125000000000001</v>
      </c>
      <c r="AA390" s="185">
        <f t="shared" si="538"/>
        <v>2810.15</v>
      </c>
      <c r="AB390" s="185">
        <f t="shared" si="622"/>
        <v>-232763.88</v>
      </c>
      <c r="AC390" s="185">
        <f t="shared" si="539"/>
        <v>235574.03</v>
      </c>
      <c r="AD390" s="185">
        <f t="shared" ref="AD390:AE390" si="635">+AD389</f>
        <v>134.16999999999999</v>
      </c>
      <c r="AE390" s="185">
        <f t="shared" si="635"/>
        <v>188.55</v>
      </c>
      <c r="AF390" s="185">
        <f t="shared" si="624"/>
        <v>3132.8699999999944</v>
      </c>
      <c r="AG390" s="185">
        <f t="shared" si="625"/>
        <v>-20784860.599999998</v>
      </c>
      <c r="AH390" s="185">
        <f t="shared" si="626"/>
        <v>22216809.649999995</v>
      </c>
      <c r="AI390" s="411">
        <f t="shared" si="614"/>
        <v>940900.94999999565</v>
      </c>
      <c r="AJ390" s="411">
        <f t="shared" si="566"/>
        <v>-21770960.600000005</v>
      </c>
      <c r="AK390" s="411">
        <f t="shared" si="615"/>
        <v>-20830059.65000001</v>
      </c>
      <c r="AL390" s="185">
        <f t="shared" si="627"/>
        <v>21770960.600000005</v>
      </c>
      <c r="AM390" s="317">
        <f t="shared" si="547"/>
        <v>31</v>
      </c>
      <c r="AN390" s="14">
        <f t="shared" si="616"/>
        <v>0</v>
      </c>
      <c r="AO390" s="14">
        <f t="shared" si="585"/>
        <v>0</v>
      </c>
      <c r="AP390" s="14">
        <f t="shared" si="617"/>
        <v>0</v>
      </c>
      <c r="AS390" s="14">
        <f t="shared" si="541"/>
        <v>0</v>
      </c>
      <c r="AT390" s="14">
        <f t="shared" si="548"/>
        <v>0</v>
      </c>
      <c r="AU390" s="185">
        <f t="shared" si="549"/>
        <v>0</v>
      </c>
      <c r="AV390" s="185">
        <f t="shared" si="550"/>
        <v>0</v>
      </c>
    </row>
    <row r="391" spans="1:48">
      <c r="A391" s="401" t="str">
        <f t="shared" si="603"/>
        <v xml:space="preserve"> </v>
      </c>
      <c r="B391" s="185">
        <f t="shared" si="597"/>
        <v>0</v>
      </c>
      <c r="C391" s="14">
        <f t="shared" si="535"/>
        <v>0</v>
      </c>
      <c r="D391" s="14">
        <f t="shared" si="551"/>
        <v>0</v>
      </c>
      <c r="E391" s="14">
        <f t="shared" si="536"/>
        <v>0</v>
      </c>
      <c r="F391" s="14">
        <f t="shared" si="604"/>
        <v>0</v>
      </c>
      <c r="G391" s="14">
        <f t="shared" si="600"/>
        <v>0</v>
      </c>
      <c r="H391" s="14">
        <f t="shared" si="601"/>
        <v>0</v>
      </c>
      <c r="I391" s="185">
        <f t="shared" si="605"/>
        <v>0</v>
      </c>
      <c r="J391" s="185">
        <f t="shared" si="606"/>
        <v>0</v>
      </c>
      <c r="K391" s="185">
        <f t="shared" si="607"/>
        <v>0</v>
      </c>
      <c r="L391" s="317">
        <f t="shared" si="587"/>
        <v>31</v>
      </c>
      <c r="M391" s="317">
        <f t="shared" si="543"/>
        <v>375</v>
      </c>
      <c r="N391" s="185">
        <f t="shared" si="544"/>
        <v>0</v>
      </c>
      <c r="O391" s="185">
        <f t="shared" si="619"/>
        <v>0</v>
      </c>
      <c r="P391" s="185">
        <f t="shared" si="552"/>
        <v>0</v>
      </c>
      <c r="Q391" s="185">
        <f t="shared" si="620"/>
        <v>0</v>
      </c>
      <c r="R391" s="185">
        <f t="shared" si="611"/>
        <v>134.16999999999999</v>
      </c>
      <c r="S391" s="185">
        <f t="shared" si="612"/>
        <v>188.55</v>
      </c>
      <c r="T391" s="185">
        <f t="shared" si="608"/>
        <v>322.72000000000003</v>
      </c>
      <c r="U391" s="185">
        <f t="shared" si="553"/>
        <v>590639.83000000007</v>
      </c>
      <c r="V391" s="185">
        <f t="shared" si="554"/>
        <v>1782210.1699999985</v>
      </c>
      <c r="W391" s="185">
        <f t="shared" si="609"/>
        <v>0</v>
      </c>
      <c r="X391" s="401" t="str">
        <f t="shared" si="545"/>
        <v xml:space="preserve"> </v>
      </c>
      <c r="Y391" s="185">
        <f t="shared" si="621"/>
        <v>21770960.600000005</v>
      </c>
      <c r="Z391" s="393">
        <f t="shared" si="537"/>
        <v>0.13125000000000001</v>
      </c>
      <c r="AA391" s="185">
        <f t="shared" si="538"/>
        <v>2810.15</v>
      </c>
      <c r="AB391" s="185">
        <f t="shared" si="622"/>
        <v>-235309.73</v>
      </c>
      <c r="AC391" s="185">
        <f t="shared" si="539"/>
        <v>238119.88</v>
      </c>
      <c r="AD391" s="185">
        <f t="shared" ref="AD391:AE391" si="636">+AD390</f>
        <v>134.16999999999999</v>
      </c>
      <c r="AE391" s="185">
        <f t="shared" si="636"/>
        <v>188.55</v>
      </c>
      <c r="AF391" s="185">
        <f t="shared" si="624"/>
        <v>3132.8699999999944</v>
      </c>
      <c r="AG391" s="185">
        <f t="shared" si="625"/>
        <v>-21020170.329999998</v>
      </c>
      <c r="AH391" s="185">
        <f t="shared" si="626"/>
        <v>22454929.529999994</v>
      </c>
      <c r="AI391" s="411">
        <f t="shared" si="614"/>
        <v>938090.79999999562</v>
      </c>
      <c r="AJ391" s="411">
        <f t="shared" si="566"/>
        <v>-22006270.330000006</v>
      </c>
      <c r="AK391" s="411">
        <f t="shared" si="615"/>
        <v>-21068179.530000009</v>
      </c>
      <c r="AL391" s="185">
        <f t="shared" si="627"/>
        <v>22006270.330000006</v>
      </c>
      <c r="AM391" s="317">
        <f t="shared" si="547"/>
        <v>31</v>
      </c>
      <c r="AN391" s="14">
        <f t="shared" si="616"/>
        <v>0</v>
      </c>
      <c r="AO391" s="14">
        <f t="shared" si="585"/>
        <v>0</v>
      </c>
      <c r="AP391" s="14">
        <f t="shared" si="617"/>
        <v>0</v>
      </c>
      <c r="AS391" s="14">
        <f t="shared" si="541"/>
        <v>0</v>
      </c>
      <c r="AT391" s="14">
        <f t="shared" si="548"/>
        <v>0</v>
      </c>
      <c r="AU391" s="185">
        <f t="shared" si="549"/>
        <v>0</v>
      </c>
      <c r="AV391" s="185">
        <f t="shared" si="550"/>
        <v>0</v>
      </c>
    </row>
    <row r="392" spans="1:48">
      <c r="A392" s="401" t="str">
        <f t="shared" si="603"/>
        <v xml:space="preserve"> </v>
      </c>
      <c r="B392" s="185">
        <f t="shared" si="597"/>
        <v>0</v>
      </c>
      <c r="C392" s="14">
        <f t="shared" si="535"/>
        <v>0</v>
      </c>
      <c r="D392" s="14">
        <f t="shared" si="551"/>
        <v>0</v>
      </c>
      <c r="E392" s="14">
        <f t="shared" si="536"/>
        <v>0</v>
      </c>
      <c r="F392" s="14">
        <f t="shared" si="604"/>
        <v>0</v>
      </c>
      <c r="G392" s="14">
        <f t="shared" si="600"/>
        <v>0</v>
      </c>
      <c r="H392" s="14">
        <f t="shared" si="601"/>
        <v>0</v>
      </c>
      <c r="I392" s="185">
        <f t="shared" si="605"/>
        <v>0</v>
      </c>
      <c r="J392" s="185">
        <f t="shared" si="606"/>
        <v>0</v>
      </c>
      <c r="K392" s="185">
        <f t="shared" si="607"/>
        <v>0</v>
      </c>
      <c r="L392" s="317">
        <f t="shared" si="587"/>
        <v>31</v>
      </c>
      <c r="M392" s="317">
        <f t="shared" si="543"/>
        <v>376</v>
      </c>
      <c r="N392" s="185">
        <f t="shared" si="544"/>
        <v>0</v>
      </c>
      <c r="O392" s="185">
        <f t="shared" si="619"/>
        <v>0</v>
      </c>
      <c r="P392" s="185">
        <f t="shared" si="552"/>
        <v>0</v>
      </c>
      <c r="Q392" s="185">
        <f t="shared" si="620"/>
        <v>0</v>
      </c>
      <c r="R392" s="185">
        <f t="shared" si="611"/>
        <v>134.16999999999999</v>
      </c>
      <c r="S392" s="185">
        <f t="shared" si="612"/>
        <v>188.55</v>
      </c>
      <c r="T392" s="185">
        <f t="shared" si="608"/>
        <v>322.72000000000003</v>
      </c>
      <c r="U392" s="185">
        <f t="shared" si="553"/>
        <v>590639.83000000007</v>
      </c>
      <c r="V392" s="185">
        <f t="shared" si="554"/>
        <v>1782210.1699999985</v>
      </c>
      <c r="W392" s="185">
        <f t="shared" si="609"/>
        <v>0</v>
      </c>
      <c r="X392" s="401" t="str">
        <f t="shared" si="545"/>
        <v xml:space="preserve"> </v>
      </c>
      <c r="Y392" s="185">
        <f t="shared" si="621"/>
        <v>22006270.330000006</v>
      </c>
      <c r="Z392" s="393">
        <f t="shared" si="537"/>
        <v>0.13125000000000001</v>
      </c>
      <c r="AA392" s="185">
        <f t="shared" si="538"/>
        <v>2810.15</v>
      </c>
      <c r="AB392" s="185">
        <f t="shared" si="622"/>
        <v>-237883.43</v>
      </c>
      <c r="AC392" s="185">
        <f t="shared" si="539"/>
        <v>240693.58</v>
      </c>
      <c r="AD392" s="185">
        <f t="shared" ref="AD392:AE392" si="637">+AD391</f>
        <v>134.16999999999999</v>
      </c>
      <c r="AE392" s="185">
        <f t="shared" si="637"/>
        <v>188.55</v>
      </c>
      <c r="AF392" s="185">
        <f t="shared" si="624"/>
        <v>3132.8699999999944</v>
      </c>
      <c r="AG392" s="185">
        <f t="shared" si="625"/>
        <v>-21258053.759999998</v>
      </c>
      <c r="AH392" s="185">
        <f t="shared" si="626"/>
        <v>22695623.109999992</v>
      </c>
      <c r="AI392" s="411">
        <f t="shared" si="614"/>
        <v>935280.6499999956</v>
      </c>
      <c r="AJ392" s="411">
        <f t="shared" si="566"/>
        <v>-22244153.760000005</v>
      </c>
      <c r="AK392" s="411">
        <f t="shared" si="615"/>
        <v>-21308873.110000011</v>
      </c>
      <c r="AL392" s="185">
        <f t="shared" si="627"/>
        <v>22244153.760000005</v>
      </c>
      <c r="AM392" s="317">
        <f t="shared" si="547"/>
        <v>31</v>
      </c>
      <c r="AN392" s="14">
        <f t="shared" si="616"/>
        <v>0</v>
      </c>
      <c r="AO392" s="14">
        <f t="shared" si="585"/>
        <v>0</v>
      </c>
      <c r="AP392" s="14">
        <f t="shared" si="617"/>
        <v>0</v>
      </c>
      <c r="AS392" s="14">
        <f t="shared" si="541"/>
        <v>0</v>
      </c>
      <c r="AT392" s="14">
        <f t="shared" si="548"/>
        <v>0</v>
      </c>
      <c r="AU392" s="185">
        <f t="shared" si="549"/>
        <v>0</v>
      </c>
      <c r="AV392" s="185">
        <f t="shared" si="550"/>
        <v>0</v>
      </c>
    </row>
    <row r="393" spans="1:48">
      <c r="A393" s="401" t="str">
        <f t="shared" si="603"/>
        <v xml:space="preserve"> </v>
      </c>
      <c r="B393" s="185">
        <f t="shared" si="597"/>
        <v>0</v>
      </c>
      <c r="C393" s="14">
        <f t="shared" si="535"/>
        <v>0</v>
      </c>
      <c r="D393" s="14">
        <f t="shared" si="551"/>
        <v>0</v>
      </c>
      <c r="E393" s="14">
        <f t="shared" si="536"/>
        <v>0</v>
      </c>
      <c r="F393" s="14">
        <f t="shared" si="604"/>
        <v>0</v>
      </c>
      <c r="G393" s="14">
        <f t="shared" si="600"/>
        <v>0</v>
      </c>
      <c r="H393" s="14">
        <f t="shared" si="601"/>
        <v>0</v>
      </c>
      <c r="I393" s="185">
        <f t="shared" si="605"/>
        <v>0</v>
      </c>
      <c r="J393" s="185">
        <f t="shared" si="606"/>
        <v>0</v>
      </c>
      <c r="K393" s="185">
        <f t="shared" si="607"/>
        <v>0</v>
      </c>
      <c r="L393" s="317">
        <f t="shared" si="587"/>
        <v>31</v>
      </c>
      <c r="M393" s="317">
        <f t="shared" si="543"/>
        <v>377</v>
      </c>
      <c r="N393" s="185">
        <f t="shared" si="544"/>
        <v>0</v>
      </c>
      <c r="O393" s="185">
        <f t="shared" si="619"/>
        <v>0</v>
      </c>
      <c r="P393" s="185">
        <f t="shared" si="552"/>
        <v>0</v>
      </c>
      <c r="Q393" s="185">
        <f t="shared" si="620"/>
        <v>0</v>
      </c>
      <c r="R393" s="185">
        <f t="shared" si="611"/>
        <v>134.16999999999999</v>
      </c>
      <c r="S393" s="185">
        <f t="shared" si="612"/>
        <v>188.55</v>
      </c>
      <c r="T393" s="185">
        <f t="shared" si="608"/>
        <v>322.72000000000003</v>
      </c>
      <c r="U393" s="185">
        <f t="shared" si="553"/>
        <v>590639.83000000007</v>
      </c>
      <c r="V393" s="185">
        <f t="shared" si="554"/>
        <v>1782210.1699999985</v>
      </c>
      <c r="W393" s="185">
        <f t="shared" si="609"/>
        <v>0</v>
      </c>
      <c r="X393" s="401" t="str">
        <f t="shared" si="545"/>
        <v xml:space="preserve"> </v>
      </c>
      <c r="Y393" s="185">
        <f t="shared" si="621"/>
        <v>22244153.760000005</v>
      </c>
      <c r="Z393" s="393">
        <f t="shared" si="537"/>
        <v>0.13125000000000001</v>
      </c>
      <c r="AA393" s="185">
        <f t="shared" si="538"/>
        <v>2810.15</v>
      </c>
      <c r="AB393" s="185">
        <f t="shared" si="622"/>
        <v>-240485.28</v>
      </c>
      <c r="AC393" s="185">
        <f t="shared" si="539"/>
        <v>243295.43</v>
      </c>
      <c r="AD393" s="185">
        <f t="shared" ref="AD393:AE393" si="638">+AD392</f>
        <v>134.16999999999999</v>
      </c>
      <c r="AE393" s="185">
        <f t="shared" si="638"/>
        <v>188.55</v>
      </c>
      <c r="AF393" s="185">
        <f t="shared" si="624"/>
        <v>3132.8699999999944</v>
      </c>
      <c r="AG393" s="185">
        <f t="shared" si="625"/>
        <v>-21498539.039999999</v>
      </c>
      <c r="AH393" s="185">
        <f t="shared" si="626"/>
        <v>22938918.539999992</v>
      </c>
      <c r="AI393" s="411">
        <f t="shared" si="614"/>
        <v>932470.49999999558</v>
      </c>
      <c r="AJ393" s="411">
        <f t="shared" si="566"/>
        <v>-22484639.040000007</v>
      </c>
      <c r="AK393" s="411">
        <f t="shared" si="615"/>
        <v>-21552168.54000001</v>
      </c>
      <c r="AL393" s="185">
        <f t="shared" si="627"/>
        <v>22484639.040000007</v>
      </c>
      <c r="AM393" s="317">
        <f t="shared" si="547"/>
        <v>31</v>
      </c>
      <c r="AN393" s="14">
        <f t="shared" si="616"/>
        <v>0</v>
      </c>
      <c r="AO393" s="14">
        <f t="shared" si="585"/>
        <v>0</v>
      </c>
      <c r="AP393" s="14">
        <f t="shared" si="617"/>
        <v>0</v>
      </c>
      <c r="AS393" s="14">
        <f t="shared" si="541"/>
        <v>0</v>
      </c>
      <c r="AT393" s="14">
        <f t="shared" si="548"/>
        <v>0</v>
      </c>
      <c r="AU393" s="185">
        <f t="shared" si="549"/>
        <v>0</v>
      </c>
      <c r="AV393" s="185">
        <f t="shared" si="550"/>
        <v>0</v>
      </c>
    </row>
    <row r="394" spans="1:48">
      <c r="A394" s="401" t="str">
        <f t="shared" si="603"/>
        <v xml:space="preserve"> </v>
      </c>
      <c r="B394" s="185">
        <f t="shared" si="597"/>
        <v>0</v>
      </c>
      <c r="C394" s="14">
        <f t="shared" si="535"/>
        <v>0</v>
      </c>
      <c r="D394" s="14">
        <f t="shared" si="551"/>
        <v>0</v>
      </c>
      <c r="E394" s="14">
        <f t="shared" si="536"/>
        <v>0</v>
      </c>
      <c r="F394" s="14">
        <f t="shared" si="604"/>
        <v>0</v>
      </c>
      <c r="G394" s="14">
        <f t="shared" si="600"/>
        <v>0</v>
      </c>
      <c r="H394" s="14">
        <f t="shared" si="601"/>
        <v>0</v>
      </c>
      <c r="I394" s="185">
        <f t="shared" si="605"/>
        <v>0</v>
      </c>
      <c r="J394" s="185">
        <f t="shared" si="606"/>
        <v>0</v>
      </c>
      <c r="K394" s="185">
        <f t="shared" si="607"/>
        <v>0</v>
      </c>
      <c r="L394" s="317">
        <f t="shared" si="587"/>
        <v>31</v>
      </c>
      <c r="M394" s="317">
        <f t="shared" si="543"/>
        <v>378</v>
      </c>
      <c r="N394" s="185">
        <f t="shared" si="544"/>
        <v>0</v>
      </c>
      <c r="O394" s="185">
        <f t="shared" si="619"/>
        <v>0</v>
      </c>
      <c r="P394" s="185">
        <f t="shared" si="552"/>
        <v>0</v>
      </c>
      <c r="Q394" s="185">
        <f t="shared" si="620"/>
        <v>0</v>
      </c>
      <c r="R394" s="185">
        <f t="shared" si="611"/>
        <v>134.16999999999999</v>
      </c>
      <c r="S394" s="185">
        <f t="shared" si="612"/>
        <v>188.55</v>
      </c>
      <c r="T394" s="185">
        <f t="shared" si="608"/>
        <v>322.72000000000003</v>
      </c>
      <c r="U394" s="185">
        <f t="shared" si="553"/>
        <v>590639.83000000007</v>
      </c>
      <c r="V394" s="185">
        <f t="shared" si="554"/>
        <v>1782210.1699999985</v>
      </c>
      <c r="W394" s="185">
        <f t="shared" si="609"/>
        <v>0</v>
      </c>
      <c r="X394" s="401" t="str">
        <f t="shared" si="545"/>
        <v xml:space="preserve"> </v>
      </c>
      <c r="Y394" s="185">
        <f t="shared" si="621"/>
        <v>22484639.040000007</v>
      </c>
      <c r="Z394" s="393">
        <f t="shared" si="537"/>
        <v>0.13125000000000001</v>
      </c>
      <c r="AA394" s="185">
        <f t="shared" si="538"/>
        <v>2810.15</v>
      </c>
      <c r="AB394" s="185">
        <f t="shared" si="622"/>
        <v>-243115.59</v>
      </c>
      <c r="AC394" s="185">
        <f t="shared" si="539"/>
        <v>245925.74</v>
      </c>
      <c r="AD394" s="185">
        <f t="shared" ref="AD394:AE394" si="639">+AD393</f>
        <v>134.16999999999999</v>
      </c>
      <c r="AE394" s="185">
        <f t="shared" si="639"/>
        <v>188.55</v>
      </c>
      <c r="AF394" s="185">
        <f t="shared" si="624"/>
        <v>3132.8699999999944</v>
      </c>
      <c r="AG394" s="185">
        <f t="shared" si="625"/>
        <v>-21741654.629999999</v>
      </c>
      <c r="AH394" s="185">
        <f t="shared" si="626"/>
        <v>23184844.27999999</v>
      </c>
      <c r="AI394" s="411">
        <f t="shared" si="614"/>
        <v>929660.34999999555</v>
      </c>
      <c r="AJ394" s="411">
        <f t="shared" si="566"/>
        <v>-22727754.630000006</v>
      </c>
      <c r="AK394" s="411">
        <f t="shared" si="615"/>
        <v>-21798094.280000012</v>
      </c>
      <c r="AL394" s="185">
        <f t="shared" si="627"/>
        <v>22727754.630000006</v>
      </c>
      <c r="AM394" s="317">
        <f t="shared" si="547"/>
        <v>31</v>
      </c>
      <c r="AN394" s="14">
        <f t="shared" si="616"/>
        <v>0</v>
      </c>
      <c r="AO394" s="14">
        <f t="shared" si="585"/>
        <v>0</v>
      </c>
      <c r="AP394" s="14">
        <f t="shared" si="617"/>
        <v>0</v>
      </c>
      <c r="AS394" s="14">
        <f t="shared" si="541"/>
        <v>0</v>
      </c>
      <c r="AT394" s="14">
        <f t="shared" si="548"/>
        <v>0</v>
      </c>
      <c r="AU394" s="185">
        <f t="shared" si="549"/>
        <v>0</v>
      </c>
      <c r="AV394" s="185">
        <f t="shared" si="550"/>
        <v>0</v>
      </c>
    </row>
    <row r="395" spans="1:48">
      <c r="A395" s="401" t="str">
        <f t="shared" si="603"/>
        <v xml:space="preserve"> </v>
      </c>
      <c r="B395" s="185">
        <f t="shared" si="597"/>
        <v>0</v>
      </c>
      <c r="C395" s="14">
        <f t="shared" si="535"/>
        <v>0</v>
      </c>
      <c r="D395" s="14">
        <f t="shared" si="551"/>
        <v>0</v>
      </c>
      <c r="E395" s="14">
        <f t="shared" si="536"/>
        <v>0</v>
      </c>
      <c r="F395" s="14">
        <f t="shared" si="604"/>
        <v>0</v>
      </c>
      <c r="G395" s="14">
        <f t="shared" si="600"/>
        <v>0</v>
      </c>
      <c r="H395" s="14">
        <f t="shared" si="601"/>
        <v>0</v>
      </c>
      <c r="I395" s="185">
        <f t="shared" si="605"/>
        <v>0</v>
      </c>
      <c r="J395" s="185">
        <f t="shared" si="606"/>
        <v>0</v>
      </c>
      <c r="K395" s="185">
        <f t="shared" si="607"/>
        <v>0</v>
      </c>
      <c r="L395" s="317">
        <f t="shared" si="587"/>
        <v>31</v>
      </c>
      <c r="M395" s="317">
        <f t="shared" si="543"/>
        <v>379</v>
      </c>
      <c r="N395" s="185">
        <f t="shared" si="544"/>
        <v>0</v>
      </c>
      <c r="O395" s="185">
        <f t="shared" si="619"/>
        <v>0</v>
      </c>
      <c r="P395" s="185">
        <f t="shared" si="552"/>
        <v>0</v>
      </c>
      <c r="Q395" s="185">
        <f t="shared" si="620"/>
        <v>0</v>
      </c>
      <c r="R395" s="185">
        <f t="shared" si="611"/>
        <v>134.16999999999999</v>
      </c>
      <c r="S395" s="185">
        <f t="shared" si="612"/>
        <v>188.55</v>
      </c>
      <c r="T395" s="185">
        <f t="shared" si="608"/>
        <v>322.72000000000003</v>
      </c>
      <c r="U395" s="185">
        <f t="shared" si="553"/>
        <v>590639.83000000007</v>
      </c>
      <c r="V395" s="185">
        <f t="shared" si="554"/>
        <v>1782210.1699999985</v>
      </c>
      <c r="W395" s="185">
        <f t="shared" si="609"/>
        <v>0</v>
      </c>
      <c r="X395" s="401" t="str">
        <f t="shared" si="545"/>
        <v xml:space="preserve"> </v>
      </c>
      <c r="Y395" s="185">
        <f t="shared" si="621"/>
        <v>22727754.630000006</v>
      </c>
      <c r="Z395" s="393">
        <f t="shared" si="537"/>
        <v>0.13125000000000001</v>
      </c>
      <c r="AA395" s="185">
        <f t="shared" si="538"/>
        <v>2810.15</v>
      </c>
      <c r="AB395" s="185">
        <f t="shared" si="622"/>
        <v>-245774.67</v>
      </c>
      <c r="AC395" s="185">
        <f t="shared" si="539"/>
        <v>248584.82</v>
      </c>
      <c r="AD395" s="185">
        <f t="shared" ref="AD395:AE395" si="640">+AD394</f>
        <v>134.16999999999999</v>
      </c>
      <c r="AE395" s="185">
        <f t="shared" si="640"/>
        <v>188.55</v>
      </c>
      <c r="AF395" s="185">
        <f t="shared" si="624"/>
        <v>3132.8699999999944</v>
      </c>
      <c r="AG395" s="185">
        <f t="shared" si="625"/>
        <v>-21987429.300000001</v>
      </c>
      <c r="AH395" s="185">
        <f t="shared" si="626"/>
        <v>23433429.09999999</v>
      </c>
      <c r="AI395" s="411">
        <f t="shared" si="614"/>
        <v>926850.19999999553</v>
      </c>
      <c r="AJ395" s="411">
        <f t="shared" si="566"/>
        <v>-22973529.300000008</v>
      </c>
      <c r="AK395" s="411">
        <f t="shared" si="615"/>
        <v>-22046679.100000013</v>
      </c>
      <c r="AL395" s="185">
        <f t="shared" si="627"/>
        <v>22973529.300000008</v>
      </c>
      <c r="AM395" s="317">
        <f t="shared" si="547"/>
        <v>31</v>
      </c>
      <c r="AN395" s="14">
        <f t="shared" si="616"/>
        <v>0</v>
      </c>
      <c r="AO395" s="14">
        <f t="shared" si="585"/>
        <v>0</v>
      </c>
      <c r="AP395" s="14">
        <f t="shared" si="617"/>
        <v>0</v>
      </c>
      <c r="AS395" s="14">
        <f t="shared" si="541"/>
        <v>0</v>
      </c>
      <c r="AT395" s="14">
        <f t="shared" si="548"/>
        <v>0</v>
      </c>
      <c r="AU395" s="185">
        <f t="shared" si="549"/>
        <v>0</v>
      </c>
      <c r="AV395" s="185">
        <f t="shared" si="550"/>
        <v>0</v>
      </c>
    </row>
    <row r="396" spans="1:48">
      <c r="A396" s="401" t="str">
        <f t="shared" si="603"/>
        <v xml:space="preserve"> </v>
      </c>
      <c r="B396" s="185">
        <f t="shared" si="597"/>
        <v>0</v>
      </c>
      <c r="C396" s="14">
        <f t="shared" si="535"/>
        <v>0</v>
      </c>
      <c r="D396" s="14">
        <f t="shared" si="551"/>
        <v>0</v>
      </c>
      <c r="E396" s="14">
        <f t="shared" si="536"/>
        <v>0</v>
      </c>
      <c r="F396" s="14">
        <f t="shared" si="604"/>
        <v>0</v>
      </c>
      <c r="G396" s="14">
        <f t="shared" si="600"/>
        <v>0</v>
      </c>
      <c r="H396" s="14">
        <f t="shared" si="601"/>
        <v>0</v>
      </c>
      <c r="I396" s="185">
        <f t="shared" si="605"/>
        <v>0</v>
      </c>
      <c r="J396" s="185">
        <f t="shared" si="606"/>
        <v>0</v>
      </c>
      <c r="K396" s="185">
        <f t="shared" si="607"/>
        <v>0</v>
      </c>
      <c r="L396" s="317">
        <f t="shared" si="587"/>
        <v>31</v>
      </c>
      <c r="M396" s="317">
        <f t="shared" si="543"/>
        <v>380</v>
      </c>
      <c r="N396" s="185">
        <f t="shared" si="544"/>
        <v>0</v>
      </c>
      <c r="O396" s="185">
        <f t="shared" si="619"/>
        <v>0</v>
      </c>
      <c r="P396" s="185">
        <f t="shared" si="552"/>
        <v>0</v>
      </c>
      <c r="Q396" s="185">
        <f t="shared" si="620"/>
        <v>0</v>
      </c>
      <c r="R396" s="185">
        <f t="shared" si="611"/>
        <v>134.16999999999999</v>
      </c>
      <c r="S396" s="185">
        <f t="shared" si="612"/>
        <v>188.55</v>
      </c>
      <c r="T396" s="185">
        <f t="shared" si="608"/>
        <v>322.72000000000003</v>
      </c>
      <c r="U396" s="185">
        <f t="shared" si="553"/>
        <v>590639.83000000007</v>
      </c>
      <c r="V396" s="185">
        <f t="shared" si="554"/>
        <v>1782210.1699999985</v>
      </c>
      <c r="W396" s="185">
        <f t="shared" si="609"/>
        <v>0</v>
      </c>
      <c r="X396" s="401" t="str">
        <f t="shared" si="545"/>
        <v xml:space="preserve"> </v>
      </c>
      <c r="Y396" s="185">
        <f t="shared" si="621"/>
        <v>22973529.300000008</v>
      </c>
      <c r="Z396" s="393">
        <f t="shared" si="537"/>
        <v>0.13125000000000001</v>
      </c>
      <c r="AA396" s="185">
        <f t="shared" si="538"/>
        <v>2810.15</v>
      </c>
      <c r="AB396" s="185">
        <f t="shared" si="622"/>
        <v>-248462.83000000002</v>
      </c>
      <c r="AC396" s="185">
        <f t="shared" si="539"/>
        <v>251272.98</v>
      </c>
      <c r="AD396" s="185">
        <f t="shared" ref="AD396:AE396" si="641">+AD395</f>
        <v>134.16999999999999</v>
      </c>
      <c r="AE396" s="185">
        <f t="shared" si="641"/>
        <v>188.55</v>
      </c>
      <c r="AF396" s="185">
        <f t="shared" si="624"/>
        <v>3132.8699999999944</v>
      </c>
      <c r="AG396" s="185">
        <f t="shared" si="625"/>
        <v>-22235892.129999999</v>
      </c>
      <c r="AH396" s="185">
        <f t="shared" si="626"/>
        <v>23684702.079999991</v>
      </c>
      <c r="AI396" s="411">
        <f t="shared" si="614"/>
        <v>924040.04999999551</v>
      </c>
      <c r="AJ396" s="411">
        <f t="shared" si="566"/>
        <v>-23221992.130000006</v>
      </c>
      <c r="AK396" s="411">
        <f t="shared" si="615"/>
        <v>-22297952.080000009</v>
      </c>
      <c r="AL396" s="185">
        <f t="shared" si="627"/>
        <v>23221992.130000006</v>
      </c>
      <c r="AM396" s="317">
        <f t="shared" si="547"/>
        <v>31</v>
      </c>
      <c r="AN396" s="14">
        <f t="shared" si="616"/>
        <v>0</v>
      </c>
      <c r="AO396" s="14">
        <f t="shared" si="585"/>
        <v>0</v>
      </c>
      <c r="AP396" s="14">
        <f t="shared" si="617"/>
        <v>0</v>
      </c>
      <c r="AS396" s="14">
        <f t="shared" si="541"/>
        <v>0</v>
      </c>
      <c r="AT396" s="14">
        <f t="shared" si="548"/>
        <v>0</v>
      </c>
      <c r="AU396" s="185">
        <f t="shared" si="549"/>
        <v>0</v>
      </c>
      <c r="AV396" s="185">
        <f t="shared" si="550"/>
        <v>0</v>
      </c>
    </row>
    <row r="397" spans="1:48">
      <c r="A397" s="401" t="str">
        <f t="shared" si="603"/>
        <v xml:space="preserve"> </v>
      </c>
      <c r="B397" s="185">
        <f t="shared" si="597"/>
        <v>0</v>
      </c>
      <c r="C397" s="14">
        <f t="shared" si="535"/>
        <v>0</v>
      </c>
      <c r="D397" s="14">
        <f t="shared" si="551"/>
        <v>0</v>
      </c>
      <c r="E397" s="14">
        <f t="shared" si="536"/>
        <v>0</v>
      </c>
      <c r="F397" s="14">
        <f t="shared" si="604"/>
        <v>0</v>
      </c>
      <c r="G397" s="14">
        <f t="shared" si="600"/>
        <v>0</v>
      </c>
      <c r="H397" s="14">
        <f t="shared" si="601"/>
        <v>0</v>
      </c>
      <c r="I397" s="185">
        <f t="shared" si="605"/>
        <v>0</v>
      </c>
      <c r="J397" s="185">
        <f t="shared" si="606"/>
        <v>0</v>
      </c>
      <c r="K397" s="185">
        <f t="shared" si="607"/>
        <v>0</v>
      </c>
      <c r="L397" s="317">
        <f t="shared" si="587"/>
        <v>31</v>
      </c>
      <c r="M397" s="317">
        <f t="shared" si="543"/>
        <v>381</v>
      </c>
      <c r="N397" s="185">
        <f t="shared" si="544"/>
        <v>0</v>
      </c>
      <c r="O397" s="185">
        <f t="shared" si="619"/>
        <v>0</v>
      </c>
      <c r="P397" s="185">
        <f t="shared" si="552"/>
        <v>0</v>
      </c>
      <c r="Q397" s="185">
        <f t="shared" si="620"/>
        <v>0</v>
      </c>
      <c r="R397" s="185">
        <f t="shared" si="611"/>
        <v>134.16999999999999</v>
      </c>
      <c r="S397" s="185">
        <f t="shared" si="612"/>
        <v>188.55</v>
      </c>
      <c r="T397" s="185">
        <f t="shared" si="608"/>
        <v>322.72000000000003</v>
      </c>
      <c r="U397" s="185">
        <f t="shared" si="553"/>
        <v>590639.83000000007</v>
      </c>
      <c r="V397" s="185">
        <f t="shared" si="554"/>
        <v>1782210.1699999985</v>
      </c>
      <c r="W397" s="185">
        <f t="shared" si="609"/>
        <v>0</v>
      </c>
      <c r="X397" s="401" t="str">
        <f t="shared" si="545"/>
        <v xml:space="preserve"> </v>
      </c>
      <c r="Y397" s="185">
        <f t="shared" si="621"/>
        <v>23221992.130000006</v>
      </c>
      <c r="Z397" s="393">
        <f t="shared" si="537"/>
        <v>0.13125000000000001</v>
      </c>
      <c r="AA397" s="185">
        <f t="shared" si="538"/>
        <v>2810.15</v>
      </c>
      <c r="AB397" s="185">
        <f t="shared" si="622"/>
        <v>-251180.39</v>
      </c>
      <c r="AC397" s="185">
        <f t="shared" si="539"/>
        <v>253990.54</v>
      </c>
      <c r="AD397" s="185">
        <f t="shared" ref="AD397:AE397" si="642">+AD396</f>
        <v>134.16999999999999</v>
      </c>
      <c r="AE397" s="185">
        <f t="shared" si="642"/>
        <v>188.55</v>
      </c>
      <c r="AF397" s="185">
        <f t="shared" si="624"/>
        <v>3132.8699999999944</v>
      </c>
      <c r="AG397" s="185">
        <f t="shared" si="625"/>
        <v>-22487072.52</v>
      </c>
      <c r="AH397" s="185">
        <f t="shared" si="626"/>
        <v>23938692.61999999</v>
      </c>
      <c r="AI397" s="411">
        <f t="shared" si="614"/>
        <v>921229.89999999548</v>
      </c>
      <c r="AJ397" s="411">
        <f t="shared" si="566"/>
        <v>-23473172.520000007</v>
      </c>
      <c r="AK397" s="411">
        <f t="shared" si="615"/>
        <v>-22551942.620000012</v>
      </c>
      <c r="AL397" s="185">
        <f t="shared" si="627"/>
        <v>23473172.520000007</v>
      </c>
      <c r="AM397" s="317">
        <f t="shared" si="547"/>
        <v>31</v>
      </c>
      <c r="AN397" s="14">
        <f t="shared" si="616"/>
        <v>0</v>
      </c>
      <c r="AO397" s="14">
        <f t="shared" si="585"/>
        <v>0</v>
      </c>
      <c r="AP397" s="14">
        <f t="shared" si="617"/>
        <v>0</v>
      </c>
      <c r="AS397" s="14">
        <f t="shared" si="541"/>
        <v>0</v>
      </c>
      <c r="AT397" s="14">
        <f t="shared" si="548"/>
        <v>0</v>
      </c>
      <c r="AU397" s="185">
        <f t="shared" si="549"/>
        <v>0</v>
      </c>
      <c r="AV397" s="185">
        <f t="shared" si="550"/>
        <v>0</v>
      </c>
    </row>
    <row r="398" spans="1:48" ht="15.75" thickBot="1">
      <c r="A398" s="404" t="str">
        <f t="shared" si="603"/>
        <v xml:space="preserve"> </v>
      </c>
      <c r="B398" s="237">
        <f t="shared" si="597"/>
        <v>0</v>
      </c>
      <c r="C398" s="21">
        <f t="shared" si="535"/>
        <v>0</v>
      </c>
      <c r="D398" s="21">
        <f t="shared" si="551"/>
        <v>0</v>
      </c>
      <c r="E398" s="21">
        <f t="shared" si="536"/>
        <v>0</v>
      </c>
      <c r="F398" s="21">
        <f t="shared" si="604"/>
        <v>0</v>
      </c>
      <c r="G398" s="21">
        <f t="shared" si="600"/>
        <v>0</v>
      </c>
      <c r="H398" s="21">
        <f t="shared" si="601"/>
        <v>0</v>
      </c>
      <c r="I398" s="237">
        <f t="shared" si="605"/>
        <v>0</v>
      </c>
      <c r="J398" s="237">
        <f t="shared" si="606"/>
        <v>0</v>
      </c>
      <c r="K398" s="237">
        <f t="shared" si="607"/>
        <v>0</v>
      </c>
      <c r="L398" s="318">
        <f t="shared" si="587"/>
        <v>31</v>
      </c>
      <c r="M398" s="318">
        <f t="shared" si="543"/>
        <v>382</v>
      </c>
      <c r="N398" s="237">
        <f t="shared" si="544"/>
        <v>0</v>
      </c>
      <c r="O398" s="237">
        <f t="shared" si="619"/>
        <v>0</v>
      </c>
      <c r="P398" s="237">
        <f t="shared" si="552"/>
        <v>0</v>
      </c>
      <c r="Q398" s="237">
        <f t="shared" si="620"/>
        <v>0</v>
      </c>
      <c r="R398" s="237">
        <f t="shared" si="611"/>
        <v>134.16999999999999</v>
      </c>
      <c r="S398" s="237">
        <f t="shared" si="612"/>
        <v>188.55</v>
      </c>
      <c r="T398" s="237">
        <f t="shared" si="608"/>
        <v>322.72000000000003</v>
      </c>
      <c r="U398" s="237">
        <f t="shared" si="553"/>
        <v>590639.83000000007</v>
      </c>
      <c r="V398" s="237">
        <f t="shared" si="554"/>
        <v>1782210.1699999985</v>
      </c>
      <c r="W398" s="237">
        <f t="shared" si="609"/>
        <v>0</v>
      </c>
      <c r="X398" s="404" t="str">
        <f t="shared" si="545"/>
        <v xml:space="preserve"> </v>
      </c>
      <c r="Y398" s="237">
        <f t="shared" si="621"/>
        <v>23473172.520000007</v>
      </c>
      <c r="Z398" s="394">
        <f t="shared" si="537"/>
        <v>0.13125000000000001</v>
      </c>
      <c r="AA398" s="237">
        <f t="shared" si="538"/>
        <v>2810.15</v>
      </c>
      <c r="AB398" s="237">
        <f t="shared" si="622"/>
        <v>-253927.67</v>
      </c>
      <c r="AC398" s="237">
        <f t="shared" si="539"/>
        <v>256737.82</v>
      </c>
      <c r="AD398" s="237">
        <f t="shared" ref="AD398:AE398" si="643">+AD397</f>
        <v>134.16999999999999</v>
      </c>
      <c r="AE398" s="237">
        <f t="shared" si="643"/>
        <v>188.55</v>
      </c>
      <c r="AF398" s="237">
        <f t="shared" si="624"/>
        <v>3132.8699999999944</v>
      </c>
      <c r="AG398" s="237">
        <f t="shared" si="625"/>
        <v>-22741000.190000001</v>
      </c>
      <c r="AH398" s="237">
        <f t="shared" si="626"/>
        <v>24195430.43999999</v>
      </c>
      <c r="AI398" s="412">
        <f t="shared" si="614"/>
        <v>918419.74999999546</v>
      </c>
      <c r="AJ398" s="412">
        <f t="shared" si="566"/>
        <v>-23727100.190000009</v>
      </c>
      <c r="AK398" s="411">
        <f t="shared" si="615"/>
        <v>-22808680.440000013</v>
      </c>
      <c r="AL398" s="237">
        <f t="shared" si="627"/>
        <v>23727100.190000009</v>
      </c>
      <c r="AM398" s="318">
        <f t="shared" si="547"/>
        <v>31</v>
      </c>
      <c r="AN398" s="21">
        <f t="shared" si="616"/>
        <v>0</v>
      </c>
      <c r="AO398" s="21">
        <f t="shared" si="585"/>
        <v>0</v>
      </c>
      <c r="AP398" s="21">
        <f t="shared" si="617"/>
        <v>0</v>
      </c>
      <c r="AQ398" s="21"/>
      <c r="AR398" s="23"/>
      <c r="AS398" s="21">
        <f t="shared" si="541"/>
        <v>0</v>
      </c>
      <c r="AT398" s="21">
        <f t="shared" si="548"/>
        <v>0</v>
      </c>
      <c r="AU398" s="237">
        <f t="shared" si="549"/>
        <v>0</v>
      </c>
      <c r="AV398" s="237">
        <f t="shared" si="550"/>
        <v>0</v>
      </c>
    </row>
    <row r="399" spans="1:48">
      <c r="A399" s="401" t="str">
        <f t="shared" si="603"/>
        <v xml:space="preserve"> </v>
      </c>
      <c r="B399" s="185">
        <f t="shared" si="597"/>
        <v>0</v>
      </c>
      <c r="C399" s="14">
        <f t="shared" ref="C399:C462" si="644">IF(+$K398&lt;=0,0,$C$5)</f>
        <v>0</v>
      </c>
      <c r="D399" s="14">
        <f t="shared" si="551"/>
        <v>0</v>
      </c>
      <c r="E399" s="14">
        <f t="shared" ref="E399:E462" si="645">ROUND($B399*($C$3/12), 2)</f>
        <v>0</v>
      </c>
      <c r="F399" s="14">
        <f t="shared" si="604"/>
        <v>0</v>
      </c>
      <c r="G399" s="14">
        <f t="shared" si="600"/>
        <v>0</v>
      </c>
      <c r="H399" s="14">
        <f t="shared" si="601"/>
        <v>0</v>
      </c>
      <c r="I399" s="185">
        <f t="shared" si="605"/>
        <v>0</v>
      </c>
      <c r="J399" s="185">
        <f t="shared" si="606"/>
        <v>0</v>
      </c>
      <c r="K399" s="185">
        <f t="shared" si="607"/>
        <v>0</v>
      </c>
      <c r="L399" s="317">
        <f t="shared" si="587"/>
        <v>31</v>
      </c>
      <c r="M399" s="317">
        <f t="shared" si="543"/>
        <v>383</v>
      </c>
      <c r="N399" s="185">
        <f t="shared" si="544"/>
        <v>0</v>
      </c>
      <c r="O399" s="185">
        <f t="shared" si="619"/>
        <v>0</v>
      </c>
      <c r="P399" s="185">
        <f t="shared" si="552"/>
        <v>0</v>
      </c>
      <c r="Q399" s="185">
        <f t="shared" si="620"/>
        <v>0</v>
      </c>
      <c r="R399" s="185">
        <f t="shared" si="611"/>
        <v>134.16999999999999</v>
      </c>
      <c r="S399" s="185">
        <f t="shared" si="612"/>
        <v>188.55</v>
      </c>
      <c r="T399" s="185">
        <f t="shared" si="608"/>
        <v>322.72000000000003</v>
      </c>
      <c r="U399" s="185">
        <f t="shared" si="553"/>
        <v>590639.83000000007</v>
      </c>
      <c r="V399" s="185">
        <f t="shared" si="554"/>
        <v>1782210.1699999985</v>
      </c>
      <c r="W399" s="185">
        <f t="shared" si="609"/>
        <v>0</v>
      </c>
      <c r="X399" s="401" t="str">
        <f t="shared" si="545"/>
        <v xml:space="preserve"> </v>
      </c>
      <c r="Y399" s="185">
        <f t="shared" si="621"/>
        <v>23727100.190000009</v>
      </c>
      <c r="Z399" s="393">
        <f t="shared" ref="Z399:Z462" si="646">IF(L399&gt;4,$AA$9,$AA$8)</f>
        <v>0.13125000000000001</v>
      </c>
      <c r="AA399" s="185">
        <f t="shared" ref="AA399:AA462" si="647">IF($O$9&lt;=$A399,IF(+AL398&lt;=0,0,IF(Z399=$AA$8,$Z$8,$Z$9)),0)</f>
        <v>2810.15</v>
      </c>
      <c r="AB399" s="185">
        <f t="shared" si="622"/>
        <v>-256705.01</v>
      </c>
      <c r="AC399" s="185">
        <f t="shared" ref="AC399:AC462" si="648">IF($O$9&lt;=$A399,ROUND(Y399*(Z399/12),2),0)</f>
        <v>259515.16</v>
      </c>
      <c r="AD399" s="185">
        <f t="shared" ref="AD399:AE399" si="649">+AD398</f>
        <v>134.16999999999999</v>
      </c>
      <c r="AE399" s="185">
        <f t="shared" si="649"/>
        <v>188.55</v>
      </c>
      <c r="AF399" s="185">
        <f t="shared" si="624"/>
        <v>3132.8699999999944</v>
      </c>
      <c r="AG399" s="185">
        <f t="shared" si="625"/>
        <v>-22997705.200000003</v>
      </c>
      <c r="AH399" s="185">
        <f t="shared" si="626"/>
        <v>24454945.59999999</v>
      </c>
      <c r="AI399" s="411">
        <f t="shared" si="614"/>
        <v>915609.59999999544</v>
      </c>
      <c r="AJ399" s="411">
        <f t="shared" si="566"/>
        <v>-23983805.20000001</v>
      </c>
      <c r="AK399" s="411">
        <f t="shared" si="615"/>
        <v>-23068195.600000016</v>
      </c>
      <c r="AL399" s="185">
        <f t="shared" si="627"/>
        <v>23983805.20000001</v>
      </c>
      <c r="AM399" s="317">
        <f t="shared" si="547"/>
        <v>31</v>
      </c>
      <c r="AN399" s="14">
        <f t="shared" si="616"/>
        <v>0</v>
      </c>
      <c r="AO399" s="14">
        <f t="shared" si="585"/>
        <v>0</v>
      </c>
      <c r="AP399" s="14">
        <f t="shared" si="617"/>
        <v>0</v>
      </c>
      <c r="AS399" s="14">
        <f t="shared" ref="AS399:AS462" si="650">+AN399-AR399</f>
        <v>0</v>
      </c>
      <c r="AT399" s="14">
        <f t="shared" si="548"/>
        <v>0</v>
      </c>
      <c r="AU399" s="185">
        <f t="shared" si="549"/>
        <v>0</v>
      </c>
      <c r="AV399" s="185">
        <f t="shared" si="550"/>
        <v>0</v>
      </c>
    </row>
    <row r="400" spans="1:48">
      <c r="A400" s="401" t="str">
        <f t="shared" si="603"/>
        <v xml:space="preserve"> </v>
      </c>
      <c r="B400" s="185">
        <f t="shared" si="597"/>
        <v>0</v>
      </c>
      <c r="C400" s="14">
        <f t="shared" si="644"/>
        <v>0</v>
      </c>
      <c r="D400" s="14">
        <f t="shared" si="551"/>
        <v>0</v>
      </c>
      <c r="E400" s="14">
        <f t="shared" si="645"/>
        <v>0</v>
      </c>
      <c r="F400" s="14">
        <f t="shared" si="604"/>
        <v>0</v>
      </c>
      <c r="G400" s="14">
        <f t="shared" si="600"/>
        <v>0</v>
      </c>
      <c r="H400" s="14">
        <f t="shared" si="601"/>
        <v>0</v>
      </c>
      <c r="I400" s="185">
        <f t="shared" si="605"/>
        <v>0</v>
      </c>
      <c r="J400" s="185">
        <f t="shared" si="606"/>
        <v>0</v>
      </c>
      <c r="K400" s="185">
        <f t="shared" si="607"/>
        <v>0</v>
      </c>
      <c r="L400" s="317">
        <f t="shared" si="587"/>
        <v>32</v>
      </c>
      <c r="M400" s="317">
        <f t="shared" ref="M400:M463" si="651">IF(N400&lt;&gt;"",IF(N400=$O$5,0,+M399+1),0)</f>
        <v>384</v>
      </c>
      <c r="N400" s="185">
        <f t="shared" ref="N400:N417" si="652">IF(+W399&lt;0,0,+W399)</f>
        <v>0</v>
      </c>
      <c r="O400" s="185">
        <f t="shared" si="619"/>
        <v>0</v>
      </c>
      <c r="P400" s="185">
        <f t="shared" si="552"/>
        <v>0</v>
      </c>
      <c r="Q400" s="185">
        <f t="shared" si="620"/>
        <v>0</v>
      </c>
      <c r="R400" s="185">
        <f t="shared" si="611"/>
        <v>134.16999999999999</v>
      </c>
      <c r="S400" s="185">
        <f t="shared" si="612"/>
        <v>188.55</v>
      </c>
      <c r="T400" s="185">
        <f t="shared" si="608"/>
        <v>322.72000000000003</v>
      </c>
      <c r="U400" s="185">
        <f t="shared" si="553"/>
        <v>590639.83000000007</v>
      </c>
      <c r="V400" s="185">
        <f t="shared" si="554"/>
        <v>1782210.1699999985</v>
      </c>
      <c r="W400" s="185">
        <f t="shared" si="609"/>
        <v>0</v>
      </c>
      <c r="X400" s="401" t="str">
        <f t="shared" ref="X400:X463" si="653">+A400</f>
        <v xml:space="preserve"> </v>
      </c>
      <c r="Y400" s="185">
        <f t="shared" si="621"/>
        <v>23983805.20000001</v>
      </c>
      <c r="Z400" s="393">
        <f t="shared" si="646"/>
        <v>0.13125000000000001</v>
      </c>
      <c r="AA400" s="185">
        <f t="shared" si="647"/>
        <v>2810.15</v>
      </c>
      <c r="AB400" s="185">
        <f t="shared" si="622"/>
        <v>-259512.72</v>
      </c>
      <c r="AC400" s="185">
        <f t="shared" si="648"/>
        <v>262322.87</v>
      </c>
      <c r="AD400" s="185">
        <f t="shared" ref="AD400:AE400" si="654">+AD399</f>
        <v>134.16999999999999</v>
      </c>
      <c r="AE400" s="185">
        <f t="shared" si="654"/>
        <v>188.55</v>
      </c>
      <c r="AF400" s="185">
        <f t="shared" si="624"/>
        <v>3132.8699999999944</v>
      </c>
      <c r="AG400" s="185">
        <f t="shared" si="625"/>
        <v>-23257217.920000002</v>
      </c>
      <c r="AH400" s="185">
        <f t="shared" si="626"/>
        <v>24717268.469999991</v>
      </c>
      <c r="AI400" s="411">
        <f t="shared" si="614"/>
        <v>912799.44999999541</v>
      </c>
      <c r="AJ400" s="411">
        <f t="shared" si="566"/>
        <v>-24243317.920000009</v>
      </c>
      <c r="AK400" s="411">
        <f t="shared" si="615"/>
        <v>-23330518.470000014</v>
      </c>
      <c r="AL400" s="185">
        <f t="shared" si="627"/>
        <v>24243317.920000009</v>
      </c>
      <c r="AM400" s="317">
        <f t="shared" ref="AM400:AM463" si="655">+L400</f>
        <v>32</v>
      </c>
      <c r="AN400" s="14">
        <f t="shared" si="616"/>
        <v>0</v>
      </c>
      <c r="AO400" s="14">
        <f t="shared" si="585"/>
        <v>0</v>
      </c>
      <c r="AP400" s="14">
        <f t="shared" si="617"/>
        <v>0</v>
      </c>
      <c r="AS400" s="14">
        <f t="shared" si="650"/>
        <v>0</v>
      </c>
      <c r="AT400" s="14">
        <f t="shared" ref="AT400:AT463" si="656">IF(W400&lt;=0,0,+AS400+AT399)</f>
        <v>0</v>
      </c>
      <c r="AU400" s="185">
        <f t="shared" ref="AU400:AU463" si="657">IF(W400&lt;=0,0,+($O$5+AV399)*$AQ$2/12)</f>
        <v>0</v>
      </c>
      <c r="AV400" s="185">
        <f t="shared" ref="AV400:AV463" si="658">IF(W400&lt;=0,0,+AV399+AU400)</f>
        <v>0</v>
      </c>
    </row>
    <row r="401" spans="1:48">
      <c r="A401" s="401" t="str">
        <f t="shared" si="603"/>
        <v xml:space="preserve"> </v>
      </c>
      <c r="B401" s="185">
        <f t="shared" si="597"/>
        <v>0</v>
      </c>
      <c r="C401" s="14">
        <f t="shared" si="644"/>
        <v>0</v>
      </c>
      <c r="D401" s="14">
        <f t="shared" ref="D401:D464" si="659">+C401-E401</f>
        <v>0</v>
      </c>
      <c r="E401" s="14">
        <f t="shared" si="645"/>
        <v>0</v>
      </c>
      <c r="F401" s="14">
        <f t="shared" si="604"/>
        <v>0</v>
      </c>
      <c r="G401" s="14">
        <f t="shared" si="600"/>
        <v>0</v>
      </c>
      <c r="H401" s="14">
        <f t="shared" si="601"/>
        <v>0</v>
      </c>
      <c r="I401" s="185">
        <f t="shared" si="605"/>
        <v>0</v>
      </c>
      <c r="J401" s="185">
        <f t="shared" si="606"/>
        <v>0</v>
      </c>
      <c r="K401" s="185">
        <f t="shared" si="607"/>
        <v>0</v>
      </c>
      <c r="L401" s="317">
        <f t="shared" si="587"/>
        <v>32</v>
      </c>
      <c r="M401" s="317">
        <f t="shared" si="651"/>
        <v>385</v>
      </c>
      <c r="N401" s="185">
        <f t="shared" si="652"/>
        <v>0</v>
      </c>
      <c r="O401" s="185">
        <f t="shared" si="619"/>
        <v>0</v>
      </c>
      <c r="P401" s="185">
        <f t="shared" ref="P401:P464" si="660">+O401-Q401</f>
        <v>0</v>
      </c>
      <c r="Q401" s="185">
        <f t="shared" si="620"/>
        <v>0</v>
      </c>
      <c r="R401" s="185">
        <f t="shared" si="611"/>
        <v>134.16999999999999</v>
      </c>
      <c r="S401" s="185">
        <f t="shared" si="612"/>
        <v>188.55</v>
      </c>
      <c r="T401" s="185">
        <f t="shared" si="608"/>
        <v>322.72000000000003</v>
      </c>
      <c r="U401" s="185">
        <f t="shared" ref="U401:U464" si="661">+P401+U400</f>
        <v>590639.83000000007</v>
      </c>
      <c r="V401" s="185">
        <f t="shared" ref="V401:V464" si="662">+V400+Q401</f>
        <v>1782210.1699999985</v>
      </c>
      <c r="W401" s="185">
        <f t="shared" si="609"/>
        <v>0</v>
      </c>
      <c r="X401" s="401" t="str">
        <f t="shared" si="653"/>
        <v xml:space="preserve"> </v>
      </c>
      <c r="Y401" s="185">
        <f t="shared" si="621"/>
        <v>24243317.920000009</v>
      </c>
      <c r="Z401" s="393">
        <f t="shared" si="646"/>
        <v>0.13125000000000001</v>
      </c>
      <c r="AA401" s="185">
        <f t="shared" si="647"/>
        <v>2810.15</v>
      </c>
      <c r="AB401" s="185">
        <f t="shared" si="622"/>
        <v>-262351.13999999996</v>
      </c>
      <c r="AC401" s="185">
        <f t="shared" si="648"/>
        <v>265161.28999999998</v>
      </c>
      <c r="AD401" s="185">
        <f t="shared" ref="AD401:AE401" si="663">+AD400</f>
        <v>134.16999999999999</v>
      </c>
      <c r="AE401" s="185">
        <f t="shared" si="663"/>
        <v>188.55</v>
      </c>
      <c r="AF401" s="185">
        <f t="shared" si="624"/>
        <v>3132.8700000000235</v>
      </c>
      <c r="AG401" s="185">
        <f t="shared" si="625"/>
        <v>-23519569.060000002</v>
      </c>
      <c r="AH401" s="185">
        <f t="shared" si="626"/>
        <v>24982429.75999999</v>
      </c>
      <c r="AI401" s="411">
        <f t="shared" si="614"/>
        <v>909989.29999999539</v>
      </c>
      <c r="AJ401" s="411">
        <f t="shared" si="566"/>
        <v>-24505669.06000001</v>
      </c>
      <c r="AK401" s="411">
        <f t="shared" si="615"/>
        <v>-23595679.760000013</v>
      </c>
      <c r="AL401" s="185">
        <f t="shared" si="627"/>
        <v>24505669.06000001</v>
      </c>
      <c r="AM401" s="317">
        <f t="shared" si="655"/>
        <v>32</v>
      </c>
      <c r="AN401" s="14">
        <f t="shared" si="616"/>
        <v>0</v>
      </c>
      <c r="AO401" s="14">
        <f t="shared" si="585"/>
        <v>0</v>
      </c>
      <c r="AP401" s="14">
        <f t="shared" si="617"/>
        <v>0</v>
      </c>
      <c r="AS401" s="14">
        <f t="shared" si="650"/>
        <v>0</v>
      </c>
      <c r="AT401" s="14">
        <f t="shared" si="656"/>
        <v>0</v>
      </c>
      <c r="AU401" s="185">
        <f t="shared" si="657"/>
        <v>0</v>
      </c>
      <c r="AV401" s="185">
        <f t="shared" si="658"/>
        <v>0</v>
      </c>
    </row>
    <row r="402" spans="1:48">
      <c r="A402" s="401" t="str">
        <f t="shared" si="603"/>
        <v xml:space="preserve"> </v>
      </c>
      <c r="B402" s="185">
        <f t="shared" si="597"/>
        <v>0</v>
      </c>
      <c r="C402" s="14">
        <f t="shared" si="644"/>
        <v>0</v>
      </c>
      <c r="D402" s="14">
        <f t="shared" si="659"/>
        <v>0</v>
      </c>
      <c r="E402" s="14">
        <f t="shared" si="645"/>
        <v>0</v>
      </c>
      <c r="F402" s="14">
        <f t="shared" si="604"/>
        <v>0</v>
      </c>
      <c r="G402" s="14">
        <f t="shared" si="600"/>
        <v>0</v>
      </c>
      <c r="H402" s="14">
        <f t="shared" si="601"/>
        <v>0</v>
      </c>
      <c r="I402" s="185">
        <f t="shared" si="605"/>
        <v>0</v>
      </c>
      <c r="J402" s="185">
        <f t="shared" si="606"/>
        <v>0</v>
      </c>
      <c r="K402" s="185">
        <f t="shared" si="607"/>
        <v>0</v>
      </c>
      <c r="L402" s="317">
        <f t="shared" si="587"/>
        <v>32</v>
      </c>
      <c r="M402" s="317">
        <f t="shared" si="651"/>
        <v>386</v>
      </c>
      <c r="N402" s="185">
        <f t="shared" si="652"/>
        <v>0</v>
      </c>
      <c r="O402" s="185">
        <f t="shared" si="619"/>
        <v>0</v>
      </c>
      <c r="P402" s="185">
        <f t="shared" si="660"/>
        <v>0</v>
      </c>
      <c r="Q402" s="185">
        <f t="shared" si="620"/>
        <v>0</v>
      </c>
      <c r="R402" s="185">
        <f t="shared" si="611"/>
        <v>134.16999999999999</v>
      </c>
      <c r="S402" s="185">
        <f t="shared" si="612"/>
        <v>188.55</v>
      </c>
      <c r="T402" s="185">
        <f t="shared" si="608"/>
        <v>322.72000000000003</v>
      </c>
      <c r="U402" s="185">
        <f t="shared" si="661"/>
        <v>590639.83000000007</v>
      </c>
      <c r="V402" s="185">
        <f t="shared" si="662"/>
        <v>1782210.1699999985</v>
      </c>
      <c r="W402" s="185">
        <f t="shared" si="609"/>
        <v>0</v>
      </c>
      <c r="X402" s="401" t="str">
        <f t="shared" si="653"/>
        <v xml:space="preserve"> </v>
      </c>
      <c r="Y402" s="185">
        <f t="shared" si="621"/>
        <v>24505669.06000001</v>
      </c>
      <c r="Z402" s="393">
        <f t="shared" si="646"/>
        <v>0.13125000000000001</v>
      </c>
      <c r="AA402" s="185">
        <f t="shared" si="647"/>
        <v>2810.15</v>
      </c>
      <c r="AB402" s="185">
        <f t="shared" si="622"/>
        <v>-265220.61</v>
      </c>
      <c r="AC402" s="185">
        <f t="shared" si="648"/>
        <v>268030.76</v>
      </c>
      <c r="AD402" s="185">
        <f t="shared" ref="AD402:AE402" si="664">+AD401</f>
        <v>134.16999999999999</v>
      </c>
      <c r="AE402" s="185">
        <f t="shared" si="664"/>
        <v>188.55</v>
      </c>
      <c r="AF402" s="185">
        <f t="shared" si="624"/>
        <v>3132.8700000000235</v>
      </c>
      <c r="AG402" s="185">
        <f t="shared" si="625"/>
        <v>-23784789.670000002</v>
      </c>
      <c r="AH402" s="185">
        <f t="shared" si="626"/>
        <v>25250460.519999992</v>
      </c>
      <c r="AI402" s="411">
        <f t="shared" si="614"/>
        <v>907179.14999999537</v>
      </c>
      <c r="AJ402" s="411">
        <f t="shared" si="566"/>
        <v>-24770889.670000009</v>
      </c>
      <c r="AK402" s="411">
        <f t="shared" si="615"/>
        <v>-23863710.520000014</v>
      </c>
      <c r="AL402" s="185">
        <f t="shared" si="627"/>
        <v>24770889.670000009</v>
      </c>
      <c r="AM402" s="317">
        <f t="shared" si="655"/>
        <v>32</v>
      </c>
      <c r="AN402" s="14">
        <f t="shared" si="616"/>
        <v>0</v>
      </c>
      <c r="AO402" s="14">
        <f t="shared" si="585"/>
        <v>0</v>
      </c>
      <c r="AP402" s="14">
        <f t="shared" si="617"/>
        <v>0</v>
      </c>
      <c r="AS402" s="14">
        <f t="shared" si="650"/>
        <v>0</v>
      </c>
      <c r="AT402" s="14">
        <f t="shared" si="656"/>
        <v>0</v>
      </c>
      <c r="AU402" s="185">
        <f t="shared" si="657"/>
        <v>0</v>
      </c>
      <c r="AV402" s="185">
        <f t="shared" si="658"/>
        <v>0</v>
      </c>
    </row>
    <row r="403" spans="1:48">
      <c r="A403" s="401" t="str">
        <f t="shared" si="603"/>
        <v xml:space="preserve"> </v>
      </c>
      <c r="B403" s="185">
        <f t="shared" si="597"/>
        <v>0</v>
      </c>
      <c r="C403" s="14">
        <f t="shared" si="644"/>
        <v>0</v>
      </c>
      <c r="D403" s="14">
        <f t="shared" si="659"/>
        <v>0</v>
      </c>
      <c r="E403" s="14">
        <f t="shared" si="645"/>
        <v>0</v>
      </c>
      <c r="F403" s="14">
        <f t="shared" si="604"/>
        <v>0</v>
      </c>
      <c r="G403" s="14">
        <f t="shared" si="600"/>
        <v>0</v>
      </c>
      <c r="H403" s="14">
        <f t="shared" si="601"/>
        <v>0</v>
      </c>
      <c r="I403" s="185">
        <f t="shared" si="605"/>
        <v>0</v>
      </c>
      <c r="J403" s="185">
        <f t="shared" si="606"/>
        <v>0</v>
      </c>
      <c r="K403" s="185">
        <f t="shared" si="607"/>
        <v>0</v>
      </c>
      <c r="L403" s="317">
        <f t="shared" si="587"/>
        <v>32</v>
      </c>
      <c r="M403" s="317">
        <f t="shared" si="651"/>
        <v>387</v>
      </c>
      <c r="N403" s="185">
        <f t="shared" si="652"/>
        <v>0</v>
      </c>
      <c r="O403" s="185">
        <f t="shared" si="619"/>
        <v>0</v>
      </c>
      <c r="P403" s="185">
        <f t="shared" si="660"/>
        <v>0</v>
      </c>
      <c r="Q403" s="185">
        <f t="shared" si="620"/>
        <v>0</v>
      </c>
      <c r="R403" s="185">
        <f t="shared" si="611"/>
        <v>134.16999999999999</v>
      </c>
      <c r="S403" s="185">
        <f t="shared" si="612"/>
        <v>188.55</v>
      </c>
      <c r="T403" s="185">
        <f t="shared" si="608"/>
        <v>322.72000000000003</v>
      </c>
      <c r="U403" s="185">
        <f t="shared" si="661"/>
        <v>590639.83000000007</v>
      </c>
      <c r="V403" s="185">
        <f t="shared" si="662"/>
        <v>1782210.1699999985</v>
      </c>
      <c r="W403" s="185">
        <f t="shared" si="609"/>
        <v>0</v>
      </c>
      <c r="X403" s="401" t="str">
        <f t="shared" si="653"/>
        <v xml:space="preserve"> </v>
      </c>
      <c r="Y403" s="185">
        <f t="shared" si="621"/>
        <v>24770889.670000009</v>
      </c>
      <c r="Z403" s="393">
        <f t="shared" si="646"/>
        <v>0.13125000000000001</v>
      </c>
      <c r="AA403" s="185">
        <f t="shared" si="647"/>
        <v>2810.15</v>
      </c>
      <c r="AB403" s="185">
        <f t="shared" si="622"/>
        <v>-268121.45999999996</v>
      </c>
      <c r="AC403" s="185">
        <f t="shared" si="648"/>
        <v>270931.61</v>
      </c>
      <c r="AD403" s="185">
        <f t="shared" ref="AD403:AE403" si="665">+AD402</f>
        <v>134.16999999999999</v>
      </c>
      <c r="AE403" s="185">
        <f t="shared" si="665"/>
        <v>188.55</v>
      </c>
      <c r="AF403" s="185">
        <f t="shared" si="624"/>
        <v>3132.8700000000235</v>
      </c>
      <c r="AG403" s="185">
        <f t="shared" si="625"/>
        <v>-24052911.130000003</v>
      </c>
      <c r="AH403" s="185">
        <f t="shared" si="626"/>
        <v>25521392.129999992</v>
      </c>
      <c r="AI403" s="411">
        <f t="shared" si="614"/>
        <v>904368.99999999534</v>
      </c>
      <c r="AJ403" s="411">
        <f t="shared" si="566"/>
        <v>-25039011.13000001</v>
      </c>
      <c r="AK403" s="411">
        <f t="shared" si="615"/>
        <v>-24134642.130000014</v>
      </c>
      <c r="AL403" s="185">
        <f t="shared" si="627"/>
        <v>25039011.13000001</v>
      </c>
      <c r="AM403" s="317">
        <f t="shared" si="655"/>
        <v>32</v>
      </c>
      <c r="AN403" s="14">
        <f t="shared" si="616"/>
        <v>0</v>
      </c>
      <c r="AO403" s="14">
        <f t="shared" si="585"/>
        <v>0</v>
      </c>
      <c r="AP403" s="14">
        <f t="shared" si="617"/>
        <v>0</v>
      </c>
      <c r="AS403" s="14">
        <f t="shared" si="650"/>
        <v>0</v>
      </c>
      <c r="AT403" s="14">
        <f t="shared" si="656"/>
        <v>0</v>
      </c>
      <c r="AU403" s="185">
        <f t="shared" si="657"/>
        <v>0</v>
      </c>
      <c r="AV403" s="185">
        <f t="shared" si="658"/>
        <v>0</v>
      </c>
    </row>
    <row r="404" spans="1:48">
      <c r="A404" s="401" t="str">
        <f t="shared" si="603"/>
        <v xml:space="preserve"> </v>
      </c>
      <c r="B404" s="185">
        <f t="shared" si="597"/>
        <v>0</v>
      </c>
      <c r="C404" s="14">
        <f t="shared" si="644"/>
        <v>0</v>
      </c>
      <c r="D404" s="14">
        <f t="shared" si="659"/>
        <v>0</v>
      </c>
      <c r="E404" s="14">
        <f t="shared" si="645"/>
        <v>0</v>
      </c>
      <c r="F404" s="14">
        <f t="shared" si="604"/>
        <v>0</v>
      </c>
      <c r="G404" s="14">
        <f t="shared" si="600"/>
        <v>0</v>
      </c>
      <c r="H404" s="14">
        <f t="shared" si="601"/>
        <v>0</v>
      </c>
      <c r="I404" s="185">
        <f t="shared" si="605"/>
        <v>0</v>
      </c>
      <c r="J404" s="185">
        <f t="shared" si="606"/>
        <v>0</v>
      </c>
      <c r="K404" s="185">
        <f t="shared" si="607"/>
        <v>0</v>
      </c>
      <c r="L404" s="317">
        <f t="shared" si="587"/>
        <v>32</v>
      </c>
      <c r="M404" s="317">
        <f t="shared" si="651"/>
        <v>388</v>
      </c>
      <c r="N404" s="185">
        <f t="shared" si="652"/>
        <v>0</v>
      </c>
      <c r="O404" s="185">
        <f t="shared" si="619"/>
        <v>0</v>
      </c>
      <c r="P404" s="185">
        <f t="shared" si="660"/>
        <v>0</v>
      </c>
      <c r="Q404" s="185">
        <f t="shared" si="620"/>
        <v>0</v>
      </c>
      <c r="R404" s="185">
        <f t="shared" si="611"/>
        <v>134.16999999999999</v>
      </c>
      <c r="S404" s="185">
        <f t="shared" si="612"/>
        <v>188.55</v>
      </c>
      <c r="T404" s="185">
        <f t="shared" si="608"/>
        <v>322.72000000000003</v>
      </c>
      <c r="U404" s="185">
        <f t="shared" si="661"/>
        <v>590639.83000000007</v>
      </c>
      <c r="V404" s="185">
        <f t="shared" si="662"/>
        <v>1782210.1699999985</v>
      </c>
      <c r="W404" s="185">
        <f t="shared" si="609"/>
        <v>0</v>
      </c>
      <c r="X404" s="401" t="str">
        <f t="shared" si="653"/>
        <v xml:space="preserve"> </v>
      </c>
      <c r="Y404" s="185">
        <f t="shared" si="621"/>
        <v>25039011.13000001</v>
      </c>
      <c r="Z404" s="393">
        <f t="shared" si="646"/>
        <v>0.13125000000000001</v>
      </c>
      <c r="AA404" s="185">
        <f t="shared" si="647"/>
        <v>2810.15</v>
      </c>
      <c r="AB404" s="185">
        <f t="shared" si="622"/>
        <v>-271054.02999999997</v>
      </c>
      <c r="AC404" s="185">
        <f t="shared" si="648"/>
        <v>273864.18</v>
      </c>
      <c r="AD404" s="185">
        <f t="shared" ref="AD404:AE404" si="666">+AD403</f>
        <v>134.16999999999999</v>
      </c>
      <c r="AE404" s="185">
        <f t="shared" si="666"/>
        <v>188.55</v>
      </c>
      <c r="AF404" s="185">
        <f t="shared" si="624"/>
        <v>3132.8700000000235</v>
      </c>
      <c r="AG404" s="185">
        <f t="shared" si="625"/>
        <v>-24323965.160000004</v>
      </c>
      <c r="AH404" s="185">
        <f t="shared" si="626"/>
        <v>25795256.309999991</v>
      </c>
      <c r="AI404" s="411">
        <f t="shared" si="614"/>
        <v>901558.84999999532</v>
      </c>
      <c r="AJ404" s="411">
        <f t="shared" si="566"/>
        <v>-25310065.160000011</v>
      </c>
      <c r="AK404" s="411">
        <f t="shared" si="615"/>
        <v>-24408506.310000017</v>
      </c>
      <c r="AL404" s="185">
        <f t="shared" si="627"/>
        <v>25310065.160000011</v>
      </c>
      <c r="AM404" s="317">
        <f t="shared" si="655"/>
        <v>32</v>
      </c>
      <c r="AN404" s="14">
        <f t="shared" si="616"/>
        <v>0</v>
      </c>
      <c r="AO404" s="14">
        <f t="shared" si="585"/>
        <v>0</v>
      </c>
      <c r="AP404" s="14">
        <f t="shared" si="617"/>
        <v>0</v>
      </c>
      <c r="AS404" s="14">
        <f t="shared" si="650"/>
        <v>0</v>
      </c>
      <c r="AT404" s="14">
        <f t="shared" si="656"/>
        <v>0</v>
      </c>
      <c r="AU404" s="185">
        <f t="shared" si="657"/>
        <v>0</v>
      </c>
      <c r="AV404" s="185">
        <f t="shared" si="658"/>
        <v>0</v>
      </c>
    </row>
    <row r="405" spans="1:48">
      <c r="A405" s="401" t="str">
        <f t="shared" si="603"/>
        <v xml:space="preserve"> </v>
      </c>
      <c r="B405" s="185">
        <f t="shared" si="597"/>
        <v>0</v>
      </c>
      <c r="C405" s="14">
        <f t="shared" si="644"/>
        <v>0</v>
      </c>
      <c r="D405" s="14">
        <f t="shared" si="659"/>
        <v>0</v>
      </c>
      <c r="E405" s="14">
        <f t="shared" si="645"/>
        <v>0</v>
      </c>
      <c r="F405" s="14">
        <f t="shared" si="604"/>
        <v>0</v>
      </c>
      <c r="G405" s="14">
        <f t="shared" si="600"/>
        <v>0</v>
      </c>
      <c r="H405" s="14">
        <f t="shared" si="601"/>
        <v>0</v>
      </c>
      <c r="I405" s="185">
        <f t="shared" si="605"/>
        <v>0</v>
      </c>
      <c r="J405" s="185">
        <f t="shared" si="606"/>
        <v>0</v>
      </c>
      <c r="K405" s="185">
        <f t="shared" si="607"/>
        <v>0</v>
      </c>
      <c r="L405" s="317">
        <f t="shared" si="587"/>
        <v>32</v>
      </c>
      <c r="M405" s="317">
        <f t="shared" si="651"/>
        <v>389</v>
      </c>
      <c r="N405" s="185">
        <f t="shared" si="652"/>
        <v>0</v>
      </c>
      <c r="O405" s="185">
        <f t="shared" si="619"/>
        <v>0</v>
      </c>
      <c r="P405" s="185">
        <f t="shared" si="660"/>
        <v>0</v>
      </c>
      <c r="Q405" s="185">
        <f t="shared" si="620"/>
        <v>0</v>
      </c>
      <c r="R405" s="185">
        <f t="shared" si="611"/>
        <v>134.16999999999999</v>
      </c>
      <c r="S405" s="185">
        <f t="shared" si="612"/>
        <v>188.55</v>
      </c>
      <c r="T405" s="185">
        <f t="shared" si="608"/>
        <v>322.72000000000003</v>
      </c>
      <c r="U405" s="185">
        <f t="shared" si="661"/>
        <v>590639.83000000007</v>
      </c>
      <c r="V405" s="185">
        <f t="shared" si="662"/>
        <v>1782210.1699999985</v>
      </c>
      <c r="W405" s="185">
        <f t="shared" si="609"/>
        <v>0</v>
      </c>
      <c r="X405" s="401" t="str">
        <f t="shared" si="653"/>
        <v xml:space="preserve"> </v>
      </c>
      <c r="Y405" s="185">
        <f t="shared" si="621"/>
        <v>25310065.160000011</v>
      </c>
      <c r="Z405" s="393">
        <f t="shared" si="646"/>
        <v>0.13125000000000001</v>
      </c>
      <c r="AA405" s="185">
        <f t="shared" si="647"/>
        <v>2810.15</v>
      </c>
      <c r="AB405" s="185">
        <f t="shared" si="622"/>
        <v>-274018.69</v>
      </c>
      <c r="AC405" s="185">
        <f t="shared" si="648"/>
        <v>276828.84000000003</v>
      </c>
      <c r="AD405" s="185">
        <f t="shared" ref="AD405:AE405" si="667">+AD404</f>
        <v>134.16999999999999</v>
      </c>
      <c r="AE405" s="185">
        <f t="shared" si="667"/>
        <v>188.55</v>
      </c>
      <c r="AF405" s="185">
        <f t="shared" si="624"/>
        <v>3132.8700000000235</v>
      </c>
      <c r="AG405" s="185">
        <f t="shared" si="625"/>
        <v>-24597983.850000005</v>
      </c>
      <c r="AH405" s="185">
        <f t="shared" si="626"/>
        <v>26072085.149999991</v>
      </c>
      <c r="AI405" s="411">
        <f t="shared" si="614"/>
        <v>898748.6999999953</v>
      </c>
      <c r="AJ405" s="411">
        <f t="shared" si="566"/>
        <v>-25584083.850000013</v>
      </c>
      <c r="AK405" s="411">
        <f t="shared" si="615"/>
        <v>-24685335.150000017</v>
      </c>
      <c r="AL405" s="185">
        <f t="shared" si="627"/>
        <v>25584083.850000013</v>
      </c>
      <c r="AM405" s="317">
        <f t="shared" si="655"/>
        <v>32</v>
      </c>
      <c r="AN405" s="14">
        <f t="shared" si="616"/>
        <v>0</v>
      </c>
      <c r="AO405" s="14">
        <f t="shared" si="585"/>
        <v>0</v>
      </c>
      <c r="AP405" s="14">
        <f t="shared" si="617"/>
        <v>0</v>
      </c>
      <c r="AS405" s="14">
        <f t="shared" si="650"/>
        <v>0</v>
      </c>
      <c r="AT405" s="14">
        <f t="shared" si="656"/>
        <v>0</v>
      </c>
      <c r="AU405" s="185">
        <f t="shared" si="657"/>
        <v>0</v>
      </c>
      <c r="AV405" s="185">
        <f t="shared" si="658"/>
        <v>0</v>
      </c>
    </row>
    <row r="406" spans="1:48">
      <c r="A406" s="401" t="str">
        <f t="shared" si="603"/>
        <v xml:space="preserve"> </v>
      </c>
      <c r="B406" s="185">
        <f t="shared" si="597"/>
        <v>0</v>
      </c>
      <c r="C406" s="14">
        <f t="shared" si="644"/>
        <v>0</v>
      </c>
      <c r="D406" s="14">
        <f t="shared" si="659"/>
        <v>0</v>
      </c>
      <c r="E406" s="14">
        <f t="shared" si="645"/>
        <v>0</v>
      </c>
      <c r="F406" s="14">
        <f t="shared" si="604"/>
        <v>0</v>
      </c>
      <c r="G406" s="14">
        <f t="shared" si="600"/>
        <v>0</v>
      </c>
      <c r="H406" s="14">
        <f t="shared" si="601"/>
        <v>0</v>
      </c>
      <c r="I406" s="185">
        <f t="shared" si="605"/>
        <v>0</v>
      </c>
      <c r="J406" s="185">
        <f t="shared" si="606"/>
        <v>0</v>
      </c>
      <c r="K406" s="185">
        <f t="shared" si="607"/>
        <v>0</v>
      </c>
      <c r="L406" s="317">
        <f t="shared" si="587"/>
        <v>32</v>
      </c>
      <c r="M406" s="317">
        <f t="shared" si="651"/>
        <v>390</v>
      </c>
      <c r="N406" s="185">
        <f t="shared" si="652"/>
        <v>0</v>
      </c>
      <c r="O406" s="185">
        <f t="shared" si="619"/>
        <v>0</v>
      </c>
      <c r="P406" s="185">
        <f t="shared" si="660"/>
        <v>0</v>
      </c>
      <c r="Q406" s="185">
        <f t="shared" si="620"/>
        <v>0</v>
      </c>
      <c r="R406" s="185">
        <f t="shared" si="611"/>
        <v>134.16999999999999</v>
      </c>
      <c r="S406" s="185">
        <f t="shared" si="612"/>
        <v>188.55</v>
      </c>
      <c r="T406" s="185">
        <f t="shared" si="608"/>
        <v>322.72000000000003</v>
      </c>
      <c r="U406" s="185">
        <f t="shared" si="661"/>
        <v>590639.83000000007</v>
      </c>
      <c r="V406" s="185">
        <f t="shared" si="662"/>
        <v>1782210.1699999985</v>
      </c>
      <c r="W406" s="185">
        <f t="shared" si="609"/>
        <v>0</v>
      </c>
      <c r="X406" s="401" t="str">
        <f t="shared" si="653"/>
        <v xml:space="preserve"> </v>
      </c>
      <c r="Y406" s="185">
        <f t="shared" si="621"/>
        <v>25584083.850000013</v>
      </c>
      <c r="Z406" s="393">
        <f t="shared" si="646"/>
        <v>0.13125000000000001</v>
      </c>
      <c r="AA406" s="185">
        <f t="shared" si="647"/>
        <v>2810.15</v>
      </c>
      <c r="AB406" s="185">
        <f t="shared" si="622"/>
        <v>-277015.76999999996</v>
      </c>
      <c r="AC406" s="185">
        <f t="shared" si="648"/>
        <v>279825.91999999998</v>
      </c>
      <c r="AD406" s="185">
        <f t="shared" ref="AD406:AE406" si="668">+AD405</f>
        <v>134.16999999999999</v>
      </c>
      <c r="AE406" s="185">
        <f t="shared" si="668"/>
        <v>188.55</v>
      </c>
      <c r="AF406" s="185">
        <f t="shared" si="624"/>
        <v>3132.8700000000235</v>
      </c>
      <c r="AG406" s="185">
        <f t="shared" si="625"/>
        <v>-24874999.620000005</v>
      </c>
      <c r="AH406" s="185">
        <f t="shared" si="626"/>
        <v>26351911.069999993</v>
      </c>
      <c r="AI406" s="411">
        <f t="shared" si="614"/>
        <v>895938.54999999527</v>
      </c>
      <c r="AJ406" s="411">
        <f t="shared" si="566"/>
        <v>-25861099.620000012</v>
      </c>
      <c r="AK406" s="411">
        <f t="shared" si="615"/>
        <v>-24965161.070000015</v>
      </c>
      <c r="AL406" s="185">
        <f t="shared" si="627"/>
        <v>25861099.620000012</v>
      </c>
      <c r="AM406" s="317">
        <f t="shared" si="655"/>
        <v>32</v>
      </c>
      <c r="AN406" s="14">
        <f t="shared" si="616"/>
        <v>0</v>
      </c>
      <c r="AO406" s="14">
        <f t="shared" si="585"/>
        <v>0</v>
      </c>
      <c r="AP406" s="14">
        <f t="shared" si="617"/>
        <v>0</v>
      </c>
      <c r="AS406" s="14">
        <f t="shared" si="650"/>
        <v>0</v>
      </c>
      <c r="AT406" s="14">
        <f t="shared" si="656"/>
        <v>0</v>
      </c>
      <c r="AU406" s="185">
        <f t="shared" si="657"/>
        <v>0</v>
      </c>
      <c r="AV406" s="185">
        <f t="shared" si="658"/>
        <v>0</v>
      </c>
    </row>
    <row r="407" spans="1:48">
      <c r="A407" s="401" t="str">
        <f t="shared" si="603"/>
        <v xml:space="preserve"> </v>
      </c>
      <c r="B407" s="185">
        <f t="shared" si="597"/>
        <v>0</v>
      </c>
      <c r="C407" s="14">
        <f t="shared" si="644"/>
        <v>0</v>
      </c>
      <c r="D407" s="14">
        <f t="shared" si="659"/>
        <v>0</v>
      </c>
      <c r="E407" s="14">
        <f t="shared" si="645"/>
        <v>0</v>
      </c>
      <c r="F407" s="14">
        <f t="shared" si="604"/>
        <v>0</v>
      </c>
      <c r="G407" s="14">
        <f t="shared" si="600"/>
        <v>0</v>
      </c>
      <c r="H407" s="14">
        <f t="shared" si="601"/>
        <v>0</v>
      </c>
      <c r="I407" s="185">
        <f t="shared" si="605"/>
        <v>0</v>
      </c>
      <c r="J407" s="185">
        <f t="shared" si="606"/>
        <v>0</v>
      </c>
      <c r="K407" s="185">
        <f t="shared" si="607"/>
        <v>0</v>
      </c>
      <c r="L407" s="317">
        <f t="shared" si="587"/>
        <v>32</v>
      </c>
      <c r="M407" s="317">
        <f t="shared" si="651"/>
        <v>391</v>
      </c>
      <c r="N407" s="185">
        <f t="shared" si="652"/>
        <v>0</v>
      </c>
      <c r="O407" s="185">
        <f t="shared" si="619"/>
        <v>0</v>
      </c>
      <c r="P407" s="185">
        <f t="shared" si="660"/>
        <v>0</v>
      </c>
      <c r="Q407" s="185">
        <f t="shared" si="620"/>
        <v>0</v>
      </c>
      <c r="R407" s="185">
        <f t="shared" si="611"/>
        <v>134.16999999999999</v>
      </c>
      <c r="S407" s="185">
        <f t="shared" si="612"/>
        <v>188.55</v>
      </c>
      <c r="T407" s="185">
        <f t="shared" si="608"/>
        <v>322.72000000000003</v>
      </c>
      <c r="U407" s="185">
        <f t="shared" si="661"/>
        <v>590639.83000000007</v>
      </c>
      <c r="V407" s="185">
        <f t="shared" si="662"/>
        <v>1782210.1699999985</v>
      </c>
      <c r="W407" s="185">
        <f t="shared" si="609"/>
        <v>0</v>
      </c>
      <c r="X407" s="401" t="str">
        <f t="shared" si="653"/>
        <v xml:space="preserve"> </v>
      </c>
      <c r="Y407" s="185">
        <f t="shared" si="621"/>
        <v>25861099.620000012</v>
      </c>
      <c r="Z407" s="393">
        <f t="shared" si="646"/>
        <v>0.13125000000000001</v>
      </c>
      <c r="AA407" s="185">
        <f t="shared" si="647"/>
        <v>2810.15</v>
      </c>
      <c r="AB407" s="185">
        <f t="shared" si="622"/>
        <v>-280045.63</v>
      </c>
      <c r="AC407" s="185">
        <f t="shared" si="648"/>
        <v>282855.78000000003</v>
      </c>
      <c r="AD407" s="185">
        <f t="shared" ref="AD407:AE407" si="669">+AD406</f>
        <v>134.16999999999999</v>
      </c>
      <c r="AE407" s="185">
        <f t="shared" si="669"/>
        <v>188.55</v>
      </c>
      <c r="AF407" s="185">
        <f t="shared" si="624"/>
        <v>3132.8700000000235</v>
      </c>
      <c r="AG407" s="185">
        <f t="shared" si="625"/>
        <v>-25155045.250000004</v>
      </c>
      <c r="AH407" s="185">
        <f t="shared" si="626"/>
        <v>26634766.849999994</v>
      </c>
      <c r="AI407" s="411">
        <f t="shared" si="614"/>
        <v>893128.39999999525</v>
      </c>
      <c r="AJ407" s="411">
        <f t="shared" si="566"/>
        <v>-26141145.250000011</v>
      </c>
      <c r="AK407" s="411">
        <f t="shared" si="615"/>
        <v>-25248016.850000016</v>
      </c>
      <c r="AL407" s="185">
        <f t="shared" si="627"/>
        <v>26141145.250000011</v>
      </c>
      <c r="AM407" s="317">
        <f t="shared" si="655"/>
        <v>32</v>
      </c>
      <c r="AN407" s="14">
        <f t="shared" si="616"/>
        <v>0</v>
      </c>
      <c r="AO407" s="14">
        <f t="shared" si="585"/>
        <v>0</v>
      </c>
      <c r="AP407" s="14">
        <f t="shared" si="617"/>
        <v>0</v>
      </c>
      <c r="AS407" s="14">
        <f t="shared" si="650"/>
        <v>0</v>
      </c>
      <c r="AT407" s="14">
        <f t="shared" si="656"/>
        <v>0</v>
      </c>
      <c r="AU407" s="185">
        <f t="shared" si="657"/>
        <v>0</v>
      </c>
      <c r="AV407" s="185">
        <f t="shared" si="658"/>
        <v>0</v>
      </c>
    </row>
    <row r="408" spans="1:48">
      <c r="A408" s="401" t="str">
        <f t="shared" si="603"/>
        <v xml:space="preserve"> </v>
      </c>
      <c r="B408" s="185">
        <f t="shared" si="597"/>
        <v>0</v>
      </c>
      <c r="C408" s="14">
        <f t="shared" si="644"/>
        <v>0</v>
      </c>
      <c r="D408" s="14">
        <f t="shared" si="659"/>
        <v>0</v>
      </c>
      <c r="E408" s="14">
        <f t="shared" si="645"/>
        <v>0</v>
      </c>
      <c r="F408" s="14">
        <f t="shared" si="604"/>
        <v>0</v>
      </c>
      <c r="G408" s="14">
        <f t="shared" si="600"/>
        <v>0</v>
      </c>
      <c r="H408" s="14">
        <f t="shared" si="601"/>
        <v>0</v>
      </c>
      <c r="I408" s="185">
        <f t="shared" si="605"/>
        <v>0</v>
      </c>
      <c r="J408" s="185">
        <f t="shared" si="606"/>
        <v>0</v>
      </c>
      <c r="K408" s="185">
        <f t="shared" si="607"/>
        <v>0</v>
      </c>
      <c r="L408" s="317">
        <f t="shared" si="587"/>
        <v>32</v>
      </c>
      <c r="M408" s="317">
        <f t="shared" si="651"/>
        <v>392</v>
      </c>
      <c r="N408" s="185">
        <f t="shared" si="652"/>
        <v>0</v>
      </c>
      <c r="O408" s="185">
        <f t="shared" si="619"/>
        <v>0</v>
      </c>
      <c r="P408" s="185">
        <f t="shared" si="660"/>
        <v>0</v>
      </c>
      <c r="Q408" s="185">
        <f t="shared" si="620"/>
        <v>0</v>
      </c>
      <c r="R408" s="185">
        <f t="shared" si="611"/>
        <v>134.16999999999999</v>
      </c>
      <c r="S408" s="185">
        <f t="shared" si="612"/>
        <v>188.55</v>
      </c>
      <c r="T408" s="185">
        <f t="shared" si="608"/>
        <v>322.72000000000003</v>
      </c>
      <c r="U408" s="185">
        <f t="shared" si="661"/>
        <v>590639.83000000007</v>
      </c>
      <c r="V408" s="185">
        <f t="shared" si="662"/>
        <v>1782210.1699999985</v>
      </c>
      <c r="W408" s="185">
        <f t="shared" si="609"/>
        <v>0</v>
      </c>
      <c r="X408" s="401" t="str">
        <f t="shared" si="653"/>
        <v xml:space="preserve"> </v>
      </c>
      <c r="Y408" s="185">
        <f t="shared" si="621"/>
        <v>26141145.250000011</v>
      </c>
      <c r="Z408" s="393">
        <f t="shared" si="646"/>
        <v>0.13125000000000001</v>
      </c>
      <c r="AA408" s="185">
        <f t="shared" si="647"/>
        <v>2810.15</v>
      </c>
      <c r="AB408" s="185">
        <f t="shared" si="622"/>
        <v>-283108.63</v>
      </c>
      <c r="AC408" s="185">
        <f t="shared" si="648"/>
        <v>285918.78000000003</v>
      </c>
      <c r="AD408" s="185">
        <f t="shared" ref="AD408:AE408" si="670">+AD407</f>
        <v>134.16999999999999</v>
      </c>
      <c r="AE408" s="185">
        <f t="shared" si="670"/>
        <v>188.55</v>
      </c>
      <c r="AF408" s="185">
        <f t="shared" si="624"/>
        <v>3132.8700000000235</v>
      </c>
      <c r="AG408" s="185">
        <f t="shared" si="625"/>
        <v>-25438153.880000003</v>
      </c>
      <c r="AH408" s="185">
        <f t="shared" si="626"/>
        <v>26920685.629999995</v>
      </c>
      <c r="AI408" s="411">
        <f t="shared" si="614"/>
        <v>890318.24999999523</v>
      </c>
      <c r="AJ408" s="411">
        <f t="shared" si="566"/>
        <v>-26424253.88000001</v>
      </c>
      <c r="AK408" s="411">
        <f t="shared" si="615"/>
        <v>-25533935.630000014</v>
      </c>
      <c r="AL408" s="185">
        <f t="shared" si="627"/>
        <v>26424253.88000001</v>
      </c>
      <c r="AM408" s="317">
        <f t="shared" si="655"/>
        <v>32</v>
      </c>
      <c r="AN408" s="14">
        <f t="shared" si="616"/>
        <v>0</v>
      </c>
      <c r="AO408" s="14">
        <f t="shared" si="585"/>
        <v>0</v>
      </c>
      <c r="AP408" s="14">
        <f t="shared" si="617"/>
        <v>0</v>
      </c>
      <c r="AS408" s="14">
        <f t="shared" si="650"/>
        <v>0</v>
      </c>
      <c r="AT408" s="14">
        <f t="shared" si="656"/>
        <v>0</v>
      </c>
      <c r="AU408" s="185">
        <f t="shared" si="657"/>
        <v>0</v>
      </c>
      <c r="AV408" s="185">
        <f t="shared" si="658"/>
        <v>0</v>
      </c>
    </row>
    <row r="409" spans="1:48">
      <c r="A409" s="401" t="str">
        <f t="shared" si="603"/>
        <v xml:space="preserve"> </v>
      </c>
      <c r="B409" s="185">
        <f t="shared" si="597"/>
        <v>0</v>
      </c>
      <c r="C409" s="14">
        <f t="shared" si="644"/>
        <v>0</v>
      </c>
      <c r="D409" s="14">
        <f t="shared" si="659"/>
        <v>0</v>
      </c>
      <c r="E409" s="14">
        <f t="shared" si="645"/>
        <v>0</v>
      </c>
      <c r="F409" s="14">
        <f t="shared" si="604"/>
        <v>0</v>
      </c>
      <c r="G409" s="14">
        <f t="shared" si="600"/>
        <v>0</v>
      </c>
      <c r="H409" s="14">
        <f t="shared" si="601"/>
        <v>0</v>
      </c>
      <c r="I409" s="185">
        <f t="shared" si="605"/>
        <v>0</v>
      </c>
      <c r="J409" s="185">
        <f t="shared" si="606"/>
        <v>0</v>
      </c>
      <c r="K409" s="185">
        <f t="shared" si="607"/>
        <v>0</v>
      </c>
      <c r="L409" s="317">
        <f t="shared" si="587"/>
        <v>32</v>
      </c>
      <c r="M409" s="317">
        <f t="shared" si="651"/>
        <v>393</v>
      </c>
      <c r="N409" s="185">
        <f t="shared" si="652"/>
        <v>0</v>
      </c>
      <c r="O409" s="185">
        <f t="shared" si="619"/>
        <v>0</v>
      </c>
      <c r="P409" s="185">
        <f t="shared" si="660"/>
        <v>0</v>
      </c>
      <c r="Q409" s="185">
        <f t="shared" si="620"/>
        <v>0</v>
      </c>
      <c r="R409" s="185">
        <f t="shared" si="611"/>
        <v>134.16999999999999</v>
      </c>
      <c r="S409" s="185">
        <f t="shared" si="612"/>
        <v>188.55</v>
      </c>
      <c r="T409" s="185">
        <f t="shared" si="608"/>
        <v>322.72000000000003</v>
      </c>
      <c r="U409" s="185">
        <f t="shared" si="661"/>
        <v>590639.83000000007</v>
      </c>
      <c r="V409" s="185">
        <f t="shared" si="662"/>
        <v>1782210.1699999985</v>
      </c>
      <c r="W409" s="185">
        <f t="shared" si="609"/>
        <v>0</v>
      </c>
      <c r="X409" s="401" t="str">
        <f t="shared" si="653"/>
        <v xml:space="preserve"> </v>
      </c>
      <c r="Y409" s="185">
        <f t="shared" si="621"/>
        <v>26424253.88000001</v>
      </c>
      <c r="Z409" s="393">
        <f t="shared" si="646"/>
        <v>0.13125000000000001</v>
      </c>
      <c r="AA409" s="185">
        <f t="shared" si="647"/>
        <v>2810.15</v>
      </c>
      <c r="AB409" s="185">
        <f t="shared" si="622"/>
        <v>-286205.13</v>
      </c>
      <c r="AC409" s="185">
        <f t="shared" si="648"/>
        <v>289015.28000000003</v>
      </c>
      <c r="AD409" s="185">
        <f t="shared" ref="AD409:AE409" si="671">+AD408</f>
        <v>134.16999999999999</v>
      </c>
      <c r="AE409" s="185">
        <f t="shared" si="671"/>
        <v>188.55</v>
      </c>
      <c r="AF409" s="185">
        <f t="shared" si="624"/>
        <v>3132.8700000000235</v>
      </c>
      <c r="AG409" s="185">
        <f t="shared" si="625"/>
        <v>-25724359.010000002</v>
      </c>
      <c r="AH409" s="185">
        <f t="shared" si="626"/>
        <v>27209700.909999996</v>
      </c>
      <c r="AI409" s="411">
        <f t="shared" si="614"/>
        <v>887508.0999999952</v>
      </c>
      <c r="AJ409" s="411">
        <f t="shared" si="566"/>
        <v>-26710459.010000009</v>
      </c>
      <c r="AK409" s="411">
        <f t="shared" si="615"/>
        <v>-25822950.910000015</v>
      </c>
      <c r="AL409" s="185">
        <f t="shared" si="627"/>
        <v>26710459.010000009</v>
      </c>
      <c r="AM409" s="317">
        <f t="shared" si="655"/>
        <v>32</v>
      </c>
      <c r="AN409" s="14">
        <f t="shared" si="616"/>
        <v>0</v>
      </c>
      <c r="AO409" s="14">
        <f t="shared" si="585"/>
        <v>0</v>
      </c>
      <c r="AP409" s="14">
        <f t="shared" si="617"/>
        <v>0</v>
      </c>
      <c r="AS409" s="14">
        <f t="shared" si="650"/>
        <v>0</v>
      </c>
      <c r="AT409" s="14">
        <f t="shared" si="656"/>
        <v>0</v>
      </c>
      <c r="AU409" s="185">
        <f t="shared" si="657"/>
        <v>0</v>
      </c>
      <c r="AV409" s="185">
        <f t="shared" si="658"/>
        <v>0</v>
      </c>
    </row>
    <row r="410" spans="1:48" ht="15.75" thickBot="1">
      <c r="A410" s="404" t="str">
        <f t="shared" si="603"/>
        <v xml:space="preserve"> </v>
      </c>
      <c r="B410" s="237">
        <f t="shared" si="597"/>
        <v>0</v>
      </c>
      <c r="C410" s="21">
        <f t="shared" si="644"/>
        <v>0</v>
      </c>
      <c r="D410" s="21">
        <f t="shared" si="659"/>
        <v>0</v>
      </c>
      <c r="E410" s="21">
        <f t="shared" si="645"/>
        <v>0</v>
      </c>
      <c r="F410" s="21">
        <f t="shared" si="604"/>
        <v>0</v>
      </c>
      <c r="G410" s="21">
        <f t="shared" si="600"/>
        <v>0</v>
      </c>
      <c r="H410" s="21">
        <f t="shared" si="601"/>
        <v>0</v>
      </c>
      <c r="I410" s="237">
        <f t="shared" si="605"/>
        <v>0</v>
      </c>
      <c r="J410" s="237">
        <f t="shared" si="606"/>
        <v>0</v>
      </c>
      <c r="K410" s="237">
        <f t="shared" si="607"/>
        <v>0</v>
      </c>
      <c r="L410" s="318">
        <f t="shared" si="587"/>
        <v>32</v>
      </c>
      <c r="M410" s="318">
        <f t="shared" si="651"/>
        <v>394</v>
      </c>
      <c r="N410" s="237">
        <f t="shared" si="652"/>
        <v>0</v>
      </c>
      <c r="O410" s="237">
        <f t="shared" si="619"/>
        <v>0</v>
      </c>
      <c r="P410" s="237">
        <f t="shared" si="660"/>
        <v>0</v>
      </c>
      <c r="Q410" s="237">
        <f t="shared" si="620"/>
        <v>0</v>
      </c>
      <c r="R410" s="237">
        <f t="shared" si="611"/>
        <v>134.16999999999999</v>
      </c>
      <c r="S410" s="237">
        <f t="shared" si="612"/>
        <v>188.55</v>
      </c>
      <c r="T410" s="237">
        <f t="shared" si="608"/>
        <v>322.72000000000003</v>
      </c>
      <c r="U410" s="237">
        <f t="shared" si="661"/>
        <v>590639.83000000007</v>
      </c>
      <c r="V410" s="237">
        <f t="shared" si="662"/>
        <v>1782210.1699999985</v>
      </c>
      <c r="W410" s="237">
        <f t="shared" si="609"/>
        <v>0</v>
      </c>
      <c r="X410" s="404" t="str">
        <f t="shared" si="653"/>
        <v xml:space="preserve"> </v>
      </c>
      <c r="Y410" s="237">
        <f t="shared" si="621"/>
        <v>26710459.010000009</v>
      </c>
      <c r="Z410" s="394">
        <f t="shared" si="646"/>
        <v>0.13125000000000001</v>
      </c>
      <c r="AA410" s="237">
        <f t="shared" si="647"/>
        <v>2810.15</v>
      </c>
      <c r="AB410" s="237">
        <f t="shared" si="622"/>
        <v>-289335.5</v>
      </c>
      <c r="AC410" s="237">
        <f t="shared" si="648"/>
        <v>292145.65000000002</v>
      </c>
      <c r="AD410" s="237">
        <f t="shared" ref="AD410:AE410" si="672">+AD409</f>
        <v>134.16999999999999</v>
      </c>
      <c r="AE410" s="237">
        <f t="shared" si="672"/>
        <v>188.55</v>
      </c>
      <c r="AF410" s="237">
        <f t="shared" si="624"/>
        <v>3132.8700000000235</v>
      </c>
      <c r="AG410" s="237">
        <f t="shared" si="625"/>
        <v>-26013694.510000002</v>
      </c>
      <c r="AH410" s="237">
        <f t="shared" si="626"/>
        <v>27501846.559999995</v>
      </c>
      <c r="AI410" s="412">
        <f t="shared" si="614"/>
        <v>884697.94999999518</v>
      </c>
      <c r="AJ410" s="412">
        <f t="shared" si="566"/>
        <v>-26999794.510000009</v>
      </c>
      <c r="AK410" s="411">
        <f t="shared" si="615"/>
        <v>-26115096.560000014</v>
      </c>
      <c r="AL410" s="237">
        <f t="shared" si="627"/>
        <v>26999794.510000009</v>
      </c>
      <c r="AM410" s="318">
        <f t="shared" si="655"/>
        <v>32</v>
      </c>
      <c r="AN410" s="21">
        <f t="shared" si="616"/>
        <v>0</v>
      </c>
      <c r="AO410" s="21">
        <f t="shared" si="585"/>
        <v>0</v>
      </c>
      <c r="AP410" s="21">
        <f t="shared" si="617"/>
        <v>0</v>
      </c>
      <c r="AQ410" s="21"/>
      <c r="AR410" s="23"/>
      <c r="AS410" s="21">
        <f t="shared" si="650"/>
        <v>0</v>
      </c>
      <c r="AT410" s="21">
        <f t="shared" si="656"/>
        <v>0</v>
      </c>
      <c r="AU410" s="237">
        <f t="shared" si="657"/>
        <v>0</v>
      </c>
      <c r="AV410" s="237">
        <f t="shared" si="658"/>
        <v>0</v>
      </c>
    </row>
    <row r="411" spans="1:48">
      <c r="A411" s="401" t="str">
        <f t="shared" si="603"/>
        <v xml:space="preserve"> </v>
      </c>
      <c r="B411" s="185">
        <f t="shared" si="597"/>
        <v>0</v>
      </c>
      <c r="C411" s="14">
        <f t="shared" si="644"/>
        <v>0</v>
      </c>
      <c r="D411" s="14">
        <f t="shared" si="659"/>
        <v>0</v>
      </c>
      <c r="E411" s="14">
        <f t="shared" si="645"/>
        <v>0</v>
      </c>
      <c r="F411" s="14">
        <f t="shared" si="604"/>
        <v>0</v>
      </c>
      <c r="G411" s="14">
        <f t="shared" si="600"/>
        <v>0</v>
      </c>
      <c r="H411" s="14">
        <f t="shared" si="601"/>
        <v>0</v>
      </c>
      <c r="I411" s="185">
        <f t="shared" si="605"/>
        <v>0</v>
      </c>
      <c r="J411" s="185">
        <f t="shared" si="606"/>
        <v>0</v>
      </c>
      <c r="K411" s="185">
        <f t="shared" si="607"/>
        <v>0</v>
      </c>
      <c r="L411" s="317">
        <f t="shared" si="587"/>
        <v>32</v>
      </c>
      <c r="M411" s="317">
        <f t="shared" si="651"/>
        <v>395</v>
      </c>
      <c r="N411" s="185">
        <f t="shared" si="652"/>
        <v>0</v>
      </c>
      <c r="O411" s="185">
        <f t="shared" si="619"/>
        <v>0</v>
      </c>
      <c r="P411" s="185">
        <f t="shared" si="660"/>
        <v>0</v>
      </c>
      <c r="Q411" s="185">
        <f t="shared" si="620"/>
        <v>0</v>
      </c>
      <c r="R411" s="185">
        <f t="shared" si="611"/>
        <v>134.16999999999999</v>
      </c>
      <c r="S411" s="185">
        <f t="shared" si="612"/>
        <v>188.55</v>
      </c>
      <c r="T411" s="185">
        <f t="shared" si="608"/>
        <v>322.72000000000003</v>
      </c>
      <c r="U411" s="185">
        <f t="shared" si="661"/>
        <v>590639.83000000007</v>
      </c>
      <c r="V411" s="185">
        <f t="shared" si="662"/>
        <v>1782210.1699999985</v>
      </c>
      <c r="W411" s="185">
        <f t="shared" si="609"/>
        <v>0</v>
      </c>
      <c r="X411" s="401" t="str">
        <f t="shared" si="653"/>
        <v xml:space="preserve"> </v>
      </c>
      <c r="Y411" s="185">
        <f t="shared" si="621"/>
        <v>26999794.510000009</v>
      </c>
      <c r="Z411" s="393">
        <f t="shared" si="646"/>
        <v>0.13125000000000001</v>
      </c>
      <c r="AA411" s="185">
        <f t="shared" si="647"/>
        <v>2810.15</v>
      </c>
      <c r="AB411" s="185">
        <f t="shared" si="622"/>
        <v>-292500.09999999998</v>
      </c>
      <c r="AC411" s="185">
        <f t="shared" si="648"/>
        <v>295310.25</v>
      </c>
      <c r="AD411" s="185">
        <f t="shared" ref="AD411:AE411" si="673">+AD410</f>
        <v>134.16999999999999</v>
      </c>
      <c r="AE411" s="185">
        <f t="shared" si="673"/>
        <v>188.55</v>
      </c>
      <c r="AF411" s="185">
        <f t="shared" si="624"/>
        <v>3132.8700000000235</v>
      </c>
      <c r="AG411" s="185">
        <f t="shared" si="625"/>
        <v>-26306194.610000003</v>
      </c>
      <c r="AH411" s="185">
        <f t="shared" si="626"/>
        <v>27797156.809999995</v>
      </c>
      <c r="AI411" s="411">
        <f t="shared" si="614"/>
        <v>881887.79999999516</v>
      </c>
      <c r="AJ411" s="411">
        <f t="shared" ref="AJ411:AJ474" si="674">+W411-AL411</f>
        <v>-27292294.610000011</v>
      </c>
      <c r="AK411" s="411">
        <f t="shared" si="615"/>
        <v>-26410406.810000017</v>
      </c>
      <c r="AL411" s="185">
        <f t="shared" si="627"/>
        <v>27292294.610000011</v>
      </c>
      <c r="AM411" s="317">
        <f t="shared" si="655"/>
        <v>32</v>
      </c>
      <c r="AN411" s="14">
        <f t="shared" si="616"/>
        <v>0</v>
      </c>
      <c r="AO411" s="14">
        <f t="shared" si="585"/>
        <v>0</v>
      </c>
      <c r="AP411" s="14">
        <f t="shared" si="617"/>
        <v>0</v>
      </c>
      <c r="AS411" s="14">
        <f t="shared" si="650"/>
        <v>0</v>
      </c>
      <c r="AT411" s="14">
        <f t="shared" si="656"/>
        <v>0</v>
      </c>
      <c r="AU411" s="185">
        <f t="shared" si="657"/>
        <v>0</v>
      </c>
      <c r="AV411" s="185">
        <f t="shared" si="658"/>
        <v>0</v>
      </c>
    </row>
    <row r="412" spans="1:48">
      <c r="A412" s="401" t="str">
        <f t="shared" si="603"/>
        <v xml:space="preserve"> </v>
      </c>
      <c r="B412" s="185">
        <f t="shared" si="597"/>
        <v>0</v>
      </c>
      <c r="C412" s="14">
        <f t="shared" si="644"/>
        <v>0</v>
      </c>
      <c r="D412" s="14">
        <f t="shared" si="659"/>
        <v>0</v>
      </c>
      <c r="E412" s="14">
        <f t="shared" si="645"/>
        <v>0</v>
      </c>
      <c r="F412" s="14">
        <f t="shared" si="604"/>
        <v>0</v>
      </c>
      <c r="G412" s="14">
        <f t="shared" si="600"/>
        <v>0</v>
      </c>
      <c r="H412" s="14">
        <f t="shared" si="601"/>
        <v>0</v>
      </c>
      <c r="I412" s="185">
        <f t="shared" si="605"/>
        <v>0</v>
      </c>
      <c r="J412" s="185">
        <f t="shared" si="606"/>
        <v>0</v>
      </c>
      <c r="K412" s="185">
        <f t="shared" si="607"/>
        <v>0</v>
      </c>
      <c r="L412" s="317">
        <f t="shared" si="587"/>
        <v>33</v>
      </c>
      <c r="M412" s="317">
        <f t="shared" si="651"/>
        <v>396</v>
      </c>
      <c r="N412" s="185">
        <f t="shared" si="652"/>
        <v>0</v>
      </c>
      <c r="O412" s="185">
        <f t="shared" si="619"/>
        <v>0</v>
      </c>
      <c r="P412" s="185">
        <f t="shared" si="660"/>
        <v>0</v>
      </c>
      <c r="Q412" s="185">
        <f t="shared" si="620"/>
        <v>0</v>
      </c>
      <c r="R412" s="185">
        <f t="shared" si="611"/>
        <v>134.16999999999999</v>
      </c>
      <c r="S412" s="185">
        <f t="shared" si="612"/>
        <v>188.55</v>
      </c>
      <c r="T412" s="185">
        <f t="shared" si="608"/>
        <v>322.72000000000003</v>
      </c>
      <c r="U412" s="185">
        <f t="shared" si="661"/>
        <v>590639.83000000007</v>
      </c>
      <c r="V412" s="185">
        <f t="shared" si="662"/>
        <v>1782210.1699999985</v>
      </c>
      <c r="W412" s="185">
        <f t="shared" si="609"/>
        <v>0</v>
      </c>
      <c r="X412" s="401" t="str">
        <f t="shared" si="653"/>
        <v xml:space="preserve"> </v>
      </c>
      <c r="Y412" s="185">
        <f t="shared" si="621"/>
        <v>27292294.610000011</v>
      </c>
      <c r="Z412" s="393">
        <f t="shared" si="646"/>
        <v>0.13125000000000001</v>
      </c>
      <c r="AA412" s="185">
        <f t="shared" si="647"/>
        <v>2810.15</v>
      </c>
      <c r="AB412" s="185">
        <f t="shared" si="622"/>
        <v>-295699.31999999995</v>
      </c>
      <c r="AC412" s="185">
        <f t="shared" si="648"/>
        <v>298509.46999999997</v>
      </c>
      <c r="AD412" s="185">
        <f t="shared" ref="AD412:AE412" si="675">+AD411</f>
        <v>134.16999999999999</v>
      </c>
      <c r="AE412" s="185">
        <f t="shared" si="675"/>
        <v>188.55</v>
      </c>
      <c r="AF412" s="185">
        <f t="shared" si="624"/>
        <v>3132.8700000000235</v>
      </c>
      <c r="AG412" s="185">
        <f t="shared" si="625"/>
        <v>-26601893.930000003</v>
      </c>
      <c r="AH412" s="185">
        <f t="shared" si="626"/>
        <v>28095666.279999994</v>
      </c>
      <c r="AI412" s="411">
        <f t="shared" si="614"/>
        <v>879077.64999999513</v>
      </c>
      <c r="AJ412" s="411">
        <f t="shared" si="674"/>
        <v>-27587993.930000011</v>
      </c>
      <c r="AK412" s="411">
        <f t="shared" si="615"/>
        <v>-26708916.280000016</v>
      </c>
      <c r="AL412" s="185">
        <f t="shared" si="627"/>
        <v>27587993.930000011</v>
      </c>
      <c r="AM412" s="317">
        <f t="shared" si="655"/>
        <v>33</v>
      </c>
      <c r="AN412" s="14">
        <f t="shared" si="616"/>
        <v>0</v>
      </c>
      <c r="AO412" s="14">
        <f t="shared" si="585"/>
        <v>0</v>
      </c>
      <c r="AP412" s="14">
        <f t="shared" si="617"/>
        <v>0</v>
      </c>
      <c r="AS412" s="14">
        <f t="shared" si="650"/>
        <v>0</v>
      </c>
      <c r="AT412" s="14">
        <f t="shared" si="656"/>
        <v>0</v>
      </c>
      <c r="AU412" s="185">
        <f t="shared" si="657"/>
        <v>0</v>
      </c>
      <c r="AV412" s="185">
        <f t="shared" si="658"/>
        <v>0</v>
      </c>
    </row>
    <row r="413" spans="1:48">
      <c r="A413" s="401" t="str">
        <f t="shared" si="603"/>
        <v xml:space="preserve"> </v>
      </c>
      <c r="B413" s="185">
        <f t="shared" si="597"/>
        <v>0</v>
      </c>
      <c r="C413" s="14">
        <f t="shared" si="644"/>
        <v>0</v>
      </c>
      <c r="D413" s="14">
        <f t="shared" si="659"/>
        <v>0</v>
      </c>
      <c r="E413" s="14">
        <f t="shared" si="645"/>
        <v>0</v>
      </c>
      <c r="F413" s="14">
        <f t="shared" si="604"/>
        <v>0</v>
      </c>
      <c r="G413" s="14">
        <f t="shared" si="600"/>
        <v>0</v>
      </c>
      <c r="H413" s="14">
        <f t="shared" si="601"/>
        <v>0</v>
      </c>
      <c r="I413" s="185">
        <f t="shared" si="605"/>
        <v>0</v>
      </c>
      <c r="J413" s="185">
        <f t="shared" si="606"/>
        <v>0</v>
      </c>
      <c r="K413" s="185">
        <f t="shared" si="607"/>
        <v>0</v>
      </c>
      <c r="L413" s="317">
        <f t="shared" si="587"/>
        <v>33</v>
      </c>
      <c r="M413" s="317">
        <f t="shared" si="651"/>
        <v>397</v>
      </c>
      <c r="N413" s="185">
        <f t="shared" si="652"/>
        <v>0</v>
      </c>
      <c r="O413" s="185">
        <f t="shared" si="619"/>
        <v>0</v>
      </c>
      <c r="P413" s="185">
        <f t="shared" si="660"/>
        <v>0</v>
      </c>
      <c r="Q413" s="185">
        <f t="shared" si="620"/>
        <v>0</v>
      </c>
      <c r="R413" s="185">
        <f t="shared" si="611"/>
        <v>134.16999999999999</v>
      </c>
      <c r="S413" s="185">
        <f t="shared" si="612"/>
        <v>188.55</v>
      </c>
      <c r="T413" s="185">
        <f t="shared" si="608"/>
        <v>322.72000000000003</v>
      </c>
      <c r="U413" s="185">
        <f t="shared" si="661"/>
        <v>590639.83000000007</v>
      </c>
      <c r="V413" s="185">
        <f t="shared" si="662"/>
        <v>1782210.1699999985</v>
      </c>
      <c r="W413" s="185">
        <f t="shared" si="609"/>
        <v>0</v>
      </c>
      <c r="X413" s="401" t="str">
        <f t="shared" si="653"/>
        <v xml:space="preserve"> </v>
      </c>
      <c r="Y413" s="185">
        <f t="shared" si="621"/>
        <v>27587993.930000011</v>
      </c>
      <c r="Z413" s="393">
        <f t="shared" si="646"/>
        <v>0.13125000000000001</v>
      </c>
      <c r="AA413" s="185">
        <f t="shared" si="647"/>
        <v>2810.15</v>
      </c>
      <c r="AB413" s="185">
        <f t="shared" si="622"/>
        <v>-298933.52999999997</v>
      </c>
      <c r="AC413" s="185">
        <f t="shared" si="648"/>
        <v>301743.68</v>
      </c>
      <c r="AD413" s="185">
        <f t="shared" ref="AD413:AE413" si="676">+AD412</f>
        <v>134.16999999999999</v>
      </c>
      <c r="AE413" s="185">
        <f t="shared" si="676"/>
        <v>188.55</v>
      </c>
      <c r="AF413" s="185">
        <f t="shared" si="624"/>
        <v>3132.8700000000235</v>
      </c>
      <c r="AG413" s="185">
        <f t="shared" si="625"/>
        <v>-26900827.460000005</v>
      </c>
      <c r="AH413" s="185">
        <f t="shared" si="626"/>
        <v>28397409.959999993</v>
      </c>
      <c r="AI413" s="411">
        <f t="shared" si="614"/>
        <v>876267.49999999511</v>
      </c>
      <c r="AJ413" s="411">
        <f t="shared" si="674"/>
        <v>-27886927.460000012</v>
      </c>
      <c r="AK413" s="411">
        <f t="shared" si="615"/>
        <v>-27010659.960000016</v>
      </c>
      <c r="AL413" s="185">
        <f t="shared" si="627"/>
        <v>27886927.460000012</v>
      </c>
      <c r="AM413" s="317">
        <f t="shared" si="655"/>
        <v>33</v>
      </c>
      <c r="AN413" s="14">
        <f t="shared" si="616"/>
        <v>0</v>
      </c>
      <c r="AO413" s="14">
        <f t="shared" si="585"/>
        <v>0</v>
      </c>
      <c r="AP413" s="14">
        <f t="shared" si="617"/>
        <v>0</v>
      </c>
      <c r="AS413" s="14">
        <f t="shared" si="650"/>
        <v>0</v>
      </c>
      <c r="AT413" s="14">
        <f t="shared" si="656"/>
        <v>0</v>
      </c>
      <c r="AU413" s="185">
        <f t="shared" si="657"/>
        <v>0</v>
      </c>
      <c r="AV413" s="185">
        <f t="shared" si="658"/>
        <v>0</v>
      </c>
    </row>
    <row r="414" spans="1:48">
      <c r="A414" s="401" t="str">
        <f t="shared" si="603"/>
        <v xml:space="preserve"> </v>
      </c>
      <c r="B414" s="185">
        <f t="shared" si="597"/>
        <v>0</v>
      </c>
      <c r="C414" s="14">
        <f t="shared" si="644"/>
        <v>0</v>
      </c>
      <c r="D414" s="14">
        <f t="shared" si="659"/>
        <v>0</v>
      </c>
      <c r="E414" s="14">
        <f t="shared" si="645"/>
        <v>0</v>
      </c>
      <c r="F414" s="14">
        <f t="shared" si="604"/>
        <v>0</v>
      </c>
      <c r="G414" s="14">
        <f t="shared" si="600"/>
        <v>0</v>
      </c>
      <c r="H414" s="14">
        <f t="shared" si="601"/>
        <v>0</v>
      </c>
      <c r="I414" s="185">
        <f t="shared" si="605"/>
        <v>0</v>
      </c>
      <c r="J414" s="185">
        <f t="shared" si="606"/>
        <v>0</v>
      </c>
      <c r="K414" s="185">
        <f t="shared" si="607"/>
        <v>0</v>
      </c>
      <c r="L414" s="317">
        <f t="shared" si="587"/>
        <v>33</v>
      </c>
      <c r="M414" s="317">
        <f t="shared" si="651"/>
        <v>398</v>
      </c>
      <c r="N414" s="185">
        <f t="shared" si="652"/>
        <v>0</v>
      </c>
      <c r="O414" s="185">
        <f t="shared" si="619"/>
        <v>0</v>
      </c>
      <c r="P414" s="185">
        <f t="shared" si="660"/>
        <v>0</v>
      </c>
      <c r="Q414" s="185">
        <f t="shared" si="620"/>
        <v>0</v>
      </c>
      <c r="R414" s="185">
        <f t="shared" si="611"/>
        <v>134.16999999999999</v>
      </c>
      <c r="S414" s="185">
        <f t="shared" si="612"/>
        <v>188.55</v>
      </c>
      <c r="T414" s="185">
        <f t="shared" si="608"/>
        <v>322.72000000000003</v>
      </c>
      <c r="U414" s="185">
        <f t="shared" si="661"/>
        <v>590639.83000000007</v>
      </c>
      <c r="V414" s="185">
        <f t="shared" si="662"/>
        <v>1782210.1699999985</v>
      </c>
      <c r="W414" s="185">
        <f t="shared" si="609"/>
        <v>0</v>
      </c>
      <c r="X414" s="401" t="str">
        <f t="shared" si="653"/>
        <v xml:space="preserve"> </v>
      </c>
      <c r="Y414" s="185">
        <f t="shared" si="621"/>
        <v>27886927.460000012</v>
      </c>
      <c r="Z414" s="393">
        <f t="shared" si="646"/>
        <v>0.13125000000000001</v>
      </c>
      <c r="AA414" s="185">
        <f t="shared" si="647"/>
        <v>2810.15</v>
      </c>
      <c r="AB414" s="185">
        <f t="shared" si="622"/>
        <v>-302203.12</v>
      </c>
      <c r="AC414" s="185">
        <f t="shared" si="648"/>
        <v>305013.27</v>
      </c>
      <c r="AD414" s="185">
        <f t="shared" ref="AD414:AE414" si="677">+AD413</f>
        <v>134.16999999999999</v>
      </c>
      <c r="AE414" s="185">
        <f t="shared" si="677"/>
        <v>188.55</v>
      </c>
      <c r="AF414" s="185">
        <f t="shared" si="624"/>
        <v>3132.8700000000235</v>
      </c>
      <c r="AG414" s="185">
        <f t="shared" si="625"/>
        <v>-27203030.580000006</v>
      </c>
      <c r="AH414" s="185">
        <f t="shared" si="626"/>
        <v>28702423.229999993</v>
      </c>
      <c r="AI414" s="411">
        <f t="shared" si="614"/>
        <v>873457.34999999509</v>
      </c>
      <c r="AJ414" s="411">
        <f t="shared" si="674"/>
        <v>-28189130.580000013</v>
      </c>
      <c r="AK414" s="411">
        <f t="shared" si="615"/>
        <v>-27315673.230000019</v>
      </c>
      <c r="AL414" s="185">
        <f t="shared" si="627"/>
        <v>28189130.580000013</v>
      </c>
      <c r="AM414" s="317">
        <f t="shared" si="655"/>
        <v>33</v>
      </c>
      <c r="AN414" s="14">
        <f t="shared" si="616"/>
        <v>0</v>
      </c>
      <c r="AO414" s="14">
        <f t="shared" si="585"/>
        <v>0</v>
      </c>
      <c r="AP414" s="14">
        <f t="shared" si="617"/>
        <v>0</v>
      </c>
      <c r="AS414" s="14">
        <f t="shared" si="650"/>
        <v>0</v>
      </c>
      <c r="AT414" s="14">
        <f t="shared" si="656"/>
        <v>0</v>
      </c>
      <c r="AU414" s="185">
        <f t="shared" si="657"/>
        <v>0</v>
      </c>
      <c r="AV414" s="185">
        <f t="shared" si="658"/>
        <v>0</v>
      </c>
    </row>
    <row r="415" spans="1:48">
      <c r="A415" s="401" t="str">
        <f t="shared" si="603"/>
        <v xml:space="preserve"> </v>
      </c>
      <c r="B415" s="185">
        <f t="shared" si="597"/>
        <v>0</v>
      </c>
      <c r="C415" s="14">
        <f t="shared" si="644"/>
        <v>0</v>
      </c>
      <c r="D415" s="14">
        <f t="shared" si="659"/>
        <v>0</v>
      </c>
      <c r="E415" s="14">
        <f t="shared" si="645"/>
        <v>0</v>
      </c>
      <c r="F415" s="14">
        <f t="shared" si="604"/>
        <v>0</v>
      </c>
      <c r="G415" s="14">
        <f t="shared" si="600"/>
        <v>0</v>
      </c>
      <c r="H415" s="14">
        <f t="shared" si="601"/>
        <v>0</v>
      </c>
      <c r="I415" s="185">
        <f t="shared" si="605"/>
        <v>0</v>
      </c>
      <c r="J415" s="185">
        <f t="shared" si="606"/>
        <v>0</v>
      </c>
      <c r="K415" s="185">
        <f t="shared" si="607"/>
        <v>0</v>
      </c>
      <c r="L415" s="317">
        <f t="shared" si="587"/>
        <v>33</v>
      </c>
      <c r="M415" s="317">
        <f t="shared" si="651"/>
        <v>399</v>
      </c>
      <c r="N415" s="185">
        <f t="shared" si="652"/>
        <v>0</v>
      </c>
      <c r="O415" s="185">
        <f t="shared" si="619"/>
        <v>0</v>
      </c>
      <c r="P415" s="185">
        <f t="shared" si="660"/>
        <v>0</v>
      </c>
      <c r="Q415" s="185">
        <f t="shared" si="620"/>
        <v>0</v>
      </c>
      <c r="R415" s="185">
        <f t="shared" si="611"/>
        <v>134.16999999999999</v>
      </c>
      <c r="S415" s="185">
        <f t="shared" si="612"/>
        <v>188.55</v>
      </c>
      <c r="T415" s="185">
        <f t="shared" si="608"/>
        <v>322.72000000000003</v>
      </c>
      <c r="U415" s="185">
        <f t="shared" si="661"/>
        <v>590639.83000000007</v>
      </c>
      <c r="V415" s="185">
        <f t="shared" si="662"/>
        <v>1782210.1699999985</v>
      </c>
      <c r="W415" s="185">
        <f t="shared" si="609"/>
        <v>0</v>
      </c>
      <c r="X415" s="401" t="str">
        <f t="shared" si="653"/>
        <v xml:space="preserve"> </v>
      </c>
      <c r="Y415" s="185">
        <f t="shared" si="621"/>
        <v>28189130.580000013</v>
      </c>
      <c r="Z415" s="393">
        <f t="shared" si="646"/>
        <v>0.13125000000000001</v>
      </c>
      <c r="AA415" s="185">
        <f t="shared" si="647"/>
        <v>2810.15</v>
      </c>
      <c r="AB415" s="185">
        <f t="shared" si="622"/>
        <v>-305508.46999999997</v>
      </c>
      <c r="AC415" s="185">
        <f t="shared" si="648"/>
        <v>308318.62</v>
      </c>
      <c r="AD415" s="185">
        <f t="shared" ref="AD415:AE415" si="678">+AD414</f>
        <v>134.16999999999999</v>
      </c>
      <c r="AE415" s="185">
        <f t="shared" si="678"/>
        <v>188.55</v>
      </c>
      <c r="AF415" s="185">
        <f t="shared" si="624"/>
        <v>3132.8700000000235</v>
      </c>
      <c r="AG415" s="185">
        <f t="shared" si="625"/>
        <v>-27508539.050000004</v>
      </c>
      <c r="AH415" s="185">
        <f t="shared" si="626"/>
        <v>29010741.849999994</v>
      </c>
      <c r="AI415" s="411">
        <f t="shared" si="614"/>
        <v>870647.19999999506</v>
      </c>
      <c r="AJ415" s="411">
        <f t="shared" si="674"/>
        <v>-28494639.050000012</v>
      </c>
      <c r="AK415" s="411">
        <f t="shared" si="615"/>
        <v>-27623991.850000016</v>
      </c>
      <c r="AL415" s="185">
        <f t="shared" si="627"/>
        <v>28494639.050000012</v>
      </c>
      <c r="AM415" s="317">
        <f t="shared" si="655"/>
        <v>33</v>
      </c>
      <c r="AN415" s="14">
        <f t="shared" si="616"/>
        <v>0</v>
      </c>
      <c r="AO415" s="14">
        <f t="shared" si="585"/>
        <v>0</v>
      </c>
      <c r="AP415" s="14">
        <f t="shared" si="617"/>
        <v>0</v>
      </c>
      <c r="AS415" s="14">
        <f t="shared" si="650"/>
        <v>0</v>
      </c>
      <c r="AT415" s="14">
        <f t="shared" si="656"/>
        <v>0</v>
      </c>
      <c r="AU415" s="185">
        <f t="shared" si="657"/>
        <v>0</v>
      </c>
      <c r="AV415" s="185">
        <f t="shared" si="658"/>
        <v>0</v>
      </c>
    </row>
    <row r="416" spans="1:48">
      <c r="A416" s="401" t="str">
        <f t="shared" si="603"/>
        <v xml:space="preserve"> </v>
      </c>
      <c r="B416" s="185">
        <f t="shared" si="597"/>
        <v>0</v>
      </c>
      <c r="C416" s="14">
        <f t="shared" si="644"/>
        <v>0</v>
      </c>
      <c r="D416" s="14">
        <f t="shared" si="659"/>
        <v>0</v>
      </c>
      <c r="E416" s="14">
        <f t="shared" si="645"/>
        <v>0</v>
      </c>
      <c r="F416" s="14">
        <f t="shared" si="604"/>
        <v>0</v>
      </c>
      <c r="G416" s="14">
        <f t="shared" si="600"/>
        <v>0</v>
      </c>
      <c r="H416" s="14">
        <f t="shared" si="601"/>
        <v>0</v>
      </c>
      <c r="I416" s="185">
        <f t="shared" si="605"/>
        <v>0</v>
      </c>
      <c r="J416" s="185">
        <f t="shared" si="606"/>
        <v>0</v>
      </c>
      <c r="K416" s="185">
        <f t="shared" si="607"/>
        <v>0</v>
      </c>
      <c r="L416" s="317">
        <f t="shared" si="587"/>
        <v>33</v>
      </c>
      <c r="M416" s="317">
        <f t="shared" si="651"/>
        <v>400</v>
      </c>
      <c r="N416" s="185">
        <f t="shared" si="652"/>
        <v>0</v>
      </c>
      <c r="O416" s="185">
        <f t="shared" si="619"/>
        <v>0</v>
      </c>
      <c r="P416" s="185">
        <f t="shared" si="660"/>
        <v>0</v>
      </c>
      <c r="Q416" s="185">
        <f t="shared" si="620"/>
        <v>0</v>
      </c>
      <c r="R416" s="185">
        <f t="shared" si="611"/>
        <v>134.16999999999999</v>
      </c>
      <c r="S416" s="185">
        <f t="shared" si="612"/>
        <v>188.55</v>
      </c>
      <c r="T416" s="185">
        <f t="shared" si="608"/>
        <v>322.72000000000003</v>
      </c>
      <c r="U416" s="185">
        <f t="shared" si="661"/>
        <v>590639.83000000007</v>
      </c>
      <c r="V416" s="185">
        <f t="shared" si="662"/>
        <v>1782210.1699999985</v>
      </c>
      <c r="W416" s="185">
        <f t="shared" si="609"/>
        <v>0</v>
      </c>
      <c r="X416" s="401" t="str">
        <f t="shared" si="653"/>
        <v xml:space="preserve"> </v>
      </c>
      <c r="Y416" s="185">
        <f t="shared" si="621"/>
        <v>28494639.050000012</v>
      </c>
      <c r="Z416" s="393">
        <f t="shared" si="646"/>
        <v>0.13125000000000001</v>
      </c>
      <c r="AA416" s="185">
        <f t="shared" si="647"/>
        <v>2810.15</v>
      </c>
      <c r="AB416" s="185">
        <f t="shared" si="622"/>
        <v>-308849.95999999996</v>
      </c>
      <c r="AC416" s="185">
        <f t="shared" si="648"/>
        <v>311660.11</v>
      </c>
      <c r="AD416" s="185">
        <f t="shared" ref="AD416:AE416" si="679">+AD415</f>
        <v>134.16999999999999</v>
      </c>
      <c r="AE416" s="185">
        <f t="shared" si="679"/>
        <v>188.55</v>
      </c>
      <c r="AF416" s="185">
        <f t="shared" si="624"/>
        <v>3132.8700000000235</v>
      </c>
      <c r="AG416" s="185">
        <f t="shared" si="625"/>
        <v>-27817389.010000005</v>
      </c>
      <c r="AH416" s="185">
        <f t="shared" si="626"/>
        <v>29322401.959999993</v>
      </c>
      <c r="AI416" s="411">
        <f t="shared" si="614"/>
        <v>867837.04999999504</v>
      </c>
      <c r="AJ416" s="411">
        <f t="shared" si="674"/>
        <v>-28803489.010000013</v>
      </c>
      <c r="AK416" s="411">
        <f t="shared" si="615"/>
        <v>-27935651.96000002</v>
      </c>
      <c r="AL416" s="185">
        <f t="shared" si="627"/>
        <v>28803489.010000013</v>
      </c>
      <c r="AM416" s="317">
        <f t="shared" si="655"/>
        <v>33</v>
      </c>
      <c r="AN416" s="14">
        <f t="shared" si="616"/>
        <v>0</v>
      </c>
      <c r="AO416" s="14">
        <f t="shared" si="585"/>
        <v>0</v>
      </c>
      <c r="AP416" s="14">
        <f t="shared" si="617"/>
        <v>0</v>
      </c>
      <c r="AS416" s="14">
        <f t="shared" si="650"/>
        <v>0</v>
      </c>
      <c r="AT416" s="14">
        <f t="shared" si="656"/>
        <v>0</v>
      </c>
      <c r="AU416" s="185">
        <f t="shared" si="657"/>
        <v>0</v>
      </c>
      <c r="AV416" s="185">
        <f t="shared" si="658"/>
        <v>0</v>
      </c>
    </row>
    <row r="417" spans="1:48">
      <c r="A417" s="401" t="str">
        <f t="shared" si="603"/>
        <v xml:space="preserve"> </v>
      </c>
      <c r="B417" s="185">
        <f t="shared" si="597"/>
        <v>0</v>
      </c>
      <c r="C417" s="14">
        <f t="shared" si="644"/>
        <v>0</v>
      </c>
      <c r="D417" s="14">
        <f t="shared" si="659"/>
        <v>0</v>
      </c>
      <c r="E417" s="14">
        <f t="shared" si="645"/>
        <v>0</v>
      </c>
      <c r="F417" s="14">
        <f t="shared" si="604"/>
        <v>0</v>
      </c>
      <c r="G417" s="14">
        <f t="shared" si="600"/>
        <v>0</v>
      </c>
      <c r="H417" s="14">
        <f t="shared" si="601"/>
        <v>0</v>
      </c>
      <c r="I417" s="185">
        <f t="shared" si="605"/>
        <v>0</v>
      </c>
      <c r="J417" s="185">
        <f t="shared" si="606"/>
        <v>0</v>
      </c>
      <c r="K417" s="185">
        <f t="shared" si="607"/>
        <v>0</v>
      </c>
      <c r="L417" s="317">
        <f t="shared" si="587"/>
        <v>33</v>
      </c>
      <c r="M417" s="317">
        <f t="shared" si="651"/>
        <v>401</v>
      </c>
      <c r="N417" s="185">
        <f t="shared" si="652"/>
        <v>0</v>
      </c>
      <c r="O417" s="185">
        <f t="shared" si="619"/>
        <v>0</v>
      </c>
      <c r="P417" s="185">
        <f t="shared" si="660"/>
        <v>0</v>
      </c>
      <c r="Q417" s="185">
        <f t="shared" si="620"/>
        <v>0</v>
      </c>
      <c r="R417" s="185">
        <f t="shared" si="611"/>
        <v>134.16999999999999</v>
      </c>
      <c r="S417" s="185">
        <f t="shared" si="612"/>
        <v>188.55</v>
      </c>
      <c r="T417" s="185">
        <f t="shared" si="608"/>
        <v>322.72000000000003</v>
      </c>
      <c r="U417" s="185">
        <f t="shared" si="661"/>
        <v>590639.83000000007</v>
      </c>
      <c r="V417" s="185">
        <f t="shared" si="662"/>
        <v>1782210.1699999985</v>
      </c>
      <c r="W417" s="185">
        <f t="shared" si="609"/>
        <v>0</v>
      </c>
      <c r="X417" s="401" t="str">
        <f t="shared" si="653"/>
        <v xml:space="preserve"> </v>
      </c>
      <c r="Y417" s="185">
        <f t="shared" si="621"/>
        <v>28803489.010000013</v>
      </c>
      <c r="Z417" s="393">
        <f t="shared" si="646"/>
        <v>0.13125000000000001</v>
      </c>
      <c r="AA417" s="185">
        <f t="shared" si="647"/>
        <v>2810.15</v>
      </c>
      <c r="AB417" s="185">
        <f t="shared" si="622"/>
        <v>-312228.00999999995</v>
      </c>
      <c r="AC417" s="185">
        <f t="shared" si="648"/>
        <v>315038.15999999997</v>
      </c>
      <c r="AD417" s="185">
        <f t="shared" ref="AD417:AE417" si="680">+AD416</f>
        <v>134.16999999999999</v>
      </c>
      <c r="AE417" s="185">
        <f t="shared" si="680"/>
        <v>188.55</v>
      </c>
      <c r="AF417" s="185">
        <f t="shared" si="624"/>
        <v>3132.8700000000235</v>
      </c>
      <c r="AG417" s="185">
        <f t="shared" si="625"/>
        <v>-28129617.020000007</v>
      </c>
      <c r="AH417" s="185">
        <f t="shared" si="626"/>
        <v>29637440.119999994</v>
      </c>
      <c r="AI417" s="411">
        <f t="shared" si="614"/>
        <v>865026.89999999502</v>
      </c>
      <c r="AJ417" s="411">
        <f t="shared" si="674"/>
        <v>-29115717.020000014</v>
      </c>
      <c r="AK417" s="411">
        <f t="shared" si="615"/>
        <v>-28250690.12000002</v>
      </c>
      <c r="AL417" s="185">
        <f t="shared" si="627"/>
        <v>29115717.020000014</v>
      </c>
      <c r="AM417" s="317">
        <f t="shared" si="655"/>
        <v>33</v>
      </c>
      <c r="AN417" s="14">
        <f t="shared" si="616"/>
        <v>0</v>
      </c>
      <c r="AO417" s="14">
        <f t="shared" si="585"/>
        <v>0</v>
      </c>
      <c r="AP417" s="14">
        <f t="shared" si="617"/>
        <v>0</v>
      </c>
      <c r="AS417" s="14">
        <f t="shared" si="650"/>
        <v>0</v>
      </c>
      <c r="AT417" s="14">
        <f t="shared" si="656"/>
        <v>0</v>
      </c>
      <c r="AU417" s="185">
        <f t="shared" si="657"/>
        <v>0</v>
      </c>
      <c r="AV417" s="185">
        <f t="shared" si="658"/>
        <v>0</v>
      </c>
    </row>
    <row r="418" spans="1:48">
      <c r="A418" s="401" t="str">
        <f t="shared" si="603"/>
        <v xml:space="preserve"> </v>
      </c>
      <c r="B418" s="185">
        <f t="shared" si="597"/>
        <v>0</v>
      </c>
      <c r="C418" s="14">
        <f t="shared" si="644"/>
        <v>0</v>
      </c>
      <c r="D418" s="14">
        <f t="shared" si="659"/>
        <v>0</v>
      </c>
      <c r="E418" s="14">
        <f t="shared" si="645"/>
        <v>0</v>
      </c>
      <c r="F418" s="14">
        <f t="shared" si="604"/>
        <v>0</v>
      </c>
      <c r="G418" s="14">
        <f t="shared" si="600"/>
        <v>0</v>
      </c>
      <c r="H418" s="14">
        <f t="shared" si="601"/>
        <v>0</v>
      </c>
      <c r="I418" s="185">
        <f t="shared" si="605"/>
        <v>0</v>
      </c>
      <c r="J418" s="185">
        <f t="shared" si="606"/>
        <v>0</v>
      </c>
      <c r="K418" s="185">
        <f t="shared" si="607"/>
        <v>0</v>
      </c>
      <c r="L418" s="317">
        <f t="shared" si="587"/>
        <v>33</v>
      </c>
      <c r="M418" s="317">
        <f t="shared" si="651"/>
        <v>402</v>
      </c>
      <c r="N418" s="185">
        <f t="shared" ref="N418:N481" si="681">IF(+W417&lt;0,0,+W417)</f>
        <v>0</v>
      </c>
      <c r="O418" s="185">
        <f t="shared" si="619"/>
        <v>0</v>
      </c>
      <c r="P418" s="185">
        <f t="shared" si="660"/>
        <v>0</v>
      </c>
      <c r="Q418" s="185">
        <f t="shared" si="620"/>
        <v>0</v>
      </c>
      <c r="R418" s="185">
        <f t="shared" si="611"/>
        <v>134.16999999999999</v>
      </c>
      <c r="S418" s="185">
        <f t="shared" si="612"/>
        <v>188.55</v>
      </c>
      <c r="T418" s="185">
        <f t="shared" si="608"/>
        <v>322.72000000000003</v>
      </c>
      <c r="U418" s="185">
        <f t="shared" si="661"/>
        <v>590639.83000000007</v>
      </c>
      <c r="V418" s="185">
        <f t="shared" si="662"/>
        <v>1782210.1699999985</v>
      </c>
      <c r="W418" s="185">
        <f t="shared" si="609"/>
        <v>0</v>
      </c>
      <c r="X418" s="401" t="str">
        <f t="shared" si="653"/>
        <v xml:space="preserve"> </v>
      </c>
      <c r="Y418" s="185">
        <f t="shared" si="621"/>
        <v>29115717.020000014</v>
      </c>
      <c r="Z418" s="393">
        <f t="shared" si="646"/>
        <v>0.13125000000000001</v>
      </c>
      <c r="AA418" s="185">
        <f t="shared" si="647"/>
        <v>2810.15</v>
      </c>
      <c r="AB418" s="185">
        <f t="shared" si="622"/>
        <v>-315643</v>
      </c>
      <c r="AC418" s="185">
        <f t="shared" si="648"/>
        <v>318453.15000000002</v>
      </c>
      <c r="AD418" s="185">
        <f t="shared" ref="AD418:AE418" si="682">+AD417</f>
        <v>134.16999999999999</v>
      </c>
      <c r="AE418" s="185">
        <f t="shared" si="682"/>
        <v>188.55</v>
      </c>
      <c r="AF418" s="185">
        <f t="shared" si="624"/>
        <v>3132.8700000000235</v>
      </c>
      <c r="AG418" s="185">
        <f t="shared" si="625"/>
        <v>-28445260.020000007</v>
      </c>
      <c r="AH418" s="185">
        <f t="shared" si="626"/>
        <v>29955893.269999992</v>
      </c>
      <c r="AI418" s="411">
        <f t="shared" si="614"/>
        <v>862216.74999999499</v>
      </c>
      <c r="AJ418" s="411">
        <f t="shared" si="674"/>
        <v>-29431360.020000014</v>
      </c>
      <c r="AK418" s="411">
        <f t="shared" si="615"/>
        <v>-28569143.270000018</v>
      </c>
      <c r="AL418" s="185">
        <f t="shared" si="627"/>
        <v>29431360.020000014</v>
      </c>
      <c r="AM418" s="317">
        <f t="shared" si="655"/>
        <v>33</v>
      </c>
      <c r="AN418" s="14">
        <f t="shared" si="616"/>
        <v>0</v>
      </c>
      <c r="AO418" s="14">
        <f t="shared" si="585"/>
        <v>0</v>
      </c>
      <c r="AP418" s="14">
        <f t="shared" si="617"/>
        <v>0</v>
      </c>
      <c r="AS418" s="14">
        <f t="shared" si="650"/>
        <v>0</v>
      </c>
      <c r="AT418" s="14">
        <f t="shared" si="656"/>
        <v>0</v>
      </c>
      <c r="AU418" s="185">
        <f t="shared" si="657"/>
        <v>0</v>
      </c>
      <c r="AV418" s="185">
        <f t="shared" si="658"/>
        <v>0</v>
      </c>
    </row>
    <row r="419" spans="1:48">
      <c r="A419" s="401" t="str">
        <f t="shared" si="603"/>
        <v xml:space="preserve"> </v>
      </c>
      <c r="B419" s="185">
        <f t="shared" si="597"/>
        <v>0</v>
      </c>
      <c r="C419" s="14">
        <f t="shared" si="644"/>
        <v>0</v>
      </c>
      <c r="D419" s="14">
        <f t="shared" si="659"/>
        <v>0</v>
      </c>
      <c r="E419" s="14">
        <f t="shared" si="645"/>
        <v>0</v>
      </c>
      <c r="F419" s="14">
        <f t="shared" si="604"/>
        <v>0</v>
      </c>
      <c r="G419" s="14">
        <f t="shared" si="600"/>
        <v>0</v>
      </c>
      <c r="H419" s="14">
        <f t="shared" si="601"/>
        <v>0</v>
      </c>
      <c r="I419" s="185">
        <f t="shared" si="605"/>
        <v>0</v>
      </c>
      <c r="J419" s="185">
        <f t="shared" si="606"/>
        <v>0</v>
      </c>
      <c r="K419" s="185">
        <f t="shared" si="607"/>
        <v>0</v>
      </c>
      <c r="L419" s="317">
        <f t="shared" si="587"/>
        <v>33</v>
      </c>
      <c r="M419" s="317">
        <f t="shared" si="651"/>
        <v>403</v>
      </c>
      <c r="N419" s="185">
        <f t="shared" si="681"/>
        <v>0</v>
      </c>
      <c r="O419" s="185">
        <f t="shared" si="619"/>
        <v>0</v>
      </c>
      <c r="P419" s="185">
        <f t="shared" si="660"/>
        <v>0</v>
      </c>
      <c r="Q419" s="185">
        <f t="shared" si="620"/>
        <v>0</v>
      </c>
      <c r="R419" s="185">
        <f t="shared" si="611"/>
        <v>134.16999999999999</v>
      </c>
      <c r="S419" s="185">
        <f t="shared" si="612"/>
        <v>188.55</v>
      </c>
      <c r="T419" s="185">
        <f t="shared" si="608"/>
        <v>322.72000000000003</v>
      </c>
      <c r="U419" s="185">
        <f t="shared" si="661"/>
        <v>590639.83000000007</v>
      </c>
      <c r="V419" s="185">
        <f t="shared" si="662"/>
        <v>1782210.1699999985</v>
      </c>
      <c r="W419" s="185">
        <f t="shared" si="609"/>
        <v>0</v>
      </c>
      <c r="X419" s="401" t="str">
        <f t="shared" si="653"/>
        <v xml:space="preserve"> </v>
      </c>
      <c r="Y419" s="185">
        <f t="shared" si="621"/>
        <v>29431360.020000014</v>
      </c>
      <c r="Z419" s="393">
        <f t="shared" si="646"/>
        <v>0.13125000000000001</v>
      </c>
      <c r="AA419" s="185">
        <f t="shared" si="647"/>
        <v>2810.15</v>
      </c>
      <c r="AB419" s="185">
        <f t="shared" si="622"/>
        <v>-319095.34999999998</v>
      </c>
      <c r="AC419" s="185">
        <f t="shared" si="648"/>
        <v>321905.5</v>
      </c>
      <c r="AD419" s="185">
        <f t="shared" ref="AD419:AE419" si="683">+AD418</f>
        <v>134.16999999999999</v>
      </c>
      <c r="AE419" s="185">
        <f t="shared" si="683"/>
        <v>188.55</v>
      </c>
      <c r="AF419" s="185">
        <f t="shared" si="624"/>
        <v>3132.8700000000235</v>
      </c>
      <c r="AG419" s="185">
        <f t="shared" si="625"/>
        <v>-28764355.370000008</v>
      </c>
      <c r="AH419" s="185">
        <f t="shared" si="626"/>
        <v>30277798.769999992</v>
      </c>
      <c r="AI419" s="411">
        <f t="shared" si="614"/>
        <v>859406.59999999497</v>
      </c>
      <c r="AJ419" s="411">
        <f t="shared" si="674"/>
        <v>-29750455.370000016</v>
      </c>
      <c r="AK419" s="411">
        <f t="shared" si="615"/>
        <v>-28891048.770000022</v>
      </c>
      <c r="AL419" s="185">
        <f t="shared" si="627"/>
        <v>29750455.370000016</v>
      </c>
      <c r="AM419" s="317">
        <f t="shared" si="655"/>
        <v>33</v>
      </c>
      <c r="AN419" s="14">
        <f t="shared" si="616"/>
        <v>0</v>
      </c>
      <c r="AO419" s="14">
        <f t="shared" si="585"/>
        <v>0</v>
      </c>
      <c r="AP419" s="14">
        <f t="shared" si="617"/>
        <v>0</v>
      </c>
      <c r="AS419" s="14">
        <f t="shared" si="650"/>
        <v>0</v>
      </c>
      <c r="AT419" s="14">
        <f t="shared" si="656"/>
        <v>0</v>
      </c>
      <c r="AU419" s="185">
        <f t="shared" si="657"/>
        <v>0</v>
      </c>
      <c r="AV419" s="185">
        <f t="shared" si="658"/>
        <v>0</v>
      </c>
    </row>
    <row r="420" spans="1:48">
      <c r="A420" s="401" t="str">
        <f t="shared" si="603"/>
        <v xml:space="preserve"> </v>
      </c>
      <c r="B420" s="185">
        <f t="shared" si="597"/>
        <v>0</v>
      </c>
      <c r="C420" s="14">
        <f t="shared" si="644"/>
        <v>0</v>
      </c>
      <c r="D420" s="14">
        <f t="shared" si="659"/>
        <v>0</v>
      </c>
      <c r="E420" s="14">
        <f t="shared" si="645"/>
        <v>0</v>
      </c>
      <c r="F420" s="14">
        <f t="shared" si="604"/>
        <v>0</v>
      </c>
      <c r="G420" s="14">
        <f t="shared" si="600"/>
        <v>0</v>
      </c>
      <c r="H420" s="14">
        <f t="shared" si="601"/>
        <v>0</v>
      </c>
      <c r="I420" s="185">
        <f t="shared" si="605"/>
        <v>0</v>
      </c>
      <c r="J420" s="185">
        <f t="shared" si="606"/>
        <v>0</v>
      </c>
      <c r="K420" s="185">
        <f t="shared" si="607"/>
        <v>0</v>
      </c>
      <c r="L420" s="317">
        <f t="shared" si="587"/>
        <v>33</v>
      </c>
      <c r="M420" s="317">
        <f t="shared" si="651"/>
        <v>404</v>
      </c>
      <c r="N420" s="185">
        <f t="shared" si="681"/>
        <v>0</v>
      </c>
      <c r="O420" s="185">
        <f t="shared" si="619"/>
        <v>0</v>
      </c>
      <c r="P420" s="185">
        <f t="shared" si="660"/>
        <v>0</v>
      </c>
      <c r="Q420" s="185">
        <f t="shared" si="620"/>
        <v>0</v>
      </c>
      <c r="R420" s="185">
        <f t="shared" si="611"/>
        <v>134.16999999999999</v>
      </c>
      <c r="S420" s="185">
        <f t="shared" si="612"/>
        <v>188.55</v>
      </c>
      <c r="T420" s="185">
        <f t="shared" si="608"/>
        <v>322.72000000000003</v>
      </c>
      <c r="U420" s="185">
        <f t="shared" si="661"/>
        <v>590639.83000000007</v>
      </c>
      <c r="V420" s="185">
        <f t="shared" si="662"/>
        <v>1782210.1699999985</v>
      </c>
      <c r="W420" s="185">
        <f t="shared" si="609"/>
        <v>0</v>
      </c>
      <c r="X420" s="401" t="str">
        <f t="shared" si="653"/>
        <v xml:space="preserve"> </v>
      </c>
      <c r="Y420" s="185">
        <f t="shared" si="621"/>
        <v>29750455.370000016</v>
      </c>
      <c r="Z420" s="393">
        <f t="shared" si="646"/>
        <v>0.13125000000000001</v>
      </c>
      <c r="AA420" s="185">
        <f t="shared" si="647"/>
        <v>2810.15</v>
      </c>
      <c r="AB420" s="185">
        <f t="shared" si="622"/>
        <v>-322585.45999999996</v>
      </c>
      <c r="AC420" s="185">
        <f t="shared" si="648"/>
        <v>325395.61</v>
      </c>
      <c r="AD420" s="185">
        <f t="shared" ref="AD420:AE420" si="684">+AD419</f>
        <v>134.16999999999999</v>
      </c>
      <c r="AE420" s="185">
        <f t="shared" si="684"/>
        <v>188.55</v>
      </c>
      <c r="AF420" s="185">
        <f t="shared" si="624"/>
        <v>3132.8700000000235</v>
      </c>
      <c r="AG420" s="185">
        <f t="shared" si="625"/>
        <v>-29086940.830000009</v>
      </c>
      <c r="AH420" s="185">
        <f t="shared" si="626"/>
        <v>30603194.379999992</v>
      </c>
      <c r="AI420" s="411">
        <f t="shared" si="614"/>
        <v>856596.44999999495</v>
      </c>
      <c r="AJ420" s="411">
        <f t="shared" si="674"/>
        <v>-30073040.830000017</v>
      </c>
      <c r="AK420" s="411">
        <f t="shared" si="615"/>
        <v>-29216444.380000021</v>
      </c>
      <c r="AL420" s="185">
        <f>+Y420-AB420</f>
        <v>30073040.830000017</v>
      </c>
      <c r="AM420" s="317">
        <f t="shared" si="655"/>
        <v>33</v>
      </c>
      <c r="AN420" s="14">
        <f t="shared" si="616"/>
        <v>0</v>
      </c>
      <c r="AO420" s="14">
        <f t="shared" si="585"/>
        <v>0</v>
      </c>
      <c r="AP420" s="14">
        <f t="shared" si="617"/>
        <v>0</v>
      </c>
      <c r="AS420" s="14">
        <f t="shared" si="650"/>
        <v>0</v>
      </c>
      <c r="AT420" s="14">
        <f t="shared" si="656"/>
        <v>0</v>
      </c>
      <c r="AU420" s="185">
        <f t="shared" si="657"/>
        <v>0</v>
      </c>
      <c r="AV420" s="185">
        <f t="shared" si="658"/>
        <v>0</v>
      </c>
    </row>
    <row r="421" spans="1:48">
      <c r="A421" s="401" t="str">
        <f t="shared" si="603"/>
        <v xml:space="preserve"> </v>
      </c>
      <c r="B421" s="185">
        <f t="shared" si="597"/>
        <v>0</v>
      </c>
      <c r="C421" s="14">
        <f t="shared" si="644"/>
        <v>0</v>
      </c>
      <c r="D421" s="14">
        <f t="shared" si="659"/>
        <v>0</v>
      </c>
      <c r="E421" s="14">
        <f t="shared" si="645"/>
        <v>0</v>
      </c>
      <c r="F421" s="14">
        <f t="shared" si="604"/>
        <v>0</v>
      </c>
      <c r="G421" s="14">
        <f t="shared" si="600"/>
        <v>0</v>
      </c>
      <c r="H421" s="14">
        <f t="shared" si="601"/>
        <v>0</v>
      </c>
      <c r="I421" s="185">
        <f t="shared" si="605"/>
        <v>0</v>
      </c>
      <c r="J421" s="185">
        <f t="shared" si="606"/>
        <v>0</v>
      </c>
      <c r="K421" s="185">
        <f t="shared" si="607"/>
        <v>0</v>
      </c>
      <c r="L421" s="317">
        <f t="shared" si="587"/>
        <v>33</v>
      </c>
      <c r="M421" s="317">
        <f t="shared" si="651"/>
        <v>405</v>
      </c>
      <c r="N421" s="185">
        <f t="shared" si="681"/>
        <v>0</v>
      </c>
      <c r="O421" s="185">
        <f t="shared" si="619"/>
        <v>0</v>
      </c>
      <c r="P421" s="185">
        <f t="shared" si="660"/>
        <v>0</v>
      </c>
      <c r="Q421" s="185">
        <f t="shared" si="620"/>
        <v>0</v>
      </c>
      <c r="R421" s="185">
        <f t="shared" si="611"/>
        <v>134.16999999999999</v>
      </c>
      <c r="S421" s="185">
        <f t="shared" si="612"/>
        <v>188.55</v>
      </c>
      <c r="T421" s="185">
        <f t="shared" si="608"/>
        <v>322.72000000000003</v>
      </c>
      <c r="U421" s="185">
        <f t="shared" si="661"/>
        <v>590639.83000000007</v>
      </c>
      <c r="V421" s="185">
        <f t="shared" si="662"/>
        <v>1782210.1699999985</v>
      </c>
      <c r="W421" s="185">
        <f t="shared" si="609"/>
        <v>0</v>
      </c>
      <c r="X421" s="401" t="str">
        <f t="shared" si="653"/>
        <v xml:space="preserve"> </v>
      </c>
      <c r="Y421" s="185">
        <f t="shared" si="621"/>
        <v>30073040.830000017</v>
      </c>
      <c r="Z421" s="393">
        <f t="shared" si="646"/>
        <v>0.13125000000000001</v>
      </c>
      <c r="AA421" s="185">
        <f t="shared" si="647"/>
        <v>2810.15</v>
      </c>
      <c r="AB421" s="185">
        <f t="shared" si="622"/>
        <v>-326113.73</v>
      </c>
      <c r="AC421" s="185">
        <f t="shared" si="648"/>
        <v>328923.88</v>
      </c>
      <c r="AD421" s="185">
        <f t="shared" ref="AD421:AE421" si="685">+AD420</f>
        <v>134.16999999999999</v>
      </c>
      <c r="AE421" s="185">
        <f t="shared" si="685"/>
        <v>188.55</v>
      </c>
      <c r="AF421" s="185">
        <f t="shared" si="624"/>
        <v>3132.8700000000235</v>
      </c>
      <c r="AG421" s="185">
        <f t="shared" si="625"/>
        <v>-29413054.56000001</v>
      </c>
      <c r="AH421" s="185">
        <f t="shared" si="626"/>
        <v>30932118.25999999</v>
      </c>
      <c r="AI421" s="411">
        <f t="shared" si="614"/>
        <v>853786.29999999492</v>
      </c>
      <c r="AJ421" s="411">
        <f t="shared" si="674"/>
        <v>-30399154.560000017</v>
      </c>
      <c r="AK421" s="411">
        <f t="shared" si="615"/>
        <v>-29545368.260000024</v>
      </c>
      <c r="AL421" s="185">
        <f t="shared" si="627"/>
        <v>30399154.560000017</v>
      </c>
      <c r="AM421" s="317">
        <f t="shared" si="655"/>
        <v>33</v>
      </c>
      <c r="AN421" s="14">
        <f t="shared" si="616"/>
        <v>0</v>
      </c>
      <c r="AO421" s="14">
        <f t="shared" si="585"/>
        <v>0</v>
      </c>
      <c r="AP421" s="14">
        <f t="shared" si="617"/>
        <v>0</v>
      </c>
      <c r="AS421" s="14">
        <f t="shared" si="650"/>
        <v>0</v>
      </c>
      <c r="AT421" s="14">
        <f t="shared" si="656"/>
        <v>0</v>
      </c>
      <c r="AU421" s="185">
        <f t="shared" si="657"/>
        <v>0</v>
      </c>
      <c r="AV421" s="185">
        <f t="shared" si="658"/>
        <v>0</v>
      </c>
    </row>
    <row r="422" spans="1:48" ht="15.75" thickBot="1">
      <c r="A422" s="404" t="str">
        <f t="shared" si="603"/>
        <v xml:space="preserve"> </v>
      </c>
      <c r="B422" s="237">
        <f t="shared" si="597"/>
        <v>0</v>
      </c>
      <c r="C422" s="21">
        <f t="shared" si="644"/>
        <v>0</v>
      </c>
      <c r="D422" s="21">
        <f t="shared" si="659"/>
        <v>0</v>
      </c>
      <c r="E422" s="21">
        <f t="shared" si="645"/>
        <v>0</v>
      </c>
      <c r="F422" s="21">
        <f t="shared" si="604"/>
        <v>0</v>
      </c>
      <c r="G422" s="21">
        <f t="shared" si="600"/>
        <v>0</v>
      </c>
      <c r="H422" s="21">
        <f t="shared" si="601"/>
        <v>0</v>
      </c>
      <c r="I422" s="237">
        <f t="shared" si="605"/>
        <v>0</v>
      </c>
      <c r="J422" s="237">
        <f t="shared" si="606"/>
        <v>0</v>
      </c>
      <c r="K422" s="237">
        <f t="shared" si="607"/>
        <v>0</v>
      </c>
      <c r="L422" s="318">
        <f t="shared" si="587"/>
        <v>33</v>
      </c>
      <c r="M422" s="318">
        <f t="shared" si="651"/>
        <v>406</v>
      </c>
      <c r="N422" s="237">
        <f t="shared" si="681"/>
        <v>0</v>
      </c>
      <c r="O422" s="237">
        <f t="shared" si="619"/>
        <v>0</v>
      </c>
      <c r="P422" s="237">
        <f t="shared" si="660"/>
        <v>0</v>
      </c>
      <c r="Q422" s="237">
        <f t="shared" si="620"/>
        <v>0</v>
      </c>
      <c r="R422" s="237">
        <f t="shared" si="611"/>
        <v>134.16999999999999</v>
      </c>
      <c r="S422" s="237">
        <f t="shared" si="612"/>
        <v>188.55</v>
      </c>
      <c r="T422" s="237">
        <f t="shared" si="608"/>
        <v>322.72000000000003</v>
      </c>
      <c r="U422" s="237">
        <f t="shared" si="661"/>
        <v>590639.83000000007</v>
      </c>
      <c r="V422" s="237">
        <f t="shared" si="662"/>
        <v>1782210.1699999985</v>
      </c>
      <c r="W422" s="237">
        <f t="shared" si="609"/>
        <v>0</v>
      </c>
      <c r="X422" s="404" t="str">
        <f t="shared" si="653"/>
        <v xml:space="preserve"> </v>
      </c>
      <c r="Y422" s="237">
        <f t="shared" si="621"/>
        <v>30399154.560000017</v>
      </c>
      <c r="Z422" s="394">
        <f t="shared" si="646"/>
        <v>0.13125000000000001</v>
      </c>
      <c r="AA422" s="237">
        <f t="shared" si="647"/>
        <v>2810.15</v>
      </c>
      <c r="AB422" s="237">
        <f t="shared" si="622"/>
        <v>-329680.59999999998</v>
      </c>
      <c r="AC422" s="237">
        <f t="shared" si="648"/>
        <v>332490.75</v>
      </c>
      <c r="AD422" s="237">
        <f t="shared" ref="AD422:AE422" si="686">+AD421</f>
        <v>134.16999999999999</v>
      </c>
      <c r="AE422" s="237">
        <f t="shared" si="686"/>
        <v>188.55</v>
      </c>
      <c r="AF422" s="237">
        <f t="shared" si="624"/>
        <v>3132.8700000000235</v>
      </c>
      <c r="AG422" s="237">
        <f t="shared" si="625"/>
        <v>-29742735.160000011</v>
      </c>
      <c r="AH422" s="237">
        <f t="shared" si="626"/>
        <v>31264609.00999999</v>
      </c>
      <c r="AI422" s="412">
        <f t="shared" si="614"/>
        <v>850976.1499999949</v>
      </c>
      <c r="AJ422" s="412">
        <f t="shared" si="674"/>
        <v>-30728835.160000019</v>
      </c>
      <c r="AK422" s="411">
        <f t="shared" si="615"/>
        <v>-29877859.010000024</v>
      </c>
      <c r="AL422" s="237">
        <f t="shared" si="627"/>
        <v>30728835.160000019</v>
      </c>
      <c r="AM422" s="318">
        <f t="shared" si="655"/>
        <v>33</v>
      </c>
      <c r="AN422" s="21">
        <f t="shared" si="616"/>
        <v>0</v>
      </c>
      <c r="AO422" s="21">
        <f t="shared" si="585"/>
        <v>0</v>
      </c>
      <c r="AP422" s="21">
        <f t="shared" si="617"/>
        <v>0</v>
      </c>
      <c r="AQ422" s="21"/>
      <c r="AR422" s="23"/>
      <c r="AS422" s="21">
        <f t="shared" si="650"/>
        <v>0</v>
      </c>
      <c r="AT422" s="21">
        <f t="shared" si="656"/>
        <v>0</v>
      </c>
      <c r="AU422" s="237">
        <f t="shared" si="657"/>
        <v>0</v>
      </c>
      <c r="AV422" s="237">
        <f t="shared" si="658"/>
        <v>0</v>
      </c>
    </row>
    <row r="423" spans="1:48">
      <c r="A423" s="401" t="str">
        <f t="shared" si="603"/>
        <v xml:space="preserve"> </v>
      </c>
      <c r="B423" s="185">
        <f t="shared" si="597"/>
        <v>0</v>
      </c>
      <c r="C423" s="14">
        <f t="shared" si="644"/>
        <v>0</v>
      </c>
      <c r="D423" s="14">
        <f t="shared" si="659"/>
        <v>0</v>
      </c>
      <c r="E423" s="14">
        <f t="shared" si="645"/>
        <v>0</v>
      </c>
      <c r="F423" s="14">
        <f t="shared" si="604"/>
        <v>0</v>
      </c>
      <c r="G423" s="14">
        <f t="shared" si="600"/>
        <v>0</v>
      </c>
      <c r="H423" s="14">
        <f t="shared" si="601"/>
        <v>0</v>
      </c>
      <c r="I423" s="185">
        <f t="shared" si="605"/>
        <v>0</v>
      </c>
      <c r="J423" s="185">
        <f t="shared" si="606"/>
        <v>0</v>
      </c>
      <c r="K423" s="185">
        <f t="shared" si="607"/>
        <v>0</v>
      </c>
      <c r="L423" s="317">
        <f t="shared" si="587"/>
        <v>33</v>
      </c>
      <c r="M423" s="317">
        <f t="shared" si="651"/>
        <v>407</v>
      </c>
      <c r="N423" s="185">
        <f t="shared" si="681"/>
        <v>0</v>
      </c>
      <c r="O423" s="185">
        <f t="shared" si="619"/>
        <v>0</v>
      </c>
      <c r="P423" s="185">
        <f t="shared" si="660"/>
        <v>0</v>
      </c>
      <c r="Q423" s="185">
        <f t="shared" si="620"/>
        <v>0</v>
      </c>
      <c r="R423" s="185">
        <f t="shared" si="611"/>
        <v>134.16999999999999</v>
      </c>
      <c r="S423" s="185">
        <f t="shared" si="612"/>
        <v>188.55</v>
      </c>
      <c r="T423" s="185">
        <f t="shared" si="608"/>
        <v>322.72000000000003</v>
      </c>
      <c r="U423" s="185">
        <f t="shared" si="661"/>
        <v>590639.83000000007</v>
      </c>
      <c r="V423" s="185">
        <f t="shared" si="662"/>
        <v>1782210.1699999985</v>
      </c>
      <c r="W423" s="185">
        <f t="shared" si="609"/>
        <v>0</v>
      </c>
      <c r="X423" s="401" t="str">
        <f t="shared" si="653"/>
        <v xml:space="preserve"> </v>
      </c>
      <c r="Y423" s="185">
        <f t="shared" si="621"/>
        <v>30728835.160000019</v>
      </c>
      <c r="Z423" s="393">
        <f t="shared" si="646"/>
        <v>0.13125000000000001</v>
      </c>
      <c r="AA423" s="185">
        <f t="shared" si="647"/>
        <v>2810.15</v>
      </c>
      <c r="AB423" s="185">
        <f t="shared" si="622"/>
        <v>-333286.48</v>
      </c>
      <c r="AC423" s="185">
        <f t="shared" si="648"/>
        <v>336096.63</v>
      </c>
      <c r="AD423" s="185">
        <f t="shared" ref="AD423:AE423" si="687">+AD422</f>
        <v>134.16999999999999</v>
      </c>
      <c r="AE423" s="185">
        <f t="shared" si="687"/>
        <v>188.55</v>
      </c>
      <c r="AF423" s="185">
        <f t="shared" si="624"/>
        <v>3132.8700000000235</v>
      </c>
      <c r="AG423" s="185">
        <f t="shared" si="625"/>
        <v>-30076021.640000012</v>
      </c>
      <c r="AH423" s="185">
        <f t="shared" si="626"/>
        <v>31600705.639999989</v>
      </c>
      <c r="AI423" s="411">
        <f t="shared" si="614"/>
        <v>848165.99999999488</v>
      </c>
      <c r="AJ423" s="411">
        <f t="shared" si="674"/>
        <v>-31062121.640000019</v>
      </c>
      <c r="AK423" s="411">
        <f t="shared" si="615"/>
        <v>-30213955.640000023</v>
      </c>
      <c r="AL423" s="185">
        <f t="shared" si="627"/>
        <v>31062121.640000019</v>
      </c>
      <c r="AM423" s="317">
        <f t="shared" si="655"/>
        <v>33</v>
      </c>
      <c r="AN423" s="14">
        <f t="shared" si="616"/>
        <v>0</v>
      </c>
      <c r="AO423" s="14">
        <f t="shared" si="585"/>
        <v>0</v>
      </c>
      <c r="AP423" s="14">
        <f t="shared" si="617"/>
        <v>0</v>
      </c>
      <c r="AS423" s="14">
        <f t="shared" si="650"/>
        <v>0</v>
      </c>
      <c r="AT423" s="14">
        <f t="shared" si="656"/>
        <v>0</v>
      </c>
      <c r="AU423" s="185">
        <f t="shared" si="657"/>
        <v>0</v>
      </c>
      <c r="AV423" s="185">
        <f t="shared" si="658"/>
        <v>0</v>
      </c>
    </row>
    <row r="424" spans="1:48">
      <c r="A424" s="401" t="str">
        <f t="shared" si="603"/>
        <v xml:space="preserve"> </v>
      </c>
      <c r="B424" s="185">
        <f t="shared" si="597"/>
        <v>0</v>
      </c>
      <c r="C424" s="14">
        <f t="shared" si="644"/>
        <v>0</v>
      </c>
      <c r="D424" s="14">
        <f t="shared" si="659"/>
        <v>0</v>
      </c>
      <c r="E424" s="14">
        <f t="shared" si="645"/>
        <v>0</v>
      </c>
      <c r="F424" s="14">
        <f t="shared" si="604"/>
        <v>0</v>
      </c>
      <c r="G424" s="14">
        <f t="shared" si="600"/>
        <v>0</v>
      </c>
      <c r="H424" s="14">
        <f t="shared" si="601"/>
        <v>0</v>
      </c>
      <c r="I424" s="185">
        <f t="shared" si="605"/>
        <v>0</v>
      </c>
      <c r="J424" s="185">
        <f t="shared" si="606"/>
        <v>0</v>
      </c>
      <c r="K424" s="185">
        <f t="shared" si="607"/>
        <v>0</v>
      </c>
      <c r="L424" s="317">
        <f t="shared" si="587"/>
        <v>34</v>
      </c>
      <c r="M424" s="317">
        <f t="shared" si="651"/>
        <v>408</v>
      </c>
      <c r="N424" s="185">
        <f t="shared" si="681"/>
        <v>0</v>
      </c>
      <c r="O424" s="185">
        <f t="shared" si="619"/>
        <v>0</v>
      </c>
      <c r="P424" s="185">
        <f t="shared" si="660"/>
        <v>0</v>
      </c>
      <c r="Q424" s="185">
        <f t="shared" si="620"/>
        <v>0</v>
      </c>
      <c r="R424" s="185">
        <f t="shared" si="611"/>
        <v>134.16999999999999</v>
      </c>
      <c r="S424" s="185">
        <f t="shared" si="612"/>
        <v>188.55</v>
      </c>
      <c r="T424" s="185">
        <f t="shared" si="608"/>
        <v>322.72000000000003</v>
      </c>
      <c r="U424" s="185">
        <f t="shared" si="661"/>
        <v>590639.83000000007</v>
      </c>
      <c r="V424" s="185">
        <f t="shared" si="662"/>
        <v>1782210.1699999985</v>
      </c>
      <c r="W424" s="185">
        <f t="shared" si="609"/>
        <v>0</v>
      </c>
      <c r="X424" s="401" t="str">
        <f t="shared" si="653"/>
        <v xml:space="preserve"> </v>
      </c>
      <c r="Y424" s="185">
        <f t="shared" si="621"/>
        <v>31062121.640000019</v>
      </c>
      <c r="Z424" s="393">
        <f t="shared" si="646"/>
        <v>0.13125000000000001</v>
      </c>
      <c r="AA424" s="185">
        <f t="shared" si="647"/>
        <v>2810.15</v>
      </c>
      <c r="AB424" s="185">
        <f t="shared" si="622"/>
        <v>-336931.81</v>
      </c>
      <c r="AC424" s="185">
        <f t="shared" si="648"/>
        <v>339741.96</v>
      </c>
      <c r="AD424" s="185">
        <f t="shared" ref="AD424:AE424" si="688">+AD423</f>
        <v>134.16999999999999</v>
      </c>
      <c r="AE424" s="185">
        <f t="shared" si="688"/>
        <v>188.55</v>
      </c>
      <c r="AF424" s="185">
        <f t="shared" si="624"/>
        <v>3132.8700000000235</v>
      </c>
      <c r="AG424" s="185">
        <f t="shared" si="625"/>
        <v>-30412953.45000001</v>
      </c>
      <c r="AH424" s="185">
        <f t="shared" si="626"/>
        <v>31940447.59999999</v>
      </c>
      <c r="AI424" s="411">
        <f t="shared" si="614"/>
        <v>845355.84999999485</v>
      </c>
      <c r="AJ424" s="411">
        <f t="shared" si="674"/>
        <v>-31399053.450000018</v>
      </c>
      <c r="AK424" s="411">
        <f t="shared" si="615"/>
        <v>-30553697.600000024</v>
      </c>
      <c r="AL424" s="185">
        <f t="shared" si="627"/>
        <v>31399053.450000018</v>
      </c>
      <c r="AM424" s="317">
        <f t="shared" si="655"/>
        <v>34</v>
      </c>
      <c r="AN424" s="14">
        <f t="shared" si="616"/>
        <v>0</v>
      </c>
      <c r="AO424" s="14">
        <f t="shared" si="585"/>
        <v>0</v>
      </c>
      <c r="AP424" s="14">
        <f t="shared" si="617"/>
        <v>0</v>
      </c>
      <c r="AS424" s="14">
        <f t="shared" si="650"/>
        <v>0</v>
      </c>
      <c r="AT424" s="14">
        <f t="shared" si="656"/>
        <v>0</v>
      </c>
      <c r="AU424" s="185">
        <f t="shared" si="657"/>
        <v>0</v>
      </c>
      <c r="AV424" s="185">
        <f t="shared" si="658"/>
        <v>0</v>
      </c>
    </row>
    <row r="425" spans="1:48">
      <c r="A425" s="401" t="str">
        <f t="shared" si="603"/>
        <v xml:space="preserve"> </v>
      </c>
      <c r="B425" s="185">
        <f t="shared" si="597"/>
        <v>0</v>
      </c>
      <c r="C425" s="14">
        <f t="shared" si="644"/>
        <v>0</v>
      </c>
      <c r="D425" s="14">
        <f t="shared" si="659"/>
        <v>0</v>
      </c>
      <c r="E425" s="14">
        <f t="shared" si="645"/>
        <v>0</v>
      </c>
      <c r="F425" s="14">
        <f t="shared" si="604"/>
        <v>0</v>
      </c>
      <c r="G425" s="14">
        <f t="shared" si="600"/>
        <v>0</v>
      </c>
      <c r="H425" s="14">
        <f t="shared" si="601"/>
        <v>0</v>
      </c>
      <c r="I425" s="185">
        <f t="shared" si="605"/>
        <v>0</v>
      </c>
      <c r="J425" s="185">
        <f t="shared" si="606"/>
        <v>0</v>
      </c>
      <c r="K425" s="185">
        <f t="shared" si="607"/>
        <v>0</v>
      </c>
      <c r="L425" s="317">
        <f t="shared" si="587"/>
        <v>34</v>
      </c>
      <c r="M425" s="317">
        <f t="shared" si="651"/>
        <v>409</v>
      </c>
      <c r="N425" s="185">
        <f t="shared" si="681"/>
        <v>0</v>
      </c>
      <c r="O425" s="185">
        <f t="shared" si="619"/>
        <v>0</v>
      </c>
      <c r="P425" s="185">
        <f t="shared" si="660"/>
        <v>0</v>
      </c>
      <c r="Q425" s="185">
        <f t="shared" si="620"/>
        <v>0</v>
      </c>
      <c r="R425" s="185">
        <f t="shared" si="611"/>
        <v>134.16999999999999</v>
      </c>
      <c r="S425" s="185">
        <f t="shared" si="612"/>
        <v>188.55</v>
      </c>
      <c r="T425" s="185">
        <f t="shared" si="608"/>
        <v>322.72000000000003</v>
      </c>
      <c r="U425" s="185">
        <f t="shared" si="661"/>
        <v>590639.83000000007</v>
      </c>
      <c r="V425" s="185">
        <f t="shared" si="662"/>
        <v>1782210.1699999985</v>
      </c>
      <c r="W425" s="185">
        <f t="shared" si="609"/>
        <v>0</v>
      </c>
      <c r="X425" s="401" t="str">
        <f t="shared" si="653"/>
        <v xml:space="preserve"> </v>
      </c>
      <c r="Y425" s="185">
        <f t="shared" si="621"/>
        <v>31399053.450000018</v>
      </c>
      <c r="Z425" s="393">
        <f t="shared" si="646"/>
        <v>0.13125000000000001</v>
      </c>
      <c r="AA425" s="185">
        <f t="shared" si="647"/>
        <v>2810.15</v>
      </c>
      <c r="AB425" s="185">
        <f t="shared" si="622"/>
        <v>-340617</v>
      </c>
      <c r="AC425" s="185">
        <f t="shared" si="648"/>
        <v>343427.15</v>
      </c>
      <c r="AD425" s="185">
        <f t="shared" ref="AD425:AE425" si="689">+AD424</f>
        <v>134.16999999999999</v>
      </c>
      <c r="AE425" s="185">
        <f t="shared" si="689"/>
        <v>188.55</v>
      </c>
      <c r="AF425" s="185">
        <f t="shared" si="624"/>
        <v>3132.8700000000235</v>
      </c>
      <c r="AG425" s="185">
        <f t="shared" si="625"/>
        <v>-30753570.45000001</v>
      </c>
      <c r="AH425" s="185">
        <f t="shared" si="626"/>
        <v>32283874.749999989</v>
      </c>
      <c r="AI425" s="411">
        <f t="shared" si="614"/>
        <v>842545.69999999483</v>
      </c>
      <c r="AJ425" s="411">
        <f t="shared" si="674"/>
        <v>-31739670.450000018</v>
      </c>
      <c r="AK425" s="411">
        <f t="shared" si="615"/>
        <v>-30897124.750000022</v>
      </c>
      <c r="AL425" s="185">
        <f t="shared" si="627"/>
        <v>31739670.450000018</v>
      </c>
      <c r="AM425" s="317">
        <f t="shared" si="655"/>
        <v>34</v>
      </c>
      <c r="AN425" s="14">
        <f t="shared" si="616"/>
        <v>0</v>
      </c>
      <c r="AO425" s="14">
        <f t="shared" si="585"/>
        <v>0</v>
      </c>
      <c r="AP425" s="14">
        <f t="shared" si="617"/>
        <v>0</v>
      </c>
      <c r="AS425" s="14">
        <f t="shared" si="650"/>
        <v>0</v>
      </c>
      <c r="AT425" s="14">
        <f t="shared" si="656"/>
        <v>0</v>
      </c>
      <c r="AU425" s="185">
        <f t="shared" si="657"/>
        <v>0</v>
      </c>
      <c r="AV425" s="185">
        <f t="shared" si="658"/>
        <v>0</v>
      </c>
    </row>
    <row r="426" spans="1:48">
      <c r="A426" s="401" t="str">
        <f t="shared" si="603"/>
        <v xml:space="preserve"> </v>
      </c>
      <c r="B426" s="185">
        <f t="shared" si="597"/>
        <v>0</v>
      </c>
      <c r="C426" s="14">
        <f t="shared" si="644"/>
        <v>0</v>
      </c>
      <c r="D426" s="14">
        <f t="shared" si="659"/>
        <v>0</v>
      </c>
      <c r="E426" s="14">
        <f t="shared" si="645"/>
        <v>0</v>
      </c>
      <c r="F426" s="14">
        <f t="shared" si="604"/>
        <v>0</v>
      </c>
      <c r="G426" s="14">
        <f t="shared" si="600"/>
        <v>0</v>
      </c>
      <c r="H426" s="14">
        <f t="shared" si="601"/>
        <v>0</v>
      </c>
      <c r="I426" s="185">
        <f t="shared" si="605"/>
        <v>0</v>
      </c>
      <c r="J426" s="185">
        <f t="shared" si="606"/>
        <v>0</v>
      </c>
      <c r="K426" s="185">
        <f t="shared" si="607"/>
        <v>0</v>
      </c>
      <c r="L426" s="317">
        <f t="shared" si="587"/>
        <v>34</v>
      </c>
      <c r="M426" s="317">
        <f t="shared" si="651"/>
        <v>410</v>
      </c>
      <c r="N426" s="185">
        <f t="shared" si="681"/>
        <v>0</v>
      </c>
      <c r="O426" s="185">
        <f t="shared" si="619"/>
        <v>0</v>
      </c>
      <c r="P426" s="185">
        <f t="shared" si="660"/>
        <v>0</v>
      </c>
      <c r="Q426" s="185">
        <f t="shared" si="620"/>
        <v>0</v>
      </c>
      <c r="R426" s="185">
        <f t="shared" si="611"/>
        <v>134.16999999999999</v>
      </c>
      <c r="S426" s="185">
        <f t="shared" si="612"/>
        <v>188.55</v>
      </c>
      <c r="T426" s="185">
        <f t="shared" si="608"/>
        <v>322.72000000000003</v>
      </c>
      <c r="U426" s="185">
        <f t="shared" si="661"/>
        <v>590639.83000000007</v>
      </c>
      <c r="V426" s="185">
        <f t="shared" si="662"/>
        <v>1782210.1699999985</v>
      </c>
      <c r="W426" s="185">
        <f t="shared" si="609"/>
        <v>0</v>
      </c>
      <c r="X426" s="401" t="str">
        <f t="shared" si="653"/>
        <v xml:space="preserve"> </v>
      </c>
      <c r="Y426" s="185">
        <f t="shared" si="621"/>
        <v>31739670.450000018</v>
      </c>
      <c r="Z426" s="393">
        <f t="shared" si="646"/>
        <v>0.13125000000000001</v>
      </c>
      <c r="AA426" s="185">
        <f t="shared" si="647"/>
        <v>2810.15</v>
      </c>
      <c r="AB426" s="185">
        <f t="shared" si="622"/>
        <v>-344342.5</v>
      </c>
      <c r="AC426" s="185">
        <f t="shared" si="648"/>
        <v>347152.65</v>
      </c>
      <c r="AD426" s="185">
        <f t="shared" ref="AD426:AE426" si="690">+AD425</f>
        <v>134.16999999999999</v>
      </c>
      <c r="AE426" s="185">
        <f t="shared" si="690"/>
        <v>188.55</v>
      </c>
      <c r="AF426" s="185">
        <f t="shared" si="624"/>
        <v>3132.8700000000235</v>
      </c>
      <c r="AG426" s="185">
        <f t="shared" si="625"/>
        <v>-31097912.95000001</v>
      </c>
      <c r="AH426" s="185">
        <f t="shared" si="626"/>
        <v>32631027.399999987</v>
      </c>
      <c r="AI426" s="411">
        <f t="shared" si="614"/>
        <v>839735.54999999481</v>
      </c>
      <c r="AJ426" s="411">
        <f t="shared" si="674"/>
        <v>-32084012.950000018</v>
      </c>
      <c r="AK426" s="411">
        <f t="shared" si="615"/>
        <v>-31244277.400000025</v>
      </c>
      <c r="AL426" s="185">
        <f t="shared" si="627"/>
        <v>32084012.950000018</v>
      </c>
      <c r="AM426" s="317">
        <f t="shared" si="655"/>
        <v>34</v>
      </c>
      <c r="AN426" s="14">
        <f t="shared" si="616"/>
        <v>0</v>
      </c>
      <c r="AO426" s="14">
        <f t="shared" si="585"/>
        <v>0</v>
      </c>
      <c r="AP426" s="14">
        <f t="shared" si="617"/>
        <v>0</v>
      </c>
      <c r="AS426" s="14">
        <f t="shared" si="650"/>
        <v>0</v>
      </c>
      <c r="AT426" s="14">
        <f t="shared" si="656"/>
        <v>0</v>
      </c>
      <c r="AU426" s="185">
        <f t="shared" si="657"/>
        <v>0</v>
      </c>
      <c r="AV426" s="185">
        <f t="shared" si="658"/>
        <v>0</v>
      </c>
    </row>
    <row r="427" spans="1:48">
      <c r="A427" s="401" t="str">
        <f t="shared" si="603"/>
        <v xml:space="preserve"> </v>
      </c>
      <c r="B427" s="185">
        <f t="shared" si="597"/>
        <v>0</v>
      </c>
      <c r="C427" s="14">
        <f t="shared" si="644"/>
        <v>0</v>
      </c>
      <c r="D427" s="14">
        <f t="shared" si="659"/>
        <v>0</v>
      </c>
      <c r="E427" s="14">
        <f t="shared" si="645"/>
        <v>0</v>
      </c>
      <c r="F427" s="14">
        <f t="shared" si="604"/>
        <v>0</v>
      </c>
      <c r="G427" s="14">
        <f t="shared" si="600"/>
        <v>0</v>
      </c>
      <c r="H427" s="14">
        <f t="shared" si="601"/>
        <v>0</v>
      </c>
      <c r="I427" s="185">
        <f t="shared" si="605"/>
        <v>0</v>
      </c>
      <c r="J427" s="185">
        <f t="shared" si="606"/>
        <v>0</v>
      </c>
      <c r="K427" s="185">
        <f t="shared" si="607"/>
        <v>0</v>
      </c>
      <c r="L427" s="317">
        <f t="shared" si="587"/>
        <v>34</v>
      </c>
      <c r="M427" s="317">
        <f t="shared" si="651"/>
        <v>411</v>
      </c>
      <c r="N427" s="185">
        <f t="shared" si="681"/>
        <v>0</v>
      </c>
      <c r="O427" s="185">
        <f t="shared" si="619"/>
        <v>0</v>
      </c>
      <c r="P427" s="185">
        <f t="shared" si="660"/>
        <v>0</v>
      </c>
      <c r="Q427" s="185">
        <f t="shared" si="620"/>
        <v>0</v>
      </c>
      <c r="R427" s="185">
        <f t="shared" si="611"/>
        <v>134.16999999999999</v>
      </c>
      <c r="S427" s="185">
        <f t="shared" si="612"/>
        <v>188.55</v>
      </c>
      <c r="T427" s="185">
        <f t="shared" si="608"/>
        <v>322.72000000000003</v>
      </c>
      <c r="U427" s="185">
        <f t="shared" si="661"/>
        <v>590639.83000000007</v>
      </c>
      <c r="V427" s="185">
        <f t="shared" si="662"/>
        <v>1782210.1699999985</v>
      </c>
      <c r="W427" s="185">
        <f t="shared" si="609"/>
        <v>0</v>
      </c>
      <c r="X427" s="401" t="str">
        <f t="shared" si="653"/>
        <v xml:space="preserve"> </v>
      </c>
      <c r="Y427" s="185">
        <f t="shared" si="621"/>
        <v>32084012.950000018</v>
      </c>
      <c r="Z427" s="393">
        <f t="shared" si="646"/>
        <v>0.13125000000000001</v>
      </c>
      <c r="AA427" s="185">
        <f t="shared" si="647"/>
        <v>2810.15</v>
      </c>
      <c r="AB427" s="185">
        <f t="shared" si="622"/>
        <v>-348108.74</v>
      </c>
      <c r="AC427" s="185">
        <f t="shared" si="648"/>
        <v>350918.89</v>
      </c>
      <c r="AD427" s="185">
        <f t="shared" ref="AD427:AE427" si="691">+AD426</f>
        <v>134.16999999999999</v>
      </c>
      <c r="AE427" s="185">
        <f t="shared" si="691"/>
        <v>188.55</v>
      </c>
      <c r="AF427" s="185">
        <f t="shared" si="624"/>
        <v>3132.8700000000235</v>
      </c>
      <c r="AG427" s="185">
        <f t="shared" si="625"/>
        <v>-31446021.690000009</v>
      </c>
      <c r="AH427" s="185">
        <f t="shared" si="626"/>
        <v>32981946.289999988</v>
      </c>
      <c r="AI427" s="411">
        <f t="shared" si="614"/>
        <v>836925.39999999478</v>
      </c>
      <c r="AJ427" s="411">
        <f t="shared" si="674"/>
        <v>-32432121.690000016</v>
      </c>
      <c r="AK427" s="411">
        <f t="shared" si="615"/>
        <v>-31595196.290000021</v>
      </c>
      <c r="AL427" s="185">
        <f t="shared" si="627"/>
        <v>32432121.690000016</v>
      </c>
      <c r="AM427" s="317">
        <f t="shared" si="655"/>
        <v>34</v>
      </c>
      <c r="AN427" s="14">
        <f t="shared" si="616"/>
        <v>0</v>
      </c>
      <c r="AO427" s="14">
        <f t="shared" si="585"/>
        <v>0</v>
      </c>
      <c r="AP427" s="14">
        <f t="shared" si="617"/>
        <v>0</v>
      </c>
      <c r="AS427" s="14">
        <f t="shared" si="650"/>
        <v>0</v>
      </c>
      <c r="AT427" s="14">
        <f t="shared" si="656"/>
        <v>0</v>
      </c>
      <c r="AU427" s="185">
        <f t="shared" si="657"/>
        <v>0</v>
      </c>
      <c r="AV427" s="185">
        <f t="shared" si="658"/>
        <v>0</v>
      </c>
    </row>
    <row r="428" spans="1:48">
      <c r="A428" s="401" t="str">
        <f t="shared" si="603"/>
        <v xml:space="preserve"> </v>
      </c>
      <c r="B428" s="185">
        <f t="shared" si="597"/>
        <v>0</v>
      </c>
      <c r="C428" s="14">
        <f t="shared" si="644"/>
        <v>0</v>
      </c>
      <c r="D428" s="14">
        <f t="shared" si="659"/>
        <v>0</v>
      </c>
      <c r="E428" s="14">
        <f t="shared" si="645"/>
        <v>0</v>
      </c>
      <c r="F428" s="14">
        <f t="shared" si="604"/>
        <v>0</v>
      </c>
      <c r="G428" s="14">
        <f t="shared" si="600"/>
        <v>0</v>
      </c>
      <c r="H428" s="14">
        <f t="shared" si="601"/>
        <v>0</v>
      </c>
      <c r="I428" s="185">
        <f t="shared" si="605"/>
        <v>0</v>
      </c>
      <c r="J428" s="185">
        <f t="shared" si="606"/>
        <v>0</v>
      </c>
      <c r="K428" s="185">
        <f t="shared" si="607"/>
        <v>0</v>
      </c>
      <c r="L428" s="317">
        <f t="shared" si="587"/>
        <v>34</v>
      </c>
      <c r="M428" s="317">
        <f t="shared" si="651"/>
        <v>412</v>
      </c>
      <c r="N428" s="185">
        <f t="shared" si="681"/>
        <v>0</v>
      </c>
      <c r="O428" s="185">
        <f t="shared" si="619"/>
        <v>0</v>
      </c>
      <c r="P428" s="185">
        <f t="shared" si="660"/>
        <v>0</v>
      </c>
      <c r="Q428" s="185">
        <f t="shared" si="620"/>
        <v>0</v>
      </c>
      <c r="R428" s="185">
        <f t="shared" si="611"/>
        <v>134.16999999999999</v>
      </c>
      <c r="S428" s="185">
        <f t="shared" si="612"/>
        <v>188.55</v>
      </c>
      <c r="T428" s="185">
        <f t="shared" si="608"/>
        <v>322.72000000000003</v>
      </c>
      <c r="U428" s="185">
        <f t="shared" si="661"/>
        <v>590639.83000000007</v>
      </c>
      <c r="V428" s="185">
        <f t="shared" si="662"/>
        <v>1782210.1699999985</v>
      </c>
      <c r="W428" s="185">
        <f t="shared" si="609"/>
        <v>0</v>
      </c>
      <c r="X428" s="401" t="str">
        <f t="shared" si="653"/>
        <v xml:space="preserve"> </v>
      </c>
      <c r="Y428" s="185">
        <f t="shared" si="621"/>
        <v>32432121.690000016</v>
      </c>
      <c r="Z428" s="393">
        <f t="shared" si="646"/>
        <v>0.13125000000000001</v>
      </c>
      <c r="AA428" s="185">
        <f t="shared" si="647"/>
        <v>2810.15</v>
      </c>
      <c r="AB428" s="185">
        <f t="shared" si="622"/>
        <v>-351916.18</v>
      </c>
      <c r="AC428" s="185">
        <f t="shared" si="648"/>
        <v>354726.33</v>
      </c>
      <c r="AD428" s="185">
        <f t="shared" ref="AD428:AE428" si="692">+AD427</f>
        <v>134.16999999999999</v>
      </c>
      <c r="AE428" s="185">
        <f t="shared" si="692"/>
        <v>188.55</v>
      </c>
      <c r="AF428" s="185">
        <f t="shared" si="624"/>
        <v>3132.8700000000235</v>
      </c>
      <c r="AG428" s="185">
        <f t="shared" si="625"/>
        <v>-31797937.870000008</v>
      </c>
      <c r="AH428" s="185">
        <f t="shared" si="626"/>
        <v>33336672.619999986</v>
      </c>
      <c r="AI428" s="411">
        <f t="shared" si="614"/>
        <v>834115.24999999476</v>
      </c>
      <c r="AJ428" s="411">
        <f t="shared" si="674"/>
        <v>-32784037.870000016</v>
      </c>
      <c r="AK428" s="411">
        <f t="shared" si="615"/>
        <v>-31949922.62000002</v>
      </c>
      <c r="AL428" s="185">
        <f t="shared" si="627"/>
        <v>32784037.870000016</v>
      </c>
      <c r="AM428" s="317">
        <f t="shared" si="655"/>
        <v>34</v>
      </c>
      <c r="AN428" s="14">
        <f t="shared" si="616"/>
        <v>0</v>
      </c>
      <c r="AO428" s="14">
        <f t="shared" si="585"/>
        <v>0</v>
      </c>
      <c r="AP428" s="14">
        <f t="shared" si="617"/>
        <v>0</v>
      </c>
      <c r="AS428" s="14">
        <f t="shared" si="650"/>
        <v>0</v>
      </c>
      <c r="AT428" s="14">
        <f t="shared" si="656"/>
        <v>0</v>
      </c>
      <c r="AU428" s="185">
        <f t="shared" si="657"/>
        <v>0</v>
      </c>
      <c r="AV428" s="185">
        <f t="shared" si="658"/>
        <v>0</v>
      </c>
    </row>
    <row r="429" spans="1:48">
      <c r="A429" s="401" t="str">
        <f t="shared" si="603"/>
        <v xml:space="preserve"> </v>
      </c>
      <c r="B429" s="185">
        <f t="shared" si="597"/>
        <v>0</v>
      </c>
      <c r="C429" s="14">
        <f t="shared" si="644"/>
        <v>0</v>
      </c>
      <c r="D429" s="14">
        <f t="shared" si="659"/>
        <v>0</v>
      </c>
      <c r="E429" s="14">
        <f t="shared" si="645"/>
        <v>0</v>
      </c>
      <c r="F429" s="14">
        <f t="shared" si="604"/>
        <v>0</v>
      </c>
      <c r="G429" s="14">
        <f t="shared" si="600"/>
        <v>0</v>
      </c>
      <c r="H429" s="14">
        <f t="shared" si="601"/>
        <v>0</v>
      </c>
      <c r="I429" s="185">
        <f t="shared" si="605"/>
        <v>0</v>
      </c>
      <c r="J429" s="185">
        <f t="shared" si="606"/>
        <v>0</v>
      </c>
      <c r="K429" s="185">
        <f t="shared" si="607"/>
        <v>0</v>
      </c>
      <c r="L429" s="317">
        <f t="shared" si="587"/>
        <v>34</v>
      </c>
      <c r="M429" s="317">
        <f t="shared" si="651"/>
        <v>413</v>
      </c>
      <c r="N429" s="185">
        <f t="shared" si="681"/>
        <v>0</v>
      </c>
      <c r="O429" s="185">
        <f t="shared" si="619"/>
        <v>0</v>
      </c>
      <c r="P429" s="185">
        <f t="shared" si="660"/>
        <v>0</v>
      </c>
      <c r="Q429" s="185">
        <f t="shared" si="620"/>
        <v>0</v>
      </c>
      <c r="R429" s="185">
        <f t="shared" si="611"/>
        <v>134.16999999999999</v>
      </c>
      <c r="S429" s="185">
        <f t="shared" si="612"/>
        <v>188.55</v>
      </c>
      <c r="T429" s="185">
        <f t="shared" si="608"/>
        <v>322.72000000000003</v>
      </c>
      <c r="U429" s="185">
        <f t="shared" si="661"/>
        <v>590639.83000000007</v>
      </c>
      <c r="V429" s="185">
        <f t="shared" si="662"/>
        <v>1782210.1699999985</v>
      </c>
      <c r="W429" s="185">
        <f t="shared" si="609"/>
        <v>0</v>
      </c>
      <c r="X429" s="401" t="str">
        <f t="shared" si="653"/>
        <v xml:space="preserve"> </v>
      </c>
      <c r="Y429" s="185">
        <f t="shared" si="621"/>
        <v>32784037.870000016</v>
      </c>
      <c r="Z429" s="393">
        <f t="shared" si="646"/>
        <v>0.13125000000000001</v>
      </c>
      <c r="AA429" s="185">
        <f t="shared" si="647"/>
        <v>2810.15</v>
      </c>
      <c r="AB429" s="185">
        <f t="shared" si="622"/>
        <v>-355765.25999999995</v>
      </c>
      <c r="AC429" s="185">
        <f t="shared" si="648"/>
        <v>358575.41</v>
      </c>
      <c r="AD429" s="185">
        <f t="shared" ref="AD429:AE429" si="693">+AD428</f>
        <v>134.16999999999999</v>
      </c>
      <c r="AE429" s="185">
        <f t="shared" si="693"/>
        <v>188.55</v>
      </c>
      <c r="AF429" s="185">
        <f t="shared" si="624"/>
        <v>3132.8700000000235</v>
      </c>
      <c r="AG429" s="185">
        <f t="shared" si="625"/>
        <v>-32153703.13000001</v>
      </c>
      <c r="AH429" s="185">
        <f t="shared" si="626"/>
        <v>33695248.029999986</v>
      </c>
      <c r="AI429" s="411">
        <f t="shared" si="614"/>
        <v>831305.09999999474</v>
      </c>
      <c r="AJ429" s="411">
        <f t="shared" si="674"/>
        <v>-33139803.130000018</v>
      </c>
      <c r="AK429" s="411">
        <f t="shared" si="615"/>
        <v>-32308498.030000024</v>
      </c>
      <c r="AL429" s="185">
        <f t="shared" si="627"/>
        <v>33139803.130000018</v>
      </c>
      <c r="AM429" s="317">
        <f t="shared" si="655"/>
        <v>34</v>
      </c>
      <c r="AN429" s="14">
        <f t="shared" si="616"/>
        <v>0</v>
      </c>
      <c r="AO429" s="14">
        <f t="shared" ref="AO429:AO490" si="694">IF(W429&lt;=0,0,+$AA$5-$C$2+I429-U429)</f>
        <v>0</v>
      </c>
      <c r="AP429" s="14">
        <f t="shared" si="617"/>
        <v>0</v>
      </c>
      <c r="AS429" s="14">
        <f t="shared" si="650"/>
        <v>0</v>
      </c>
      <c r="AT429" s="14">
        <f t="shared" si="656"/>
        <v>0</v>
      </c>
      <c r="AU429" s="185">
        <f t="shared" si="657"/>
        <v>0</v>
      </c>
      <c r="AV429" s="185">
        <f t="shared" si="658"/>
        <v>0</v>
      </c>
    </row>
    <row r="430" spans="1:48">
      <c r="A430" s="401" t="str">
        <f t="shared" si="603"/>
        <v xml:space="preserve"> </v>
      </c>
      <c r="B430" s="185">
        <f t="shared" si="597"/>
        <v>0</v>
      </c>
      <c r="C430" s="14">
        <f t="shared" si="644"/>
        <v>0</v>
      </c>
      <c r="D430" s="14">
        <f t="shared" si="659"/>
        <v>0</v>
      </c>
      <c r="E430" s="14">
        <f t="shared" si="645"/>
        <v>0</v>
      </c>
      <c r="F430" s="14">
        <f t="shared" si="604"/>
        <v>0</v>
      </c>
      <c r="G430" s="14">
        <f t="shared" si="600"/>
        <v>0</v>
      </c>
      <c r="H430" s="14">
        <f t="shared" si="601"/>
        <v>0</v>
      </c>
      <c r="I430" s="185">
        <f t="shared" si="605"/>
        <v>0</v>
      </c>
      <c r="J430" s="185">
        <f t="shared" si="606"/>
        <v>0</v>
      </c>
      <c r="K430" s="185">
        <f t="shared" si="607"/>
        <v>0</v>
      </c>
      <c r="L430" s="317">
        <f t="shared" si="587"/>
        <v>34</v>
      </c>
      <c r="M430" s="317">
        <f t="shared" si="651"/>
        <v>414</v>
      </c>
      <c r="N430" s="185">
        <f t="shared" si="681"/>
        <v>0</v>
      </c>
      <c r="O430" s="185">
        <f t="shared" si="619"/>
        <v>0</v>
      </c>
      <c r="P430" s="185">
        <f t="shared" si="660"/>
        <v>0</v>
      </c>
      <c r="Q430" s="185">
        <f t="shared" si="620"/>
        <v>0</v>
      </c>
      <c r="R430" s="185">
        <f t="shared" si="611"/>
        <v>134.16999999999999</v>
      </c>
      <c r="S430" s="185">
        <f t="shared" si="612"/>
        <v>188.55</v>
      </c>
      <c r="T430" s="185">
        <f t="shared" si="608"/>
        <v>322.72000000000003</v>
      </c>
      <c r="U430" s="185">
        <f t="shared" si="661"/>
        <v>590639.83000000007</v>
      </c>
      <c r="V430" s="185">
        <f t="shared" si="662"/>
        <v>1782210.1699999985</v>
      </c>
      <c r="W430" s="185">
        <f t="shared" si="609"/>
        <v>0</v>
      </c>
      <c r="X430" s="401" t="str">
        <f t="shared" si="653"/>
        <v xml:space="preserve"> </v>
      </c>
      <c r="Y430" s="185">
        <f t="shared" si="621"/>
        <v>33139803.130000018</v>
      </c>
      <c r="Z430" s="393">
        <f t="shared" si="646"/>
        <v>0.13125000000000001</v>
      </c>
      <c r="AA430" s="185">
        <f t="shared" si="647"/>
        <v>2810.15</v>
      </c>
      <c r="AB430" s="185">
        <f t="shared" si="622"/>
        <v>-359656.44999999995</v>
      </c>
      <c r="AC430" s="185">
        <f t="shared" si="648"/>
        <v>362466.6</v>
      </c>
      <c r="AD430" s="185">
        <f t="shared" ref="AD430:AE430" si="695">+AD429</f>
        <v>134.16999999999999</v>
      </c>
      <c r="AE430" s="185">
        <f t="shared" si="695"/>
        <v>188.55</v>
      </c>
      <c r="AF430" s="185">
        <f t="shared" si="624"/>
        <v>3132.8700000000235</v>
      </c>
      <c r="AG430" s="185">
        <f t="shared" si="625"/>
        <v>-32513359.580000009</v>
      </c>
      <c r="AH430" s="185">
        <f t="shared" si="626"/>
        <v>34057714.629999988</v>
      </c>
      <c r="AI430" s="411">
        <f t="shared" si="614"/>
        <v>828494.94999999471</v>
      </c>
      <c r="AJ430" s="411">
        <f t="shared" si="674"/>
        <v>-33499459.580000017</v>
      </c>
      <c r="AK430" s="411">
        <f t="shared" si="615"/>
        <v>-32670964.630000021</v>
      </c>
      <c r="AL430" s="185">
        <f t="shared" si="627"/>
        <v>33499459.580000017</v>
      </c>
      <c r="AM430" s="317">
        <f t="shared" si="655"/>
        <v>34</v>
      </c>
      <c r="AN430" s="14">
        <f t="shared" si="616"/>
        <v>0</v>
      </c>
      <c r="AO430" s="14">
        <f t="shared" si="694"/>
        <v>0</v>
      </c>
      <c r="AP430" s="14">
        <f t="shared" si="617"/>
        <v>0</v>
      </c>
      <c r="AS430" s="14">
        <f t="shared" si="650"/>
        <v>0</v>
      </c>
      <c r="AT430" s="14">
        <f t="shared" si="656"/>
        <v>0</v>
      </c>
      <c r="AU430" s="185">
        <f t="shared" si="657"/>
        <v>0</v>
      </c>
      <c r="AV430" s="185">
        <f t="shared" si="658"/>
        <v>0</v>
      </c>
    </row>
    <row r="431" spans="1:48">
      <c r="A431" s="401" t="str">
        <f t="shared" si="603"/>
        <v xml:space="preserve"> </v>
      </c>
      <c r="B431" s="185">
        <f t="shared" si="597"/>
        <v>0</v>
      </c>
      <c r="C431" s="14">
        <f t="shared" si="644"/>
        <v>0</v>
      </c>
      <c r="D431" s="14">
        <f t="shared" si="659"/>
        <v>0</v>
      </c>
      <c r="E431" s="14">
        <f t="shared" si="645"/>
        <v>0</v>
      </c>
      <c r="F431" s="14">
        <f t="shared" si="604"/>
        <v>0</v>
      </c>
      <c r="G431" s="14">
        <f t="shared" si="600"/>
        <v>0</v>
      </c>
      <c r="H431" s="14">
        <f t="shared" si="601"/>
        <v>0</v>
      </c>
      <c r="I431" s="185">
        <f t="shared" si="605"/>
        <v>0</v>
      </c>
      <c r="J431" s="185">
        <f t="shared" si="606"/>
        <v>0</v>
      </c>
      <c r="K431" s="185">
        <f t="shared" si="607"/>
        <v>0</v>
      </c>
      <c r="L431" s="317">
        <f t="shared" ref="L431:L494" si="696">IF(MOD(M431,12)=0,M431/12,L430)</f>
        <v>34</v>
      </c>
      <c r="M431" s="317">
        <f t="shared" si="651"/>
        <v>415</v>
      </c>
      <c r="N431" s="185">
        <f t="shared" si="681"/>
        <v>0</v>
      </c>
      <c r="O431" s="185">
        <f t="shared" si="619"/>
        <v>0</v>
      </c>
      <c r="P431" s="185">
        <f t="shared" si="660"/>
        <v>0</v>
      </c>
      <c r="Q431" s="185">
        <f t="shared" si="620"/>
        <v>0</v>
      </c>
      <c r="R431" s="185">
        <f t="shared" si="611"/>
        <v>134.16999999999999</v>
      </c>
      <c r="S431" s="185">
        <f t="shared" si="612"/>
        <v>188.55</v>
      </c>
      <c r="T431" s="185">
        <f t="shared" si="608"/>
        <v>322.72000000000003</v>
      </c>
      <c r="U431" s="185">
        <f t="shared" si="661"/>
        <v>590639.83000000007</v>
      </c>
      <c r="V431" s="185">
        <f t="shared" si="662"/>
        <v>1782210.1699999985</v>
      </c>
      <c r="W431" s="185">
        <f t="shared" si="609"/>
        <v>0</v>
      </c>
      <c r="X431" s="401" t="str">
        <f t="shared" si="653"/>
        <v xml:space="preserve"> </v>
      </c>
      <c r="Y431" s="185">
        <f t="shared" si="621"/>
        <v>33499459.580000017</v>
      </c>
      <c r="Z431" s="393">
        <f t="shared" si="646"/>
        <v>0.13125000000000001</v>
      </c>
      <c r="AA431" s="185">
        <f t="shared" si="647"/>
        <v>2810.15</v>
      </c>
      <c r="AB431" s="185">
        <f t="shared" si="622"/>
        <v>-363590.19</v>
      </c>
      <c r="AC431" s="185">
        <f t="shared" si="648"/>
        <v>366400.34</v>
      </c>
      <c r="AD431" s="185">
        <f t="shared" ref="AD431:AE431" si="697">+AD430</f>
        <v>134.16999999999999</v>
      </c>
      <c r="AE431" s="185">
        <f t="shared" si="697"/>
        <v>188.55</v>
      </c>
      <c r="AF431" s="185">
        <f t="shared" si="624"/>
        <v>3132.8700000000235</v>
      </c>
      <c r="AG431" s="185">
        <f t="shared" si="625"/>
        <v>-32876949.770000011</v>
      </c>
      <c r="AH431" s="185">
        <f t="shared" si="626"/>
        <v>34424114.969999991</v>
      </c>
      <c r="AI431" s="411">
        <f t="shared" si="614"/>
        <v>825684.79999999469</v>
      </c>
      <c r="AJ431" s="411">
        <f t="shared" si="674"/>
        <v>-33863049.770000018</v>
      </c>
      <c r="AK431" s="411">
        <f t="shared" si="615"/>
        <v>-33037364.970000025</v>
      </c>
      <c r="AL431" s="185">
        <f t="shared" si="627"/>
        <v>33863049.770000018</v>
      </c>
      <c r="AM431" s="317">
        <f t="shared" si="655"/>
        <v>34</v>
      </c>
      <c r="AN431" s="14">
        <f t="shared" si="616"/>
        <v>0</v>
      </c>
      <c r="AO431" s="14">
        <f t="shared" si="694"/>
        <v>0</v>
      </c>
      <c r="AP431" s="14">
        <f t="shared" si="617"/>
        <v>0</v>
      </c>
      <c r="AS431" s="14">
        <f t="shared" si="650"/>
        <v>0</v>
      </c>
      <c r="AT431" s="14">
        <f t="shared" si="656"/>
        <v>0</v>
      </c>
      <c r="AU431" s="185">
        <f t="shared" si="657"/>
        <v>0</v>
      </c>
      <c r="AV431" s="185">
        <f t="shared" si="658"/>
        <v>0</v>
      </c>
    </row>
    <row r="432" spans="1:48">
      <c r="A432" s="401" t="str">
        <f t="shared" si="603"/>
        <v xml:space="preserve"> </v>
      </c>
      <c r="B432" s="185">
        <f t="shared" si="597"/>
        <v>0</v>
      </c>
      <c r="C432" s="14">
        <f t="shared" si="644"/>
        <v>0</v>
      </c>
      <c r="D432" s="14">
        <f t="shared" si="659"/>
        <v>0</v>
      </c>
      <c r="E432" s="14">
        <f t="shared" si="645"/>
        <v>0</v>
      </c>
      <c r="F432" s="14">
        <f t="shared" si="604"/>
        <v>0</v>
      </c>
      <c r="G432" s="14">
        <f t="shared" si="600"/>
        <v>0</v>
      </c>
      <c r="H432" s="14">
        <f t="shared" si="601"/>
        <v>0</v>
      </c>
      <c r="I432" s="185">
        <f t="shared" si="605"/>
        <v>0</v>
      </c>
      <c r="J432" s="185">
        <f t="shared" si="606"/>
        <v>0</v>
      </c>
      <c r="K432" s="185">
        <f t="shared" si="607"/>
        <v>0</v>
      </c>
      <c r="L432" s="317">
        <f t="shared" si="696"/>
        <v>34</v>
      </c>
      <c r="M432" s="317">
        <f t="shared" si="651"/>
        <v>416</v>
      </c>
      <c r="N432" s="185">
        <f t="shared" si="681"/>
        <v>0</v>
      </c>
      <c r="O432" s="185">
        <f t="shared" si="619"/>
        <v>0</v>
      </c>
      <c r="P432" s="185">
        <f t="shared" si="660"/>
        <v>0</v>
      </c>
      <c r="Q432" s="185">
        <f t="shared" si="620"/>
        <v>0</v>
      </c>
      <c r="R432" s="185">
        <f t="shared" si="611"/>
        <v>134.16999999999999</v>
      </c>
      <c r="S432" s="185">
        <f t="shared" si="612"/>
        <v>188.55</v>
      </c>
      <c r="T432" s="185">
        <f t="shared" si="608"/>
        <v>322.72000000000003</v>
      </c>
      <c r="U432" s="185">
        <f t="shared" si="661"/>
        <v>590639.83000000007</v>
      </c>
      <c r="V432" s="185">
        <f t="shared" si="662"/>
        <v>1782210.1699999985</v>
      </c>
      <c r="W432" s="185">
        <f t="shared" si="609"/>
        <v>0</v>
      </c>
      <c r="X432" s="401" t="str">
        <f t="shared" si="653"/>
        <v xml:space="preserve"> </v>
      </c>
      <c r="Y432" s="185">
        <f t="shared" si="621"/>
        <v>33863049.770000018</v>
      </c>
      <c r="Z432" s="393">
        <f t="shared" si="646"/>
        <v>0.13125000000000001</v>
      </c>
      <c r="AA432" s="185">
        <f t="shared" si="647"/>
        <v>2810.15</v>
      </c>
      <c r="AB432" s="185">
        <f t="shared" si="622"/>
        <v>-367566.95999999996</v>
      </c>
      <c r="AC432" s="185">
        <f t="shared" si="648"/>
        <v>370377.11</v>
      </c>
      <c r="AD432" s="185">
        <f t="shared" ref="AD432:AE432" si="698">+AD431</f>
        <v>134.16999999999999</v>
      </c>
      <c r="AE432" s="185">
        <f t="shared" si="698"/>
        <v>188.55</v>
      </c>
      <c r="AF432" s="185">
        <f t="shared" si="624"/>
        <v>3132.8700000000235</v>
      </c>
      <c r="AG432" s="185">
        <f t="shared" si="625"/>
        <v>-33244516.730000012</v>
      </c>
      <c r="AH432" s="185">
        <f t="shared" si="626"/>
        <v>34794492.079999991</v>
      </c>
      <c r="AI432" s="411">
        <f t="shared" si="614"/>
        <v>822874.64999999467</v>
      </c>
      <c r="AJ432" s="411">
        <f t="shared" si="674"/>
        <v>-34230616.730000019</v>
      </c>
      <c r="AK432" s="411">
        <f t="shared" si="615"/>
        <v>-33407742.080000024</v>
      </c>
      <c r="AL432" s="185">
        <f t="shared" si="627"/>
        <v>34230616.730000019</v>
      </c>
      <c r="AM432" s="317">
        <f t="shared" si="655"/>
        <v>34</v>
      </c>
      <c r="AN432" s="14">
        <f t="shared" si="616"/>
        <v>0</v>
      </c>
      <c r="AO432" s="14">
        <f t="shared" si="694"/>
        <v>0</v>
      </c>
      <c r="AP432" s="14">
        <f t="shared" si="617"/>
        <v>0</v>
      </c>
      <c r="AS432" s="14">
        <f t="shared" si="650"/>
        <v>0</v>
      </c>
      <c r="AT432" s="14">
        <f t="shared" si="656"/>
        <v>0</v>
      </c>
      <c r="AU432" s="185">
        <f t="shared" si="657"/>
        <v>0</v>
      </c>
      <c r="AV432" s="185">
        <f t="shared" si="658"/>
        <v>0</v>
      </c>
    </row>
    <row r="433" spans="1:48">
      <c r="A433" s="401" t="str">
        <f t="shared" si="603"/>
        <v xml:space="preserve"> </v>
      </c>
      <c r="B433" s="185">
        <f t="shared" si="597"/>
        <v>0</v>
      </c>
      <c r="C433" s="14">
        <f t="shared" si="644"/>
        <v>0</v>
      </c>
      <c r="D433" s="14">
        <f t="shared" si="659"/>
        <v>0</v>
      </c>
      <c r="E433" s="14">
        <f t="shared" si="645"/>
        <v>0</v>
      </c>
      <c r="F433" s="14">
        <f t="shared" si="604"/>
        <v>0</v>
      </c>
      <c r="G433" s="14">
        <f t="shared" si="600"/>
        <v>0</v>
      </c>
      <c r="H433" s="14">
        <f t="shared" si="601"/>
        <v>0</v>
      </c>
      <c r="I433" s="185">
        <f t="shared" si="605"/>
        <v>0</v>
      </c>
      <c r="J433" s="185">
        <f t="shared" si="606"/>
        <v>0</v>
      </c>
      <c r="K433" s="185">
        <f t="shared" si="607"/>
        <v>0</v>
      </c>
      <c r="L433" s="317">
        <f t="shared" si="696"/>
        <v>34</v>
      </c>
      <c r="M433" s="317">
        <f t="shared" si="651"/>
        <v>417</v>
      </c>
      <c r="N433" s="185">
        <f t="shared" si="681"/>
        <v>0</v>
      </c>
      <c r="O433" s="185">
        <f t="shared" si="619"/>
        <v>0</v>
      </c>
      <c r="P433" s="185">
        <f t="shared" si="660"/>
        <v>0</v>
      </c>
      <c r="Q433" s="185">
        <f t="shared" si="620"/>
        <v>0</v>
      </c>
      <c r="R433" s="185">
        <f t="shared" si="611"/>
        <v>134.16999999999999</v>
      </c>
      <c r="S433" s="185">
        <f t="shared" si="612"/>
        <v>188.55</v>
      </c>
      <c r="T433" s="185">
        <f t="shared" si="608"/>
        <v>322.72000000000003</v>
      </c>
      <c r="U433" s="185">
        <f t="shared" si="661"/>
        <v>590639.83000000007</v>
      </c>
      <c r="V433" s="185">
        <f t="shared" si="662"/>
        <v>1782210.1699999985</v>
      </c>
      <c r="W433" s="185">
        <f t="shared" si="609"/>
        <v>0</v>
      </c>
      <c r="X433" s="401" t="str">
        <f t="shared" si="653"/>
        <v xml:space="preserve"> </v>
      </c>
      <c r="Y433" s="185">
        <f t="shared" si="621"/>
        <v>34230616.730000019</v>
      </c>
      <c r="Z433" s="393">
        <f t="shared" si="646"/>
        <v>0.13125000000000001</v>
      </c>
      <c r="AA433" s="185">
        <f t="shared" si="647"/>
        <v>2810.15</v>
      </c>
      <c r="AB433" s="185">
        <f t="shared" si="622"/>
        <v>-371587.22</v>
      </c>
      <c r="AC433" s="185">
        <f t="shared" si="648"/>
        <v>374397.37</v>
      </c>
      <c r="AD433" s="185">
        <f t="shared" ref="AD433:AE433" si="699">+AD432</f>
        <v>134.16999999999999</v>
      </c>
      <c r="AE433" s="185">
        <f t="shared" si="699"/>
        <v>188.55</v>
      </c>
      <c r="AF433" s="185">
        <f t="shared" si="624"/>
        <v>3132.8700000000235</v>
      </c>
      <c r="AG433" s="185">
        <f t="shared" si="625"/>
        <v>-33616103.95000001</v>
      </c>
      <c r="AH433" s="185">
        <f t="shared" si="626"/>
        <v>35168889.449999988</v>
      </c>
      <c r="AI433" s="411">
        <f t="shared" si="614"/>
        <v>820064.49999999464</v>
      </c>
      <c r="AJ433" s="411">
        <f t="shared" si="674"/>
        <v>-34602203.950000018</v>
      </c>
      <c r="AK433" s="411">
        <f t="shared" si="615"/>
        <v>-33782139.450000025</v>
      </c>
      <c r="AL433" s="185">
        <f t="shared" si="627"/>
        <v>34602203.950000018</v>
      </c>
      <c r="AM433" s="317">
        <f t="shared" si="655"/>
        <v>34</v>
      </c>
      <c r="AN433" s="14">
        <f t="shared" si="616"/>
        <v>0</v>
      </c>
      <c r="AO433" s="14">
        <f t="shared" si="694"/>
        <v>0</v>
      </c>
      <c r="AP433" s="14">
        <f t="shared" si="617"/>
        <v>0</v>
      </c>
      <c r="AS433" s="14">
        <f t="shared" si="650"/>
        <v>0</v>
      </c>
      <c r="AT433" s="14">
        <f t="shared" si="656"/>
        <v>0</v>
      </c>
      <c r="AU433" s="185">
        <f t="shared" si="657"/>
        <v>0</v>
      </c>
      <c r="AV433" s="185">
        <f t="shared" si="658"/>
        <v>0</v>
      </c>
    </row>
    <row r="434" spans="1:48" ht="15.75" thickBot="1">
      <c r="A434" s="404" t="str">
        <f t="shared" si="603"/>
        <v xml:space="preserve"> </v>
      </c>
      <c r="B434" s="237">
        <f t="shared" si="597"/>
        <v>0</v>
      </c>
      <c r="C434" s="21">
        <f t="shared" si="644"/>
        <v>0</v>
      </c>
      <c r="D434" s="21">
        <f t="shared" si="659"/>
        <v>0</v>
      </c>
      <c r="E434" s="21">
        <f t="shared" si="645"/>
        <v>0</v>
      </c>
      <c r="F434" s="21">
        <f t="shared" si="604"/>
        <v>0</v>
      </c>
      <c r="G434" s="21">
        <f t="shared" si="600"/>
        <v>0</v>
      </c>
      <c r="H434" s="21">
        <f t="shared" si="601"/>
        <v>0</v>
      </c>
      <c r="I434" s="237">
        <f t="shared" si="605"/>
        <v>0</v>
      </c>
      <c r="J434" s="237">
        <f t="shared" si="606"/>
        <v>0</v>
      </c>
      <c r="K434" s="237">
        <f t="shared" si="607"/>
        <v>0</v>
      </c>
      <c r="L434" s="318">
        <f t="shared" si="696"/>
        <v>34</v>
      </c>
      <c r="M434" s="318">
        <f t="shared" si="651"/>
        <v>418</v>
      </c>
      <c r="N434" s="237">
        <f t="shared" si="681"/>
        <v>0</v>
      </c>
      <c r="O434" s="237">
        <f t="shared" si="619"/>
        <v>0</v>
      </c>
      <c r="P434" s="237">
        <f t="shared" si="660"/>
        <v>0</v>
      </c>
      <c r="Q434" s="237">
        <f t="shared" si="620"/>
        <v>0</v>
      </c>
      <c r="R434" s="237">
        <f t="shared" si="611"/>
        <v>134.16999999999999</v>
      </c>
      <c r="S434" s="237">
        <f t="shared" si="612"/>
        <v>188.55</v>
      </c>
      <c r="T434" s="237">
        <f t="shared" si="608"/>
        <v>322.72000000000003</v>
      </c>
      <c r="U434" s="237">
        <f t="shared" si="661"/>
        <v>590639.83000000007</v>
      </c>
      <c r="V434" s="237">
        <f t="shared" si="662"/>
        <v>1782210.1699999985</v>
      </c>
      <c r="W434" s="237">
        <f t="shared" si="609"/>
        <v>0</v>
      </c>
      <c r="X434" s="404" t="str">
        <f t="shared" si="653"/>
        <v xml:space="preserve"> </v>
      </c>
      <c r="Y434" s="237">
        <f t="shared" si="621"/>
        <v>34602203.950000018</v>
      </c>
      <c r="Z434" s="394">
        <f t="shared" si="646"/>
        <v>0.13125000000000001</v>
      </c>
      <c r="AA434" s="237">
        <f t="shared" si="647"/>
        <v>2810.15</v>
      </c>
      <c r="AB434" s="237">
        <f t="shared" si="622"/>
        <v>-375651.45999999996</v>
      </c>
      <c r="AC434" s="237">
        <f t="shared" si="648"/>
        <v>378461.61</v>
      </c>
      <c r="AD434" s="237">
        <f t="shared" ref="AD434:AE434" si="700">+AD433</f>
        <v>134.16999999999999</v>
      </c>
      <c r="AE434" s="237">
        <f t="shared" si="700"/>
        <v>188.55</v>
      </c>
      <c r="AF434" s="237">
        <f t="shared" si="624"/>
        <v>3132.8700000000235</v>
      </c>
      <c r="AG434" s="237">
        <f t="shared" si="625"/>
        <v>-33991755.410000011</v>
      </c>
      <c r="AH434" s="237">
        <f t="shared" si="626"/>
        <v>35547351.059999987</v>
      </c>
      <c r="AI434" s="412">
        <f t="shared" si="614"/>
        <v>817254.34999999462</v>
      </c>
      <c r="AJ434" s="412">
        <f t="shared" si="674"/>
        <v>-34977855.410000019</v>
      </c>
      <c r="AK434" s="411">
        <f t="shared" si="615"/>
        <v>-34160601.060000025</v>
      </c>
      <c r="AL434" s="237">
        <f t="shared" si="627"/>
        <v>34977855.410000019</v>
      </c>
      <c r="AM434" s="318">
        <f t="shared" si="655"/>
        <v>34</v>
      </c>
      <c r="AN434" s="21">
        <f t="shared" si="616"/>
        <v>0</v>
      </c>
      <c r="AO434" s="21">
        <f t="shared" si="694"/>
        <v>0</v>
      </c>
      <c r="AP434" s="21">
        <f t="shared" si="617"/>
        <v>0</v>
      </c>
      <c r="AQ434" s="21"/>
      <c r="AR434" s="23"/>
      <c r="AS434" s="21">
        <f t="shared" si="650"/>
        <v>0</v>
      </c>
      <c r="AT434" s="21">
        <f t="shared" si="656"/>
        <v>0</v>
      </c>
      <c r="AU434" s="237">
        <f t="shared" si="657"/>
        <v>0</v>
      </c>
      <c r="AV434" s="237">
        <f t="shared" si="658"/>
        <v>0</v>
      </c>
    </row>
    <row r="435" spans="1:48">
      <c r="A435" s="401" t="str">
        <f t="shared" si="603"/>
        <v xml:space="preserve"> </v>
      </c>
      <c r="B435" s="185">
        <f t="shared" si="597"/>
        <v>0</v>
      </c>
      <c r="C435" s="14">
        <f t="shared" si="644"/>
        <v>0</v>
      </c>
      <c r="D435" s="14">
        <f t="shared" si="659"/>
        <v>0</v>
      </c>
      <c r="E435" s="14">
        <f t="shared" si="645"/>
        <v>0</v>
      </c>
      <c r="F435" s="14">
        <f t="shared" si="604"/>
        <v>0</v>
      </c>
      <c r="G435" s="14">
        <f t="shared" si="600"/>
        <v>0</v>
      </c>
      <c r="H435" s="14">
        <f t="shared" si="601"/>
        <v>0</v>
      </c>
      <c r="I435" s="185">
        <f t="shared" si="605"/>
        <v>0</v>
      </c>
      <c r="J435" s="185">
        <f t="shared" si="606"/>
        <v>0</v>
      </c>
      <c r="K435" s="185">
        <f t="shared" si="607"/>
        <v>0</v>
      </c>
      <c r="L435" s="317">
        <f t="shared" si="696"/>
        <v>34</v>
      </c>
      <c r="M435" s="317">
        <f t="shared" si="651"/>
        <v>419</v>
      </c>
      <c r="N435" s="185">
        <f t="shared" si="681"/>
        <v>0</v>
      </c>
      <c r="O435" s="185">
        <f t="shared" si="619"/>
        <v>0</v>
      </c>
      <c r="P435" s="185">
        <f t="shared" si="660"/>
        <v>0</v>
      </c>
      <c r="Q435" s="185">
        <f t="shared" si="620"/>
        <v>0</v>
      </c>
      <c r="R435" s="185">
        <f t="shared" si="611"/>
        <v>134.16999999999999</v>
      </c>
      <c r="S435" s="185">
        <f t="shared" si="612"/>
        <v>188.55</v>
      </c>
      <c r="T435" s="185">
        <f t="shared" si="608"/>
        <v>322.72000000000003</v>
      </c>
      <c r="U435" s="185">
        <f t="shared" si="661"/>
        <v>590639.83000000007</v>
      </c>
      <c r="V435" s="185">
        <f t="shared" si="662"/>
        <v>1782210.1699999985</v>
      </c>
      <c r="W435" s="185">
        <f t="shared" si="609"/>
        <v>0</v>
      </c>
      <c r="X435" s="401" t="str">
        <f t="shared" si="653"/>
        <v xml:space="preserve"> </v>
      </c>
      <c r="Y435" s="185">
        <f t="shared" si="621"/>
        <v>34977855.410000019</v>
      </c>
      <c r="Z435" s="393">
        <f t="shared" si="646"/>
        <v>0.13125000000000001</v>
      </c>
      <c r="AA435" s="185">
        <f t="shared" si="647"/>
        <v>2810.15</v>
      </c>
      <c r="AB435" s="185">
        <f t="shared" si="622"/>
        <v>-379760.13999999996</v>
      </c>
      <c r="AC435" s="185">
        <f t="shared" si="648"/>
        <v>382570.29</v>
      </c>
      <c r="AD435" s="185">
        <f t="shared" ref="AD435:AE435" si="701">+AD434</f>
        <v>134.16999999999999</v>
      </c>
      <c r="AE435" s="185">
        <f t="shared" si="701"/>
        <v>188.55</v>
      </c>
      <c r="AF435" s="185">
        <f t="shared" si="624"/>
        <v>3132.8700000000235</v>
      </c>
      <c r="AG435" s="185">
        <f t="shared" si="625"/>
        <v>-34371515.550000012</v>
      </c>
      <c r="AH435" s="185">
        <f t="shared" si="626"/>
        <v>35929921.349999987</v>
      </c>
      <c r="AI435" s="411">
        <f t="shared" si="614"/>
        <v>814444.1999999946</v>
      </c>
      <c r="AJ435" s="411">
        <f t="shared" si="674"/>
        <v>-35357615.550000019</v>
      </c>
      <c r="AK435" s="411">
        <f t="shared" si="615"/>
        <v>-34543171.350000024</v>
      </c>
      <c r="AL435" s="185">
        <f t="shared" si="627"/>
        <v>35357615.550000019</v>
      </c>
      <c r="AM435" s="317">
        <f t="shared" si="655"/>
        <v>34</v>
      </c>
      <c r="AN435" s="14">
        <f t="shared" si="616"/>
        <v>0</v>
      </c>
      <c r="AO435" s="14">
        <f t="shared" si="694"/>
        <v>0</v>
      </c>
      <c r="AP435" s="14">
        <f t="shared" si="617"/>
        <v>0</v>
      </c>
      <c r="AS435" s="14">
        <f t="shared" si="650"/>
        <v>0</v>
      </c>
      <c r="AT435" s="14">
        <f t="shared" si="656"/>
        <v>0</v>
      </c>
      <c r="AU435" s="185">
        <f t="shared" si="657"/>
        <v>0</v>
      </c>
      <c r="AV435" s="185">
        <f t="shared" si="658"/>
        <v>0</v>
      </c>
    </row>
    <row r="436" spans="1:48">
      <c r="A436" s="401" t="str">
        <f t="shared" si="603"/>
        <v xml:space="preserve"> </v>
      </c>
      <c r="B436" s="185">
        <f t="shared" si="597"/>
        <v>0</v>
      </c>
      <c r="C436" s="14">
        <f t="shared" si="644"/>
        <v>0</v>
      </c>
      <c r="D436" s="14">
        <f t="shared" si="659"/>
        <v>0</v>
      </c>
      <c r="E436" s="14">
        <f t="shared" si="645"/>
        <v>0</v>
      </c>
      <c r="F436" s="14">
        <f t="shared" si="604"/>
        <v>0</v>
      </c>
      <c r="G436" s="14">
        <f t="shared" si="600"/>
        <v>0</v>
      </c>
      <c r="H436" s="14">
        <f t="shared" si="601"/>
        <v>0</v>
      </c>
      <c r="I436" s="185">
        <f t="shared" si="605"/>
        <v>0</v>
      </c>
      <c r="J436" s="185">
        <f t="shared" si="606"/>
        <v>0</v>
      </c>
      <c r="K436" s="185">
        <f t="shared" si="607"/>
        <v>0</v>
      </c>
      <c r="L436" s="317">
        <f t="shared" si="696"/>
        <v>35</v>
      </c>
      <c r="M436" s="317">
        <f t="shared" si="651"/>
        <v>420</v>
      </c>
      <c r="N436" s="185">
        <f t="shared" si="681"/>
        <v>0</v>
      </c>
      <c r="O436" s="185">
        <f t="shared" si="619"/>
        <v>0</v>
      </c>
      <c r="P436" s="185">
        <f t="shared" si="660"/>
        <v>0</v>
      </c>
      <c r="Q436" s="185">
        <f t="shared" si="620"/>
        <v>0</v>
      </c>
      <c r="R436" s="185">
        <f t="shared" si="611"/>
        <v>134.16999999999999</v>
      </c>
      <c r="S436" s="185">
        <f t="shared" si="612"/>
        <v>188.55</v>
      </c>
      <c r="T436" s="185">
        <f t="shared" si="608"/>
        <v>322.72000000000003</v>
      </c>
      <c r="U436" s="185">
        <f t="shared" si="661"/>
        <v>590639.83000000007</v>
      </c>
      <c r="V436" s="185">
        <f t="shared" si="662"/>
        <v>1782210.1699999985</v>
      </c>
      <c r="W436" s="185">
        <f t="shared" si="609"/>
        <v>0</v>
      </c>
      <c r="X436" s="401" t="str">
        <f t="shared" si="653"/>
        <v xml:space="preserve"> </v>
      </c>
      <c r="Y436" s="185">
        <f t="shared" si="621"/>
        <v>35357615.550000019</v>
      </c>
      <c r="Z436" s="393">
        <f t="shared" si="646"/>
        <v>0.13125000000000001</v>
      </c>
      <c r="AA436" s="185">
        <f t="shared" si="647"/>
        <v>2810.15</v>
      </c>
      <c r="AB436" s="185">
        <f t="shared" si="622"/>
        <v>-383913.76999999996</v>
      </c>
      <c r="AC436" s="185">
        <f t="shared" si="648"/>
        <v>386723.92</v>
      </c>
      <c r="AD436" s="185">
        <f t="shared" ref="AD436:AE436" si="702">+AD435</f>
        <v>134.16999999999999</v>
      </c>
      <c r="AE436" s="185">
        <f t="shared" si="702"/>
        <v>188.55</v>
      </c>
      <c r="AF436" s="185">
        <f t="shared" si="624"/>
        <v>3132.8700000000235</v>
      </c>
      <c r="AG436" s="185">
        <f t="shared" si="625"/>
        <v>-34755429.320000015</v>
      </c>
      <c r="AH436" s="185">
        <f t="shared" si="626"/>
        <v>36316645.269999988</v>
      </c>
      <c r="AI436" s="411">
        <f t="shared" si="614"/>
        <v>811634.04999999458</v>
      </c>
      <c r="AJ436" s="411">
        <f t="shared" si="674"/>
        <v>-35741529.320000023</v>
      </c>
      <c r="AK436" s="411">
        <f t="shared" si="615"/>
        <v>-34929895.270000026</v>
      </c>
      <c r="AL436" s="185">
        <f t="shared" si="627"/>
        <v>35741529.320000023</v>
      </c>
      <c r="AM436" s="317">
        <f t="shared" si="655"/>
        <v>35</v>
      </c>
      <c r="AN436" s="14">
        <f t="shared" si="616"/>
        <v>0</v>
      </c>
      <c r="AO436" s="14">
        <f t="shared" si="694"/>
        <v>0</v>
      </c>
      <c r="AP436" s="14">
        <f t="shared" si="617"/>
        <v>0</v>
      </c>
      <c r="AS436" s="14">
        <f t="shared" si="650"/>
        <v>0</v>
      </c>
      <c r="AT436" s="14">
        <f t="shared" si="656"/>
        <v>0</v>
      </c>
      <c r="AU436" s="185">
        <f t="shared" si="657"/>
        <v>0</v>
      </c>
      <c r="AV436" s="185">
        <f t="shared" si="658"/>
        <v>0</v>
      </c>
    </row>
    <row r="437" spans="1:48">
      <c r="A437" s="401" t="str">
        <f t="shared" si="603"/>
        <v xml:space="preserve"> </v>
      </c>
      <c r="B437" s="185">
        <f t="shared" si="597"/>
        <v>0</v>
      </c>
      <c r="C437" s="14">
        <f t="shared" si="644"/>
        <v>0</v>
      </c>
      <c r="D437" s="14">
        <f t="shared" si="659"/>
        <v>0</v>
      </c>
      <c r="E437" s="14">
        <f t="shared" si="645"/>
        <v>0</v>
      </c>
      <c r="F437" s="14">
        <f t="shared" si="604"/>
        <v>0</v>
      </c>
      <c r="G437" s="14">
        <f t="shared" si="600"/>
        <v>0</v>
      </c>
      <c r="H437" s="14">
        <f t="shared" si="601"/>
        <v>0</v>
      </c>
      <c r="I437" s="185">
        <f t="shared" si="605"/>
        <v>0</v>
      </c>
      <c r="J437" s="185">
        <f t="shared" si="606"/>
        <v>0</v>
      </c>
      <c r="K437" s="185">
        <f t="shared" si="607"/>
        <v>0</v>
      </c>
      <c r="L437" s="317">
        <f t="shared" si="696"/>
        <v>35</v>
      </c>
      <c r="M437" s="317">
        <f t="shared" si="651"/>
        <v>421</v>
      </c>
      <c r="N437" s="185">
        <f t="shared" si="681"/>
        <v>0</v>
      </c>
      <c r="O437" s="185">
        <f t="shared" si="619"/>
        <v>0</v>
      </c>
      <c r="P437" s="185">
        <f t="shared" si="660"/>
        <v>0</v>
      </c>
      <c r="Q437" s="185">
        <f t="shared" si="620"/>
        <v>0</v>
      </c>
      <c r="R437" s="185">
        <f t="shared" si="611"/>
        <v>134.16999999999999</v>
      </c>
      <c r="S437" s="185">
        <f t="shared" si="612"/>
        <v>188.55</v>
      </c>
      <c r="T437" s="185">
        <f t="shared" si="608"/>
        <v>322.72000000000003</v>
      </c>
      <c r="U437" s="185">
        <f t="shared" si="661"/>
        <v>590639.83000000007</v>
      </c>
      <c r="V437" s="185">
        <f t="shared" si="662"/>
        <v>1782210.1699999985</v>
      </c>
      <c r="W437" s="185">
        <f t="shared" si="609"/>
        <v>0</v>
      </c>
      <c r="X437" s="401" t="str">
        <f t="shared" si="653"/>
        <v xml:space="preserve"> </v>
      </c>
      <c r="Y437" s="185">
        <f t="shared" si="621"/>
        <v>35741529.320000023</v>
      </c>
      <c r="Z437" s="393">
        <f t="shared" si="646"/>
        <v>0.13125000000000001</v>
      </c>
      <c r="AA437" s="185">
        <f t="shared" si="647"/>
        <v>2810.15</v>
      </c>
      <c r="AB437" s="185">
        <f t="shared" si="622"/>
        <v>-388112.82999999996</v>
      </c>
      <c r="AC437" s="185">
        <f t="shared" si="648"/>
        <v>390922.98</v>
      </c>
      <c r="AD437" s="185">
        <f t="shared" ref="AD437:AE437" si="703">+AD436</f>
        <v>134.16999999999999</v>
      </c>
      <c r="AE437" s="185">
        <f t="shared" si="703"/>
        <v>188.55</v>
      </c>
      <c r="AF437" s="185">
        <f t="shared" si="624"/>
        <v>3132.8700000000235</v>
      </c>
      <c r="AG437" s="185">
        <f t="shared" si="625"/>
        <v>-35143542.150000013</v>
      </c>
      <c r="AH437" s="185">
        <f t="shared" si="626"/>
        <v>36707568.249999985</v>
      </c>
      <c r="AI437" s="411">
        <f t="shared" si="614"/>
        <v>808823.89999999455</v>
      </c>
      <c r="AJ437" s="411">
        <f t="shared" si="674"/>
        <v>-36129642.150000021</v>
      </c>
      <c r="AK437" s="411">
        <f t="shared" si="615"/>
        <v>-35320818.25000003</v>
      </c>
      <c r="AL437" s="185">
        <f t="shared" si="627"/>
        <v>36129642.150000021</v>
      </c>
      <c r="AM437" s="317">
        <f t="shared" si="655"/>
        <v>35</v>
      </c>
      <c r="AN437" s="14">
        <f t="shared" si="616"/>
        <v>0</v>
      </c>
      <c r="AO437" s="14">
        <f t="shared" si="694"/>
        <v>0</v>
      </c>
      <c r="AP437" s="14">
        <f t="shared" si="617"/>
        <v>0</v>
      </c>
      <c r="AS437" s="14">
        <f t="shared" si="650"/>
        <v>0</v>
      </c>
      <c r="AT437" s="14">
        <f t="shared" si="656"/>
        <v>0</v>
      </c>
      <c r="AU437" s="185">
        <f t="shared" si="657"/>
        <v>0</v>
      </c>
      <c r="AV437" s="185">
        <f t="shared" si="658"/>
        <v>0</v>
      </c>
    </row>
    <row r="438" spans="1:48">
      <c r="A438" s="401" t="str">
        <f t="shared" si="603"/>
        <v xml:space="preserve"> </v>
      </c>
      <c r="B438" s="185">
        <f t="shared" si="597"/>
        <v>0</v>
      </c>
      <c r="C438" s="14">
        <f t="shared" si="644"/>
        <v>0</v>
      </c>
      <c r="D438" s="14">
        <f t="shared" si="659"/>
        <v>0</v>
      </c>
      <c r="E438" s="14">
        <f t="shared" si="645"/>
        <v>0</v>
      </c>
      <c r="F438" s="14">
        <f t="shared" si="604"/>
        <v>0</v>
      </c>
      <c r="G438" s="14">
        <f t="shared" si="600"/>
        <v>0</v>
      </c>
      <c r="H438" s="14">
        <f t="shared" si="601"/>
        <v>0</v>
      </c>
      <c r="I438" s="185">
        <f t="shared" si="605"/>
        <v>0</v>
      </c>
      <c r="J438" s="185">
        <f t="shared" si="606"/>
        <v>0</v>
      </c>
      <c r="K438" s="185">
        <f t="shared" si="607"/>
        <v>0</v>
      </c>
      <c r="L438" s="317">
        <f t="shared" si="696"/>
        <v>35</v>
      </c>
      <c r="M438" s="317">
        <f t="shared" si="651"/>
        <v>422</v>
      </c>
      <c r="N438" s="185">
        <f t="shared" si="681"/>
        <v>0</v>
      </c>
      <c r="O438" s="185">
        <f t="shared" si="619"/>
        <v>0</v>
      </c>
      <c r="P438" s="185">
        <f t="shared" si="660"/>
        <v>0</v>
      </c>
      <c r="Q438" s="185">
        <f t="shared" si="620"/>
        <v>0</v>
      </c>
      <c r="R438" s="185">
        <f t="shared" si="611"/>
        <v>134.16999999999999</v>
      </c>
      <c r="S438" s="185">
        <f t="shared" si="612"/>
        <v>188.55</v>
      </c>
      <c r="T438" s="185">
        <f t="shared" si="608"/>
        <v>322.72000000000003</v>
      </c>
      <c r="U438" s="185">
        <f t="shared" si="661"/>
        <v>590639.83000000007</v>
      </c>
      <c r="V438" s="185">
        <f t="shared" si="662"/>
        <v>1782210.1699999985</v>
      </c>
      <c r="W438" s="185">
        <f t="shared" si="609"/>
        <v>0</v>
      </c>
      <c r="X438" s="401" t="str">
        <f t="shared" si="653"/>
        <v xml:space="preserve"> </v>
      </c>
      <c r="Y438" s="185">
        <f t="shared" si="621"/>
        <v>36129642.150000021</v>
      </c>
      <c r="Z438" s="393">
        <f t="shared" si="646"/>
        <v>0.13125000000000001</v>
      </c>
      <c r="AA438" s="185">
        <f t="shared" si="647"/>
        <v>2810.15</v>
      </c>
      <c r="AB438" s="185">
        <f t="shared" si="622"/>
        <v>-392357.81</v>
      </c>
      <c r="AC438" s="185">
        <f t="shared" si="648"/>
        <v>395167.96</v>
      </c>
      <c r="AD438" s="185">
        <f t="shared" ref="AD438:AE438" si="704">+AD437</f>
        <v>134.16999999999999</v>
      </c>
      <c r="AE438" s="185">
        <f t="shared" si="704"/>
        <v>188.55</v>
      </c>
      <c r="AF438" s="185">
        <f t="shared" si="624"/>
        <v>3132.8700000000235</v>
      </c>
      <c r="AG438" s="185">
        <f t="shared" si="625"/>
        <v>-35535899.960000016</v>
      </c>
      <c r="AH438" s="185">
        <f t="shared" si="626"/>
        <v>37102736.209999986</v>
      </c>
      <c r="AI438" s="411">
        <f t="shared" si="614"/>
        <v>806013.74999999453</v>
      </c>
      <c r="AJ438" s="411">
        <f t="shared" si="674"/>
        <v>-36521999.960000023</v>
      </c>
      <c r="AK438" s="411">
        <f t="shared" si="615"/>
        <v>-35715986.210000031</v>
      </c>
      <c r="AL438" s="185">
        <f t="shared" si="627"/>
        <v>36521999.960000023</v>
      </c>
      <c r="AM438" s="317">
        <f t="shared" si="655"/>
        <v>35</v>
      </c>
      <c r="AN438" s="14">
        <f t="shared" si="616"/>
        <v>0</v>
      </c>
      <c r="AO438" s="14">
        <f t="shared" si="694"/>
        <v>0</v>
      </c>
      <c r="AP438" s="14">
        <f t="shared" si="617"/>
        <v>0</v>
      </c>
      <c r="AS438" s="14">
        <f t="shared" si="650"/>
        <v>0</v>
      </c>
      <c r="AT438" s="14">
        <f t="shared" si="656"/>
        <v>0</v>
      </c>
      <c r="AU438" s="185">
        <f t="shared" si="657"/>
        <v>0</v>
      </c>
      <c r="AV438" s="185">
        <f t="shared" si="658"/>
        <v>0</v>
      </c>
    </row>
    <row r="439" spans="1:48">
      <c r="A439" s="401" t="str">
        <f t="shared" si="603"/>
        <v xml:space="preserve"> </v>
      </c>
      <c r="B439" s="185">
        <f t="shared" si="597"/>
        <v>0</v>
      </c>
      <c r="C439" s="14">
        <f t="shared" si="644"/>
        <v>0</v>
      </c>
      <c r="D439" s="14">
        <f t="shared" si="659"/>
        <v>0</v>
      </c>
      <c r="E439" s="14">
        <f t="shared" si="645"/>
        <v>0</v>
      </c>
      <c r="F439" s="14">
        <f t="shared" si="604"/>
        <v>0</v>
      </c>
      <c r="G439" s="14">
        <f t="shared" si="600"/>
        <v>0</v>
      </c>
      <c r="H439" s="14">
        <f t="shared" si="601"/>
        <v>0</v>
      </c>
      <c r="I439" s="185">
        <f t="shared" si="605"/>
        <v>0</v>
      </c>
      <c r="J439" s="185">
        <f t="shared" si="606"/>
        <v>0</v>
      </c>
      <c r="K439" s="185">
        <f t="shared" si="607"/>
        <v>0</v>
      </c>
      <c r="L439" s="317">
        <f t="shared" si="696"/>
        <v>35</v>
      </c>
      <c r="M439" s="317">
        <f t="shared" si="651"/>
        <v>423</v>
      </c>
      <c r="N439" s="185">
        <f t="shared" si="681"/>
        <v>0</v>
      </c>
      <c r="O439" s="185">
        <f t="shared" si="619"/>
        <v>0</v>
      </c>
      <c r="P439" s="185">
        <f t="shared" si="660"/>
        <v>0</v>
      </c>
      <c r="Q439" s="185">
        <f t="shared" si="620"/>
        <v>0</v>
      </c>
      <c r="R439" s="185">
        <f t="shared" si="611"/>
        <v>134.16999999999999</v>
      </c>
      <c r="S439" s="185">
        <f t="shared" si="612"/>
        <v>188.55</v>
      </c>
      <c r="T439" s="185">
        <f t="shared" si="608"/>
        <v>322.72000000000003</v>
      </c>
      <c r="U439" s="185">
        <f t="shared" si="661"/>
        <v>590639.83000000007</v>
      </c>
      <c r="V439" s="185">
        <f t="shared" si="662"/>
        <v>1782210.1699999985</v>
      </c>
      <c r="W439" s="185">
        <f t="shared" si="609"/>
        <v>0</v>
      </c>
      <c r="X439" s="401" t="str">
        <f t="shared" si="653"/>
        <v xml:space="preserve"> </v>
      </c>
      <c r="Y439" s="185">
        <f t="shared" si="621"/>
        <v>36521999.960000023</v>
      </c>
      <c r="Z439" s="393">
        <f t="shared" si="646"/>
        <v>0.13125000000000001</v>
      </c>
      <c r="AA439" s="185">
        <f t="shared" si="647"/>
        <v>2810.15</v>
      </c>
      <c r="AB439" s="185">
        <f t="shared" si="622"/>
        <v>-396649.22</v>
      </c>
      <c r="AC439" s="185">
        <f t="shared" si="648"/>
        <v>399459.37</v>
      </c>
      <c r="AD439" s="185">
        <f t="shared" ref="AD439:AE439" si="705">+AD438</f>
        <v>134.16999999999999</v>
      </c>
      <c r="AE439" s="185">
        <f t="shared" si="705"/>
        <v>188.55</v>
      </c>
      <c r="AF439" s="185">
        <f t="shared" si="624"/>
        <v>3132.8700000000235</v>
      </c>
      <c r="AG439" s="185">
        <f t="shared" si="625"/>
        <v>-35932549.180000015</v>
      </c>
      <c r="AH439" s="185">
        <f t="shared" si="626"/>
        <v>37502195.579999983</v>
      </c>
      <c r="AI439" s="411">
        <f t="shared" si="614"/>
        <v>803203.59999999451</v>
      </c>
      <c r="AJ439" s="411">
        <f t="shared" si="674"/>
        <v>-36918649.180000022</v>
      </c>
      <c r="AK439" s="411">
        <f t="shared" si="615"/>
        <v>-36115445.580000028</v>
      </c>
      <c r="AL439" s="185">
        <f t="shared" si="627"/>
        <v>36918649.180000022</v>
      </c>
      <c r="AM439" s="317">
        <f t="shared" si="655"/>
        <v>35</v>
      </c>
      <c r="AN439" s="14">
        <f t="shared" si="616"/>
        <v>0</v>
      </c>
      <c r="AO439" s="14">
        <f t="shared" si="694"/>
        <v>0</v>
      </c>
      <c r="AP439" s="14">
        <f t="shared" si="617"/>
        <v>0</v>
      </c>
      <c r="AS439" s="14">
        <f t="shared" si="650"/>
        <v>0</v>
      </c>
      <c r="AT439" s="14">
        <f t="shared" si="656"/>
        <v>0</v>
      </c>
      <c r="AU439" s="185">
        <f t="shared" si="657"/>
        <v>0</v>
      </c>
      <c r="AV439" s="185">
        <f t="shared" si="658"/>
        <v>0</v>
      </c>
    </row>
    <row r="440" spans="1:48">
      <c r="A440" s="401" t="str">
        <f t="shared" si="603"/>
        <v xml:space="preserve"> </v>
      </c>
      <c r="B440" s="185">
        <f t="shared" ref="B440:B490" si="706">IF(+K439&lt;0,0,+K439)</f>
        <v>0</v>
      </c>
      <c r="C440" s="14">
        <f t="shared" si="644"/>
        <v>0</v>
      </c>
      <c r="D440" s="14">
        <f t="shared" si="659"/>
        <v>0</v>
      </c>
      <c r="E440" s="14">
        <f t="shared" si="645"/>
        <v>0</v>
      </c>
      <c r="F440" s="14">
        <f t="shared" si="604"/>
        <v>0</v>
      </c>
      <c r="G440" s="14">
        <f t="shared" si="600"/>
        <v>0</v>
      </c>
      <c r="H440" s="14">
        <f t="shared" si="601"/>
        <v>0</v>
      </c>
      <c r="I440" s="185">
        <f t="shared" si="605"/>
        <v>0</v>
      </c>
      <c r="J440" s="185">
        <f t="shared" si="606"/>
        <v>0</v>
      </c>
      <c r="K440" s="185">
        <f t="shared" si="607"/>
        <v>0</v>
      </c>
      <c r="L440" s="317">
        <f t="shared" si="696"/>
        <v>35</v>
      </c>
      <c r="M440" s="317">
        <f t="shared" si="651"/>
        <v>424</v>
      </c>
      <c r="N440" s="185">
        <f t="shared" si="681"/>
        <v>0</v>
      </c>
      <c r="O440" s="185">
        <f t="shared" si="619"/>
        <v>0</v>
      </c>
      <c r="P440" s="185">
        <f t="shared" si="660"/>
        <v>0</v>
      </c>
      <c r="Q440" s="185">
        <f t="shared" si="620"/>
        <v>0</v>
      </c>
      <c r="R440" s="185">
        <f t="shared" si="611"/>
        <v>134.16999999999999</v>
      </c>
      <c r="S440" s="185">
        <f t="shared" si="612"/>
        <v>188.55</v>
      </c>
      <c r="T440" s="185">
        <f t="shared" si="608"/>
        <v>322.72000000000003</v>
      </c>
      <c r="U440" s="185">
        <f t="shared" si="661"/>
        <v>590639.83000000007</v>
      </c>
      <c r="V440" s="185">
        <f t="shared" si="662"/>
        <v>1782210.1699999985</v>
      </c>
      <c r="W440" s="185">
        <f t="shared" si="609"/>
        <v>0</v>
      </c>
      <c r="X440" s="401" t="str">
        <f t="shared" si="653"/>
        <v xml:space="preserve"> </v>
      </c>
      <c r="Y440" s="185">
        <f t="shared" si="621"/>
        <v>36918649.180000022</v>
      </c>
      <c r="Z440" s="393">
        <f t="shared" si="646"/>
        <v>0.13125000000000001</v>
      </c>
      <c r="AA440" s="185">
        <f t="shared" si="647"/>
        <v>2810.15</v>
      </c>
      <c r="AB440" s="185">
        <f t="shared" si="622"/>
        <v>-400987.57999999996</v>
      </c>
      <c r="AC440" s="185">
        <f t="shared" si="648"/>
        <v>403797.73</v>
      </c>
      <c r="AD440" s="185">
        <f t="shared" ref="AD440:AE440" si="707">+AD439</f>
        <v>134.16999999999999</v>
      </c>
      <c r="AE440" s="185">
        <f t="shared" si="707"/>
        <v>188.55</v>
      </c>
      <c r="AF440" s="185">
        <f t="shared" si="624"/>
        <v>3132.8700000000235</v>
      </c>
      <c r="AG440" s="185">
        <f t="shared" si="625"/>
        <v>-36333536.760000013</v>
      </c>
      <c r="AH440" s="185">
        <f t="shared" si="626"/>
        <v>37905993.30999998</v>
      </c>
      <c r="AI440" s="411">
        <f t="shared" si="614"/>
        <v>800393.44999999448</v>
      </c>
      <c r="AJ440" s="411">
        <f t="shared" si="674"/>
        <v>-37319636.76000002</v>
      </c>
      <c r="AK440" s="411">
        <f t="shared" si="615"/>
        <v>-36519243.310000025</v>
      </c>
      <c r="AL440" s="185">
        <f t="shared" si="627"/>
        <v>37319636.76000002</v>
      </c>
      <c r="AM440" s="317">
        <f t="shared" si="655"/>
        <v>35</v>
      </c>
      <c r="AN440" s="14">
        <f t="shared" si="616"/>
        <v>0</v>
      </c>
      <c r="AO440" s="14">
        <f t="shared" si="694"/>
        <v>0</v>
      </c>
      <c r="AP440" s="14">
        <f t="shared" si="617"/>
        <v>0</v>
      </c>
      <c r="AS440" s="14">
        <f t="shared" si="650"/>
        <v>0</v>
      </c>
      <c r="AT440" s="14">
        <f t="shared" si="656"/>
        <v>0</v>
      </c>
      <c r="AU440" s="185">
        <f t="shared" si="657"/>
        <v>0</v>
      </c>
      <c r="AV440" s="185">
        <f t="shared" si="658"/>
        <v>0</v>
      </c>
    </row>
    <row r="441" spans="1:48">
      <c r="A441" s="401" t="str">
        <f t="shared" si="603"/>
        <v xml:space="preserve"> </v>
      </c>
      <c r="B441" s="185">
        <f t="shared" si="706"/>
        <v>0</v>
      </c>
      <c r="C441" s="14">
        <f t="shared" si="644"/>
        <v>0</v>
      </c>
      <c r="D441" s="14">
        <f t="shared" si="659"/>
        <v>0</v>
      </c>
      <c r="E441" s="14">
        <f t="shared" si="645"/>
        <v>0</v>
      </c>
      <c r="F441" s="14">
        <f t="shared" si="604"/>
        <v>0</v>
      </c>
      <c r="G441" s="14">
        <f t="shared" si="600"/>
        <v>0</v>
      </c>
      <c r="H441" s="14">
        <f t="shared" si="601"/>
        <v>0</v>
      </c>
      <c r="I441" s="185">
        <f t="shared" si="605"/>
        <v>0</v>
      </c>
      <c r="J441" s="185">
        <f t="shared" si="606"/>
        <v>0</v>
      </c>
      <c r="K441" s="185">
        <f t="shared" si="607"/>
        <v>0</v>
      </c>
      <c r="L441" s="317">
        <f t="shared" si="696"/>
        <v>35</v>
      </c>
      <c r="M441" s="317">
        <f t="shared" si="651"/>
        <v>425</v>
      </c>
      <c r="N441" s="185">
        <f t="shared" si="681"/>
        <v>0</v>
      </c>
      <c r="O441" s="185">
        <f t="shared" si="619"/>
        <v>0</v>
      </c>
      <c r="P441" s="185">
        <f t="shared" si="660"/>
        <v>0</v>
      </c>
      <c r="Q441" s="185">
        <f t="shared" si="620"/>
        <v>0</v>
      </c>
      <c r="R441" s="185">
        <f t="shared" si="611"/>
        <v>134.16999999999999</v>
      </c>
      <c r="S441" s="185">
        <f t="shared" si="612"/>
        <v>188.55</v>
      </c>
      <c r="T441" s="185">
        <f t="shared" si="608"/>
        <v>322.72000000000003</v>
      </c>
      <c r="U441" s="185">
        <f t="shared" si="661"/>
        <v>590639.83000000007</v>
      </c>
      <c r="V441" s="185">
        <f t="shared" si="662"/>
        <v>1782210.1699999985</v>
      </c>
      <c r="W441" s="185">
        <f t="shared" si="609"/>
        <v>0</v>
      </c>
      <c r="X441" s="401" t="str">
        <f t="shared" si="653"/>
        <v xml:space="preserve"> </v>
      </c>
      <c r="Y441" s="185">
        <f t="shared" si="621"/>
        <v>37319636.76000002</v>
      </c>
      <c r="Z441" s="393">
        <f t="shared" si="646"/>
        <v>0.13125000000000001</v>
      </c>
      <c r="AA441" s="185">
        <f t="shared" si="647"/>
        <v>2810.15</v>
      </c>
      <c r="AB441" s="185">
        <f t="shared" si="622"/>
        <v>-405373.38</v>
      </c>
      <c r="AC441" s="185">
        <f t="shared" si="648"/>
        <v>408183.53</v>
      </c>
      <c r="AD441" s="185">
        <f t="shared" ref="AD441:AE441" si="708">+AD440</f>
        <v>134.16999999999999</v>
      </c>
      <c r="AE441" s="185">
        <f t="shared" si="708"/>
        <v>188.55</v>
      </c>
      <c r="AF441" s="185">
        <f t="shared" si="624"/>
        <v>3132.8700000000235</v>
      </c>
      <c r="AG441" s="185">
        <f t="shared" si="625"/>
        <v>-36738910.140000015</v>
      </c>
      <c r="AH441" s="185">
        <f t="shared" si="626"/>
        <v>38314176.839999981</v>
      </c>
      <c r="AI441" s="411">
        <f t="shared" si="614"/>
        <v>797583.29999999446</v>
      </c>
      <c r="AJ441" s="411">
        <f t="shared" si="674"/>
        <v>-37725010.140000023</v>
      </c>
      <c r="AK441" s="411">
        <f t="shared" si="615"/>
        <v>-36927426.840000026</v>
      </c>
      <c r="AL441" s="185">
        <f t="shared" si="627"/>
        <v>37725010.140000023</v>
      </c>
      <c r="AM441" s="317">
        <f t="shared" si="655"/>
        <v>35</v>
      </c>
      <c r="AN441" s="14">
        <f t="shared" si="616"/>
        <v>0</v>
      </c>
      <c r="AO441" s="14">
        <f t="shared" si="694"/>
        <v>0</v>
      </c>
      <c r="AP441" s="14">
        <f t="shared" si="617"/>
        <v>0</v>
      </c>
      <c r="AS441" s="14">
        <f t="shared" si="650"/>
        <v>0</v>
      </c>
      <c r="AT441" s="14">
        <f t="shared" si="656"/>
        <v>0</v>
      </c>
      <c r="AU441" s="185">
        <f t="shared" si="657"/>
        <v>0</v>
      </c>
      <c r="AV441" s="185">
        <f t="shared" si="658"/>
        <v>0</v>
      </c>
    </row>
    <row r="442" spans="1:48">
      <c r="A442" s="401" t="str">
        <f t="shared" si="603"/>
        <v xml:space="preserve"> </v>
      </c>
      <c r="B442" s="185">
        <f t="shared" si="706"/>
        <v>0</v>
      </c>
      <c r="C442" s="14">
        <f t="shared" si="644"/>
        <v>0</v>
      </c>
      <c r="D442" s="14">
        <f t="shared" si="659"/>
        <v>0</v>
      </c>
      <c r="E442" s="14">
        <f t="shared" si="645"/>
        <v>0</v>
      </c>
      <c r="F442" s="14">
        <f t="shared" si="604"/>
        <v>0</v>
      </c>
      <c r="G442" s="14">
        <f t="shared" ref="G442:G490" si="709">+G441</f>
        <v>0</v>
      </c>
      <c r="H442" s="14">
        <f t="shared" ref="H442:H490" si="710">SUM(D442:G442)</f>
        <v>0</v>
      </c>
      <c r="I442" s="185">
        <f t="shared" si="605"/>
        <v>0</v>
      </c>
      <c r="J442" s="185">
        <f t="shared" si="606"/>
        <v>0</v>
      </c>
      <c r="K442" s="185">
        <f t="shared" si="607"/>
        <v>0</v>
      </c>
      <c r="L442" s="317">
        <f t="shared" si="696"/>
        <v>35</v>
      </c>
      <c r="M442" s="317">
        <f t="shared" si="651"/>
        <v>426</v>
      </c>
      <c r="N442" s="185">
        <f t="shared" si="681"/>
        <v>0</v>
      </c>
      <c r="O442" s="185">
        <f t="shared" si="619"/>
        <v>0</v>
      </c>
      <c r="P442" s="185">
        <f t="shared" si="660"/>
        <v>0</v>
      </c>
      <c r="Q442" s="185">
        <f t="shared" si="620"/>
        <v>0</v>
      </c>
      <c r="R442" s="185">
        <f t="shared" si="611"/>
        <v>134.16999999999999</v>
      </c>
      <c r="S442" s="185">
        <f t="shared" si="612"/>
        <v>188.55</v>
      </c>
      <c r="T442" s="185">
        <f t="shared" si="608"/>
        <v>322.72000000000003</v>
      </c>
      <c r="U442" s="185">
        <f t="shared" si="661"/>
        <v>590639.83000000007</v>
      </c>
      <c r="V442" s="185">
        <f t="shared" si="662"/>
        <v>1782210.1699999985</v>
      </c>
      <c r="W442" s="185">
        <f t="shared" si="609"/>
        <v>0</v>
      </c>
      <c r="X442" s="401" t="str">
        <f t="shared" si="653"/>
        <v xml:space="preserve"> </v>
      </c>
      <c r="Y442" s="185">
        <f t="shared" si="621"/>
        <v>37725010.140000023</v>
      </c>
      <c r="Z442" s="393">
        <f t="shared" si="646"/>
        <v>0.13125000000000001</v>
      </c>
      <c r="AA442" s="185">
        <f t="shared" si="647"/>
        <v>2810.15</v>
      </c>
      <c r="AB442" s="185">
        <f t="shared" si="622"/>
        <v>-409807.14999999997</v>
      </c>
      <c r="AC442" s="185">
        <f t="shared" si="648"/>
        <v>412617.3</v>
      </c>
      <c r="AD442" s="185">
        <f t="shared" ref="AD442:AE442" si="711">+AD441</f>
        <v>134.16999999999999</v>
      </c>
      <c r="AE442" s="185">
        <f t="shared" si="711"/>
        <v>188.55</v>
      </c>
      <c r="AF442" s="185">
        <f t="shared" si="624"/>
        <v>3132.8700000000235</v>
      </c>
      <c r="AG442" s="185">
        <f t="shared" si="625"/>
        <v>-37148717.290000014</v>
      </c>
      <c r="AH442" s="185">
        <f t="shared" si="626"/>
        <v>38726794.139999978</v>
      </c>
      <c r="AI442" s="411">
        <f t="shared" si="614"/>
        <v>794773.14999999444</v>
      </c>
      <c r="AJ442" s="411">
        <f t="shared" si="674"/>
        <v>-38134817.290000021</v>
      </c>
      <c r="AK442" s="411">
        <f t="shared" si="615"/>
        <v>-37340044.14000003</v>
      </c>
      <c r="AL442" s="185">
        <f t="shared" si="627"/>
        <v>38134817.290000021</v>
      </c>
      <c r="AM442" s="317">
        <f t="shared" si="655"/>
        <v>35</v>
      </c>
      <c r="AN442" s="14">
        <f t="shared" si="616"/>
        <v>0</v>
      </c>
      <c r="AO442" s="14">
        <f t="shared" si="694"/>
        <v>0</v>
      </c>
      <c r="AP442" s="14">
        <f t="shared" si="617"/>
        <v>0</v>
      </c>
      <c r="AS442" s="14">
        <f t="shared" si="650"/>
        <v>0</v>
      </c>
      <c r="AT442" s="14">
        <f t="shared" si="656"/>
        <v>0</v>
      </c>
      <c r="AU442" s="185">
        <f t="shared" si="657"/>
        <v>0</v>
      </c>
      <c r="AV442" s="185">
        <f t="shared" si="658"/>
        <v>0</v>
      </c>
    </row>
    <row r="443" spans="1:48">
      <c r="A443" s="401" t="str">
        <f t="shared" ref="A443:A490" si="712">IF(K443&lt;=0," ",+A442+30)</f>
        <v xml:space="preserve"> </v>
      </c>
      <c r="B443" s="185">
        <f t="shared" si="706"/>
        <v>0</v>
      </c>
      <c r="C443" s="14">
        <f t="shared" si="644"/>
        <v>0</v>
      </c>
      <c r="D443" s="14">
        <f t="shared" si="659"/>
        <v>0</v>
      </c>
      <c r="E443" s="14">
        <f t="shared" si="645"/>
        <v>0</v>
      </c>
      <c r="F443" s="14">
        <f t="shared" ref="F443:F490" si="713">+F442</f>
        <v>0</v>
      </c>
      <c r="G443" s="14">
        <f t="shared" si="709"/>
        <v>0</v>
      </c>
      <c r="H443" s="14">
        <f t="shared" si="710"/>
        <v>0</v>
      </c>
      <c r="I443" s="185">
        <f t="shared" ref="I443:I490" si="714">$D443+$I442</f>
        <v>0</v>
      </c>
      <c r="J443" s="185">
        <f t="shared" ref="J443:J490" si="715">$E443+$J442</f>
        <v>0</v>
      </c>
      <c r="K443" s="185">
        <f t="shared" ref="K443:K490" si="716">+B443-D443</f>
        <v>0</v>
      </c>
      <c r="L443" s="317">
        <f t="shared" si="696"/>
        <v>35</v>
      </c>
      <c r="M443" s="317">
        <f t="shared" si="651"/>
        <v>427</v>
      </c>
      <c r="N443" s="185">
        <f t="shared" si="681"/>
        <v>0</v>
      </c>
      <c r="O443" s="185">
        <f t="shared" si="619"/>
        <v>0</v>
      </c>
      <c r="P443" s="185">
        <f t="shared" si="660"/>
        <v>0</v>
      </c>
      <c r="Q443" s="185">
        <f t="shared" si="620"/>
        <v>0</v>
      </c>
      <c r="R443" s="185">
        <f t="shared" si="611"/>
        <v>134.16999999999999</v>
      </c>
      <c r="S443" s="185">
        <f t="shared" si="612"/>
        <v>188.55</v>
      </c>
      <c r="T443" s="185">
        <f t="shared" ref="T443:T490" si="717">SUM(P443:S443)</f>
        <v>322.72000000000003</v>
      </c>
      <c r="U443" s="185">
        <f t="shared" si="661"/>
        <v>590639.83000000007</v>
      </c>
      <c r="V443" s="185">
        <f t="shared" si="662"/>
        <v>1782210.1699999985</v>
      </c>
      <c r="W443" s="185">
        <f t="shared" ref="W443:W490" si="718">+N443-P443</f>
        <v>0</v>
      </c>
      <c r="X443" s="401" t="str">
        <f t="shared" si="653"/>
        <v xml:space="preserve"> </v>
      </c>
      <c r="Y443" s="185">
        <f t="shared" si="621"/>
        <v>38134817.290000021</v>
      </c>
      <c r="Z443" s="393">
        <f t="shared" si="646"/>
        <v>0.13125000000000001</v>
      </c>
      <c r="AA443" s="185">
        <f t="shared" si="647"/>
        <v>2810.15</v>
      </c>
      <c r="AB443" s="185">
        <f t="shared" si="622"/>
        <v>-414289.41</v>
      </c>
      <c r="AC443" s="185">
        <f t="shared" si="648"/>
        <v>417099.56</v>
      </c>
      <c r="AD443" s="185">
        <f t="shared" ref="AD443:AE443" si="719">+AD442</f>
        <v>134.16999999999999</v>
      </c>
      <c r="AE443" s="185">
        <f t="shared" si="719"/>
        <v>188.55</v>
      </c>
      <c r="AF443" s="185">
        <f t="shared" si="624"/>
        <v>3132.8700000000235</v>
      </c>
      <c r="AG443" s="185">
        <f t="shared" si="625"/>
        <v>-37563006.70000001</v>
      </c>
      <c r="AH443" s="185">
        <f t="shared" si="626"/>
        <v>39143893.699999981</v>
      </c>
      <c r="AI443" s="411">
        <f t="shared" si="614"/>
        <v>791962.99999999441</v>
      </c>
      <c r="AJ443" s="411">
        <f t="shared" si="674"/>
        <v>-38549106.700000018</v>
      </c>
      <c r="AK443" s="411">
        <f t="shared" si="615"/>
        <v>-37757143.700000025</v>
      </c>
      <c r="AL443" s="185">
        <f t="shared" si="627"/>
        <v>38549106.700000018</v>
      </c>
      <c r="AM443" s="317">
        <f t="shared" si="655"/>
        <v>35</v>
      </c>
      <c r="AN443" s="14">
        <f t="shared" si="616"/>
        <v>0</v>
      </c>
      <c r="AO443" s="14">
        <f t="shared" si="694"/>
        <v>0</v>
      </c>
      <c r="AP443" s="14">
        <f t="shared" si="617"/>
        <v>0</v>
      </c>
      <c r="AS443" s="14">
        <f t="shared" si="650"/>
        <v>0</v>
      </c>
      <c r="AT443" s="14">
        <f t="shared" si="656"/>
        <v>0</v>
      </c>
      <c r="AU443" s="185">
        <f t="shared" si="657"/>
        <v>0</v>
      </c>
      <c r="AV443" s="185">
        <f t="shared" si="658"/>
        <v>0</v>
      </c>
    </row>
    <row r="444" spans="1:48">
      <c r="A444" s="401" t="str">
        <f t="shared" si="712"/>
        <v xml:space="preserve"> </v>
      </c>
      <c r="B444" s="185">
        <f t="shared" si="706"/>
        <v>0</v>
      </c>
      <c r="C444" s="14">
        <f t="shared" si="644"/>
        <v>0</v>
      </c>
      <c r="D444" s="14">
        <f t="shared" si="659"/>
        <v>0</v>
      </c>
      <c r="E444" s="14">
        <f t="shared" si="645"/>
        <v>0</v>
      </c>
      <c r="F444" s="14">
        <f t="shared" si="713"/>
        <v>0</v>
      </c>
      <c r="G444" s="14">
        <f t="shared" si="709"/>
        <v>0</v>
      </c>
      <c r="H444" s="14">
        <f t="shared" si="710"/>
        <v>0</v>
      </c>
      <c r="I444" s="185">
        <f t="shared" si="714"/>
        <v>0</v>
      </c>
      <c r="J444" s="185">
        <f t="shared" si="715"/>
        <v>0</v>
      </c>
      <c r="K444" s="185">
        <f t="shared" si="716"/>
        <v>0</v>
      </c>
      <c r="L444" s="317">
        <f t="shared" si="696"/>
        <v>35</v>
      </c>
      <c r="M444" s="317">
        <f t="shared" si="651"/>
        <v>428</v>
      </c>
      <c r="N444" s="185">
        <f t="shared" si="681"/>
        <v>0</v>
      </c>
      <c r="O444" s="185">
        <f t="shared" si="619"/>
        <v>0</v>
      </c>
      <c r="P444" s="185">
        <f t="shared" si="660"/>
        <v>0</v>
      </c>
      <c r="Q444" s="185">
        <f t="shared" si="620"/>
        <v>0</v>
      </c>
      <c r="R444" s="185">
        <f t="shared" ref="R444:R490" si="720">+R443</f>
        <v>134.16999999999999</v>
      </c>
      <c r="S444" s="185">
        <f t="shared" ref="S444:S490" si="721">+S443</f>
        <v>188.55</v>
      </c>
      <c r="T444" s="185">
        <f t="shared" si="717"/>
        <v>322.72000000000003</v>
      </c>
      <c r="U444" s="185">
        <f t="shared" si="661"/>
        <v>590639.83000000007</v>
      </c>
      <c r="V444" s="185">
        <f t="shared" si="662"/>
        <v>1782210.1699999985</v>
      </c>
      <c r="W444" s="185">
        <f t="shared" si="718"/>
        <v>0</v>
      </c>
      <c r="X444" s="401" t="str">
        <f t="shared" si="653"/>
        <v xml:space="preserve"> </v>
      </c>
      <c r="Y444" s="185">
        <f t="shared" si="621"/>
        <v>38549106.700000018</v>
      </c>
      <c r="Z444" s="393">
        <f t="shared" si="646"/>
        <v>0.13125000000000001</v>
      </c>
      <c r="AA444" s="185">
        <f t="shared" si="647"/>
        <v>2810.15</v>
      </c>
      <c r="AB444" s="185">
        <f t="shared" si="622"/>
        <v>-418820.69999999995</v>
      </c>
      <c r="AC444" s="185">
        <f t="shared" si="648"/>
        <v>421630.85</v>
      </c>
      <c r="AD444" s="185">
        <f t="shared" ref="AD444:AE444" si="722">+AD443</f>
        <v>134.16999999999999</v>
      </c>
      <c r="AE444" s="185">
        <f t="shared" si="722"/>
        <v>188.55</v>
      </c>
      <c r="AF444" s="185">
        <f t="shared" si="624"/>
        <v>3132.8700000000235</v>
      </c>
      <c r="AG444" s="185">
        <f t="shared" si="625"/>
        <v>-37981827.400000013</v>
      </c>
      <c r="AH444" s="185">
        <f t="shared" si="626"/>
        <v>39565524.549999982</v>
      </c>
      <c r="AI444" s="411">
        <f t="shared" ref="AI444:AI507" si="723">O444-AA444+AI443</f>
        <v>789152.84999999439</v>
      </c>
      <c r="AJ444" s="411">
        <f t="shared" si="674"/>
        <v>-38967927.400000021</v>
      </c>
      <c r="AK444" s="411">
        <f t="shared" ref="AK444:AK507" si="724">SUM(AI444:AJ444)</f>
        <v>-38178774.550000027</v>
      </c>
      <c r="AL444" s="185">
        <f t="shared" si="627"/>
        <v>38967927.400000021</v>
      </c>
      <c r="AM444" s="317">
        <f t="shared" si="655"/>
        <v>35</v>
      </c>
      <c r="AN444" s="14">
        <f t="shared" ref="AN444:AN490" si="725">IF(O444=0,0,+O444-C444)</f>
        <v>0</v>
      </c>
      <c r="AO444" s="14">
        <f t="shared" si="694"/>
        <v>0</v>
      </c>
      <c r="AP444" s="14">
        <f t="shared" ref="AP444:AP490" si="726">IF($O444=0,0,+AA444-$C444)</f>
        <v>0</v>
      </c>
      <c r="AS444" s="14">
        <f t="shared" si="650"/>
        <v>0</v>
      </c>
      <c r="AT444" s="14">
        <f t="shared" si="656"/>
        <v>0</v>
      </c>
      <c r="AU444" s="185">
        <f t="shared" si="657"/>
        <v>0</v>
      </c>
      <c r="AV444" s="185">
        <f t="shared" si="658"/>
        <v>0</v>
      </c>
    </row>
    <row r="445" spans="1:48">
      <c r="A445" s="401" t="str">
        <f t="shared" si="712"/>
        <v xml:space="preserve"> </v>
      </c>
      <c r="B445" s="185">
        <f t="shared" si="706"/>
        <v>0</v>
      </c>
      <c r="C445" s="14">
        <f t="shared" si="644"/>
        <v>0</v>
      </c>
      <c r="D445" s="14">
        <f t="shared" si="659"/>
        <v>0</v>
      </c>
      <c r="E445" s="14">
        <f t="shared" si="645"/>
        <v>0</v>
      </c>
      <c r="F445" s="14">
        <f t="shared" si="713"/>
        <v>0</v>
      </c>
      <c r="G445" s="14">
        <f t="shared" si="709"/>
        <v>0</v>
      </c>
      <c r="H445" s="14">
        <f t="shared" si="710"/>
        <v>0</v>
      </c>
      <c r="I445" s="185">
        <f t="shared" si="714"/>
        <v>0</v>
      </c>
      <c r="J445" s="185">
        <f t="shared" si="715"/>
        <v>0</v>
      </c>
      <c r="K445" s="185">
        <f t="shared" si="716"/>
        <v>0</v>
      </c>
      <c r="L445" s="317">
        <f t="shared" si="696"/>
        <v>35</v>
      </c>
      <c r="M445" s="317">
        <f t="shared" si="651"/>
        <v>429</v>
      </c>
      <c r="N445" s="185">
        <f t="shared" si="681"/>
        <v>0</v>
      </c>
      <c r="O445" s="185">
        <f t="shared" si="619"/>
        <v>0</v>
      </c>
      <c r="P445" s="185">
        <f t="shared" si="660"/>
        <v>0</v>
      </c>
      <c r="Q445" s="185">
        <f t="shared" si="620"/>
        <v>0</v>
      </c>
      <c r="R445" s="185">
        <f t="shared" si="720"/>
        <v>134.16999999999999</v>
      </c>
      <c r="S445" s="185">
        <f t="shared" si="721"/>
        <v>188.55</v>
      </c>
      <c r="T445" s="185">
        <f t="shared" si="717"/>
        <v>322.72000000000003</v>
      </c>
      <c r="U445" s="185">
        <f t="shared" si="661"/>
        <v>590639.83000000007</v>
      </c>
      <c r="V445" s="185">
        <f t="shared" si="662"/>
        <v>1782210.1699999985</v>
      </c>
      <c r="W445" s="185">
        <f t="shared" si="718"/>
        <v>0</v>
      </c>
      <c r="X445" s="401" t="str">
        <f t="shared" si="653"/>
        <v xml:space="preserve"> </v>
      </c>
      <c r="Y445" s="185">
        <f t="shared" si="621"/>
        <v>38967927.400000021</v>
      </c>
      <c r="Z445" s="393">
        <f t="shared" si="646"/>
        <v>0.13125000000000001</v>
      </c>
      <c r="AA445" s="185">
        <f t="shared" si="647"/>
        <v>2810.15</v>
      </c>
      <c r="AB445" s="185">
        <f t="shared" si="622"/>
        <v>-423401.56</v>
      </c>
      <c r="AC445" s="185">
        <f t="shared" si="648"/>
        <v>426211.71</v>
      </c>
      <c r="AD445" s="185">
        <f t="shared" ref="AD445:AE445" si="727">+AD444</f>
        <v>134.16999999999999</v>
      </c>
      <c r="AE445" s="185">
        <f t="shared" si="727"/>
        <v>188.55</v>
      </c>
      <c r="AF445" s="185">
        <f t="shared" si="624"/>
        <v>3132.8700000000235</v>
      </c>
      <c r="AG445" s="185">
        <f t="shared" si="625"/>
        <v>-38405228.960000016</v>
      </c>
      <c r="AH445" s="185">
        <f t="shared" si="626"/>
        <v>39991736.259999983</v>
      </c>
      <c r="AI445" s="411">
        <f t="shared" si="723"/>
        <v>786342.69999999437</v>
      </c>
      <c r="AJ445" s="411">
        <f t="shared" si="674"/>
        <v>-39391328.960000023</v>
      </c>
      <c r="AK445" s="411">
        <f t="shared" si="724"/>
        <v>-38604986.260000028</v>
      </c>
      <c r="AL445" s="185">
        <f t="shared" si="627"/>
        <v>39391328.960000023</v>
      </c>
      <c r="AM445" s="317">
        <f t="shared" si="655"/>
        <v>35</v>
      </c>
      <c r="AN445" s="14">
        <f t="shared" si="725"/>
        <v>0</v>
      </c>
      <c r="AO445" s="14">
        <f t="shared" si="694"/>
        <v>0</v>
      </c>
      <c r="AP445" s="14">
        <f t="shared" si="726"/>
        <v>0</v>
      </c>
      <c r="AS445" s="14">
        <f t="shared" si="650"/>
        <v>0</v>
      </c>
      <c r="AT445" s="14">
        <f t="shared" si="656"/>
        <v>0</v>
      </c>
      <c r="AU445" s="185">
        <f t="shared" si="657"/>
        <v>0</v>
      </c>
      <c r="AV445" s="185">
        <f t="shared" si="658"/>
        <v>0</v>
      </c>
    </row>
    <row r="446" spans="1:48" ht="15.75" thickBot="1">
      <c r="A446" s="404" t="str">
        <f t="shared" si="712"/>
        <v xml:space="preserve"> </v>
      </c>
      <c r="B446" s="237">
        <f t="shared" si="706"/>
        <v>0</v>
      </c>
      <c r="C446" s="21">
        <f t="shared" si="644"/>
        <v>0</v>
      </c>
      <c r="D446" s="21">
        <f t="shared" si="659"/>
        <v>0</v>
      </c>
      <c r="E446" s="21">
        <f t="shared" si="645"/>
        <v>0</v>
      </c>
      <c r="F446" s="21">
        <f t="shared" si="713"/>
        <v>0</v>
      </c>
      <c r="G446" s="21">
        <f t="shared" si="709"/>
        <v>0</v>
      </c>
      <c r="H446" s="21">
        <f t="shared" si="710"/>
        <v>0</v>
      </c>
      <c r="I446" s="237">
        <f t="shared" si="714"/>
        <v>0</v>
      </c>
      <c r="J446" s="237">
        <f t="shared" si="715"/>
        <v>0</v>
      </c>
      <c r="K446" s="237">
        <f t="shared" si="716"/>
        <v>0</v>
      </c>
      <c r="L446" s="318">
        <f t="shared" si="696"/>
        <v>35</v>
      </c>
      <c r="M446" s="318">
        <f t="shared" si="651"/>
        <v>430</v>
      </c>
      <c r="N446" s="237">
        <f t="shared" si="681"/>
        <v>0</v>
      </c>
      <c r="O446" s="237">
        <f t="shared" ref="O446:O490" si="728">IF($O$9&lt;=A446,IF(+$W445&lt;=0,0,$O$8),0)</f>
        <v>0</v>
      </c>
      <c r="P446" s="237">
        <f t="shared" si="660"/>
        <v>0</v>
      </c>
      <c r="Q446" s="237">
        <f t="shared" ref="Q446:Q490" si="729">IF($O$9&lt;=A446,ROUND(N446*($O$6/12),2),0)</f>
        <v>0</v>
      </c>
      <c r="R446" s="237">
        <f t="shared" si="720"/>
        <v>134.16999999999999</v>
      </c>
      <c r="S446" s="237">
        <f t="shared" si="721"/>
        <v>188.55</v>
      </c>
      <c r="T446" s="237">
        <f t="shared" si="717"/>
        <v>322.72000000000003</v>
      </c>
      <c r="U446" s="237">
        <f t="shared" si="661"/>
        <v>590639.83000000007</v>
      </c>
      <c r="V446" s="237">
        <f t="shared" si="662"/>
        <v>1782210.1699999985</v>
      </c>
      <c r="W446" s="237">
        <f t="shared" si="718"/>
        <v>0</v>
      </c>
      <c r="X446" s="404" t="str">
        <f t="shared" si="653"/>
        <v xml:space="preserve"> </v>
      </c>
      <c r="Y446" s="237">
        <f t="shared" ref="Y446:Y509" si="730">IF(+AL445&lt;0,0,+AL445)</f>
        <v>39391328.960000023</v>
      </c>
      <c r="Z446" s="394">
        <f t="shared" si="646"/>
        <v>0.13125000000000001</v>
      </c>
      <c r="AA446" s="237">
        <f t="shared" si="647"/>
        <v>2810.15</v>
      </c>
      <c r="AB446" s="237">
        <f t="shared" ref="AB446:AB509" si="731">+AA446-AC446</f>
        <v>-428032.50999999995</v>
      </c>
      <c r="AC446" s="237">
        <f t="shared" si="648"/>
        <v>430842.66</v>
      </c>
      <c r="AD446" s="237">
        <f t="shared" ref="AD446:AE446" si="732">+AD445</f>
        <v>134.16999999999999</v>
      </c>
      <c r="AE446" s="237">
        <f t="shared" si="732"/>
        <v>188.55</v>
      </c>
      <c r="AF446" s="237">
        <f t="shared" ref="AF446:AF509" si="733">SUM(AB446:AE446)</f>
        <v>3132.8700000000235</v>
      </c>
      <c r="AG446" s="237">
        <f t="shared" ref="AG446:AG509" si="734">+AB446+AG445</f>
        <v>-38833261.470000014</v>
      </c>
      <c r="AH446" s="237">
        <f t="shared" ref="AH446:AH509" si="735">+AH445+AC446</f>
        <v>40422578.919999979</v>
      </c>
      <c r="AI446" s="412">
        <f t="shared" si="723"/>
        <v>783532.54999999434</v>
      </c>
      <c r="AJ446" s="412">
        <f t="shared" si="674"/>
        <v>-39819361.470000021</v>
      </c>
      <c r="AK446" s="411">
        <f t="shared" si="724"/>
        <v>-39035828.920000024</v>
      </c>
      <c r="AL446" s="237">
        <f t="shared" ref="AL446:AL509" si="736">+Y446-AB446</f>
        <v>39819361.470000021</v>
      </c>
      <c r="AM446" s="318">
        <f t="shared" si="655"/>
        <v>35</v>
      </c>
      <c r="AN446" s="21">
        <f t="shared" si="725"/>
        <v>0</v>
      </c>
      <c r="AO446" s="21">
        <f t="shared" si="694"/>
        <v>0</v>
      </c>
      <c r="AP446" s="21">
        <f t="shared" si="726"/>
        <v>0</v>
      </c>
      <c r="AQ446" s="21"/>
      <c r="AR446" s="23"/>
      <c r="AS446" s="21">
        <f t="shared" si="650"/>
        <v>0</v>
      </c>
      <c r="AT446" s="21">
        <f t="shared" si="656"/>
        <v>0</v>
      </c>
      <c r="AU446" s="237">
        <f t="shared" si="657"/>
        <v>0</v>
      </c>
      <c r="AV446" s="237">
        <f t="shared" si="658"/>
        <v>0</v>
      </c>
    </row>
    <row r="447" spans="1:48">
      <c r="A447" s="401" t="str">
        <f t="shared" si="712"/>
        <v xml:space="preserve"> </v>
      </c>
      <c r="B447" s="185">
        <f t="shared" si="706"/>
        <v>0</v>
      </c>
      <c r="C447" s="14">
        <f t="shared" si="644"/>
        <v>0</v>
      </c>
      <c r="D447" s="14">
        <f t="shared" si="659"/>
        <v>0</v>
      </c>
      <c r="E447" s="14">
        <f t="shared" si="645"/>
        <v>0</v>
      </c>
      <c r="F447" s="14">
        <f t="shared" si="713"/>
        <v>0</v>
      </c>
      <c r="G447" s="14">
        <f t="shared" si="709"/>
        <v>0</v>
      </c>
      <c r="H447" s="14">
        <f t="shared" si="710"/>
        <v>0</v>
      </c>
      <c r="I447" s="185">
        <f t="shared" si="714"/>
        <v>0</v>
      </c>
      <c r="J447" s="185">
        <f t="shared" si="715"/>
        <v>0</v>
      </c>
      <c r="K447" s="185">
        <f t="shared" si="716"/>
        <v>0</v>
      </c>
      <c r="L447" s="317">
        <f t="shared" si="696"/>
        <v>35</v>
      </c>
      <c r="M447" s="317">
        <f t="shared" si="651"/>
        <v>431</v>
      </c>
      <c r="N447" s="185">
        <f t="shared" si="681"/>
        <v>0</v>
      </c>
      <c r="O447" s="185">
        <f t="shared" si="728"/>
        <v>0</v>
      </c>
      <c r="P447" s="185">
        <f t="shared" si="660"/>
        <v>0</v>
      </c>
      <c r="Q447" s="185">
        <f t="shared" si="729"/>
        <v>0</v>
      </c>
      <c r="R447" s="185">
        <f t="shared" si="720"/>
        <v>134.16999999999999</v>
      </c>
      <c r="S447" s="185">
        <f t="shared" si="721"/>
        <v>188.55</v>
      </c>
      <c r="T447" s="185">
        <f t="shared" si="717"/>
        <v>322.72000000000003</v>
      </c>
      <c r="U447" s="185">
        <f t="shared" si="661"/>
        <v>590639.83000000007</v>
      </c>
      <c r="V447" s="185">
        <f t="shared" si="662"/>
        <v>1782210.1699999985</v>
      </c>
      <c r="W447" s="185">
        <f t="shared" si="718"/>
        <v>0</v>
      </c>
      <c r="X447" s="401" t="str">
        <f t="shared" si="653"/>
        <v xml:space="preserve"> </v>
      </c>
      <c r="Y447" s="185">
        <f t="shared" si="730"/>
        <v>39819361.470000021</v>
      </c>
      <c r="Z447" s="393">
        <f t="shared" si="646"/>
        <v>0.13125000000000001</v>
      </c>
      <c r="AA447" s="185">
        <f t="shared" si="647"/>
        <v>2810.15</v>
      </c>
      <c r="AB447" s="185">
        <f t="shared" si="731"/>
        <v>-432714.12</v>
      </c>
      <c r="AC447" s="185">
        <f t="shared" si="648"/>
        <v>435524.27</v>
      </c>
      <c r="AD447" s="185">
        <f t="shared" ref="AD447:AE447" si="737">+AD446</f>
        <v>134.16999999999999</v>
      </c>
      <c r="AE447" s="185">
        <f t="shared" si="737"/>
        <v>188.55</v>
      </c>
      <c r="AF447" s="185">
        <f t="shared" si="733"/>
        <v>3132.8700000000235</v>
      </c>
      <c r="AG447" s="185">
        <f t="shared" si="734"/>
        <v>-39265975.590000011</v>
      </c>
      <c r="AH447" s="185">
        <f t="shared" si="735"/>
        <v>40858103.189999983</v>
      </c>
      <c r="AI447" s="411">
        <f t="shared" si="723"/>
        <v>780722.39999999432</v>
      </c>
      <c r="AJ447" s="411">
        <f t="shared" si="674"/>
        <v>-40252075.590000018</v>
      </c>
      <c r="AK447" s="411">
        <f t="shared" si="724"/>
        <v>-39471353.190000027</v>
      </c>
      <c r="AL447" s="185">
        <f t="shared" si="736"/>
        <v>40252075.590000018</v>
      </c>
      <c r="AM447" s="317">
        <f t="shared" si="655"/>
        <v>35</v>
      </c>
      <c r="AN447" s="14">
        <f t="shared" si="725"/>
        <v>0</v>
      </c>
      <c r="AO447" s="14">
        <f t="shared" si="694"/>
        <v>0</v>
      </c>
      <c r="AP447" s="14">
        <f t="shared" si="726"/>
        <v>0</v>
      </c>
      <c r="AS447" s="14">
        <f t="shared" si="650"/>
        <v>0</v>
      </c>
      <c r="AT447" s="14">
        <f t="shared" si="656"/>
        <v>0</v>
      </c>
      <c r="AU447" s="185">
        <f t="shared" si="657"/>
        <v>0</v>
      </c>
      <c r="AV447" s="185">
        <f t="shared" si="658"/>
        <v>0</v>
      </c>
    </row>
    <row r="448" spans="1:48">
      <c r="A448" s="401" t="str">
        <f t="shared" si="712"/>
        <v xml:space="preserve"> </v>
      </c>
      <c r="B448" s="185">
        <f t="shared" si="706"/>
        <v>0</v>
      </c>
      <c r="C448" s="14">
        <f t="shared" si="644"/>
        <v>0</v>
      </c>
      <c r="D448" s="14">
        <f t="shared" si="659"/>
        <v>0</v>
      </c>
      <c r="E448" s="14">
        <f t="shared" si="645"/>
        <v>0</v>
      </c>
      <c r="F448" s="14">
        <f t="shared" si="713"/>
        <v>0</v>
      </c>
      <c r="G448" s="14">
        <f t="shared" si="709"/>
        <v>0</v>
      </c>
      <c r="H448" s="14">
        <f t="shared" si="710"/>
        <v>0</v>
      </c>
      <c r="I448" s="185">
        <f t="shared" si="714"/>
        <v>0</v>
      </c>
      <c r="J448" s="185">
        <f t="shared" si="715"/>
        <v>0</v>
      </c>
      <c r="K448" s="185">
        <f t="shared" si="716"/>
        <v>0</v>
      </c>
      <c r="L448" s="317">
        <f t="shared" si="696"/>
        <v>36</v>
      </c>
      <c r="M448" s="317">
        <f t="shared" si="651"/>
        <v>432</v>
      </c>
      <c r="N448" s="185">
        <f t="shared" si="681"/>
        <v>0</v>
      </c>
      <c r="O448" s="185">
        <f t="shared" si="728"/>
        <v>0</v>
      </c>
      <c r="P448" s="185">
        <f t="shared" si="660"/>
        <v>0</v>
      </c>
      <c r="Q448" s="185">
        <f t="shared" si="729"/>
        <v>0</v>
      </c>
      <c r="R448" s="185">
        <f t="shared" si="720"/>
        <v>134.16999999999999</v>
      </c>
      <c r="S448" s="185">
        <f t="shared" si="721"/>
        <v>188.55</v>
      </c>
      <c r="T448" s="185">
        <f t="shared" si="717"/>
        <v>322.72000000000003</v>
      </c>
      <c r="U448" s="185">
        <f t="shared" si="661"/>
        <v>590639.83000000007</v>
      </c>
      <c r="V448" s="185">
        <f t="shared" si="662"/>
        <v>1782210.1699999985</v>
      </c>
      <c r="W448" s="185">
        <f t="shared" si="718"/>
        <v>0</v>
      </c>
      <c r="X448" s="401" t="str">
        <f t="shared" si="653"/>
        <v xml:space="preserve"> </v>
      </c>
      <c r="Y448" s="185">
        <f t="shared" si="730"/>
        <v>40252075.590000018</v>
      </c>
      <c r="Z448" s="393">
        <f t="shared" si="646"/>
        <v>0.13125000000000001</v>
      </c>
      <c r="AA448" s="185">
        <f t="shared" si="647"/>
        <v>2810.15</v>
      </c>
      <c r="AB448" s="185">
        <f t="shared" si="731"/>
        <v>-437446.93</v>
      </c>
      <c r="AC448" s="185">
        <f t="shared" si="648"/>
        <v>440257.08</v>
      </c>
      <c r="AD448" s="185">
        <f t="shared" ref="AD448:AE448" si="738">+AD447</f>
        <v>134.16999999999999</v>
      </c>
      <c r="AE448" s="185">
        <f t="shared" si="738"/>
        <v>188.55</v>
      </c>
      <c r="AF448" s="185">
        <f t="shared" si="733"/>
        <v>3132.8700000000235</v>
      </c>
      <c r="AG448" s="185">
        <f t="shared" si="734"/>
        <v>-39703422.520000011</v>
      </c>
      <c r="AH448" s="185">
        <f t="shared" si="735"/>
        <v>41298360.269999981</v>
      </c>
      <c r="AI448" s="411">
        <f t="shared" si="723"/>
        <v>777912.2499999943</v>
      </c>
      <c r="AJ448" s="411">
        <f t="shared" si="674"/>
        <v>-40689522.520000018</v>
      </c>
      <c r="AK448" s="411">
        <f t="shared" si="724"/>
        <v>-39911610.270000026</v>
      </c>
      <c r="AL448" s="185">
        <f t="shared" si="736"/>
        <v>40689522.520000018</v>
      </c>
      <c r="AM448" s="317">
        <f t="shared" si="655"/>
        <v>36</v>
      </c>
      <c r="AN448" s="14">
        <f t="shared" si="725"/>
        <v>0</v>
      </c>
      <c r="AO448" s="14">
        <f t="shared" si="694"/>
        <v>0</v>
      </c>
      <c r="AP448" s="14">
        <f t="shared" si="726"/>
        <v>0</v>
      </c>
      <c r="AS448" s="14">
        <f t="shared" si="650"/>
        <v>0</v>
      </c>
      <c r="AT448" s="14">
        <f t="shared" si="656"/>
        <v>0</v>
      </c>
      <c r="AU448" s="185">
        <f t="shared" si="657"/>
        <v>0</v>
      </c>
      <c r="AV448" s="185">
        <f t="shared" si="658"/>
        <v>0</v>
      </c>
    </row>
    <row r="449" spans="1:48">
      <c r="A449" s="401" t="str">
        <f t="shared" si="712"/>
        <v xml:space="preserve"> </v>
      </c>
      <c r="B449" s="185">
        <f t="shared" si="706"/>
        <v>0</v>
      </c>
      <c r="C449" s="14">
        <f t="shared" si="644"/>
        <v>0</v>
      </c>
      <c r="D449" s="14">
        <f t="shared" si="659"/>
        <v>0</v>
      </c>
      <c r="E449" s="14">
        <f t="shared" si="645"/>
        <v>0</v>
      </c>
      <c r="F449" s="14">
        <f t="shared" si="713"/>
        <v>0</v>
      </c>
      <c r="G449" s="14">
        <f t="shared" si="709"/>
        <v>0</v>
      </c>
      <c r="H449" s="14">
        <f t="shared" si="710"/>
        <v>0</v>
      </c>
      <c r="I449" s="185">
        <f t="shared" si="714"/>
        <v>0</v>
      </c>
      <c r="J449" s="185">
        <f t="shared" si="715"/>
        <v>0</v>
      </c>
      <c r="K449" s="185">
        <f t="shared" si="716"/>
        <v>0</v>
      </c>
      <c r="L449" s="317">
        <f t="shared" si="696"/>
        <v>36</v>
      </c>
      <c r="M449" s="317">
        <f t="shared" si="651"/>
        <v>433</v>
      </c>
      <c r="N449" s="185">
        <f t="shared" si="681"/>
        <v>0</v>
      </c>
      <c r="O449" s="185">
        <f t="shared" si="728"/>
        <v>0</v>
      </c>
      <c r="P449" s="185">
        <f t="shared" si="660"/>
        <v>0</v>
      </c>
      <c r="Q449" s="185">
        <f t="shared" si="729"/>
        <v>0</v>
      </c>
      <c r="R449" s="185">
        <f t="shared" si="720"/>
        <v>134.16999999999999</v>
      </c>
      <c r="S449" s="185">
        <f t="shared" si="721"/>
        <v>188.55</v>
      </c>
      <c r="T449" s="185">
        <f t="shared" si="717"/>
        <v>322.72000000000003</v>
      </c>
      <c r="U449" s="185">
        <f t="shared" si="661"/>
        <v>590639.83000000007</v>
      </c>
      <c r="V449" s="185">
        <f t="shared" si="662"/>
        <v>1782210.1699999985</v>
      </c>
      <c r="W449" s="185">
        <f t="shared" si="718"/>
        <v>0</v>
      </c>
      <c r="X449" s="401" t="str">
        <f t="shared" si="653"/>
        <v xml:space="preserve"> </v>
      </c>
      <c r="Y449" s="185">
        <f t="shared" si="730"/>
        <v>40689522.520000018</v>
      </c>
      <c r="Z449" s="393">
        <f t="shared" si="646"/>
        <v>0.13125000000000001</v>
      </c>
      <c r="AA449" s="185">
        <f t="shared" si="647"/>
        <v>2810.15</v>
      </c>
      <c r="AB449" s="185">
        <f t="shared" si="731"/>
        <v>-442231.5</v>
      </c>
      <c r="AC449" s="185">
        <f t="shared" si="648"/>
        <v>445041.65</v>
      </c>
      <c r="AD449" s="185">
        <f t="shared" ref="AD449:AE449" si="739">+AD448</f>
        <v>134.16999999999999</v>
      </c>
      <c r="AE449" s="185">
        <f t="shared" si="739"/>
        <v>188.55</v>
      </c>
      <c r="AF449" s="185">
        <f t="shared" si="733"/>
        <v>3132.8700000000235</v>
      </c>
      <c r="AG449" s="185">
        <f t="shared" si="734"/>
        <v>-40145654.020000011</v>
      </c>
      <c r="AH449" s="185">
        <f t="shared" si="735"/>
        <v>41743401.919999979</v>
      </c>
      <c r="AI449" s="411">
        <f t="shared" si="723"/>
        <v>775102.09999999427</v>
      </c>
      <c r="AJ449" s="411">
        <f t="shared" si="674"/>
        <v>-41131754.020000018</v>
      </c>
      <c r="AK449" s="411">
        <f t="shared" si="724"/>
        <v>-40356651.920000024</v>
      </c>
      <c r="AL449" s="185">
        <f t="shared" si="736"/>
        <v>41131754.020000018</v>
      </c>
      <c r="AM449" s="317">
        <f t="shared" si="655"/>
        <v>36</v>
      </c>
      <c r="AN449" s="14">
        <f t="shared" si="725"/>
        <v>0</v>
      </c>
      <c r="AO449" s="14">
        <f t="shared" si="694"/>
        <v>0</v>
      </c>
      <c r="AP449" s="14">
        <f t="shared" si="726"/>
        <v>0</v>
      </c>
      <c r="AS449" s="14">
        <f t="shared" si="650"/>
        <v>0</v>
      </c>
      <c r="AT449" s="14">
        <f t="shared" si="656"/>
        <v>0</v>
      </c>
      <c r="AU449" s="185">
        <f t="shared" si="657"/>
        <v>0</v>
      </c>
      <c r="AV449" s="185">
        <f t="shared" si="658"/>
        <v>0</v>
      </c>
    </row>
    <row r="450" spans="1:48">
      <c r="A450" s="401" t="str">
        <f t="shared" si="712"/>
        <v xml:space="preserve"> </v>
      </c>
      <c r="B450" s="185">
        <f t="shared" si="706"/>
        <v>0</v>
      </c>
      <c r="C450" s="14">
        <f t="shared" si="644"/>
        <v>0</v>
      </c>
      <c r="D450" s="14">
        <f t="shared" si="659"/>
        <v>0</v>
      </c>
      <c r="E450" s="14">
        <f t="shared" si="645"/>
        <v>0</v>
      </c>
      <c r="F450" s="14">
        <f t="shared" si="713"/>
        <v>0</v>
      </c>
      <c r="G450" s="14">
        <f t="shared" si="709"/>
        <v>0</v>
      </c>
      <c r="H450" s="14">
        <f t="shared" si="710"/>
        <v>0</v>
      </c>
      <c r="I450" s="185">
        <f t="shared" si="714"/>
        <v>0</v>
      </c>
      <c r="J450" s="185">
        <f t="shared" si="715"/>
        <v>0</v>
      </c>
      <c r="K450" s="185">
        <f t="shared" si="716"/>
        <v>0</v>
      </c>
      <c r="L450" s="317">
        <f t="shared" si="696"/>
        <v>36</v>
      </c>
      <c r="M450" s="317">
        <f t="shared" si="651"/>
        <v>434</v>
      </c>
      <c r="N450" s="185">
        <f t="shared" si="681"/>
        <v>0</v>
      </c>
      <c r="O450" s="185">
        <f t="shared" si="728"/>
        <v>0</v>
      </c>
      <c r="P450" s="185">
        <f t="shared" si="660"/>
        <v>0</v>
      </c>
      <c r="Q450" s="185">
        <f t="shared" si="729"/>
        <v>0</v>
      </c>
      <c r="R450" s="185">
        <f t="shared" si="720"/>
        <v>134.16999999999999</v>
      </c>
      <c r="S450" s="185">
        <f t="shared" si="721"/>
        <v>188.55</v>
      </c>
      <c r="T450" s="185">
        <f t="shared" si="717"/>
        <v>322.72000000000003</v>
      </c>
      <c r="U450" s="185">
        <f t="shared" si="661"/>
        <v>590639.83000000007</v>
      </c>
      <c r="V450" s="185">
        <f t="shared" si="662"/>
        <v>1782210.1699999985</v>
      </c>
      <c r="W450" s="185">
        <f t="shared" si="718"/>
        <v>0</v>
      </c>
      <c r="X450" s="401" t="str">
        <f t="shared" si="653"/>
        <v xml:space="preserve"> </v>
      </c>
      <c r="Y450" s="185">
        <f t="shared" si="730"/>
        <v>41131754.020000018</v>
      </c>
      <c r="Z450" s="393">
        <f t="shared" si="646"/>
        <v>0.13125000000000001</v>
      </c>
      <c r="AA450" s="185">
        <f t="shared" si="647"/>
        <v>2810.15</v>
      </c>
      <c r="AB450" s="185">
        <f t="shared" si="731"/>
        <v>-447068.41</v>
      </c>
      <c r="AC450" s="185">
        <f t="shared" si="648"/>
        <v>449878.56</v>
      </c>
      <c r="AD450" s="185">
        <f t="shared" ref="AD450:AE450" si="740">+AD449</f>
        <v>134.16999999999999</v>
      </c>
      <c r="AE450" s="185">
        <f t="shared" si="740"/>
        <v>188.55</v>
      </c>
      <c r="AF450" s="185">
        <f t="shared" si="733"/>
        <v>3132.8700000000235</v>
      </c>
      <c r="AG450" s="185">
        <f t="shared" si="734"/>
        <v>-40592722.430000007</v>
      </c>
      <c r="AH450" s="185">
        <f t="shared" si="735"/>
        <v>42193280.479999982</v>
      </c>
      <c r="AI450" s="411">
        <f t="shared" si="723"/>
        <v>772291.94999999425</v>
      </c>
      <c r="AJ450" s="411">
        <f t="shared" si="674"/>
        <v>-41578822.430000015</v>
      </c>
      <c r="AK450" s="411">
        <f t="shared" si="724"/>
        <v>-40806530.480000019</v>
      </c>
      <c r="AL450" s="185">
        <f t="shared" si="736"/>
        <v>41578822.430000015</v>
      </c>
      <c r="AM450" s="317">
        <f t="shared" si="655"/>
        <v>36</v>
      </c>
      <c r="AN450" s="14">
        <f t="shared" si="725"/>
        <v>0</v>
      </c>
      <c r="AO450" s="14">
        <f t="shared" si="694"/>
        <v>0</v>
      </c>
      <c r="AP450" s="14">
        <f t="shared" si="726"/>
        <v>0</v>
      </c>
      <c r="AS450" s="14">
        <f t="shared" si="650"/>
        <v>0</v>
      </c>
      <c r="AT450" s="14">
        <f t="shared" si="656"/>
        <v>0</v>
      </c>
      <c r="AU450" s="185">
        <f t="shared" si="657"/>
        <v>0</v>
      </c>
      <c r="AV450" s="185">
        <f t="shared" si="658"/>
        <v>0</v>
      </c>
    </row>
    <row r="451" spans="1:48">
      <c r="A451" s="401" t="str">
        <f t="shared" si="712"/>
        <v xml:space="preserve"> </v>
      </c>
      <c r="B451" s="185">
        <f t="shared" si="706"/>
        <v>0</v>
      </c>
      <c r="C451" s="14">
        <f t="shared" si="644"/>
        <v>0</v>
      </c>
      <c r="D451" s="14">
        <f t="shared" si="659"/>
        <v>0</v>
      </c>
      <c r="E451" s="14">
        <f t="shared" si="645"/>
        <v>0</v>
      </c>
      <c r="F451" s="14">
        <f t="shared" si="713"/>
        <v>0</v>
      </c>
      <c r="G451" s="14">
        <f t="shared" si="709"/>
        <v>0</v>
      </c>
      <c r="H451" s="14">
        <f t="shared" si="710"/>
        <v>0</v>
      </c>
      <c r="I451" s="185">
        <f t="shared" si="714"/>
        <v>0</v>
      </c>
      <c r="J451" s="185">
        <f t="shared" si="715"/>
        <v>0</v>
      </c>
      <c r="K451" s="185">
        <f t="shared" si="716"/>
        <v>0</v>
      </c>
      <c r="L451" s="317">
        <f t="shared" si="696"/>
        <v>36</v>
      </c>
      <c r="M451" s="317">
        <f t="shared" si="651"/>
        <v>435</v>
      </c>
      <c r="N451" s="185">
        <f t="shared" si="681"/>
        <v>0</v>
      </c>
      <c r="O451" s="185">
        <f t="shared" si="728"/>
        <v>0</v>
      </c>
      <c r="P451" s="185">
        <f t="shared" si="660"/>
        <v>0</v>
      </c>
      <c r="Q451" s="185">
        <f t="shared" si="729"/>
        <v>0</v>
      </c>
      <c r="R451" s="185">
        <f t="shared" si="720"/>
        <v>134.16999999999999</v>
      </c>
      <c r="S451" s="185">
        <f t="shared" si="721"/>
        <v>188.55</v>
      </c>
      <c r="T451" s="185">
        <f t="shared" si="717"/>
        <v>322.72000000000003</v>
      </c>
      <c r="U451" s="185">
        <f t="shared" si="661"/>
        <v>590639.83000000007</v>
      </c>
      <c r="V451" s="185">
        <f t="shared" si="662"/>
        <v>1782210.1699999985</v>
      </c>
      <c r="W451" s="185">
        <f t="shared" si="718"/>
        <v>0</v>
      </c>
      <c r="X451" s="401" t="str">
        <f t="shared" si="653"/>
        <v xml:space="preserve"> </v>
      </c>
      <c r="Y451" s="185">
        <f t="shared" si="730"/>
        <v>41578822.430000015</v>
      </c>
      <c r="Z451" s="393">
        <f t="shared" si="646"/>
        <v>0.13125000000000001</v>
      </c>
      <c r="AA451" s="185">
        <f t="shared" si="647"/>
        <v>2810.15</v>
      </c>
      <c r="AB451" s="185">
        <f t="shared" si="731"/>
        <v>-451958.22</v>
      </c>
      <c r="AC451" s="185">
        <f t="shared" si="648"/>
        <v>454768.37</v>
      </c>
      <c r="AD451" s="185">
        <f t="shared" ref="AD451:AE451" si="741">+AD450</f>
        <v>134.16999999999999</v>
      </c>
      <c r="AE451" s="185">
        <f t="shared" si="741"/>
        <v>188.55</v>
      </c>
      <c r="AF451" s="185">
        <f t="shared" si="733"/>
        <v>3132.8700000000235</v>
      </c>
      <c r="AG451" s="185">
        <f t="shared" si="734"/>
        <v>-41044680.650000006</v>
      </c>
      <c r="AH451" s="185">
        <f t="shared" si="735"/>
        <v>42648048.849999979</v>
      </c>
      <c r="AI451" s="411">
        <f t="shared" si="723"/>
        <v>769481.79999999423</v>
      </c>
      <c r="AJ451" s="411">
        <f t="shared" si="674"/>
        <v>-42030780.650000013</v>
      </c>
      <c r="AK451" s="411">
        <f t="shared" si="724"/>
        <v>-41261298.850000016</v>
      </c>
      <c r="AL451" s="185">
        <f t="shared" si="736"/>
        <v>42030780.650000013</v>
      </c>
      <c r="AM451" s="317">
        <f t="shared" si="655"/>
        <v>36</v>
      </c>
      <c r="AN451" s="14">
        <f t="shared" si="725"/>
        <v>0</v>
      </c>
      <c r="AO451" s="14">
        <f t="shared" si="694"/>
        <v>0</v>
      </c>
      <c r="AP451" s="14">
        <f t="shared" si="726"/>
        <v>0</v>
      </c>
      <c r="AS451" s="14">
        <f t="shared" si="650"/>
        <v>0</v>
      </c>
      <c r="AT451" s="14">
        <f t="shared" si="656"/>
        <v>0</v>
      </c>
      <c r="AU451" s="185">
        <f t="shared" si="657"/>
        <v>0</v>
      </c>
      <c r="AV451" s="185">
        <f t="shared" si="658"/>
        <v>0</v>
      </c>
    </row>
    <row r="452" spans="1:48">
      <c r="A452" s="401" t="str">
        <f t="shared" si="712"/>
        <v xml:space="preserve"> </v>
      </c>
      <c r="B452" s="185">
        <f t="shared" si="706"/>
        <v>0</v>
      </c>
      <c r="C452" s="14">
        <f t="shared" si="644"/>
        <v>0</v>
      </c>
      <c r="D452" s="14">
        <f t="shared" si="659"/>
        <v>0</v>
      </c>
      <c r="E452" s="14">
        <f t="shared" si="645"/>
        <v>0</v>
      </c>
      <c r="F452" s="14">
        <f t="shared" si="713"/>
        <v>0</v>
      </c>
      <c r="G452" s="14">
        <f t="shared" si="709"/>
        <v>0</v>
      </c>
      <c r="H452" s="14">
        <f t="shared" si="710"/>
        <v>0</v>
      </c>
      <c r="I452" s="185">
        <f t="shared" si="714"/>
        <v>0</v>
      </c>
      <c r="J452" s="185">
        <f t="shared" si="715"/>
        <v>0</v>
      </c>
      <c r="K452" s="185">
        <f t="shared" si="716"/>
        <v>0</v>
      </c>
      <c r="L452" s="317">
        <f t="shared" si="696"/>
        <v>36</v>
      </c>
      <c r="M452" s="317">
        <f t="shared" si="651"/>
        <v>436</v>
      </c>
      <c r="N452" s="185">
        <f t="shared" si="681"/>
        <v>0</v>
      </c>
      <c r="O452" s="185">
        <f t="shared" si="728"/>
        <v>0</v>
      </c>
      <c r="P452" s="185">
        <f t="shared" si="660"/>
        <v>0</v>
      </c>
      <c r="Q452" s="185">
        <f t="shared" si="729"/>
        <v>0</v>
      </c>
      <c r="R452" s="185">
        <f t="shared" si="720"/>
        <v>134.16999999999999</v>
      </c>
      <c r="S452" s="185">
        <f t="shared" si="721"/>
        <v>188.55</v>
      </c>
      <c r="T452" s="185">
        <f t="shared" si="717"/>
        <v>322.72000000000003</v>
      </c>
      <c r="U452" s="185">
        <f t="shared" si="661"/>
        <v>590639.83000000007</v>
      </c>
      <c r="V452" s="185">
        <f t="shared" si="662"/>
        <v>1782210.1699999985</v>
      </c>
      <c r="W452" s="185">
        <f t="shared" si="718"/>
        <v>0</v>
      </c>
      <c r="X452" s="401" t="str">
        <f t="shared" si="653"/>
        <v xml:space="preserve"> </v>
      </c>
      <c r="Y452" s="185">
        <f t="shared" si="730"/>
        <v>42030780.650000013</v>
      </c>
      <c r="Z452" s="393">
        <f t="shared" si="646"/>
        <v>0.13125000000000001</v>
      </c>
      <c r="AA452" s="185">
        <f t="shared" si="647"/>
        <v>2810.15</v>
      </c>
      <c r="AB452" s="185">
        <f t="shared" si="731"/>
        <v>-456901.50999999995</v>
      </c>
      <c r="AC452" s="185">
        <f t="shared" si="648"/>
        <v>459711.66</v>
      </c>
      <c r="AD452" s="185">
        <f t="shared" ref="AD452:AE452" si="742">+AD451</f>
        <v>134.16999999999999</v>
      </c>
      <c r="AE452" s="185">
        <f t="shared" si="742"/>
        <v>188.55</v>
      </c>
      <c r="AF452" s="185">
        <f t="shared" si="733"/>
        <v>3132.8700000000235</v>
      </c>
      <c r="AG452" s="185">
        <f t="shared" si="734"/>
        <v>-41501582.160000004</v>
      </c>
      <c r="AH452" s="185">
        <f t="shared" si="735"/>
        <v>43107760.509999976</v>
      </c>
      <c r="AI452" s="411">
        <f t="shared" si="723"/>
        <v>766671.6499999942</v>
      </c>
      <c r="AJ452" s="411">
        <f t="shared" si="674"/>
        <v>-42487682.160000011</v>
      </c>
      <c r="AK452" s="411">
        <f t="shared" si="724"/>
        <v>-41721010.51000002</v>
      </c>
      <c r="AL452" s="185">
        <f t="shared" si="736"/>
        <v>42487682.160000011</v>
      </c>
      <c r="AM452" s="317">
        <f t="shared" si="655"/>
        <v>36</v>
      </c>
      <c r="AN452" s="14">
        <f t="shared" si="725"/>
        <v>0</v>
      </c>
      <c r="AO452" s="14">
        <f t="shared" si="694"/>
        <v>0</v>
      </c>
      <c r="AP452" s="14">
        <f t="shared" si="726"/>
        <v>0</v>
      </c>
      <c r="AS452" s="14">
        <f t="shared" si="650"/>
        <v>0</v>
      </c>
      <c r="AT452" s="14">
        <f t="shared" si="656"/>
        <v>0</v>
      </c>
      <c r="AU452" s="185">
        <f t="shared" si="657"/>
        <v>0</v>
      </c>
      <c r="AV452" s="185">
        <f t="shared" si="658"/>
        <v>0</v>
      </c>
    </row>
    <row r="453" spans="1:48">
      <c r="A453" s="401" t="str">
        <f t="shared" si="712"/>
        <v xml:space="preserve"> </v>
      </c>
      <c r="B453" s="185">
        <f t="shared" si="706"/>
        <v>0</v>
      </c>
      <c r="C453" s="14">
        <f t="shared" si="644"/>
        <v>0</v>
      </c>
      <c r="D453" s="14">
        <f t="shared" si="659"/>
        <v>0</v>
      </c>
      <c r="E453" s="14">
        <f t="shared" si="645"/>
        <v>0</v>
      </c>
      <c r="F453" s="14">
        <f t="shared" si="713"/>
        <v>0</v>
      </c>
      <c r="G453" s="14">
        <f t="shared" si="709"/>
        <v>0</v>
      </c>
      <c r="H453" s="14">
        <f t="shared" si="710"/>
        <v>0</v>
      </c>
      <c r="I453" s="185">
        <f t="shared" si="714"/>
        <v>0</v>
      </c>
      <c r="J453" s="185">
        <f t="shared" si="715"/>
        <v>0</v>
      </c>
      <c r="K453" s="185">
        <f t="shared" si="716"/>
        <v>0</v>
      </c>
      <c r="L453" s="317">
        <f t="shared" si="696"/>
        <v>36</v>
      </c>
      <c r="M453" s="317">
        <f t="shared" si="651"/>
        <v>437</v>
      </c>
      <c r="N453" s="185">
        <f t="shared" si="681"/>
        <v>0</v>
      </c>
      <c r="O453" s="185">
        <f t="shared" si="728"/>
        <v>0</v>
      </c>
      <c r="P453" s="185">
        <f t="shared" si="660"/>
        <v>0</v>
      </c>
      <c r="Q453" s="185">
        <f t="shared" si="729"/>
        <v>0</v>
      </c>
      <c r="R453" s="185">
        <f t="shared" si="720"/>
        <v>134.16999999999999</v>
      </c>
      <c r="S453" s="185">
        <f t="shared" si="721"/>
        <v>188.55</v>
      </c>
      <c r="T453" s="185">
        <f t="shared" si="717"/>
        <v>322.72000000000003</v>
      </c>
      <c r="U453" s="185">
        <f t="shared" si="661"/>
        <v>590639.83000000007</v>
      </c>
      <c r="V453" s="185">
        <f t="shared" si="662"/>
        <v>1782210.1699999985</v>
      </c>
      <c r="W453" s="185">
        <f t="shared" si="718"/>
        <v>0</v>
      </c>
      <c r="X453" s="401" t="str">
        <f t="shared" si="653"/>
        <v xml:space="preserve"> </v>
      </c>
      <c r="Y453" s="185">
        <f t="shared" si="730"/>
        <v>42487682.160000011</v>
      </c>
      <c r="Z453" s="393">
        <f t="shared" si="646"/>
        <v>0.13125000000000001</v>
      </c>
      <c r="AA453" s="185">
        <f t="shared" si="647"/>
        <v>2810.15</v>
      </c>
      <c r="AB453" s="185">
        <f t="shared" si="731"/>
        <v>-461898.87</v>
      </c>
      <c r="AC453" s="185">
        <f t="shared" si="648"/>
        <v>464709.02</v>
      </c>
      <c r="AD453" s="185">
        <f t="shared" ref="AD453:AE453" si="743">+AD452</f>
        <v>134.16999999999999</v>
      </c>
      <c r="AE453" s="185">
        <f t="shared" si="743"/>
        <v>188.55</v>
      </c>
      <c r="AF453" s="185">
        <f t="shared" si="733"/>
        <v>3132.8700000000235</v>
      </c>
      <c r="AG453" s="185">
        <f t="shared" si="734"/>
        <v>-41963481.030000001</v>
      </c>
      <c r="AH453" s="185">
        <f t="shared" si="735"/>
        <v>43572469.529999979</v>
      </c>
      <c r="AI453" s="411">
        <f t="shared" si="723"/>
        <v>763861.49999999418</v>
      </c>
      <c r="AJ453" s="411">
        <f t="shared" si="674"/>
        <v>-42949581.030000009</v>
      </c>
      <c r="AK453" s="411">
        <f t="shared" si="724"/>
        <v>-42185719.530000016</v>
      </c>
      <c r="AL453" s="185">
        <f t="shared" si="736"/>
        <v>42949581.030000009</v>
      </c>
      <c r="AM453" s="317">
        <f t="shared" si="655"/>
        <v>36</v>
      </c>
      <c r="AN453" s="14">
        <f t="shared" si="725"/>
        <v>0</v>
      </c>
      <c r="AO453" s="14">
        <f t="shared" si="694"/>
        <v>0</v>
      </c>
      <c r="AP453" s="14">
        <f t="shared" si="726"/>
        <v>0</v>
      </c>
      <c r="AS453" s="14">
        <f t="shared" si="650"/>
        <v>0</v>
      </c>
      <c r="AT453" s="14">
        <f t="shared" si="656"/>
        <v>0</v>
      </c>
      <c r="AU453" s="185">
        <f t="shared" si="657"/>
        <v>0</v>
      </c>
      <c r="AV453" s="185">
        <f t="shared" si="658"/>
        <v>0</v>
      </c>
    </row>
    <row r="454" spans="1:48">
      <c r="A454" s="401" t="str">
        <f t="shared" si="712"/>
        <v xml:space="preserve"> </v>
      </c>
      <c r="B454" s="185">
        <f t="shared" si="706"/>
        <v>0</v>
      </c>
      <c r="C454" s="14">
        <f t="shared" si="644"/>
        <v>0</v>
      </c>
      <c r="D454" s="14">
        <f t="shared" si="659"/>
        <v>0</v>
      </c>
      <c r="E454" s="14">
        <f t="shared" si="645"/>
        <v>0</v>
      </c>
      <c r="F454" s="14">
        <f t="shared" si="713"/>
        <v>0</v>
      </c>
      <c r="G454" s="14">
        <f t="shared" si="709"/>
        <v>0</v>
      </c>
      <c r="H454" s="14">
        <f t="shared" si="710"/>
        <v>0</v>
      </c>
      <c r="I454" s="185">
        <f t="shared" si="714"/>
        <v>0</v>
      </c>
      <c r="J454" s="185">
        <f t="shared" si="715"/>
        <v>0</v>
      </c>
      <c r="K454" s="185">
        <f t="shared" si="716"/>
        <v>0</v>
      </c>
      <c r="L454" s="317">
        <f t="shared" si="696"/>
        <v>36</v>
      </c>
      <c r="M454" s="317">
        <f t="shared" si="651"/>
        <v>438</v>
      </c>
      <c r="N454" s="185">
        <f t="shared" si="681"/>
        <v>0</v>
      </c>
      <c r="O454" s="185">
        <f t="shared" si="728"/>
        <v>0</v>
      </c>
      <c r="P454" s="185">
        <f t="shared" si="660"/>
        <v>0</v>
      </c>
      <c r="Q454" s="185">
        <f t="shared" si="729"/>
        <v>0</v>
      </c>
      <c r="R454" s="185">
        <f t="shared" si="720"/>
        <v>134.16999999999999</v>
      </c>
      <c r="S454" s="185">
        <f t="shared" si="721"/>
        <v>188.55</v>
      </c>
      <c r="T454" s="185">
        <f t="shared" si="717"/>
        <v>322.72000000000003</v>
      </c>
      <c r="U454" s="185">
        <f t="shared" si="661"/>
        <v>590639.83000000007</v>
      </c>
      <c r="V454" s="185">
        <f t="shared" si="662"/>
        <v>1782210.1699999985</v>
      </c>
      <c r="W454" s="185">
        <f t="shared" si="718"/>
        <v>0</v>
      </c>
      <c r="X454" s="401" t="str">
        <f t="shared" si="653"/>
        <v xml:space="preserve"> </v>
      </c>
      <c r="Y454" s="185">
        <f t="shared" si="730"/>
        <v>42949581.030000009</v>
      </c>
      <c r="Z454" s="393">
        <f t="shared" si="646"/>
        <v>0.13125000000000001</v>
      </c>
      <c r="AA454" s="185">
        <f t="shared" si="647"/>
        <v>2810.15</v>
      </c>
      <c r="AB454" s="185">
        <f t="shared" si="731"/>
        <v>-466950.88999999996</v>
      </c>
      <c r="AC454" s="185">
        <f t="shared" si="648"/>
        <v>469761.04</v>
      </c>
      <c r="AD454" s="185">
        <f t="shared" ref="AD454:AE454" si="744">+AD453</f>
        <v>134.16999999999999</v>
      </c>
      <c r="AE454" s="185">
        <f t="shared" si="744"/>
        <v>188.55</v>
      </c>
      <c r="AF454" s="185">
        <f t="shared" si="733"/>
        <v>3132.8700000000235</v>
      </c>
      <c r="AG454" s="185">
        <f t="shared" si="734"/>
        <v>-42430431.920000002</v>
      </c>
      <c r="AH454" s="185">
        <f t="shared" si="735"/>
        <v>44042230.569999978</v>
      </c>
      <c r="AI454" s="411">
        <f t="shared" si="723"/>
        <v>761051.34999999416</v>
      </c>
      <c r="AJ454" s="411">
        <f t="shared" si="674"/>
        <v>-43416531.920000009</v>
      </c>
      <c r="AK454" s="411">
        <f t="shared" si="724"/>
        <v>-42655480.570000015</v>
      </c>
      <c r="AL454" s="185">
        <f t="shared" si="736"/>
        <v>43416531.920000009</v>
      </c>
      <c r="AM454" s="317">
        <f t="shared" si="655"/>
        <v>36</v>
      </c>
      <c r="AN454" s="14">
        <f t="shared" si="725"/>
        <v>0</v>
      </c>
      <c r="AO454" s="14">
        <f t="shared" si="694"/>
        <v>0</v>
      </c>
      <c r="AP454" s="14">
        <f t="shared" si="726"/>
        <v>0</v>
      </c>
      <c r="AS454" s="14">
        <f t="shared" si="650"/>
        <v>0</v>
      </c>
      <c r="AT454" s="14">
        <f t="shared" si="656"/>
        <v>0</v>
      </c>
      <c r="AU454" s="185">
        <f t="shared" si="657"/>
        <v>0</v>
      </c>
      <c r="AV454" s="185">
        <f t="shared" si="658"/>
        <v>0</v>
      </c>
    </row>
    <row r="455" spans="1:48">
      <c r="A455" s="401" t="str">
        <f t="shared" si="712"/>
        <v xml:space="preserve"> </v>
      </c>
      <c r="B455" s="185">
        <f t="shared" si="706"/>
        <v>0</v>
      </c>
      <c r="C455" s="14">
        <f t="shared" si="644"/>
        <v>0</v>
      </c>
      <c r="D455" s="14">
        <f t="shared" si="659"/>
        <v>0</v>
      </c>
      <c r="E455" s="14">
        <f t="shared" si="645"/>
        <v>0</v>
      </c>
      <c r="F455" s="14">
        <f t="shared" si="713"/>
        <v>0</v>
      </c>
      <c r="G455" s="14">
        <f t="shared" si="709"/>
        <v>0</v>
      </c>
      <c r="H455" s="14">
        <f t="shared" si="710"/>
        <v>0</v>
      </c>
      <c r="I455" s="185">
        <f t="shared" si="714"/>
        <v>0</v>
      </c>
      <c r="J455" s="185">
        <f t="shared" si="715"/>
        <v>0</v>
      </c>
      <c r="K455" s="185">
        <f t="shared" si="716"/>
        <v>0</v>
      </c>
      <c r="L455" s="317">
        <f t="shared" si="696"/>
        <v>36</v>
      </c>
      <c r="M455" s="317">
        <f t="shared" si="651"/>
        <v>439</v>
      </c>
      <c r="N455" s="185">
        <f t="shared" si="681"/>
        <v>0</v>
      </c>
      <c r="O455" s="185">
        <f t="shared" si="728"/>
        <v>0</v>
      </c>
      <c r="P455" s="185">
        <f t="shared" si="660"/>
        <v>0</v>
      </c>
      <c r="Q455" s="185">
        <f t="shared" si="729"/>
        <v>0</v>
      </c>
      <c r="R455" s="185">
        <f t="shared" si="720"/>
        <v>134.16999999999999</v>
      </c>
      <c r="S455" s="185">
        <f t="shared" si="721"/>
        <v>188.55</v>
      </c>
      <c r="T455" s="185">
        <f t="shared" si="717"/>
        <v>322.72000000000003</v>
      </c>
      <c r="U455" s="185">
        <f t="shared" si="661"/>
        <v>590639.83000000007</v>
      </c>
      <c r="V455" s="185">
        <f t="shared" si="662"/>
        <v>1782210.1699999985</v>
      </c>
      <c r="W455" s="185">
        <f t="shared" si="718"/>
        <v>0</v>
      </c>
      <c r="X455" s="401" t="str">
        <f t="shared" si="653"/>
        <v xml:space="preserve"> </v>
      </c>
      <c r="Y455" s="185">
        <f t="shared" si="730"/>
        <v>43416531.920000009</v>
      </c>
      <c r="Z455" s="393">
        <f t="shared" si="646"/>
        <v>0.13125000000000001</v>
      </c>
      <c r="AA455" s="185">
        <f t="shared" si="647"/>
        <v>2810.15</v>
      </c>
      <c r="AB455" s="185">
        <f t="shared" si="731"/>
        <v>-472058.17</v>
      </c>
      <c r="AC455" s="185">
        <f t="shared" si="648"/>
        <v>474868.32</v>
      </c>
      <c r="AD455" s="185">
        <f t="shared" ref="AD455:AE455" si="745">+AD454</f>
        <v>134.16999999999999</v>
      </c>
      <c r="AE455" s="185">
        <f t="shared" si="745"/>
        <v>188.55</v>
      </c>
      <c r="AF455" s="185">
        <f t="shared" si="733"/>
        <v>3132.8700000000235</v>
      </c>
      <c r="AG455" s="185">
        <f t="shared" si="734"/>
        <v>-42902490.090000004</v>
      </c>
      <c r="AH455" s="185">
        <f t="shared" si="735"/>
        <v>44517098.889999978</v>
      </c>
      <c r="AI455" s="411">
        <f t="shared" si="723"/>
        <v>758241.19999999413</v>
      </c>
      <c r="AJ455" s="411">
        <f t="shared" si="674"/>
        <v>-43888590.090000011</v>
      </c>
      <c r="AK455" s="411">
        <f t="shared" si="724"/>
        <v>-43130348.890000015</v>
      </c>
      <c r="AL455" s="185">
        <f t="shared" si="736"/>
        <v>43888590.090000011</v>
      </c>
      <c r="AM455" s="317">
        <f t="shared" si="655"/>
        <v>36</v>
      </c>
      <c r="AN455" s="14">
        <f t="shared" si="725"/>
        <v>0</v>
      </c>
      <c r="AO455" s="14">
        <f t="shared" si="694"/>
        <v>0</v>
      </c>
      <c r="AP455" s="14">
        <f t="shared" si="726"/>
        <v>0</v>
      </c>
      <c r="AS455" s="14">
        <f t="shared" si="650"/>
        <v>0</v>
      </c>
      <c r="AT455" s="14">
        <f t="shared" si="656"/>
        <v>0</v>
      </c>
      <c r="AU455" s="185">
        <f t="shared" si="657"/>
        <v>0</v>
      </c>
      <c r="AV455" s="185">
        <f t="shared" si="658"/>
        <v>0</v>
      </c>
    </row>
    <row r="456" spans="1:48">
      <c r="A456" s="401" t="str">
        <f t="shared" si="712"/>
        <v xml:space="preserve"> </v>
      </c>
      <c r="B456" s="185">
        <f t="shared" si="706"/>
        <v>0</v>
      </c>
      <c r="C456" s="14">
        <f t="shared" si="644"/>
        <v>0</v>
      </c>
      <c r="D456" s="14">
        <f t="shared" si="659"/>
        <v>0</v>
      </c>
      <c r="E456" s="14">
        <f t="shared" si="645"/>
        <v>0</v>
      </c>
      <c r="F456" s="14">
        <f t="shared" si="713"/>
        <v>0</v>
      </c>
      <c r="G456" s="14">
        <f t="shared" si="709"/>
        <v>0</v>
      </c>
      <c r="H456" s="14">
        <f t="shared" si="710"/>
        <v>0</v>
      </c>
      <c r="I456" s="185">
        <f t="shared" si="714"/>
        <v>0</v>
      </c>
      <c r="J456" s="185">
        <f t="shared" si="715"/>
        <v>0</v>
      </c>
      <c r="K456" s="185">
        <f t="shared" si="716"/>
        <v>0</v>
      </c>
      <c r="L456" s="317">
        <f t="shared" si="696"/>
        <v>36</v>
      </c>
      <c r="M456" s="317">
        <f t="shared" si="651"/>
        <v>440</v>
      </c>
      <c r="N456" s="185">
        <f t="shared" si="681"/>
        <v>0</v>
      </c>
      <c r="O456" s="185">
        <f t="shared" si="728"/>
        <v>0</v>
      </c>
      <c r="P456" s="185">
        <f t="shared" si="660"/>
        <v>0</v>
      </c>
      <c r="Q456" s="185">
        <f t="shared" si="729"/>
        <v>0</v>
      </c>
      <c r="R456" s="185">
        <f t="shared" si="720"/>
        <v>134.16999999999999</v>
      </c>
      <c r="S456" s="185">
        <f t="shared" si="721"/>
        <v>188.55</v>
      </c>
      <c r="T456" s="185">
        <f t="shared" si="717"/>
        <v>322.72000000000003</v>
      </c>
      <c r="U456" s="185">
        <f t="shared" si="661"/>
        <v>590639.83000000007</v>
      </c>
      <c r="V456" s="185">
        <f t="shared" si="662"/>
        <v>1782210.1699999985</v>
      </c>
      <c r="W456" s="185">
        <f t="shared" si="718"/>
        <v>0</v>
      </c>
      <c r="X456" s="401" t="str">
        <f t="shared" si="653"/>
        <v xml:space="preserve"> </v>
      </c>
      <c r="Y456" s="185">
        <f t="shared" si="730"/>
        <v>43888590.090000011</v>
      </c>
      <c r="Z456" s="393">
        <f t="shared" si="646"/>
        <v>0.13125000000000001</v>
      </c>
      <c r="AA456" s="185">
        <f t="shared" si="647"/>
        <v>2810.15</v>
      </c>
      <c r="AB456" s="185">
        <f t="shared" si="731"/>
        <v>-477221.3</v>
      </c>
      <c r="AC456" s="185">
        <f t="shared" si="648"/>
        <v>480031.45</v>
      </c>
      <c r="AD456" s="185">
        <f t="shared" ref="AD456:AE456" si="746">+AD455</f>
        <v>134.16999999999999</v>
      </c>
      <c r="AE456" s="185">
        <f t="shared" si="746"/>
        <v>188.55</v>
      </c>
      <c r="AF456" s="185">
        <f t="shared" si="733"/>
        <v>3132.8700000000235</v>
      </c>
      <c r="AG456" s="185">
        <f t="shared" si="734"/>
        <v>-43379711.390000001</v>
      </c>
      <c r="AH456" s="185">
        <f t="shared" si="735"/>
        <v>44997130.339999981</v>
      </c>
      <c r="AI456" s="411">
        <f t="shared" si="723"/>
        <v>755431.04999999411</v>
      </c>
      <c r="AJ456" s="411">
        <f t="shared" si="674"/>
        <v>-44365811.390000008</v>
      </c>
      <c r="AK456" s="411">
        <f t="shared" si="724"/>
        <v>-43610380.340000011</v>
      </c>
      <c r="AL456" s="185">
        <f t="shared" si="736"/>
        <v>44365811.390000008</v>
      </c>
      <c r="AM456" s="317">
        <f t="shared" si="655"/>
        <v>36</v>
      </c>
      <c r="AN456" s="14">
        <f t="shared" si="725"/>
        <v>0</v>
      </c>
      <c r="AO456" s="14">
        <f t="shared" si="694"/>
        <v>0</v>
      </c>
      <c r="AP456" s="14">
        <f t="shared" si="726"/>
        <v>0</v>
      </c>
      <c r="AS456" s="14">
        <f t="shared" si="650"/>
        <v>0</v>
      </c>
      <c r="AT456" s="14">
        <f t="shared" si="656"/>
        <v>0</v>
      </c>
      <c r="AU456" s="185">
        <f t="shared" si="657"/>
        <v>0</v>
      </c>
      <c r="AV456" s="185">
        <f t="shared" si="658"/>
        <v>0</v>
      </c>
    </row>
    <row r="457" spans="1:48">
      <c r="A457" s="401" t="str">
        <f t="shared" si="712"/>
        <v xml:space="preserve"> </v>
      </c>
      <c r="B457" s="185">
        <f t="shared" si="706"/>
        <v>0</v>
      </c>
      <c r="C457" s="14">
        <f t="shared" si="644"/>
        <v>0</v>
      </c>
      <c r="D457" s="14">
        <f t="shared" si="659"/>
        <v>0</v>
      </c>
      <c r="E457" s="14">
        <f t="shared" si="645"/>
        <v>0</v>
      </c>
      <c r="F457" s="14">
        <f t="shared" si="713"/>
        <v>0</v>
      </c>
      <c r="G457" s="14">
        <f t="shared" si="709"/>
        <v>0</v>
      </c>
      <c r="H457" s="14">
        <f t="shared" si="710"/>
        <v>0</v>
      </c>
      <c r="I457" s="185">
        <f t="shared" si="714"/>
        <v>0</v>
      </c>
      <c r="J457" s="185">
        <f t="shared" si="715"/>
        <v>0</v>
      </c>
      <c r="K457" s="185">
        <f t="shared" si="716"/>
        <v>0</v>
      </c>
      <c r="L457" s="317">
        <f t="shared" si="696"/>
        <v>36</v>
      </c>
      <c r="M457" s="317">
        <f t="shared" si="651"/>
        <v>441</v>
      </c>
      <c r="N457" s="185">
        <f t="shared" si="681"/>
        <v>0</v>
      </c>
      <c r="O457" s="185">
        <f t="shared" si="728"/>
        <v>0</v>
      </c>
      <c r="P457" s="185">
        <f t="shared" si="660"/>
        <v>0</v>
      </c>
      <c r="Q457" s="185">
        <f t="shared" si="729"/>
        <v>0</v>
      </c>
      <c r="R457" s="185">
        <f t="shared" si="720"/>
        <v>134.16999999999999</v>
      </c>
      <c r="S457" s="185">
        <f t="shared" si="721"/>
        <v>188.55</v>
      </c>
      <c r="T457" s="185">
        <f t="shared" si="717"/>
        <v>322.72000000000003</v>
      </c>
      <c r="U457" s="185">
        <f t="shared" si="661"/>
        <v>590639.83000000007</v>
      </c>
      <c r="V457" s="185">
        <f t="shared" si="662"/>
        <v>1782210.1699999985</v>
      </c>
      <c r="W457" s="185">
        <f t="shared" si="718"/>
        <v>0</v>
      </c>
      <c r="X457" s="401" t="str">
        <f t="shared" si="653"/>
        <v xml:space="preserve"> </v>
      </c>
      <c r="Y457" s="185">
        <f t="shared" si="730"/>
        <v>44365811.390000008</v>
      </c>
      <c r="Z457" s="393">
        <f t="shared" si="646"/>
        <v>0.13125000000000001</v>
      </c>
      <c r="AA457" s="185">
        <f t="shared" si="647"/>
        <v>2810.15</v>
      </c>
      <c r="AB457" s="185">
        <f t="shared" si="731"/>
        <v>-482440.91</v>
      </c>
      <c r="AC457" s="185">
        <f t="shared" si="648"/>
        <v>485251.06</v>
      </c>
      <c r="AD457" s="185">
        <f t="shared" ref="AD457:AE457" si="747">+AD456</f>
        <v>134.16999999999999</v>
      </c>
      <c r="AE457" s="185">
        <f t="shared" si="747"/>
        <v>188.55</v>
      </c>
      <c r="AF457" s="185">
        <f t="shared" si="733"/>
        <v>3132.8700000000235</v>
      </c>
      <c r="AG457" s="185">
        <f t="shared" si="734"/>
        <v>-43862152.299999997</v>
      </c>
      <c r="AH457" s="185">
        <f t="shared" si="735"/>
        <v>45482381.399999984</v>
      </c>
      <c r="AI457" s="411">
        <f t="shared" si="723"/>
        <v>752620.89999999409</v>
      </c>
      <c r="AJ457" s="411">
        <f t="shared" si="674"/>
        <v>-44848252.300000004</v>
      </c>
      <c r="AK457" s="411">
        <f t="shared" si="724"/>
        <v>-44095631.400000013</v>
      </c>
      <c r="AL457" s="185">
        <f t="shared" si="736"/>
        <v>44848252.300000004</v>
      </c>
      <c r="AM457" s="317">
        <f t="shared" si="655"/>
        <v>36</v>
      </c>
      <c r="AN457" s="14">
        <f t="shared" si="725"/>
        <v>0</v>
      </c>
      <c r="AO457" s="14">
        <f t="shared" si="694"/>
        <v>0</v>
      </c>
      <c r="AP457" s="14">
        <f t="shared" si="726"/>
        <v>0</v>
      </c>
      <c r="AS457" s="14">
        <f t="shared" si="650"/>
        <v>0</v>
      </c>
      <c r="AT457" s="14">
        <f t="shared" si="656"/>
        <v>0</v>
      </c>
      <c r="AU457" s="185">
        <f t="shared" si="657"/>
        <v>0</v>
      </c>
      <c r="AV457" s="185">
        <f t="shared" si="658"/>
        <v>0</v>
      </c>
    </row>
    <row r="458" spans="1:48" ht="15.75" thickBot="1">
      <c r="A458" s="404" t="str">
        <f t="shared" si="712"/>
        <v xml:space="preserve"> </v>
      </c>
      <c r="B458" s="237">
        <f t="shared" si="706"/>
        <v>0</v>
      </c>
      <c r="C458" s="21">
        <f t="shared" si="644"/>
        <v>0</v>
      </c>
      <c r="D458" s="21">
        <f t="shared" si="659"/>
        <v>0</v>
      </c>
      <c r="E458" s="21">
        <f t="shared" si="645"/>
        <v>0</v>
      </c>
      <c r="F458" s="21">
        <f t="shared" si="713"/>
        <v>0</v>
      </c>
      <c r="G458" s="21">
        <f t="shared" si="709"/>
        <v>0</v>
      </c>
      <c r="H458" s="21">
        <f t="shared" si="710"/>
        <v>0</v>
      </c>
      <c r="I458" s="237">
        <f t="shared" si="714"/>
        <v>0</v>
      </c>
      <c r="J458" s="237">
        <f t="shared" si="715"/>
        <v>0</v>
      </c>
      <c r="K458" s="237">
        <f t="shared" si="716"/>
        <v>0</v>
      </c>
      <c r="L458" s="318">
        <f t="shared" si="696"/>
        <v>36</v>
      </c>
      <c r="M458" s="318">
        <f t="shared" si="651"/>
        <v>442</v>
      </c>
      <c r="N458" s="237">
        <f t="shared" si="681"/>
        <v>0</v>
      </c>
      <c r="O458" s="237">
        <f t="shared" si="728"/>
        <v>0</v>
      </c>
      <c r="P458" s="237">
        <f t="shared" si="660"/>
        <v>0</v>
      </c>
      <c r="Q458" s="237">
        <f t="shared" si="729"/>
        <v>0</v>
      </c>
      <c r="R458" s="237">
        <f t="shared" si="720"/>
        <v>134.16999999999999</v>
      </c>
      <c r="S458" s="237">
        <f t="shared" si="721"/>
        <v>188.55</v>
      </c>
      <c r="T458" s="237">
        <f t="shared" si="717"/>
        <v>322.72000000000003</v>
      </c>
      <c r="U458" s="237">
        <f t="shared" si="661"/>
        <v>590639.83000000007</v>
      </c>
      <c r="V458" s="237">
        <f t="shared" si="662"/>
        <v>1782210.1699999985</v>
      </c>
      <c r="W458" s="237">
        <f t="shared" si="718"/>
        <v>0</v>
      </c>
      <c r="X458" s="404" t="str">
        <f t="shared" si="653"/>
        <v xml:space="preserve"> </v>
      </c>
      <c r="Y458" s="237">
        <f t="shared" si="730"/>
        <v>44848252.300000004</v>
      </c>
      <c r="Z458" s="394">
        <f t="shared" si="646"/>
        <v>0.13125000000000001</v>
      </c>
      <c r="AA458" s="237">
        <f t="shared" si="647"/>
        <v>2810.15</v>
      </c>
      <c r="AB458" s="237">
        <f t="shared" si="731"/>
        <v>-487717.61</v>
      </c>
      <c r="AC458" s="237">
        <f t="shared" si="648"/>
        <v>490527.76</v>
      </c>
      <c r="AD458" s="237">
        <f t="shared" ref="AD458:AE458" si="748">+AD457</f>
        <v>134.16999999999999</v>
      </c>
      <c r="AE458" s="237">
        <f t="shared" si="748"/>
        <v>188.55</v>
      </c>
      <c r="AF458" s="237">
        <f t="shared" si="733"/>
        <v>3132.8700000000235</v>
      </c>
      <c r="AG458" s="237">
        <f t="shared" si="734"/>
        <v>-44349869.909999996</v>
      </c>
      <c r="AH458" s="237">
        <f t="shared" si="735"/>
        <v>45972909.159999982</v>
      </c>
      <c r="AI458" s="412">
        <f t="shared" si="723"/>
        <v>749810.74999999406</v>
      </c>
      <c r="AJ458" s="412">
        <f t="shared" si="674"/>
        <v>-45335969.910000004</v>
      </c>
      <c r="AK458" s="411">
        <f t="shared" si="724"/>
        <v>-44586159.160000011</v>
      </c>
      <c r="AL458" s="237">
        <f t="shared" si="736"/>
        <v>45335969.910000004</v>
      </c>
      <c r="AM458" s="318">
        <f t="shared" si="655"/>
        <v>36</v>
      </c>
      <c r="AN458" s="21">
        <f t="shared" si="725"/>
        <v>0</v>
      </c>
      <c r="AO458" s="21">
        <f t="shared" si="694"/>
        <v>0</v>
      </c>
      <c r="AP458" s="21">
        <f t="shared" si="726"/>
        <v>0</v>
      </c>
      <c r="AQ458" s="21"/>
      <c r="AR458" s="23"/>
      <c r="AS458" s="21">
        <f t="shared" si="650"/>
        <v>0</v>
      </c>
      <c r="AT458" s="21">
        <f t="shared" si="656"/>
        <v>0</v>
      </c>
      <c r="AU458" s="237">
        <f t="shared" si="657"/>
        <v>0</v>
      </c>
      <c r="AV458" s="237">
        <f t="shared" si="658"/>
        <v>0</v>
      </c>
    </row>
    <row r="459" spans="1:48">
      <c r="A459" s="401" t="str">
        <f t="shared" si="712"/>
        <v xml:space="preserve"> </v>
      </c>
      <c r="B459" s="185">
        <f t="shared" si="706"/>
        <v>0</v>
      </c>
      <c r="C459" s="14">
        <f t="shared" si="644"/>
        <v>0</v>
      </c>
      <c r="D459" s="14">
        <f t="shared" si="659"/>
        <v>0</v>
      </c>
      <c r="E459" s="14">
        <f t="shared" si="645"/>
        <v>0</v>
      </c>
      <c r="F459" s="14">
        <f t="shared" si="713"/>
        <v>0</v>
      </c>
      <c r="G459" s="14">
        <f t="shared" si="709"/>
        <v>0</v>
      </c>
      <c r="H459" s="14">
        <f t="shared" si="710"/>
        <v>0</v>
      </c>
      <c r="I459" s="185">
        <f t="shared" si="714"/>
        <v>0</v>
      </c>
      <c r="J459" s="185">
        <f t="shared" si="715"/>
        <v>0</v>
      </c>
      <c r="K459" s="185">
        <f t="shared" si="716"/>
        <v>0</v>
      </c>
      <c r="L459" s="317">
        <f t="shared" si="696"/>
        <v>36</v>
      </c>
      <c r="M459" s="317">
        <f t="shared" si="651"/>
        <v>443</v>
      </c>
      <c r="N459" s="185">
        <f t="shared" si="681"/>
        <v>0</v>
      </c>
      <c r="O459" s="185">
        <f t="shared" si="728"/>
        <v>0</v>
      </c>
      <c r="P459" s="185">
        <f t="shared" si="660"/>
        <v>0</v>
      </c>
      <c r="Q459" s="185">
        <f t="shared" si="729"/>
        <v>0</v>
      </c>
      <c r="R459" s="185">
        <f t="shared" si="720"/>
        <v>134.16999999999999</v>
      </c>
      <c r="S459" s="185">
        <f t="shared" si="721"/>
        <v>188.55</v>
      </c>
      <c r="T459" s="185">
        <f t="shared" si="717"/>
        <v>322.72000000000003</v>
      </c>
      <c r="U459" s="185">
        <f t="shared" si="661"/>
        <v>590639.83000000007</v>
      </c>
      <c r="V459" s="185">
        <f t="shared" si="662"/>
        <v>1782210.1699999985</v>
      </c>
      <c r="W459" s="185">
        <f t="shared" si="718"/>
        <v>0</v>
      </c>
      <c r="X459" s="401" t="str">
        <f t="shared" si="653"/>
        <v xml:space="preserve"> </v>
      </c>
      <c r="Y459" s="185">
        <f t="shared" si="730"/>
        <v>45335969.910000004</v>
      </c>
      <c r="Z459" s="393">
        <f t="shared" si="646"/>
        <v>0.13125000000000001</v>
      </c>
      <c r="AA459" s="185">
        <f t="shared" si="647"/>
        <v>2810.15</v>
      </c>
      <c r="AB459" s="185">
        <f t="shared" si="731"/>
        <v>-493052.01999999996</v>
      </c>
      <c r="AC459" s="185">
        <f t="shared" si="648"/>
        <v>495862.17</v>
      </c>
      <c r="AD459" s="185">
        <f t="shared" ref="AD459:AE459" si="749">+AD458</f>
        <v>134.16999999999999</v>
      </c>
      <c r="AE459" s="185">
        <f t="shared" si="749"/>
        <v>188.55</v>
      </c>
      <c r="AF459" s="185">
        <f t="shared" si="733"/>
        <v>3132.8700000000235</v>
      </c>
      <c r="AG459" s="185">
        <f t="shared" si="734"/>
        <v>-44842921.93</v>
      </c>
      <c r="AH459" s="185">
        <f t="shared" si="735"/>
        <v>46468771.329999983</v>
      </c>
      <c r="AI459" s="411">
        <f t="shared" si="723"/>
        <v>747000.59999999404</v>
      </c>
      <c r="AJ459" s="411">
        <f t="shared" si="674"/>
        <v>-45829021.930000007</v>
      </c>
      <c r="AK459" s="411">
        <f t="shared" si="724"/>
        <v>-45082021.330000013</v>
      </c>
      <c r="AL459" s="185">
        <f t="shared" si="736"/>
        <v>45829021.930000007</v>
      </c>
      <c r="AM459" s="317">
        <f t="shared" si="655"/>
        <v>36</v>
      </c>
      <c r="AN459" s="14">
        <f t="shared" si="725"/>
        <v>0</v>
      </c>
      <c r="AO459" s="14">
        <f t="shared" si="694"/>
        <v>0</v>
      </c>
      <c r="AP459" s="14">
        <f t="shared" si="726"/>
        <v>0</v>
      </c>
      <c r="AS459" s="14">
        <f t="shared" si="650"/>
        <v>0</v>
      </c>
      <c r="AT459" s="14">
        <f t="shared" si="656"/>
        <v>0</v>
      </c>
      <c r="AU459" s="185">
        <f t="shared" si="657"/>
        <v>0</v>
      </c>
      <c r="AV459" s="185">
        <f t="shared" si="658"/>
        <v>0</v>
      </c>
    </row>
    <row r="460" spans="1:48">
      <c r="A460" s="401" t="str">
        <f t="shared" si="712"/>
        <v xml:space="preserve"> </v>
      </c>
      <c r="B460" s="185">
        <f t="shared" si="706"/>
        <v>0</v>
      </c>
      <c r="C460" s="14">
        <f t="shared" si="644"/>
        <v>0</v>
      </c>
      <c r="D460" s="14">
        <f t="shared" si="659"/>
        <v>0</v>
      </c>
      <c r="E460" s="14">
        <f t="shared" si="645"/>
        <v>0</v>
      </c>
      <c r="F460" s="14">
        <f t="shared" si="713"/>
        <v>0</v>
      </c>
      <c r="G460" s="14">
        <f t="shared" si="709"/>
        <v>0</v>
      </c>
      <c r="H460" s="14">
        <f t="shared" si="710"/>
        <v>0</v>
      </c>
      <c r="I460" s="185">
        <f t="shared" si="714"/>
        <v>0</v>
      </c>
      <c r="J460" s="185">
        <f t="shared" si="715"/>
        <v>0</v>
      </c>
      <c r="K460" s="185">
        <f t="shared" si="716"/>
        <v>0</v>
      </c>
      <c r="L460" s="317">
        <f t="shared" si="696"/>
        <v>37</v>
      </c>
      <c r="M460" s="317">
        <f t="shared" si="651"/>
        <v>444</v>
      </c>
      <c r="N460" s="185">
        <f t="shared" si="681"/>
        <v>0</v>
      </c>
      <c r="O460" s="185">
        <f t="shared" si="728"/>
        <v>0</v>
      </c>
      <c r="P460" s="185">
        <f t="shared" si="660"/>
        <v>0</v>
      </c>
      <c r="Q460" s="185">
        <f t="shared" si="729"/>
        <v>0</v>
      </c>
      <c r="R460" s="185">
        <f t="shared" si="720"/>
        <v>134.16999999999999</v>
      </c>
      <c r="S460" s="185">
        <f t="shared" si="721"/>
        <v>188.55</v>
      </c>
      <c r="T460" s="185">
        <f t="shared" si="717"/>
        <v>322.72000000000003</v>
      </c>
      <c r="U460" s="185">
        <f t="shared" si="661"/>
        <v>590639.83000000007</v>
      </c>
      <c r="V460" s="185">
        <f t="shared" si="662"/>
        <v>1782210.1699999985</v>
      </c>
      <c r="W460" s="185">
        <f t="shared" si="718"/>
        <v>0</v>
      </c>
      <c r="X460" s="401" t="str">
        <f t="shared" si="653"/>
        <v xml:space="preserve"> </v>
      </c>
      <c r="Y460" s="185">
        <f t="shared" si="730"/>
        <v>45829021.930000007</v>
      </c>
      <c r="Z460" s="393">
        <f t="shared" si="646"/>
        <v>0.13125000000000001</v>
      </c>
      <c r="AA460" s="185">
        <f t="shared" si="647"/>
        <v>2810.15</v>
      </c>
      <c r="AB460" s="185">
        <f t="shared" si="731"/>
        <v>-498444.77999999997</v>
      </c>
      <c r="AC460" s="185">
        <f t="shared" si="648"/>
        <v>501254.93</v>
      </c>
      <c r="AD460" s="185">
        <f t="shared" ref="AD460:AE460" si="750">+AD459</f>
        <v>134.16999999999999</v>
      </c>
      <c r="AE460" s="185">
        <f t="shared" si="750"/>
        <v>188.55</v>
      </c>
      <c r="AF460" s="185">
        <f t="shared" si="733"/>
        <v>3132.8700000000235</v>
      </c>
      <c r="AG460" s="185">
        <f t="shared" si="734"/>
        <v>-45341366.710000001</v>
      </c>
      <c r="AH460" s="185">
        <f t="shared" si="735"/>
        <v>46970026.259999983</v>
      </c>
      <c r="AI460" s="411">
        <f t="shared" si="723"/>
        <v>744190.44999999402</v>
      </c>
      <c r="AJ460" s="411">
        <f t="shared" si="674"/>
        <v>-46327466.710000008</v>
      </c>
      <c r="AK460" s="411">
        <f t="shared" si="724"/>
        <v>-45583276.260000013</v>
      </c>
      <c r="AL460" s="185">
        <f t="shared" si="736"/>
        <v>46327466.710000008</v>
      </c>
      <c r="AM460" s="317">
        <f t="shared" si="655"/>
        <v>37</v>
      </c>
      <c r="AN460" s="14">
        <f t="shared" si="725"/>
        <v>0</v>
      </c>
      <c r="AO460" s="14">
        <f t="shared" si="694"/>
        <v>0</v>
      </c>
      <c r="AP460" s="14">
        <f t="shared" si="726"/>
        <v>0</v>
      </c>
      <c r="AS460" s="14">
        <f t="shared" si="650"/>
        <v>0</v>
      </c>
      <c r="AT460" s="14">
        <f t="shared" si="656"/>
        <v>0</v>
      </c>
      <c r="AU460" s="185">
        <f t="shared" si="657"/>
        <v>0</v>
      </c>
      <c r="AV460" s="185">
        <f t="shared" si="658"/>
        <v>0</v>
      </c>
    </row>
    <row r="461" spans="1:48">
      <c r="A461" s="401" t="str">
        <f t="shared" si="712"/>
        <v xml:space="preserve"> </v>
      </c>
      <c r="B461" s="185">
        <f t="shared" si="706"/>
        <v>0</v>
      </c>
      <c r="C461" s="14">
        <f t="shared" si="644"/>
        <v>0</v>
      </c>
      <c r="D461" s="14">
        <f t="shared" si="659"/>
        <v>0</v>
      </c>
      <c r="E461" s="14">
        <f t="shared" si="645"/>
        <v>0</v>
      </c>
      <c r="F461" s="14">
        <f t="shared" si="713"/>
        <v>0</v>
      </c>
      <c r="G461" s="14">
        <f t="shared" si="709"/>
        <v>0</v>
      </c>
      <c r="H461" s="14">
        <f t="shared" si="710"/>
        <v>0</v>
      </c>
      <c r="I461" s="185">
        <f t="shared" si="714"/>
        <v>0</v>
      </c>
      <c r="J461" s="185">
        <f t="shared" si="715"/>
        <v>0</v>
      </c>
      <c r="K461" s="185">
        <f t="shared" si="716"/>
        <v>0</v>
      </c>
      <c r="L461" s="317">
        <f t="shared" si="696"/>
        <v>37</v>
      </c>
      <c r="M461" s="317">
        <f t="shared" si="651"/>
        <v>445</v>
      </c>
      <c r="N461" s="185">
        <f t="shared" si="681"/>
        <v>0</v>
      </c>
      <c r="O461" s="185">
        <f t="shared" si="728"/>
        <v>0</v>
      </c>
      <c r="P461" s="185">
        <f t="shared" si="660"/>
        <v>0</v>
      </c>
      <c r="Q461" s="185">
        <f t="shared" si="729"/>
        <v>0</v>
      </c>
      <c r="R461" s="185">
        <f t="shared" si="720"/>
        <v>134.16999999999999</v>
      </c>
      <c r="S461" s="185">
        <f t="shared" si="721"/>
        <v>188.55</v>
      </c>
      <c r="T461" s="185">
        <f t="shared" si="717"/>
        <v>322.72000000000003</v>
      </c>
      <c r="U461" s="185">
        <f t="shared" si="661"/>
        <v>590639.83000000007</v>
      </c>
      <c r="V461" s="185">
        <f t="shared" si="662"/>
        <v>1782210.1699999985</v>
      </c>
      <c r="W461" s="185">
        <f t="shared" si="718"/>
        <v>0</v>
      </c>
      <c r="X461" s="401" t="str">
        <f t="shared" si="653"/>
        <v xml:space="preserve"> </v>
      </c>
      <c r="Y461" s="185">
        <f t="shared" si="730"/>
        <v>46327466.710000008</v>
      </c>
      <c r="Z461" s="393">
        <f t="shared" si="646"/>
        <v>0.13125000000000001</v>
      </c>
      <c r="AA461" s="185">
        <f t="shared" si="647"/>
        <v>2810.15</v>
      </c>
      <c r="AB461" s="185">
        <f t="shared" si="731"/>
        <v>-503896.51999999996</v>
      </c>
      <c r="AC461" s="185">
        <f t="shared" si="648"/>
        <v>506706.67</v>
      </c>
      <c r="AD461" s="185">
        <f t="shared" ref="AD461:AE461" si="751">+AD460</f>
        <v>134.16999999999999</v>
      </c>
      <c r="AE461" s="185">
        <f t="shared" si="751"/>
        <v>188.55</v>
      </c>
      <c r="AF461" s="185">
        <f t="shared" si="733"/>
        <v>3132.8700000000235</v>
      </c>
      <c r="AG461" s="185">
        <f t="shared" si="734"/>
        <v>-45845263.230000004</v>
      </c>
      <c r="AH461" s="185">
        <f t="shared" si="735"/>
        <v>47476732.929999985</v>
      </c>
      <c r="AI461" s="411">
        <f t="shared" si="723"/>
        <v>741380.29999999399</v>
      </c>
      <c r="AJ461" s="411">
        <f t="shared" si="674"/>
        <v>-46831363.230000012</v>
      </c>
      <c r="AK461" s="411">
        <f t="shared" si="724"/>
        <v>-46089982.930000015</v>
      </c>
      <c r="AL461" s="185">
        <f t="shared" si="736"/>
        <v>46831363.230000012</v>
      </c>
      <c r="AM461" s="317">
        <f t="shared" si="655"/>
        <v>37</v>
      </c>
      <c r="AN461" s="14">
        <f t="shared" si="725"/>
        <v>0</v>
      </c>
      <c r="AO461" s="14">
        <f t="shared" si="694"/>
        <v>0</v>
      </c>
      <c r="AP461" s="14">
        <f t="shared" si="726"/>
        <v>0</v>
      </c>
      <c r="AS461" s="14">
        <f t="shared" si="650"/>
        <v>0</v>
      </c>
      <c r="AT461" s="14">
        <f t="shared" si="656"/>
        <v>0</v>
      </c>
      <c r="AU461" s="185">
        <f t="shared" si="657"/>
        <v>0</v>
      </c>
      <c r="AV461" s="185">
        <f t="shared" si="658"/>
        <v>0</v>
      </c>
    </row>
    <row r="462" spans="1:48">
      <c r="A462" s="401" t="str">
        <f t="shared" si="712"/>
        <v xml:space="preserve"> </v>
      </c>
      <c r="B462" s="185">
        <f t="shared" si="706"/>
        <v>0</v>
      </c>
      <c r="C462" s="14">
        <f t="shared" si="644"/>
        <v>0</v>
      </c>
      <c r="D462" s="14">
        <f t="shared" si="659"/>
        <v>0</v>
      </c>
      <c r="E462" s="14">
        <f t="shared" si="645"/>
        <v>0</v>
      </c>
      <c r="F462" s="14">
        <f t="shared" si="713"/>
        <v>0</v>
      </c>
      <c r="G462" s="14">
        <f t="shared" si="709"/>
        <v>0</v>
      </c>
      <c r="H462" s="14">
        <f t="shared" si="710"/>
        <v>0</v>
      </c>
      <c r="I462" s="185">
        <f t="shared" si="714"/>
        <v>0</v>
      </c>
      <c r="J462" s="185">
        <f t="shared" si="715"/>
        <v>0</v>
      </c>
      <c r="K462" s="185">
        <f t="shared" si="716"/>
        <v>0</v>
      </c>
      <c r="L462" s="317">
        <f t="shared" si="696"/>
        <v>37</v>
      </c>
      <c r="M462" s="317">
        <f t="shared" si="651"/>
        <v>446</v>
      </c>
      <c r="N462" s="185">
        <f t="shared" si="681"/>
        <v>0</v>
      </c>
      <c r="O462" s="185">
        <f t="shared" si="728"/>
        <v>0</v>
      </c>
      <c r="P462" s="185">
        <f t="shared" si="660"/>
        <v>0</v>
      </c>
      <c r="Q462" s="185">
        <f t="shared" si="729"/>
        <v>0</v>
      </c>
      <c r="R462" s="185">
        <f t="shared" si="720"/>
        <v>134.16999999999999</v>
      </c>
      <c r="S462" s="185">
        <f t="shared" si="721"/>
        <v>188.55</v>
      </c>
      <c r="T462" s="185">
        <f t="shared" si="717"/>
        <v>322.72000000000003</v>
      </c>
      <c r="U462" s="185">
        <f t="shared" si="661"/>
        <v>590639.83000000007</v>
      </c>
      <c r="V462" s="185">
        <f t="shared" si="662"/>
        <v>1782210.1699999985</v>
      </c>
      <c r="W462" s="185">
        <f t="shared" si="718"/>
        <v>0</v>
      </c>
      <c r="X462" s="401" t="str">
        <f t="shared" si="653"/>
        <v xml:space="preserve"> </v>
      </c>
      <c r="Y462" s="185">
        <f t="shared" si="730"/>
        <v>46831363.230000012</v>
      </c>
      <c r="Z462" s="393">
        <f t="shared" si="646"/>
        <v>0.13125000000000001</v>
      </c>
      <c r="AA462" s="185">
        <f t="shared" si="647"/>
        <v>2810.15</v>
      </c>
      <c r="AB462" s="185">
        <f t="shared" si="731"/>
        <v>-509407.88999999996</v>
      </c>
      <c r="AC462" s="185">
        <f t="shared" si="648"/>
        <v>512218.04</v>
      </c>
      <c r="AD462" s="185">
        <f t="shared" ref="AD462:AE462" si="752">+AD461</f>
        <v>134.16999999999999</v>
      </c>
      <c r="AE462" s="185">
        <f t="shared" si="752"/>
        <v>188.55</v>
      </c>
      <c r="AF462" s="185">
        <f t="shared" si="733"/>
        <v>3132.8700000000235</v>
      </c>
      <c r="AG462" s="185">
        <f t="shared" si="734"/>
        <v>-46354671.120000005</v>
      </c>
      <c r="AH462" s="185">
        <f t="shared" si="735"/>
        <v>47988950.969999984</v>
      </c>
      <c r="AI462" s="411">
        <f t="shared" si="723"/>
        <v>738570.14999999397</v>
      </c>
      <c r="AJ462" s="411">
        <f t="shared" si="674"/>
        <v>-47340771.120000012</v>
      </c>
      <c r="AK462" s="411">
        <f t="shared" si="724"/>
        <v>-46602200.970000021</v>
      </c>
      <c r="AL462" s="185">
        <f t="shared" si="736"/>
        <v>47340771.120000012</v>
      </c>
      <c r="AM462" s="317">
        <f t="shared" si="655"/>
        <v>37</v>
      </c>
      <c r="AN462" s="14">
        <f t="shared" si="725"/>
        <v>0</v>
      </c>
      <c r="AO462" s="14">
        <f t="shared" si="694"/>
        <v>0</v>
      </c>
      <c r="AP462" s="14">
        <f t="shared" si="726"/>
        <v>0</v>
      </c>
      <c r="AS462" s="14">
        <f t="shared" si="650"/>
        <v>0</v>
      </c>
      <c r="AT462" s="14">
        <f t="shared" si="656"/>
        <v>0</v>
      </c>
      <c r="AU462" s="185">
        <f t="shared" si="657"/>
        <v>0</v>
      </c>
      <c r="AV462" s="185">
        <f t="shared" si="658"/>
        <v>0</v>
      </c>
    </row>
    <row r="463" spans="1:48">
      <c r="A463" s="401" t="str">
        <f t="shared" si="712"/>
        <v xml:space="preserve"> </v>
      </c>
      <c r="B463" s="185">
        <f t="shared" si="706"/>
        <v>0</v>
      </c>
      <c r="C463" s="14">
        <f t="shared" ref="C463:C490" si="753">IF(+$K462&lt;=0,0,$C$5)</f>
        <v>0</v>
      </c>
      <c r="D463" s="14">
        <f t="shared" si="659"/>
        <v>0</v>
      </c>
      <c r="E463" s="14">
        <f t="shared" ref="E463:E490" si="754">ROUND($B463*($C$3/12), 2)</f>
        <v>0</v>
      </c>
      <c r="F463" s="14">
        <f t="shared" si="713"/>
        <v>0</v>
      </c>
      <c r="G463" s="14">
        <f t="shared" si="709"/>
        <v>0</v>
      </c>
      <c r="H463" s="14">
        <f t="shared" si="710"/>
        <v>0</v>
      </c>
      <c r="I463" s="185">
        <f t="shared" si="714"/>
        <v>0</v>
      </c>
      <c r="J463" s="185">
        <f t="shared" si="715"/>
        <v>0</v>
      </c>
      <c r="K463" s="185">
        <f t="shared" si="716"/>
        <v>0</v>
      </c>
      <c r="L463" s="317">
        <f t="shared" si="696"/>
        <v>37</v>
      </c>
      <c r="M463" s="317">
        <f t="shared" si="651"/>
        <v>447</v>
      </c>
      <c r="N463" s="185">
        <f t="shared" si="681"/>
        <v>0</v>
      </c>
      <c r="O463" s="185">
        <f t="shared" si="728"/>
        <v>0</v>
      </c>
      <c r="P463" s="185">
        <f t="shared" si="660"/>
        <v>0</v>
      </c>
      <c r="Q463" s="185">
        <f t="shared" si="729"/>
        <v>0</v>
      </c>
      <c r="R463" s="185">
        <f t="shared" si="720"/>
        <v>134.16999999999999</v>
      </c>
      <c r="S463" s="185">
        <f t="shared" si="721"/>
        <v>188.55</v>
      </c>
      <c r="T463" s="185">
        <f t="shared" si="717"/>
        <v>322.72000000000003</v>
      </c>
      <c r="U463" s="185">
        <f t="shared" si="661"/>
        <v>590639.83000000007</v>
      </c>
      <c r="V463" s="185">
        <f t="shared" si="662"/>
        <v>1782210.1699999985</v>
      </c>
      <c r="W463" s="185">
        <f t="shared" si="718"/>
        <v>0</v>
      </c>
      <c r="X463" s="401" t="str">
        <f t="shared" si="653"/>
        <v xml:space="preserve"> </v>
      </c>
      <c r="Y463" s="185">
        <f t="shared" si="730"/>
        <v>47340771.120000012</v>
      </c>
      <c r="Z463" s="393">
        <f t="shared" ref="Z463:Z526" si="755">IF(L463&gt;4,$AA$9,$AA$8)</f>
        <v>0.13125000000000001</v>
      </c>
      <c r="AA463" s="185">
        <f t="shared" ref="AA463:AA526" si="756">IF($O$9&lt;=$A463,IF(+AL462&lt;=0,0,IF(Z463=$AA$8,$Z$8,$Z$9)),0)</f>
        <v>2810.15</v>
      </c>
      <c r="AB463" s="185">
        <f t="shared" si="731"/>
        <v>-514979.52999999997</v>
      </c>
      <c r="AC463" s="185">
        <f t="shared" ref="AC463:AC526" si="757">IF($O$9&lt;=$A463,ROUND(Y463*(Z463/12),2),0)</f>
        <v>517789.68</v>
      </c>
      <c r="AD463" s="185">
        <f t="shared" ref="AD463:AE463" si="758">+AD462</f>
        <v>134.16999999999999</v>
      </c>
      <c r="AE463" s="185">
        <f t="shared" si="758"/>
        <v>188.55</v>
      </c>
      <c r="AF463" s="185">
        <f t="shared" si="733"/>
        <v>3132.8700000000235</v>
      </c>
      <c r="AG463" s="185">
        <f t="shared" si="734"/>
        <v>-46869650.650000006</v>
      </c>
      <c r="AH463" s="185">
        <f t="shared" si="735"/>
        <v>48506740.649999984</v>
      </c>
      <c r="AI463" s="411">
        <f t="shared" si="723"/>
        <v>735759.99999999395</v>
      </c>
      <c r="AJ463" s="411">
        <f t="shared" si="674"/>
        <v>-47855750.650000013</v>
      </c>
      <c r="AK463" s="411">
        <f t="shared" si="724"/>
        <v>-47119990.650000021</v>
      </c>
      <c r="AL463" s="185">
        <f t="shared" si="736"/>
        <v>47855750.650000013</v>
      </c>
      <c r="AM463" s="317">
        <f t="shared" si="655"/>
        <v>37</v>
      </c>
      <c r="AN463" s="14">
        <f t="shared" si="725"/>
        <v>0</v>
      </c>
      <c r="AO463" s="14">
        <f t="shared" si="694"/>
        <v>0</v>
      </c>
      <c r="AP463" s="14">
        <f t="shared" si="726"/>
        <v>0</v>
      </c>
      <c r="AS463" s="14">
        <f t="shared" ref="AS463:AS490" si="759">+AN463-AR463</f>
        <v>0</v>
      </c>
      <c r="AT463" s="14">
        <f t="shared" si="656"/>
        <v>0</v>
      </c>
      <c r="AU463" s="185">
        <f t="shared" si="657"/>
        <v>0</v>
      </c>
      <c r="AV463" s="185">
        <f t="shared" si="658"/>
        <v>0</v>
      </c>
    </row>
    <row r="464" spans="1:48">
      <c r="A464" s="401" t="str">
        <f t="shared" si="712"/>
        <v xml:space="preserve"> </v>
      </c>
      <c r="B464" s="185">
        <f t="shared" si="706"/>
        <v>0</v>
      </c>
      <c r="C464" s="14">
        <f t="shared" si="753"/>
        <v>0</v>
      </c>
      <c r="D464" s="14">
        <f t="shared" si="659"/>
        <v>0</v>
      </c>
      <c r="E464" s="14">
        <f t="shared" si="754"/>
        <v>0</v>
      </c>
      <c r="F464" s="14">
        <f t="shared" si="713"/>
        <v>0</v>
      </c>
      <c r="G464" s="14">
        <f t="shared" si="709"/>
        <v>0</v>
      </c>
      <c r="H464" s="14">
        <f t="shared" si="710"/>
        <v>0</v>
      </c>
      <c r="I464" s="185">
        <f t="shared" si="714"/>
        <v>0</v>
      </c>
      <c r="J464" s="185">
        <f t="shared" si="715"/>
        <v>0</v>
      </c>
      <c r="K464" s="185">
        <f t="shared" si="716"/>
        <v>0</v>
      </c>
      <c r="L464" s="317">
        <f t="shared" si="696"/>
        <v>37</v>
      </c>
      <c r="M464" s="317">
        <f t="shared" ref="M464:M490" si="760">IF(N464&lt;&gt;"",IF(N464=$O$5,0,+M463+1),0)</f>
        <v>448</v>
      </c>
      <c r="N464" s="185">
        <f t="shared" si="681"/>
        <v>0</v>
      </c>
      <c r="O464" s="185">
        <f t="shared" si="728"/>
        <v>0</v>
      </c>
      <c r="P464" s="185">
        <f t="shared" si="660"/>
        <v>0</v>
      </c>
      <c r="Q464" s="185">
        <f t="shared" si="729"/>
        <v>0</v>
      </c>
      <c r="R464" s="185">
        <f t="shared" si="720"/>
        <v>134.16999999999999</v>
      </c>
      <c r="S464" s="185">
        <f t="shared" si="721"/>
        <v>188.55</v>
      </c>
      <c r="T464" s="185">
        <f t="shared" si="717"/>
        <v>322.72000000000003</v>
      </c>
      <c r="U464" s="185">
        <f t="shared" si="661"/>
        <v>590639.83000000007</v>
      </c>
      <c r="V464" s="185">
        <f t="shared" si="662"/>
        <v>1782210.1699999985</v>
      </c>
      <c r="W464" s="185">
        <f t="shared" si="718"/>
        <v>0</v>
      </c>
      <c r="X464" s="401" t="str">
        <f t="shared" ref="X464:X527" si="761">+A464</f>
        <v xml:space="preserve"> </v>
      </c>
      <c r="Y464" s="185">
        <f t="shared" si="730"/>
        <v>47855750.650000013</v>
      </c>
      <c r="Z464" s="393">
        <f t="shared" si="755"/>
        <v>0.13125000000000001</v>
      </c>
      <c r="AA464" s="185">
        <f t="shared" si="756"/>
        <v>2810.15</v>
      </c>
      <c r="AB464" s="185">
        <f t="shared" si="731"/>
        <v>-520612.12</v>
      </c>
      <c r="AC464" s="185">
        <f t="shared" si="757"/>
        <v>523422.27</v>
      </c>
      <c r="AD464" s="185">
        <f t="shared" ref="AD464:AE464" si="762">+AD463</f>
        <v>134.16999999999999</v>
      </c>
      <c r="AE464" s="185">
        <f t="shared" si="762"/>
        <v>188.55</v>
      </c>
      <c r="AF464" s="185">
        <f t="shared" si="733"/>
        <v>3132.8700000000235</v>
      </c>
      <c r="AG464" s="185">
        <f t="shared" si="734"/>
        <v>-47390262.770000003</v>
      </c>
      <c r="AH464" s="185">
        <f t="shared" si="735"/>
        <v>49030162.919999987</v>
      </c>
      <c r="AI464" s="411">
        <f t="shared" si="723"/>
        <v>732949.84999999392</v>
      </c>
      <c r="AJ464" s="411">
        <f t="shared" si="674"/>
        <v>-48376362.770000011</v>
      </c>
      <c r="AK464" s="411">
        <f t="shared" si="724"/>
        <v>-47643412.920000017</v>
      </c>
      <c r="AL464" s="185">
        <f t="shared" si="736"/>
        <v>48376362.770000011</v>
      </c>
      <c r="AM464" s="317">
        <f t="shared" ref="AM464:AM527" si="763">+L464</f>
        <v>37</v>
      </c>
      <c r="AN464" s="14">
        <f t="shared" si="725"/>
        <v>0</v>
      </c>
      <c r="AO464" s="14">
        <f t="shared" si="694"/>
        <v>0</v>
      </c>
      <c r="AP464" s="14">
        <f t="shared" si="726"/>
        <v>0</v>
      </c>
      <c r="AS464" s="14">
        <f t="shared" si="759"/>
        <v>0</v>
      </c>
      <c r="AT464" s="14">
        <f t="shared" ref="AT464:AT490" si="764">IF(W464&lt;=0,0,+AS464+AT463)</f>
        <v>0</v>
      </c>
      <c r="AU464" s="185">
        <f t="shared" ref="AU464:AU490" si="765">IF(W464&lt;=0,0,+($O$5+AV463)*$AQ$2/12)</f>
        <v>0</v>
      </c>
      <c r="AV464" s="185">
        <f t="shared" ref="AV464:AV490" si="766">IF(W464&lt;=0,0,+AV463+AU464)</f>
        <v>0</v>
      </c>
    </row>
    <row r="465" spans="1:48">
      <c r="A465" s="401" t="str">
        <f t="shared" si="712"/>
        <v xml:space="preserve"> </v>
      </c>
      <c r="B465" s="185">
        <f t="shared" si="706"/>
        <v>0</v>
      </c>
      <c r="C465" s="14">
        <f t="shared" si="753"/>
        <v>0</v>
      </c>
      <c r="D465" s="14">
        <f t="shared" ref="D465:D490" si="767">+C465-E465</f>
        <v>0</v>
      </c>
      <c r="E465" s="14">
        <f t="shared" si="754"/>
        <v>0</v>
      </c>
      <c r="F465" s="14">
        <f t="shared" si="713"/>
        <v>0</v>
      </c>
      <c r="G465" s="14">
        <f t="shared" si="709"/>
        <v>0</v>
      </c>
      <c r="H465" s="14">
        <f t="shared" si="710"/>
        <v>0</v>
      </c>
      <c r="I465" s="185">
        <f t="shared" si="714"/>
        <v>0</v>
      </c>
      <c r="J465" s="185">
        <f t="shared" si="715"/>
        <v>0</v>
      </c>
      <c r="K465" s="185">
        <f t="shared" si="716"/>
        <v>0</v>
      </c>
      <c r="L465" s="317">
        <f t="shared" si="696"/>
        <v>37</v>
      </c>
      <c r="M465" s="317">
        <f t="shared" si="760"/>
        <v>449</v>
      </c>
      <c r="N465" s="185">
        <f t="shared" si="681"/>
        <v>0</v>
      </c>
      <c r="O465" s="185">
        <f t="shared" si="728"/>
        <v>0</v>
      </c>
      <c r="P465" s="185">
        <f t="shared" ref="P465:P490" si="768">+O465-Q465</f>
        <v>0</v>
      </c>
      <c r="Q465" s="185">
        <f t="shared" si="729"/>
        <v>0</v>
      </c>
      <c r="R465" s="185">
        <f t="shared" si="720"/>
        <v>134.16999999999999</v>
      </c>
      <c r="S465" s="185">
        <f t="shared" si="721"/>
        <v>188.55</v>
      </c>
      <c r="T465" s="185">
        <f t="shared" si="717"/>
        <v>322.72000000000003</v>
      </c>
      <c r="U465" s="185">
        <f t="shared" ref="U465:U490" si="769">+P465+U464</f>
        <v>590639.83000000007</v>
      </c>
      <c r="V465" s="185">
        <f t="shared" ref="V465:V490" si="770">+V464+Q465</f>
        <v>1782210.1699999985</v>
      </c>
      <c r="W465" s="185">
        <f t="shared" si="718"/>
        <v>0</v>
      </c>
      <c r="X465" s="401" t="str">
        <f t="shared" si="761"/>
        <v xml:space="preserve"> </v>
      </c>
      <c r="Y465" s="185">
        <f t="shared" si="730"/>
        <v>48376362.770000011</v>
      </c>
      <c r="Z465" s="393">
        <f t="shared" si="755"/>
        <v>0.13125000000000001</v>
      </c>
      <c r="AA465" s="185">
        <f t="shared" si="756"/>
        <v>2810.15</v>
      </c>
      <c r="AB465" s="185">
        <f t="shared" si="731"/>
        <v>-526306.31999999995</v>
      </c>
      <c r="AC465" s="185">
        <f t="shared" si="757"/>
        <v>529116.47</v>
      </c>
      <c r="AD465" s="185">
        <f t="shared" ref="AD465:AE465" si="771">+AD464</f>
        <v>134.16999999999999</v>
      </c>
      <c r="AE465" s="185">
        <f t="shared" si="771"/>
        <v>188.55</v>
      </c>
      <c r="AF465" s="185">
        <f t="shared" si="733"/>
        <v>3132.8700000000235</v>
      </c>
      <c r="AG465" s="185">
        <f t="shared" si="734"/>
        <v>-47916569.090000004</v>
      </c>
      <c r="AH465" s="185">
        <f t="shared" si="735"/>
        <v>49559279.389999986</v>
      </c>
      <c r="AI465" s="411">
        <f t="shared" si="723"/>
        <v>730139.6999999939</v>
      </c>
      <c r="AJ465" s="411">
        <f t="shared" si="674"/>
        <v>-48902669.090000011</v>
      </c>
      <c r="AK465" s="411">
        <f t="shared" si="724"/>
        <v>-48172529.390000015</v>
      </c>
      <c r="AL465" s="185">
        <f t="shared" si="736"/>
        <v>48902669.090000011</v>
      </c>
      <c r="AM465" s="317">
        <f t="shared" si="763"/>
        <v>37</v>
      </c>
      <c r="AN465" s="14">
        <f t="shared" si="725"/>
        <v>0</v>
      </c>
      <c r="AO465" s="14">
        <f t="shared" si="694"/>
        <v>0</v>
      </c>
      <c r="AP465" s="14">
        <f t="shared" si="726"/>
        <v>0</v>
      </c>
      <c r="AS465" s="14">
        <f t="shared" si="759"/>
        <v>0</v>
      </c>
      <c r="AT465" s="14">
        <f t="shared" si="764"/>
        <v>0</v>
      </c>
      <c r="AU465" s="185">
        <f t="shared" si="765"/>
        <v>0</v>
      </c>
      <c r="AV465" s="185">
        <f t="shared" si="766"/>
        <v>0</v>
      </c>
    </row>
    <row r="466" spans="1:48">
      <c r="A466" s="401" t="str">
        <f t="shared" si="712"/>
        <v xml:space="preserve"> </v>
      </c>
      <c r="B466" s="185">
        <f t="shared" si="706"/>
        <v>0</v>
      </c>
      <c r="C466" s="14">
        <f t="shared" si="753"/>
        <v>0</v>
      </c>
      <c r="D466" s="14">
        <f t="shared" si="767"/>
        <v>0</v>
      </c>
      <c r="E466" s="14">
        <f t="shared" si="754"/>
        <v>0</v>
      </c>
      <c r="F466" s="14">
        <f t="shared" si="713"/>
        <v>0</v>
      </c>
      <c r="G466" s="14">
        <f t="shared" si="709"/>
        <v>0</v>
      </c>
      <c r="H466" s="14">
        <f t="shared" si="710"/>
        <v>0</v>
      </c>
      <c r="I466" s="185">
        <f t="shared" si="714"/>
        <v>0</v>
      </c>
      <c r="J466" s="185">
        <f t="shared" si="715"/>
        <v>0</v>
      </c>
      <c r="K466" s="185">
        <f t="shared" si="716"/>
        <v>0</v>
      </c>
      <c r="L466" s="317">
        <f t="shared" si="696"/>
        <v>37</v>
      </c>
      <c r="M466" s="317">
        <f t="shared" si="760"/>
        <v>450</v>
      </c>
      <c r="N466" s="185">
        <f t="shared" si="681"/>
        <v>0</v>
      </c>
      <c r="O466" s="185">
        <f t="shared" si="728"/>
        <v>0</v>
      </c>
      <c r="P466" s="185">
        <f t="shared" si="768"/>
        <v>0</v>
      </c>
      <c r="Q466" s="185">
        <f t="shared" si="729"/>
        <v>0</v>
      </c>
      <c r="R466" s="185">
        <f t="shared" si="720"/>
        <v>134.16999999999999</v>
      </c>
      <c r="S466" s="185">
        <f t="shared" si="721"/>
        <v>188.55</v>
      </c>
      <c r="T466" s="185">
        <f t="shared" si="717"/>
        <v>322.72000000000003</v>
      </c>
      <c r="U466" s="185">
        <f t="shared" si="769"/>
        <v>590639.83000000007</v>
      </c>
      <c r="V466" s="185">
        <f t="shared" si="770"/>
        <v>1782210.1699999985</v>
      </c>
      <c r="W466" s="185">
        <f t="shared" si="718"/>
        <v>0</v>
      </c>
      <c r="X466" s="401" t="str">
        <f t="shared" si="761"/>
        <v xml:space="preserve"> </v>
      </c>
      <c r="Y466" s="185">
        <f t="shared" si="730"/>
        <v>48902669.090000011</v>
      </c>
      <c r="Z466" s="393">
        <f t="shared" si="755"/>
        <v>0.13125000000000001</v>
      </c>
      <c r="AA466" s="185">
        <f t="shared" si="756"/>
        <v>2810.15</v>
      </c>
      <c r="AB466" s="185">
        <f t="shared" si="731"/>
        <v>-532062.78999999992</v>
      </c>
      <c r="AC466" s="185">
        <f t="shared" si="757"/>
        <v>534872.93999999994</v>
      </c>
      <c r="AD466" s="185">
        <f t="shared" ref="AD466:AE466" si="772">+AD465</f>
        <v>134.16999999999999</v>
      </c>
      <c r="AE466" s="185">
        <f t="shared" si="772"/>
        <v>188.55</v>
      </c>
      <c r="AF466" s="185">
        <f t="shared" si="733"/>
        <v>3132.8700000000235</v>
      </c>
      <c r="AG466" s="185">
        <f t="shared" si="734"/>
        <v>-48448631.880000003</v>
      </c>
      <c r="AH466" s="185">
        <f t="shared" si="735"/>
        <v>50094152.329999983</v>
      </c>
      <c r="AI466" s="411">
        <f t="shared" si="723"/>
        <v>727329.54999999388</v>
      </c>
      <c r="AJ466" s="411">
        <f t="shared" si="674"/>
        <v>-49434731.88000001</v>
      </c>
      <c r="AK466" s="411">
        <f t="shared" si="724"/>
        <v>-48707402.330000013</v>
      </c>
      <c r="AL466" s="185">
        <f t="shared" si="736"/>
        <v>49434731.88000001</v>
      </c>
      <c r="AM466" s="317">
        <f t="shared" si="763"/>
        <v>37</v>
      </c>
      <c r="AN466" s="14">
        <f t="shared" si="725"/>
        <v>0</v>
      </c>
      <c r="AO466" s="14">
        <f t="shared" si="694"/>
        <v>0</v>
      </c>
      <c r="AP466" s="14">
        <f t="shared" si="726"/>
        <v>0</v>
      </c>
      <c r="AS466" s="14">
        <f t="shared" si="759"/>
        <v>0</v>
      </c>
      <c r="AT466" s="14">
        <f t="shared" si="764"/>
        <v>0</v>
      </c>
      <c r="AU466" s="185">
        <f t="shared" si="765"/>
        <v>0</v>
      </c>
      <c r="AV466" s="185">
        <f t="shared" si="766"/>
        <v>0</v>
      </c>
    </row>
    <row r="467" spans="1:48">
      <c r="A467" s="401" t="str">
        <f t="shared" si="712"/>
        <v xml:space="preserve"> </v>
      </c>
      <c r="B467" s="185">
        <f t="shared" si="706"/>
        <v>0</v>
      </c>
      <c r="C467" s="14">
        <f t="shared" si="753"/>
        <v>0</v>
      </c>
      <c r="D467" s="14">
        <f t="shared" si="767"/>
        <v>0</v>
      </c>
      <c r="E467" s="14">
        <f t="shared" si="754"/>
        <v>0</v>
      </c>
      <c r="F467" s="14">
        <f t="shared" si="713"/>
        <v>0</v>
      </c>
      <c r="G467" s="14">
        <f t="shared" si="709"/>
        <v>0</v>
      </c>
      <c r="H467" s="14">
        <f t="shared" si="710"/>
        <v>0</v>
      </c>
      <c r="I467" s="185">
        <f t="shared" si="714"/>
        <v>0</v>
      </c>
      <c r="J467" s="185">
        <f t="shared" si="715"/>
        <v>0</v>
      </c>
      <c r="K467" s="185">
        <f t="shared" si="716"/>
        <v>0</v>
      </c>
      <c r="L467" s="317">
        <f t="shared" si="696"/>
        <v>37</v>
      </c>
      <c r="M467" s="317">
        <f t="shared" si="760"/>
        <v>451</v>
      </c>
      <c r="N467" s="185">
        <f t="shared" si="681"/>
        <v>0</v>
      </c>
      <c r="O467" s="185">
        <f t="shared" si="728"/>
        <v>0</v>
      </c>
      <c r="P467" s="185">
        <f t="shared" si="768"/>
        <v>0</v>
      </c>
      <c r="Q467" s="185">
        <f t="shared" si="729"/>
        <v>0</v>
      </c>
      <c r="R467" s="185">
        <f t="shared" si="720"/>
        <v>134.16999999999999</v>
      </c>
      <c r="S467" s="185">
        <f t="shared" si="721"/>
        <v>188.55</v>
      </c>
      <c r="T467" s="185">
        <f t="shared" si="717"/>
        <v>322.72000000000003</v>
      </c>
      <c r="U467" s="185">
        <f t="shared" si="769"/>
        <v>590639.83000000007</v>
      </c>
      <c r="V467" s="185">
        <f t="shared" si="770"/>
        <v>1782210.1699999985</v>
      </c>
      <c r="W467" s="185">
        <f t="shared" si="718"/>
        <v>0</v>
      </c>
      <c r="X467" s="401" t="str">
        <f t="shared" si="761"/>
        <v xml:space="preserve"> </v>
      </c>
      <c r="Y467" s="185">
        <f t="shared" si="730"/>
        <v>49434731.88000001</v>
      </c>
      <c r="Z467" s="393">
        <f t="shared" si="755"/>
        <v>0.13125000000000001</v>
      </c>
      <c r="AA467" s="185">
        <f t="shared" si="756"/>
        <v>2810.15</v>
      </c>
      <c r="AB467" s="185">
        <f t="shared" si="731"/>
        <v>-537882.23</v>
      </c>
      <c r="AC467" s="185">
        <f t="shared" si="757"/>
        <v>540692.38</v>
      </c>
      <c r="AD467" s="185">
        <f t="shared" ref="AD467:AE467" si="773">+AD466</f>
        <v>134.16999999999999</v>
      </c>
      <c r="AE467" s="185">
        <f t="shared" si="773"/>
        <v>188.55</v>
      </c>
      <c r="AF467" s="185">
        <f t="shared" si="733"/>
        <v>3132.8700000000235</v>
      </c>
      <c r="AG467" s="185">
        <f t="shared" si="734"/>
        <v>-48986514.109999999</v>
      </c>
      <c r="AH467" s="185">
        <f t="shared" si="735"/>
        <v>50634844.709999986</v>
      </c>
      <c r="AI467" s="411">
        <f t="shared" si="723"/>
        <v>724519.39999999385</v>
      </c>
      <c r="AJ467" s="411">
        <f t="shared" si="674"/>
        <v>-49972614.110000007</v>
      </c>
      <c r="AK467" s="411">
        <f t="shared" si="724"/>
        <v>-49248094.710000016</v>
      </c>
      <c r="AL467" s="185">
        <f t="shared" si="736"/>
        <v>49972614.110000007</v>
      </c>
      <c r="AM467" s="317">
        <f t="shared" si="763"/>
        <v>37</v>
      </c>
      <c r="AN467" s="14">
        <f t="shared" si="725"/>
        <v>0</v>
      </c>
      <c r="AO467" s="14">
        <f t="shared" si="694"/>
        <v>0</v>
      </c>
      <c r="AP467" s="14">
        <f t="shared" si="726"/>
        <v>0</v>
      </c>
      <c r="AS467" s="14">
        <f t="shared" si="759"/>
        <v>0</v>
      </c>
      <c r="AT467" s="14">
        <f t="shared" si="764"/>
        <v>0</v>
      </c>
      <c r="AU467" s="185">
        <f t="shared" si="765"/>
        <v>0</v>
      </c>
      <c r="AV467" s="185">
        <f t="shared" si="766"/>
        <v>0</v>
      </c>
    </row>
    <row r="468" spans="1:48">
      <c r="A468" s="401" t="str">
        <f t="shared" si="712"/>
        <v xml:space="preserve"> </v>
      </c>
      <c r="B468" s="185">
        <f t="shared" si="706"/>
        <v>0</v>
      </c>
      <c r="C468" s="14">
        <f t="shared" si="753"/>
        <v>0</v>
      </c>
      <c r="D468" s="14">
        <f t="shared" si="767"/>
        <v>0</v>
      </c>
      <c r="E468" s="14">
        <f t="shared" si="754"/>
        <v>0</v>
      </c>
      <c r="F468" s="14">
        <f t="shared" si="713"/>
        <v>0</v>
      </c>
      <c r="G468" s="14">
        <f t="shared" si="709"/>
        <v>0</v>
      </c>
      <c r="H468" s="14">
        <f t="shared" si="710"/>
        <v>0</v>
      </c>
      <c r="I468" s="185">
        <f t="shared" si="714"/>
        <v>0</v>
      </c>
      <c r="J468" s="185">
        <f t="shared" si="715"/>
        <v>0</v>
      </c>
      <c r="K468" s="185">
        <f t="shared" si="716"/>
        <v>0</v>
      </c>
      <c r="L468" s="317">
        <f t="shared" si="696"/>
        <v>37</v>
      </c>
      <c r="M468" s="317">
        <f t="shared" si="760"/>
        <v>452</v>
      </c>
      <c r="N468" s="185">
        <f t="shared" si="681"/>
        <v>0</v>
      </c>
      <c r="O468" s="185">
        <f t="shared" si="728"/>
        <v>0</v>
      </c>
      <c r="P468" s="185">
        <f t="shared" si="768"/>
        <v>0</v>
      </c>
      <c r="Q468" s="185">
        <f t="shared" si="729"/>
        <v>0</v>
      </c>
      <c r="R468" s="185">
        <f t="shared" si="720"/>
        <v>134.16999999999999</v>
      </c>
      <c r="S468" s="185">
        <f t="shared" si="721"/>
        <v>188.55</v>
      </c>
      <c r="T468" s="185">
        <f t="shared" si="717"/>
        <v>322.72000000000003</v>
      </c>
      <c r="U468" s="185">
        <f t="shared" si="769"/>
        <v>590639.83000000007</v>
      </c>
      <c r="V468" s="185">
        <f t="shared" si="770"/>
        <v>1782210.1699999985</v>
      </c>
      <c r="W468" s="185">
        <f t="shared" si="718"/>
        <v>0</v>
      </c>
      <c r="X468" s="401" t="str">
        <f t="shared" si="761"/>
        <v xml:space="preserve"> </v>
      </c>
      <c r="Y468" s="185">
        <f t="shared" si="730"/>
        <v>49972614.110000007</v>
      </c>
      <c r="Z468" s="393">
        <f t="shared" si="755"/>
        <v>0.13125000000000001</v>
      </c>
      <c r="AA468" s="185">
        <f t="shared" si="756"/>
        <v>2810.15</v>
      </c>
      <c r="AB468" s="185">
        <f t="shared" si="731"/>
        <v>-543765.31999999995</v>
      </c>
      <c r="AC468" s="185">
        <f t="shared" si="757"/>
        <v>546575.47</v>
      </c>
      <c r="AD468" s="185">
        <f t="shared" ref="AD468:AE468" si="774">+AD467</f>
        <v>134.16999999999999</v>
      </c>
      <c r="AE468" s="185">
        <f t="shared" si="774"/>
        <v>188.55</v>
      </c>
      <c r="AF468" s="185">
        <f t="shared" si="733"/>
        <v>3132.8700000000235</v>
      </c>
      <c r="AG468" s="185">
        <f t="shared" si="734"/>
        <v>-49530279.43</v>
      </c>
      <c r="AH468" s="185">
        <f t="shared" si="735"/>
        <v>51181420.179999985</v>
      </c>
      <c r="AI468" s="411">
        <f t="shared" si="723"/>
        <v>721709.24999999383</v>
      </c>
      <c r="AJ468" s="411">
        <f t="shared" si="674"/>
        <v>-50516379.430000007</v>
      </c>
      <c r="AK468" s="411">
        <f t="shared" si="724"/>
        <v>-49794670.180000015</v>
      </c>
      <c r="AL468" s="185">
        <f t="shared" si="736"/>
        <v>50516379.430000007</v>
      </c>
      <c r="AM468" s="317">
        <f t="shared" si="763"/>
        <v>37</v>
      </c>
      <c r="AN468" s="14">
        <f t="shared" si="725"/>
        <v>0</v>
      </c>
      <c r="AO468" s="14">
        <f t="shared" si="694"/>
        <v>0</v>
      </c>
      <c r="AP468" s="14">
        <f t="shared" si="726"/>
        <v>0</v>
      </c>
      <c r="AS468" s="14">
        <f t="shared" si="759"/>
        <v>0</v>
      </c>
      <c r="AT468" s="14">
        <f t="shared" si="764"/>
        <v>0</v>
      </c>
      <c r="AU468" s="185">
        <f t="shared" si="765"/>
        <v>0</v>
      </c>
      <c r="AV468" s="185">
        <f t="shared" si="766"/>
        <v>0</v>
      </c>
    </row>
    <row r="469" spans="1:48">
      <c r="A469" s="401" t="str">
        <f t="shared" si="712"/>
        <v xml:space="preserve"> </v>
      </c>
      <c r="B469" s="185">
        <f t="shared" si="706"/>
        <v>0</v>
      </c>
      <c r="C469" s="14">
        <f t="shared" si="753"/>
        <v>0</v>
      </c>
      <c r="D469" s="14">
        <f t="shared" si="767"/>
        <v>0</v>
      </c>
      <c r="E469" s="14">
        <f t="shared" si="754"/>
        <v>0</v>
      </c>
      <c r="F469" s="14">
        <f t="shared" si="713"/>
        <v>0</v>
      </c>
      <c r="G469" s="14">
        <f t="shared" si="709"/>
        <v>0</v>
      </c>
      <c r="H469" s="14">
        <f t="shared" si="710"/>
        <v>0</v>
      </c>
      <c r="I469" s="185">
        <f t="shared" si="714"/>
        <v>0</v>
      </c>
      <c r="J469" s="185">
        <f t="shared" si="715"/>
        <v>0</v>
      </c>
      <c r="K469" s="185">
        <f t="shared" si="716"/>
        <v>0</v>
      </c>
      <c r="L469" s="317">
        <f t="shared" si="696"/>
        <v>37</v>
      </c>
      <c r="M469" s="317">
        <f t="shared" si="760"/>
        <v>453</v>
      </c>
      <c r="N469" s="185">
        <f t="shared" si="681"/>
        <v>0</v>
      </c>
      <c r="O469" s="185">
        <f t="shared" si="728"/>
        <v>0</v>
      </c>
      <c r="P469" s="185">
        <f t="shared" si="768"/>
        <v>0</v>
      </c>
      <c r="Q469" s="185">
        <f t="shared" si="729"/>
        <v>0</v>
      </c>
      <c r="R469" s="185">
        <f t="shared" si="720"/>
        <v>134.16999999999999</v>
      </c>
      <c r="S469" s="185">
        <f t="shared" si="721"/>
        <v>188.55</v>
      </c>
      <c r="T469" s="185">
        <f t="shared" si="717"/>
        <v>322.72000000000003</v>
      </c>
      <c r="U469" s="185">
        <f t="shared" si="769"/>
        <v>590639.83000000007</v>
      </c>
      <c r="V469" s="185">
        <f t="shared" si="770"/>
        <v>1782210.1699999985</v>
      </c>
      <c r="W469" s="185">
        <f t="shared" si="718"/>
        <v>0</v>
      </c>
      <c r="X469" s="401" t="str">
        <f t="shared" si="761"/>
        <v xml:space="preserve"> </v>
      </c>
      <c r="Y469" s="185">
        <f t="shared" si="730"/>
        <v>50516379.430000007</v>
      </c>
      <c r="Z469" s="393">
        <f t="shared" si="755"/>
        <v>0.13125000000000001</v>
      </c>
      <c r="AA469" s="185">
        <f t="shared" si="756"/>
        <v>2810.15</v>
      </c>
      <c r="AB469" s="185">
        <f t="shared" si="731"/>
        <v>-549712.75</v>
      </c>
      <c r="AC469" s="185">
        <f t="shared" si="757"/>
        <v>552522.9</v>
      </c>
      <c r="AD469" s="185">
        <f t="shared" ref="AD469:AE469" si="775">+AD468</f>
        <v>134.16999999999999</v>
      </c>
      <c r="AE469" s="185">
        <f t="shared" si="775"/>
        <v>188.55</v>
      </c>
      <c r="AF469" s="185">
        <f t="shared" si="733"/>
        <v>3132.8700000000235</v>
      </c>
      <c r="AG469" s="185">
        <f t="shared" si="734"/>
        <v>-50079992.18</v>
      </c>
      <c r="AH469" s="185">
        <f t="shared" si="735"/>
        <v>51733943.079999983</v>
      </c>
      <c r="AI469" s="411">
        <f t="shared" si="723"/>
        <v>718899.09999999381</v>
      </c>
      <c r="AJ469" s="411">
        <f t="shared" si="674"/>
        <v>-51066092.180000007</v>
      </c>
      <c r="AK469" s="411">
        <f t="shared" si="724"/>
        <v>-50347193.080000013</v>
      </c>
      <c r="AL469" s="185">
        <f t="shared" si="736"/>
        <v>51066092.180000007</v>
      </c>
      <c r="AM469" s="317">
        <f t="shared" si="763"/>
        <v>37</v>
      </c>
      <c r="AN469" s="14">
        <f t="shared" si="725"/>
        <v>0</v>
      </c>
      <c r="AO469" s="14">
        <f t="shared" si="694"/>
        <v>0</v>
      </c>
      <c r="AP469" s="14">
        <f t="shared" si="726"/>
        <v>0</v>
      </c>
      <c r="AS469" s="14">
        <f t="shared" si="759"/>
        <v>0</v>
      </c>
      <c r="AT469" s="14">
        <f t="shared" si="764"/>
        <v>0</v>
      </c>
      <c r="AU469" s="185">
        <f t="shared" si="765"/>
        <v>0</v>
      </c>
      <c r="AV469" s="185">
        <f t="shared" si="766"/>
        <v>0</v>
      </c>
    </row>
    <row r="470" spans="1:48" ht="15.75" thickBot="1">
      <c r="A470" s="404" t="str">
        <f t="shared" si="712"/>
        <v xml:space="preserve"> </v>
      </c>
      <c r="B470" s="237">
        <f t="shared" si="706"/>
        <v>0</v>
      </c>
      <c r="C470" s="21">
        <f t="shared" si="753"/>
        <v>0</v>
      </c>
      <c r="D470" s="21">
        <f t="shared" si="767"/>
        <v>0</v>
      </c>
      <c r="E470" s="21">
        <f t="shared" si="754"/>
        <v>0</v>
      </c>
      <c r="F470" s="21">
        <f t="shared" si="713"/>
        <v>0</v>
      </c>
      <c r="G470" s="21">
        <f t="shared" si="709"/>
        <v>0</v>
      </c>
      <c r="H470" s="21">
        <f t="shared" si="710"/>
        <v>0</v>
      </c>
      <c r="I470" s="237">
        <f t="shared" si="714"/>
        <v>0</v>
      </c>
      <c r="J470" s="237">
        <f t="shared" si="715"/>
        <v>0</v>
      </c>
      <c r="K470" s="237">
        <f t="shared" si="716"/>
        <v>0</v>
      </c>
      <c r="L470" s="318">
        <f t="shared" si="696"/>
        <v>37</v>
      </c>
      <c r="M470" s="318">
        <f t="shared" si="760"/>
        <v>454</v>
      </c>
      <c r="N470" s="237">
        <f t="shared" si="681"/>
        <v>0</v>
      </c>
      <c r="O470" s="237">
        <f t="shared" si="728"/>
        <v>0</v>
      </c>
      <c r="P470" s="237">
        <f t="shared" si="768"/>
        <v>0</v>
      </c>
      <c r="Q470" s="237">
        <f t="shared" si="729"/>
        <v>0</v>
      </c>
      <c r="R470" s="237">
        <f t="shared" si="720"/>
        <v>134.16999999999999</v>
      </c>
      <c r="S470" s="237">
        <f t="shared" si="721"/>
        <v>188.55</v>
      </c>
      <c r="T470" s="237">
        <f t="shared" si="717"/>
        <v>322.72000000000003</v>
      </c>
      <c r="U470" s="237">
        <f t="shared" si="769"/>
        <v>590639.83000000007</v>
      </c>
      <c r="V470" s="237">
        <f t="shared" si="770"/>
        <v>1782210.1699999985</v>
      </c>
      <c r="W470" s="237">
        <f t="shared" si="718"/>
        <v>0</v>
      </c>
      <c r="X470" s="404" t="str">
        <f t="shared" si="761"/>
        <v xml:space="preserve"> </v>
      </c>
      <c r="Y470" s="237">
        <f t="shared" si="730"/>
        <v>51066092.180000007</v>
      </c>
      <c r="Z470" s="394">
        <f t="shared" si="755"/>
        <v>0.13125000000000001</v>
      </c>
      <c r="AA470" s="237">
        <f t="shared" si="756"/>
        <v>2810.15</v>
      </c>
      <c r="AB470" s="237">
        <f t="shared" si="731"/>
        <v>-555725.23</v>
      </c>
      <c r="AC470" s="237">
        <f t="shared" si="757"/>
        <v>558535.38</v>
      </c>
      <c r="AD470" s="237">
        <f t="shared" ref="AD470:AE470" si="776">+AD469</f>
        <v>134.16999999999999</v>
      </c>
      <c r="AE470" s="237">
        <f t="shared" si="776"/>
        <v>188.55</v>
      </c>
      <c r="AF470" s="237">
        <f t="shared" si="733"/>
        <v>3132.8700000000235</v>
      </c>
      <c r="AG470" s="237">
        <f t="shared" si="734"/>
        <v>-50635717.409999996</v>
      </c>
      <c r="AH470" s="237">
        <f t="shared" si="735"/>
        <v>52292478.459999986</v>
      </c>
      <c r="AI470" s="412">
        <f t="shared" si="723"/>
        <v>716088.94999999378</v>
      </c>
      <c r="AJ470" s="412">
        <f t="shared" si="674"/>
        <v>-51621817.410000004</v>
      </c>
      <c r="AK470" s="411">
        <f t="shared" si="724"/>
        <v>-50905728.460000008</v>
      </c>
      <c r="AL470" s="237">
        <f t="shared" si="736"/>
        <v>51621817.410000004</v>
      </c>
      <c r="AM470" s="318">
        <f t="shared" si="763"/>
        <v>37</v>
      </c>
      <c r="AN470" s="21">
        <f t="shared" si="725"/>
        <v>0</v>
      </c>
      <c r="AO470" s="21">
        <f t="shared" si="694"/>
        <v>0</v>
      </c>
      <c r="AP470" s="21">
        <f t="shared" si="726"/>
        <v>0</v>
      </c>
      <c r="AQ470" s="21"/>
      <c r="AR470" s="23"/>
      <c r="AS470" s="21">
        <f t="shared" si="759"/>
        <v>0</v>
      </c>
      <c r="AT470" s="21">
        <f t="shared" si="764"/>
        <v>0</v>
      </c>
      <c r="AU470" s="237">
        <f t="shared" si="765"/>
        <v>0</v>
      </c>
      <c r="AV470" s="237">
        <f t="shared" si="766"/>
        <v>0</v>
      </c>
    </row>
    <row r="471" spans="1:48">
      <c r="A471" s="401" t="str">
        <f t="shared" si="712"/>
        <v xml:space="preserve"> </v>
      </c>
      <c r="B471" s="185">
        <f t="shared" si="706"/>
        <v>0</v>
      </c>
      <c r="C471" s="14">
        <f t="shared" si="753"/>
        <v>0</v>
      </c>
      <c r="D471" s="14">
        <f t="shared" si="767"/>
        <v>0</v>
      </c>
      <c r="E471" s="14">
        <f t="shared" si="754"/>
        <v>0</v>
      </c>
      <c r="F471" s="14">
        <f t="shared" si="713"/>
        <v>0</v>
      </c>
      <c r="G471" s="14">
        <f t="shared" si="709"/>
        <v>0</v>
      </c>
      <c r="H471" s="14">
        <f t="shared" si="710"/>
        <v>0</v>
      </c>
      <c r="I471" s="185">
        <f t="shared" si="714"/>
        <v>0</v>
      </c>
      <c r="J471" s="185">
        <f t="shared" si="715"/>
        <v>0</v>
      </c>
      <c r="K471" s="185">
        <f t="shared" si="716"/>
        <v>0</v>
      </c>
      <c r="L471" s="317">
        <f t="shared" si="696"/>
        <v>37</v>
      </c>
      <c r="M471" s="317">
        <f t="shared" si="760"/>
        <v>455</v>
      </c>
      <c r="N471" s="185">
        <f t="shared" si="681"/>
        <v>0</v>
      </c>
      <c r="O471" s="185">
        <f t="shared" si="728"/>
        <v>0</v>
      </c>
      <c r="P471" s="185">
        <f t="shared" si="768"/>
        <v>0</v>
      </c>
      <c r="Q471" s="185">
        <f t="shared" si="729"/>
        <v>0</v>
      </c>
      <c r="R471" s="185">
        <f t="shared" si="720"/>
        <v>134.16999999999999</v>
      </c>
      <c r="S471" s="185">
        <f t="shared" si="721"/>
        <v>188.55</v>
      </c>
      <c r="T471" s="185">
        <f t="shared" si="717"/>
        <v>322.72000000000003</v>
      </c>
      <c r="U471" s="185">
        <f t="shared" si="769"/>
        <v>590639.83000000007</v>
      </c>
      <c r="V471" s="185">
        <f t="shared" si="770"/>
        <v>1782210.1699999985</v>
      </c>
      <c r="W471" s="185">
        <f t="shared" si="718"/>
        <v>0</v>
      </c>
      <c r="X471" s="401" t="str">
        <f t="shared" si="761"/>
        <v xml:space="preserve"> </v>
      </c>
      <c r="Y471" s="185">
        <f t="shared" si="730"/>
        <v>51621817.410000004</v>
      </c>
      <c r="Z471" s="393">
        <f t="shared" si="755"/>
        <v>0.13125000000000001</v>
      </c>
      <c r="AA471" s="185">
        <f t="shared" si="756"/>
        <v>2810.15</v>
      </c>
      <c r="AB471" s="185">
        <f t="shared" si="731"/>
        <v>-561803.48</v>
      </c>
      <c r="AC471" s="185">
        <f t="shared" si="757"/>
        <v>564613.63</v>
      </c>
      <c r="AD471" s="185">
        <f t="shared" ref="AD471:AE471" si="777">+AD470</f>
        <v>134.16999999999999</v>
      </c>
      <c r="AE471" s="185">
        <f t="shared" si="777"/>
        <v>188.55</v>
      </c>
      <c r="AF471" s="185">
        <f t="shared" si="733"/>
        <v>3132.8700000000235</v>
      </c>
      <c r="AG471" s="185">
        <f t="shared" si="734"/>
        <v>-51197520.889999993</v>
      </c>
      <c r="AH471" s="185">
        <f t="shared" si="735"/>
        <v>52857092.089999989</v>
      </c>
      <c r="AI471" s="411">
        <f t="shared" si="723"/>
        <v>713278.79999999376</v>
      </c>
      <c r="AJ471" s="411">
        <f t="shared" si="674"/>
        <v>-52183620.890000001</v>
      </c>
      <c r="AK471" s="411">
        <f t="shared" si="724"/>
        <v>-51470342.090000004</v>
      </c>
      <c r="AL471" s="185">
        <f t="shared" si="736"/>
        <v>52183620.890000001</v>
      </c>
      <c r="AM471" s="317">
        <f t="shared" si="763"/>
        <v>37</v>
      </c>
      <c r="AN471" s="14">
        <f t="shared" si="725"/>
        <v>0</v>
      </c>
      <c r="AO471" s="14">
        <f t="shared" si="694"/>
        <v>0</v>
      </c>
      <c r="AP471" s="14">
        <f t="shared" si="726"/>
        <v>0</v>
      </c>
      <c r="AS471" s="14">
        <f t="shared" si="759"/>
        <v>0</v>
      </c>
      <c r="AT471" s="14">
        <f t="shared" si="764"/>
        <v>0</v>
      </c>
      <c r="AU471" s="185">
        <f t="shared" si="765"/>
        <v>0</v>
      </c>
      <c r="AV471" s="185">
        <f t="shared" si="766"/>
        <v>0</v>
      </c>
    </row>
    <row r="472" spans="1:48">
      <c r="A472" s="401" t="str">
        <f t="shared" si="712"/>
        <v xml:space="preserve"> </v>
      </c>
      <c r="B472" s="185">
        <f t="shared" si="706"/>
        <v>0</v>
      </c>
      <c r="C472" s="14">
        <f t="shared" si="753"/>
        <v>0</v>
      </c>
      <c r="D472" s="14">
        <f t="shared" si="767"/>
        <v>0</v>
      </c>
      <c r="E472" s="14">
        <f t="shared" si="754"/>
        <v>0</v>
      </c>
      <c r="F472" s="14">
        <f t="shared" si="713"/>
        <v>0</v>
      </c>
      <c r="G472" s="14">
        <f t="shared" si="709"/>
        <v>0</v>
      </c>
      <c r="H472" s="14">
        <f t="shared" si="710"/>
        <v>0</v>
      </c>
      <c r="I472" s="185">
        <f t="shared" si="714"/>
        <v>0</v>
      </c>
      <c r="J472" s="185">
        <f t="shared" si="715"/>
        <v>0</v>
      </c>
      <c r="K472" s="185">
        <f t="shared" si="716"/>
        <v>0</v>
      </c>
      <c r="L472" s="317">
        <f t="shared" si="696"/>
        <v>38</v>
      </c>
      <c r="M472" s="317">
        <f t="shared" si="760"/>
        <v>456</v>
      </c>
      <c r="N472" s="185">
        <f t="shared" si="681"/>
        <v>0</v>
      </c>
      <c r="O472" s="185">
        <f t="shared" si="728"/>
        <v>0</v>
      </c>
      <c r="P472" s="185">
        <f t="shared" si="768"/>
        <v>0</v>
      </c>
      <c r="Q472" s="185">
        <f t="shared" si="729"/>
        <v>0</v>
      </c>
      <c r="R472" s="185">
        <f t="shared" si="720"/>
        <v>134.16999999999999</v>
      </c>
      <c r="S472" s="185">
        <f t="shared" si="721"/>
        <v>188.55</v>
      </c>
      <c r="T472" s="185">
        <f t="shared" si="717"/>
        <v>322.72000000000003</v>
      </c>
      <c r="U472" s="185">
        <f t="shared" si="769"/>
        <v>590639.83000000007</v>
      </c>
      <c r="V472" s="185">
        <f t="shared" si="770"/>
        <v>1782210.1699999985</v>
      </c>
      <c r="W472" s="185">
        <f t="shared" si="718"/>
        <v>0</v>
      </c>
      <c r="X472" s="401" t="str">
        <f t="shared" si="761"/>
        <v xml:space="preserve"> </v>
      </c>
      <c r="Y472" s="185">
        <f t="shared" si="730"/>
        <v>52183620.890000001</v>
      </c>
      <c r="Z472" s="393">
        <f t="shared" si="755"/>
        <v>0.13125000000000001</v>
      </c>
      <c r="AA472" s="185">
        <f t="shared" si="756"/>
        <v>2810.15</v>
      </c>
      <c r="AB472" s="185">
        <f t="shared" si="731"/>
        <v>-567948.19999999995</v>
      </c>
      <c r="AC472" s="185">
        <f t="shared" si="757"/>
        <v>570758.35</v>
      </c>
      <c r="AD472" s="185">
        <f t="shared" ref="AD472:AE472" si="778">+AD471</f>
        <v>134.16999999999999</v>
      </c>
      <c r="AE472" s="185">
        <f t="shared" si="778"/>
        <v>188.55</v>
      </c>
      <c r="AF472" s="185">
        <f t="shared" si="733"/>
        <v>3132.8700000000235</v>
      </c>
      <c r="AG472" s="185">
        <f t="shared" si="734"/>
        <v>-51765469.089999996</v>
      </c>
      <c r="AH472" s="185">
        <f t="shared" si="735"/>
        <v>53427850.43999999</v>
      </c>
      <c r="AI472" s="411">
        <f t="shared" si="723"/>
        <v>710468.64999999374</v>
      </c>
      <c r="AJ472" s="411">
        <f t="shared" si="674"/>
        <v>-52751569.090000004</v>
      </c>
      <c r="AK472" s="411">
        <f t="shared" si="724"/>
        <v>-52041100.440000013</v>
      </c>
      <c r="AL472" s="185">
        <f t="shared" si="736"/>
        <v>52751569.090000004</v>
      </c>
      <c r="AM472" s="317">
        <f t="shared" si="763"/>
        <v>38</v>
      </c>
      <c r="AN472" s="14">
        <f t="shared" si="725"/>
        <v>0</v>
      </c>
      <c r="AO472" s="14">
        <f t="shared" si="694"/>
        <v>0</v>
      </c>
      <c r="AP472" s="14">
        <f t="shared" si="726"/>
        <v>0</v>
      </c>
      <c r="AS472" s="14">
        <f t="shared" si="759"/>
        <v>0</v>
      </c>
      <c r="AT472" s="14">
        <f t="shared" si="764"/>
        <v>0</v>
      </c>
      <c r="AU472" s="185">
        <f t="shared" si="765"/>
        <v>0</v>
      </c>
      <c r="AV472" s="185">
        <f t="shared" si="766"/>
        <v>0</v>
      </c>
    </row>
    <row r="473" spans="1:48">
      <c r="A473" s="401" t="str">
        <f t="shared" si="712"/>
        <v xml:space="preserve"> </v>
      </c>
      <c r="B473" s="185">
        <f t="shared" si="706"/>
        <v>0</v>
      </c>
      <c r="C473" s="14">
        <f t="shared" si="753"/>
        <v>0</v>
      </c>
      <c r="D473" s="14">
        <f t="shared" si="767"/>
        <v>0</v>
      </c>
      <c r="E473" s="14">
        <f t="shared" si="754"/>
        <v>0</v>
      </c>
      <c r="F473" s="14">
        <f t="shared" si="713"/>
        <v>0</v>
      </c>
      <c r="G473" s="14">
        <f t="shared" si="709"/>
        <v>0</v>
      </c>
      <c r="H473" s="14">
        <f t="shared" si="710"/>
        <v>0</v>
      </c>
      <c r="I473" s="185">
        <f t="shared" si="714"/>
        <v>0</v>
      </c>
      <c r="J473" s="185">
        <f t="shared" si="715"/>
        <v>0</v>
      </c>
      <c r="K473" s="185">
        <f t="shared" si="716"/>
        <v>0</v>
      </c>
      <c r="L473" s="317">
        <f t="shared" si="696"/>
        <v>38</v>
      </c>
      <c r="M473" s="317">
        <f t="shared" si="760"/>
        <v>457</v>
      </c>
      <c r="N473" s="185">
        <f t="shared" si="681"/>
        <v>0</v>
      </c>
      <c r="O473" s="185">
        <f t="shared" si="728"/>
        <v>0</v>
      </c>
      <c r="P473" s="185">
        <f t="shared" si="768"/>
        <v>0</v>
      </c>
      <c r="Q473" s="185">
        <f t="shared" si="729"/>
        <v>0</v>
      </c>
      <c r="R473" s="185">
        <f t="shared" si="720"/>
        <v>134.16999999999999</v>
      </c>
      <c r="S473" s="185">
        <f t="shared" si="721"/>
        <v>188.55</v>
      </c>
      <c r="T473" s="185">
        <f t="shared" si="717"/>
        <v>322.72000000000003</v>
      </c>
      <c r="U473" s="185">
        <f t="shared" si="769"/>
        <v>590639.83000000007</v>
      </c>
      <c r="V473" s="185">
        <f t="shared" si="770"/>
        <v>1782210.1699999985</v>
      </c>
      <c r="W473" s="185">
        <f t="shared" si="718"/>
        <v>0</v>
      </c>
      <c r="X473" s="401" t="str">
        <f t="shared" si="761"/>
        <v xml:space="preserve"> </v>
      </c>
      <c r="Y473" s="185">
        <f t="shared" si="730"/>
        <v>52751569.090000004</v>
      </c>
      <c r="Z473" s="393">
        <f t="shared" si="755"/>
        <v>0.13125000000000001</v>
      </c>
      <c r="AA473" s="185">
        <f t="shared" si="756"/>
        <v>2810.15</v>
      </c>
      <c r="AB473" s="185">
        <f t="shared" si="731"/>
        <v>-574160.14</v>
      </c>
      <c r="AC473" s="185">
        <f t="shared" si="757"/>
        <v>576970.29</v>
      </c>
      <c r="AD473" s="185">
        <f t="shared" ref="AD473:AE473" si="779">+AD472</f>
        <v>134.16999999999999</v>
      </c>
      <c r="AE473" s="185">
        <f t="shared" si="779"/>
        <v>188.55</v>
      </c>
      <c r="AF473" s="185">
        <f t="shared" si="733"/>
        <v>3132.8700000000235</v>
      </c>
      <c r="AG473" s="185">
        <f t="shared" si="734"/>
        <v>-52339629.229999997</v>
      </c>
      <c r="AH473" s="185">
        <f t="shared" si="735"/>
        <v>54004820.729999989</v>
      </c>
      <c r="AI473" s="411">
        <f t="shared" si="723"/>
        <v>707658.49999999371</v>
      </c>
      <c r="AJ473" s="411">
        <f t="shared" si="674"/>
        <v>-53325729.230000004</v>
      </c>
      <c r="AK473" s="411">
        <f t="shared" si="724"/>
        <v>-52618070.730000012</v>
      </c>
      <c r="AL473" s="185">
        <f t="shared" si="736"/>
        <v>53325729.230000004</v>
      </c>
      <c r="AM473" s="317">
        <f t="shared" si="763"/>
        <v>38</v>
      </c>
      <c r="AN473" s="14">
        <f t="shared" si="725"/>
        <v>0</v>
      </c>
      <c r="AO473" s="14">
        <f t="shared" si="694"/>
        <v>0</v>
      </c>
      <c r="AP473" s="14">
        <f t="shared" si="726"/>
        <v>0</v>
      </c>
      <c r="AS473" s="14">
        <f t="shared" si="759"/>
        <v>0</v>
      </c>
      <c r="AT473" s="14">
        <f t="shared" si="764"/>
        <v>0</v>
      </c>
      <c r="AU473" s="185">
        <f t="shared" si="765"/>
        <v>0</v>
      </c>
      <c r="AV473" s="185">
        <f t="shared" si="766"/>
        <v>0</v>
      </c>
    </row>
    <row r="474" spans="1:48">
      <c r="A474" s="401" t="str">
        <f t="shared" si="712"/>
        <v xml:space="preserve"> </v>
      </c>
      <c r="B474" s="185">
        <f t="shared" si="706"/>
        <v>0</v>
      </c>
      <c r="C474" s="14">
        <f t="shared" si="753"/>
        <v>0</v>
      </c>
      <c r="D474" s="14">
        <f t="shared" si="767"/>
        <v>0</v>
      </c>
      <c r="E474" s="14">
        <f t="shared" si="754"/>
        <v>0</v>
      </c>
      <c r="F474" s="14">
        <f t="shared" si="713"/>
        <v>0</v>
      </c>
      <c r="G474" s="14">
        <f t="shared" si="709"/>
        <v>0</v>
      </c>
      <c r="H474" s="14">
        <f t="shared" si="710"/>
        <v>0</v>
      </c>
      <c r="I474" s="185">
        <f t="shared" si="714"/>
        <v>0</v>
      </c>
      <c r="J474" s="185">
        <f t="shared" si="715"/>
        <v>0</v>
      </c>
      <c r="K474" s="185">
        <f t="shared" si="716"/>
        <v>0</v>
      </c>
      <c r="L474" s="317">
        <f t="shared" si="696"/>
        <v>38</v>
      </c>
      <c r="M474" s="317">
        <f t="shared" si="760"/>
        <v>458</v>
      </c>
      <c r="N474" s="185">
        <f t="shared" si="681"/>
        <v>0</v>
      </c>
      <c r="O474" s="185">
        <f t="shared" si="728"/>
        <v>0</v>
      </c>
      <c r="P474" s="185">
        <f t="shared" si="768"/>
        <v>0</v>
      </c>
      <c r="Q474" s="185">
        <f t="shared" si="729"/>
        <v>0</v>
      </c>
      <c r="R474" s="185">
        <f t="shared" si="720"/>
        <v>134.16999999999999</v>
      </c>
      <c r="S474" s="185">
        <f t="shared" si="721"/>
        <v>188.55</v>
      </c>
      <c r="T474" s="185">
        <f t="shared" si="717"/>
        <v>322.72000000000003</v>
      </c>
      <c r="U474" s="185">
        <f t="shared" si="769"/>
        <v>590639.83000000007</v>
      </c>
      <c r="V474" s="185">
        <f t="shared" si="770"/>
        <v>1782210.1699999985</v>
      </c>
      <c r="W474" s="185">
        <f t="shared" si="718"/>
        <v>0</v>
      </c>
      <c r="X474" s="401" t="str">
        <f t="shared" si="761"/>
        <v xml:space="preserve"> </v>
      </c>
      <c r="Y474" s="185">
        <f t="shared" si="730"/>
        <v>53325729.230000004</v>
      </c>
      <c r="Z474" s="393">
        <f t="shared" si="755"/>
        <v>0.13125000000000001</v>
      </c>
      <c r="AA474" s="185">
        <f t="shared" si="756"/>
        <v>2810.15</v>
      </c>
      <c r="AB474" s="185">
        <f t="shared" si="731"/>
        <v>-580440.01</v>
      </c>
      <c r="AC474" s="185">
        <f t="shared" si="757"/>
        <v>583250.16</v>
      </c>
      <c r="AD474" s="185">
        <f t="shared" ref="AD474:AE474" si="780">+AD473</f>
        <v>134.16999999999999</v>
      </c>
      <c r="AE474" s="185">
        <f t="shared" si="780"/>
        <v>188.55</v>
      </c>
      <c r="AF474" s="185">
        <f t="shared" si="733"/>
        <v>3132.8700000000235</v>
      </c>
      <c r="AG474" s="185">
        <f t="shared" si="734"/>
        <v>-52920069.239999995</v>
      </c>
      <c r="AH474" s="185">
        <f t="shared" si="735"/>
        <v>54588070.889999986</v>
      </c>
      <c r="AI474" s="411">
        <f t="shared" si="723"/>
        <v>704848.34999999369</v>
      </c>
      <c r="AJ474" s="411">
        <f t="shared" si="674"/>
        <v>-53906169.240000002</v>
      </c>
      <c r="AK474" s="411">
        <f t="shared" si="724"/>
        <v>-53201320.890000008</v>
      </c>
      <c r="AL474" s="185">
        <f t="shared" si="736"/>
        <v>53906169.240000002</v>
      </c>
      <c r="AM474" s="317">
        <f t="shared" si="763"/>
        <v>38</v>
      </c>
      <c r="AN474" s="14">
        <f t="shared" si="725"/>
        <v>0</v>
      </c>
      <c r="AO474" s="14">
        <f t="shared" si="694"/>
        <v>0</v>
      </c>
      <c r="AP474" s="14">
        <f t="shared" si="726"/>
        <v>0</v>
      </c>
      <c r="AS474" s="14">
        <f t="shared" si="759"/>
        <v>0</v>
      </c>
      <c r="AT474" s="14">
        <f t="shared" si="764"/>
        <v>0</v>
      </c>
      <c r="AU474" s="185">
        <f t="shared" si="765"/>
        <v>0</v>
      </c>
      <c r="AV474" s="185">
        <f t="shared" si="766"/>
        <v>0</v>
      </c>
    </row>
    <row r="475" spans="1:48">
      <c r="A475" s="401" t="str">
        <f t="shared" si="712"/>
        <v xml:space="preserve"> </v>
      </c>
      <c r="B475" s="185">
        <f t="shared" si="706"/>
        <v>0</v>
      </c>
      <c r="C475" s="14">
        <f t="shared" si="753"/>
        <v>0</v>
      </c>
      <c r="D475" s="14">
        <f t="shared" si="767"/>
        <v>0</v>
      </c>
      <c r="E475" s="14">
        <f t="shared" si="754"/>
        <v>0</v>
      </c>
      <c r="F475" s="14">
        <f t="shared" si="713"/>
        <v>0</v>
      </c>
      <c r="G475" s="14">
        <f t="shared" si="709"/>
        <v>0</v>
      </c>
      <c r="H475" s="14">
        <f t="shared" si="710"/>
        <v>0</v>
      </c>
      <c r="I475" s="185">
        <f t="shared" si="714"/>
        <v>0</v>
      </c>
      <c r="J475" s="185">
        <f t="shared" si="715"/>
        <v>0</v>
      </c>
      <c r="K475" s="185">
        <f t="shared" si="716"/>
        <v>0</v>
      </c>
      <c r="L475" s="317">
        <f t="shared" si="696"/>
        <v>38</v>
      </c>
      <c r="M475" s="317">
        <f t="shared" si="760"/>
        <v>459</v>
      </c>
      <c r="N475" s="185">
        <f t="shared" si="681"/>
        <v>0</v>
      </c>
      <c r="O475" s="185">
        <f t="shared" si="728"/>
        <v>0</v>
      </c>
      <c r="P475" s="185">
        <f t="shared" si="768"/>
        <v>0</v>
      </c>
      <c r="Q475" s="185">
        <f t="shared" si="729"/>
        <v>0</v>
      </c>
      <c r="R475" s="185">
        <f t="shared" si="720"/>
        <v>134.16999999999999</v>
      </c>
      <c r="S475" s="185">
        <f t="shared" si="721"/>
        <v>188.55</v>
      </c>
      <c r="T475" s="185">
        <f t="shared" si="717"/>
        <v>322.72000000000003</v>
      </c>
      <c r="U475" s="185">
        <f t="shared" si="769"/>
        <v>590639.83000000007</v>
      </c>
      <c r="V475" s="185">
        <f t="shared" si="770"/>
        <v>1782210.1699999985</v>
      </c>
      <c r="W475" s="185">
        <f t="shared" si="718"/>
        <v>0</v>
      </c>
      <c r="X475" s="401" t="str">
        <f t="shared" si="761"/>
        <v xml:space="preserve"> </v>
      </c>
      <c r="Y475" s="185">
        <f t="shared" si="730"/>
        <v>53906169.240000002</v>
      </c>
      <c r="Z475" s="393">
        <f t="shared" si="755"/>
        <v>0.13125000000000001</v>
      </c>
      <c r="AA475" s="185">
        <f t="shared" si="756"/>
        <v>2810.15</v>
      </c>
      <c r="AB475" s="185">
        <f t="shared" si="731"/>
        <v>-586788.57999999996</v>
      </c>
      <c r="AC475" s="185">
        <f t="shared" si="757"/>
        <v>589598.73</v>
      </c>
      <c r="AD475" s="185">
        <f t="shared" ref="AD475:AE475" si="781">+AD474</f>
        <v>134.16999999999999</v>
      </c>
      <c r="AE475" s="185">
        <f t="shared" si="781"/>
        <v>188.55</v>
      </c>
      <c r="AF475" s="185">
        <f t="shared" si="733"/>
        <v>3132.8700000000235</v>
      </c>
      <c r="AG475" s="185">
        <f t="shared" si="734"/>
        <v>-53506857.819999993</v>
      </c>
      <c r="AH475" s="185">
        <f t="shared" si="735"/>
        <v>55177669.619999982</v>
      </c>
      <c r="AI475" s="411">
        <f t="shared" si="723"/>
        <v>702038.19999999367</v>
      </c>
      <c r="AJ475" s="411">
        <f t="shared" ref="AJ475:AJ538" si="782">+W475-AL475</f>
        <v>-54492957.82</v>
      </c>
      <c r="AK475" s="411">
        <f t="shared" si="724"/>
        <v>-53790919.620000005</v>
      </c>
      <c r="AL475" s="185">
        <f t="shared" si="736"/>
        <v>54492957.82</v>
      </c>
      <c r="AM475" s="317">
        <f t="shared" si="763"/>
        <v>38</v>
      </c>
      <c r="AN475" s="14">
        <f t="shared" si="725"/>
        <v>0</v>
      </c>
      <c r="AO475" s="14">
        <f t="shared" si="694"/>
        <v>0</v>
      </c>
      <c r="AP475" s="14">
        <f t="shared" si="726"/>
        <v>0</v>
      </c>
      <c r="AS475" s="14">
        <f t="shared" si="759"/>
        <v>0</v>
      </c>
      <c r="AT475" s="14">
        <f t="shared" si="764"/>
        <v>0</v>
      </c>
      <c r="AU475" s="185">
        <f t="shared" si="765"/>
        <v>0</v>
      </c>
      <c r="AV475" s="185">
        <f t="shared" si="766"/>
        <v>0</v>
      </c>
    </row>
    <row r="476" spans="1:48">
      <c r="A476" s="401" t="str">
        <f t="shared" si="712"/>
        <v xml:space="preserve"> </v>
      </c>
      <c r="B476" s="185">
        <f t="shared" si="706"/>
        <v>0</v>
      </c>
      <c r="C476" s="14">
        <f t="shared" si="753"/>
        <v>0</v>
      </c>
      <c r="D476" s="14">
        <f t="shared" si="767"/>
        <v>0</v>
      </c>
      <c r="E476" s="14">
        <f t="shared" si="754"/>
        <v>0</v>
      </c>
      <c r="F476" s="14">
        <f t="shared" si="713"/>
        <v>0</v>
      </c>
      <c r="G476" s="14">
        <f t="shared" si="709"/>
        <v>0</v>
      </c>
      <c r="H476" s="14">
        <f t="shared" si="710"/>
        <v>0</v>
      </c>
      <c r="I476" s="185">
        <f t="shared" si="714"/>
        <v>0</v>
      </c>
      <c r="J476" s="185">
        <f t="shared" si="715"/>
        <v>0</v>
      </c>
      <c r="K476" s="185">
        <f t="shared" si="716"/>
        <v>0</v>
      </c>
      <c r="L476" s="317">
        <f t="shared" si="696"/>
        <v>38</v>
      </c>
      <c r="M476" s="317">
        <f t="shared" si="760"/>
        <v>460</v>
      </c>
      <c r="N476" s="185">
        <f t="shared" si="681"/>
        <v>0</v>
      </c>
      <c r="O476" s="185">
        <f t="shared" si="728"/>
        <v>0</v>
      </c>
      <c r="P476" s="185">
        <f t="shared" si="768"/>
        <v>0</v>
      </c>
      <c r="Q476" s="185">
        <f t="shared" si="729"/>
        <v>0</v>
      </c>
      <c r="R476" s="185">
        <f t="shared" si="720"/>
        <v>134.16999999999999</v>
      </c>
      <c r="S476" s="185">
        <f t="shared" si="721"/>
        <v>188.55</v>
      </c>
      <c r="T476" s="185">
        <f t="shared" si="717"/>
        <v>322.72000000000003</v>
      </c>
      <c r="U476" s="185">
        <f t="shared" si="769"/>
        <v>590639.83000000007</v>
      </c>
      <c r="V476" s="185">
        <f t="shared" si="770"/>
        <v>1782210.1699999985</v>
      </c>
      <c r="W476" s="185">
        <f t="shared" si="718"/>
        <v>0</v>
      </c>
      <c r="X476" s="401" t="str">
        <f t="shared" si="761"/>
        <v xml:space="preserve"> </v>
      </c>
      <c r="Y476" s="185">
        <f t="shared" si="730"/>
        <v>54492957.82</v>
      </c>
      <c r="Z476" s="393">
        <f t="shared" si="755"/>
        <v>0.13125000000000001</v>
      </c>
      <c r="AA476" s="185">
        <f t="shared" si="756"/>
        <v>2810.15</v>
      </c>
      <c r="AB476" s="185">
        <f t="shared" si="731"/>
        <v>-593206.57999999996</v>
      </c>
      <c r="AC476" s="185">
        <f t="shared" si="757"/>
        <v>596016.73</v>
      </c>
      <c r="AD476" s="185">
        <f t="shared" ref="AD476:AE476" si="783">+AD475</f>
        <v>134.16999999999999</v>
      </c>
      <c r="AE476" s="185">
        <f t="shared" si="783"/>
        <v>188.55</v>
      </c>
      <c r="AF476" s="185">
        <f t="shared" si="733"/>
        <v>3132.8700000000235</v>
      </c>
      <c r="AG476" s="185">
        <f t="shared" si="734"/>
        <v>-54100064.399999991</v>
      </c>
      <c r="AH476" s="185">
        <f t="shared" si="735"/>
        <v>55773686.349999979</v>
      </c>
      <c r="AI476" s="411">
        <f t="shared" si="723"/>
        <v>699228.04999999364</v>
      </c>
      <c r="AJ476" s="411">
        <f t="shared" si="782"/>
        <v>-55086164.399999999</v>
      </c>
      <c r="AK476" s="411">
        <f t="shared" si="724"/>
        <v>-54386936.350000001</v>
      </c>
      <c r="AL476" s="185">
        <f t="shared" si="736"/>
        <v>55086164.399999999</v>
      </c>
      <c r="AM476" s="317">
        <f t="shared" si="763"/>
        <v>38</v>
      </c>
      <c r="AN476" s="14">
        <f t="shared" si="725"/>
        <v>0</v>
      </c>
      <c r="AO476" s="14">
        <f t="shared" si="694"/>
        <v>0</v>
      </c>
      <c r="AP476" s="14">
        <f t="shared" si="726"/>
        <v>0</v>
      </c>
      <c r="AS476" s="14">
        <f t="shared" si="759"/>
        <v>0</v>
      </c>
      <c r="AT476" s="14">
        <f t="shared" si="764"/>
        <v>0</v>
      </c>
      <c r="AU476" s="185">
        <f t="shared" si="765"/>
        <v>0</v>
      </c>
      <c r="AV476" s="185">
        <f t="shared" si="766"/>
        <v>0</v>
      </c>
    </row>
    <row r="477" spans="1:48">
      <c r="A477" s="401" t="str">
        <f t="shared" si="712"/>
        <v xml:space="preserve"> </v>
      </c>
      <c r="B477" s="185">
        <f t="shared" si="706"/>
        <v>0</v>
      </c>
      <c r="C477" s="14">
        <f t="shared" si="753"/>
        <v>0</v>
      </c>
      <c r="D477" s="14">
        <f t="shared" si="767"/>
        <v>0</v>
      </c>
      <c r="E477" s="14">
        <f t="shared" si="754"/>
        <v>0</v>
      </c>
      <c r="F477" s="14">
        <f t="shared" si="713"/>
        <v>0</v>
      </c>
      <c r="G477" s="14">
        <f t="shared" si="709"/>
        <v>0</v>
      </c>
      <c r="H477" s="14">
        <f t="shared" si="710"/>
        <v>0</v>
      </c>
      <c r="I477" s="185">
        <f t="shared" si="714"/>
        <v>0</v>
      </c>
      <c r="J477" s="185">
        <f t="shared" si="715"/>
        <v>0</v>
      </c>
      <c r="K477" s="185">
        <f t="shared" si="716"/>
        <v>0</v>
      </c>
      <c r="L477" s="317">
        <f t="shared" si="696"/>
        <v>38</v>
      </c>
      <c r="M477" s="317">
        <f t="shared" si="760"/>
        <v>461</v>
      </c>
      <c r="N477" s="185">
        <f t="shared" si="681"/>
        <v>0</v>
      </c>
      <c r="O477" s="185">
        <f t="shared" si="728"/>
        <v>0</v>
      </c>
      <c r="P477" s="185">
        <f t="shared" si="768"/>
        <v>0</v>
      </c>
      <c r="Q477" s="185">
        <f t="shared" si="729"/>
        <v>0</v>
      </c>
      <c r="R477" s="185">
        <f t="shared" si="720"/>
        <v>134.16999999999999</v>
      </c>
      <c r="S477" s="185">
        <f t="shared" si="721"/>
        <v>188.55</v>
      </c>
      <c r="T477" s="185">
        <f t="shared" si="717"/>
        <v>322.72000000000003</v>
      </c>
      <c r="U477" s="185">
        <f t="shared" si="769"/>
        <v>590639.83000000007</v>
      </c>
      <c r="V477" s="185">
        <f t="shared" si="770"/>
        <v>1782210.1699999985</v>
      </c>
      <c r="W477" s="185">
        <f t="shared" si="718"/>
        <v>0</v>
      </c>
      <c r="X477" s="401" t="str">
        <f t="shared" si="761"/>
        <v xml:space="preserve"> </v>
      </c>
      <c r="Y477" s="185">
        <f t="shared" si="730"/>
        <v>55086164.399999999</v>
      </c>
      <c r="Z477" s="393">
        <f t="shared" si="755"/>
        <v>0.13125000000000001</v>
      </c>
      <c r="AA477" s="185">
        <f t="shared" si="756"/>
        <v>2810.15</v>
      </c>
      <c r="AB477" s="185">
        <f t="shared" si="731"/>
        <v>-599694.77</v>
      </c>
      <c r="AC477" s="185">
        <f t="shared" si="757"/>
        <v>602504.92000000004</v>
      </c>
      <c r="AD477" s="185">
        <f t="shared" ref="AD477:AE477" si="784">+AD476</f>
        <v>134.16999999999999</v>
      </c>
      <c r="AE477" s="185">
        <f t="shared" si="784"/>
        <v>188.55</v>
      </c>
      <c r="AF477" s="185">
        <f t="shared" si="733"/>
        <v>3132.8700000000235</v>
      </c>
      <c r="AG477" s="185">
        <f t="shared" si="734"/>
        <v>-54699759.169999994</v>
      </c>
      <c r="AH477" s="185">
        <f t="shared" si="735"/>
        <v>56376191.269999981</v>
      </c>
      <c r="AI477" s="411">
        <f t="shared" si="723"/>
        <v>696417.89999999362</v>
      </c>
      <c r="AJ477" s="411">
        <f t="shared" si="782"/>
        <v>-55685859.170000002</v>
      </c>
      <c r="AK477" s="411">
        <f t="shared" si="724"/>
        <v>-54989441.270000011</v>
      </c>
      <c r="AL477" s="185">
        <f t="shared" si="736"/>
        <v>55685859.170000002</v>
      </c>
      <c r="AM477" s="317">
        <f t="shared" si="763"/>
        <v>38</v>
      </c>
      <c r="AN477" s="14">
        <f t="shared" si="725"/>
        <v>0</v>
      </c>
      <c r="AO477" s="14">
        <f t="shared" si="694"/>
        <v>0</v>
      </c>
      <c r="AP477" s="14">
        <f t="shared" si="726"/>
        <v>0</v>
      </c>
      <c r="AS477" s="14">
        <f t="shared" si="759"/>
        <v>0</v>
      </c>
      <c r="AT477" s="14">
        <f t="shared" si="764"/>
        <v>0</v>
      </c>
      <c r="AU477" s="185">
        <f t="shared" si="765"/>
        <v>0</v>
      </c>
      <c r="AV477" s="185">
        <f t="shared" si="766"/>
        <v>0</v>
      </c>
    </row>
    <row r="478" spans="1:48">
      <c r="A478" s="401" t="str">
        <f t="shared" si="712"/>
        <v xml:space="preserve"> </v>
      </c>
      <c r="B478" s="185">
        <f t="shared" si="706"/>
        <v>0</v>
      </c>
      <c r="C478" s="14">
        <f t="shared" si="753"/>
        <v>0</v>
      </c>
      <c r="D478" s="14">
        <f t="shared" si="767"/>
        <v>0</v>
      </c>
      <c r="E478" s="14">
        <f t="shared" si="754"/>
        <v>0</v>
      </c>
      <c r="F478" s="14">
        <f t="shared" si="713"/>
        <v>0</v>
      </c>
      <c r="G478" s="14">
        <f t="shared" si="709"/>
        <v>0</v>
      </c>
      <c r="H478" s="14">
        <f t="shared" si="710"/>
        <v>0</v>
      </c>
      <c r="I478" s="185">
        <f t="shared" si="714"/>
        <v>0</v>
      </c>
      <c r="J478" s="185">
        <f t="shared" si="715"/>
        <v>0</v>
      </c>
      <c r="K478" s="185">
        <f t="shared" si="716"/>
        <v>0</v>
      </c>
      <c r="L478" s="317">
        <f t="shared" si="696"/>
        <v>38</v>
      </c>
      <c r="M478" s="317">
        <f t="shared" si="760"/>
        <v>462</v>
      </c>
      <c r="N478" s="185">
        <f t="shared" si="681"/>
        <v>0</v>
      </c>
      <c r="O478" s="185">
        <f t="shared" si="728"/>
        <v>0</v>
      </c>
      <c r="P478" s="185">
        <f t="shared" si="768"/>
        <v>0</v>
      </c>
      <c r="Q478" s="185">
        <f t="shared" si="729"/>
        <v>0</v>
      </c>
      <c r="R478" s="185">
        <f t="shared" si="720"/>
        <v>134.16999999999999</v>
      </c>
      <c r="S478" s="185">
        <f t="shared" si="721"/>
        <v>188.55</v>
      </c>
      <c r="T478" s="185">
        <f t="shared" si="717"/>
        <v>322.72000000000003</v>
      </c>
      <c r="U478" s="185">
        <f t="shared" si="769"/>
        <v>590639.83000000007</v>
      </c>
      <c r="V478" s="185">
        <f t="shared" si="770"/>
        <v>1782210.1699999985</v>
      </c>
      <c r="W478" s="185">
        <f t="shared" si="718"/>
        <v>0</v>
      </c>
      <c r="X478" s="401" t="str">
        <f t="shared" si="761"/>
        <v xml:space="preserve"> </v>
      </c>
      <c r="Y478" s="185">
        <f t="shared" si="730"/>
        <v>55685859.170000002</v>
      </c>
      <c r="Z478" s="393">
        <f t="shared" si="755"/>
        <v>0.13125000000000001</v>
      </c>
      <c r="AA478" s="185">
        <f t="shared" si="756"/>
        <v>2810.15</v>
      </c>
      <c r="AB478" s="185">
        <f t="shared" si="731"/>
        <v>-606253.92999999993</v>
      </c>
      <c r="AC478" s="185">
        <f t="shared" si="757"/>
        <v>609064.07999999996</v>
      </c>
      <c r="AD478" s="185">
        <f t="shared" ref="AD478:AE478" si="785">+AD477</f>
        <v>134.16999999999999</v>
      </c>
      <c r="AE478" s="185">
        <f t="shared" si="785"/>
        <v>188.55</v>
      </c>
      <c r="AF478" s="185">
        <f t="shared" si="733"/>
        <v>3132.8700000000235</v>
      </c>
      <c r="AG478" s="185">
        <f t="shared" si="734"/>
        <v>-55306013.099999994</v>
      </c>
      <c r="AH478" s="185">
        <f t="shared" si="735"/>
        <v>56985255.349999979</v>
      </c>
      <c r="AI478" s="411">
        <f t="shared" si="723"/>
        <v>693607.7499999936</v>
      </c>
      <c r="AJ478" s="411">
        <f t="shared" si="782"/>
        <v>-56292113.100000001</v>
      </c>
      <c r="AK478" s="411">
        <f t="shared" si="724"/>
        <v>-55598505.350000009</v>
      </c>
      <c r="AL478" s="185">
        <f t="shared" si="736"/>
        <v>56292113.100000001</v>
      </c>
      <c r="AM478" s="317">
        <f t="shared" si="763"/>
        <v>38</v>
      </c>
      <c r="AN478" s="14">
        <f t="shared" si="725"/>
        <v>0</v>
      </c>
      <c r="AO478" s="14">
        <f t="shared" si="694"/>
        <v>0</v>
      </c>
      <c r="AP478" s="14">
        <f t="shared" si="726"/>
        <v>0</v>
      </c>
      <c r="AS478" s="14">
        <f t="shared" si="759"/>
        <v>0</v>
      </c>
      <c r="AT478" s="14">
        <f t="shared" si="764"/>
        <v>0</v>
      </c>
      <c r="AU478" s="185">
        <f t="shared" si="765"/>
        <v>0</v>
      </c>
      <c r="AV478" s="185">
        <f t="shared" si="766"/>
        <v>0</v>
      </c>
    </row>
    <row r="479" spans="1:48">
      <c r="A479" s="401" t="str">
        <f t="shared" si="712"/>
        <v xml:space="preserve"> </v>
      </c>
      <c r="B479" s="185">
        <f t="shared" si="706"/>
        <v>0</v>
      </c>
      <c r="C479" s="14">
        <f t="shared" si="753"/>
        <v>0</v>
      </c>
      <c r="D479" s="14">
        <f t="shared" si="767"/>
        <v>0</v>
      </c>
      <c r="E479" s="14">
        <f t="shared" si="754"/>
        <v>0</v>
      </c>
      <c r="F479" s="14">
        <f t="shared" si="713"/>
        <v>0</v>
      </c>
      <c r="G479" s="14">
        <f t="shared" si="709"/>
        <v>0</v>
      </c>
      <c r="H479" s="14">
        <f t="shared" si="710"/>
        <v>0</v>
      </c>
      <c r="I479" s="185">
        <f t="shared" si="714"/>
        <v>0</v>
      </c>
      <c r="J479" s="185">
        <f t="shared" si="715"/>
        <v>0</v>
      </c>
      <c r="K479" s="185">
        <f t="shared" si="716"/>
        <v>0</v>
      </c>
      <c r="L479" s="317">
        <f t="shared" si="696"/>
        <v>38</v>
      </c>
      <c r="M479" s="317">
        <f t="shared" si="760"/>
        <v>463</v>
      </c>
      <c r="N479" s="185">
        <f t="shared" si="681"/>
        <v>0</v>
      </c>
      <c r="O479" s="185">
        <f t="shared" si="728"/>
        <v>0</v>
      </c>
      <c r="P479" s="185">
        <f t="shared" si="768"/>
        <v>0</v>
      </c>
      <c r="Q479" s="185">
        <f t="shared" si="729"/>
        <v>0</v>
      </c>
      <c r="R479" s="185">
        <f t="shared" si="720"/>
        <v>134.16999999999999</v>
      </c>
      <c r="S479" s="185">
        <f t="shared" si="721"/>
        <v>188.55</v>
      </c>
      <c r="T479" s="185">
        <f t="shared" si="717"/>
        <v>322.72000000000003</v>
      </c>
      <c r="U479" s="185">
        <f t="shared" si="769"/>
        <v>590639.83000000007</v>
      </c>
      <c r="V479" s="185">
        <f t="shared" si="770"/>
        <v>1782210.1699999985</v>
      </c>
      <c r="W479" s="185">
        <f t="shared" si="718"/>
        <v>0</v>
      </c>
      <c r="X479" s="401" t="str">
        <f t="shared" si="761"/>
        <v xml:space="preserve"> </v>
      </c>
      <c r="Y479" s="185">
        <f t="shared" si="730"/>
        <v>56292113.100000001</v>
      </c>
      <c r="Z479" s="393">
        <f t="shared" si="755"/>
        <v>0.13125000000000001</v>
      </c>
      <c r="AA479" s="185">
        <f t="shared" si="756"/>
        <v>2810.15</v>
      </c>
      <c r="AB479" s="185">
        <f t="shared" si="731"/>
        <v>-612884.84</v>
      </c>
      <c r="AC479" s="185">
        <f t="shared" si="757"/>
        <v>615694.99</v>
      </c>
      <c r="AD479" s="185">
        <f t="shared" ref="AD479:AE479" si="786">+AD478</f>
        <v>134.16999999999999</v>
      </c>
      <c r="AE479" s="185">
        <f t="shared" si="786"/>
        <v>188.55</v>
      </c>
      <c r="AF479" s="185">
        <f t="shared" si="733"/>
        <v>3132.8700000000235</v>
      </c>
      <c r="AG479" s="185">
        <f t="shared" si="734"/>
        <v>-55918897.939999998</v>
      </c>
      <c r="AH479" s="185">
        <f t="shared" si="735"/>
        <v>57600950.339999981</v>
      </c>
      <c r="AI479" s="411">
        <f t="shared" si="723"/>
        <v>690797.59999999357</v>
      </c>
      <c r="AJ479" s="411">
        <f t="shared" si="782"/>
        <v>-56904997.940000005</v>
      </c>
      <c r="AK479" s="411">
        <f t="shared" si="724"/>
        <v>-56214200.340000011</v>
      </c>
      <c r="AL479" s="185">
        <f t="shared" si="736"/>
        <v>56904997.940000005</v>
      </c>
      <c r="AM479" s="317">
        <f t="shared" si="763"/>
        <v>38</v>
      </c>
      <c r="AN479" s="14">
        <f t="shared" si="725"/>
        <v>0</v>
      </c>
      <c r="AO479" s="14">
        <f t="shared" si="694"/>
        <v>0</v>
      </c>
      <c r="AP479" s="14">
        <f t="shared" si="726"/>
        <v>0</v>
      </c>
      <c r="AS479" s="14">
        <f t="shared" si="759"/>
        <v>0</v>
      </c>
      <c r="AT479" s="14">
        <f t="shared" si="764"/>
        <v>0</v>
      </c>
      <c r="AU479" s="185">
        <f t="shared" si="765"/>
        <v>0</v>
      </c>
      <c r="AV479" s="185">
        <f t="shared" si="766"/>
        <v>0</v>
      </c>
    </row>
    <row r="480" spans="1:48">
      <c r="A480" s="401" t="str">
        <f t="shared" si="712"/>
        <v xml:space="preserve"> </v>
      </c>
      <c r="B480" s="185">
        <f t="shared" si="706"/>
        <v>0</v>
      </c>
      <c r="C480" s="14">
        <f t="shared" si="753"/>
        <v>0</v>
      </c>
      <c r="D480" s="14">
        <f t="shared" si="767"/>
        <v>0</v>
      </c>
      <c r="E480" s="14">
        <f t="shared" si="754"/>
        <v>0</v>
      </c>
      <c r="F480" s="14">
        <f t="shared" si="713"/>
        <v>0</v>
      </c>
      <c r="G480" s="14">
        <f t="shared" si="709"/>
        <v>0</v>
      </c>
      <c r="H480" s="14">
        <f t="shared" si="710"/>
        <v>0</v>
      </c>
      <c r="I480" s="185">
        <f t="shared" si="714"/>
        <v>0</v>
      </c>
      <c r="J480" s="185">
        <f t="shared" si="715"/>
        <v>0</v>
      </c>
      <c r="K480" s="185">
        <f t="shared" si="716"/>
        <v>0</v>
      </c>
      <c r="L480" s="317">
        <f t="shared" si="696"/>
        <v>38</v>
      </c>
      <c r="M480" s="317">
        <f t="shared" si="760"/>
        <v>464</v>
      </c>
      <c r="N480" s="185">
        <f t="shared" si="681"/>
        <v>0</v>
      </c>
      <c r="O480" s="185">
        <f t="shared" si="728"/>
        <v>0</v>
      </c>
      <c r="P480" s="185">
        <f t="shared" si="768"/>
        <v>0</v>
      </c>
      <c r="Q480" s="185">
        <f t="shared" si="729"/>
        <v>0</v>
      </c>
      <c r="R480" s="185">
        <f t="shared" si="720"/>
        <v>134.16999999999999</v>
      </c>
      <c r="S480" s="185">
        <f t="shared" si="721"/>
        <v>188.55</v>
      </c>
      <c r="T480" s="185">
        <f t="shared" si="717"/>
        <v>322.72000000000003</v>
      </c>
      <c r="U480" s="185">
        <f t="shared" si="769"/>
        <v>590639.83000000007</v>
      </c>
      <c r="V480" s="185">
        <f t="shared" si="770"/>
        <v>1782210.1699999985</v>
      </c>
      <c r="W480" s="185">
        <f t="shared" si="718"/>
        <v>0</v>
      </c>
      <c r="X480" s="401" t="str">
        <f t="shared" si="761"/>
        <v xml:space="preserve"> </v>
      </c>
      <c r="Y480" s="185">
        <f t="shared" si="730"/>
        <v>56904997.940000005</v>
      </c>
      <c r="Z480" s="393">
        <f t="shared" si="755"/>
        <v>0.13125000000000001</v>
      </c>
      <c r="AA480" s="185">
        <f t="shared" si="756"/>
        <v>2810.15</v>
      </c>
      <c r="AB480" s="185">
        <f t="shared" si="731"/>
        <v>-619588.26</v>
      </c>
      <c r="AC480" s="185">
        <f t="shared" si="757"/>
        <v>622398.41</v>
      </c>
      <c r="AD480" s="185">
        <f t="shared" ref="AD480:AE480" si="787">+AD479</f>
        <v>134.16999999999999</v>
      </c>
      <c r="AE480" s="185">
        <f t="shared" si="787"/>
        <v>188.55</v>
      </c>
      <c r="AF480" s="185">
        <f t="shared" si="733"/>
        <v>3132.8700000000235</v>
      </c>
      <c r="AG480" s="185">
        <f t="shared" si="734"/>
        <v>-56538486.199999996</v>
      </c>
      <c r="AH480" s="185">
        <f t="shared" si="735"/>
        <v>58223348.749999978</v>
      </c>
      <c r="AI480" s="411">
        <f t="shared" si="723"/>
        <v>687987.44999999355</v>
      </c>
      <c r="AJ480" s="411">
        <f t="shared" si="782"/>
        <v>-57524586.200000003</v>
      </c>
      <c r="AK480" s="411">
        <f t="shared" si="724"/>
        <v>-56836598.750000007</v>
      </c>
      <c r="AL480" s="185">
        <f t="shared" si="736"/>
        <v>57524586.200000003</v>
      </c>
      <c r="AM480" s="317">
        <f t="shared" si="763"/>
        <v>38</v>
      </c>
      <c r="AN480" s="14">
        <f t="shared" si="725"/>
        <v>0</v>
      </c>
      <c r="AO480" s="14">
        <f t="shared" si="694"/>
        <v>0</v>
      </c>
      <c r="AP480" s="14">
        <f t="shared" si="726"/>
        <v>0</v>
      </c>
      <c r="AS480" s="14">
        <f t="shared" si="759"/>
        <v>0</v>
      </c>
      <c r="AT480" s="14">
        <f t="shared" si="764"/>
        <v>0</v>
      </c>
      <c r="AU480" s="185">
        <f t="shared" si="765"/>
        <v>0</v>
      </c>
      <c r="AV480" s="185">
        <f t="shared" si="766"/>
        <v>0</v>
      </c>
    </row>
    <row r="481" spans="1:49">
      <c r="A481" s="401" t="str">
        <f t="shared" si="712"/>
        <v xml:space="preserve"> </v>
      </c>
      <c r="B481" s="185">
        <f t="shared" si="706"/>
        <v>0</v>
      </c>
      <c r="C481" s="14">
        <f t="shared" si="753"/>
        <v>0</v>
      </c>
      <c r="D481" s="14">
        <f t="shared" si="767"/>
        <v>0</v>
      </c>
      <c r="E481" s="14">
        <f t="shared" si="754"/>
        <v>0</v>
      </c>
      <c r="F481" s="14">
        <f t="shared" si="713"/>
        <v>0</v>
      </c>
      <c r="G481" s="14">
        <f t="shared" si="709"/>
        <v>0</v>
      </c>
      <c r="H481" s="14">
        <f t="shared" si="710"/>
        <v>0</v>
      </c>
      <c r="I481" s="185">
        <f t="shared" si="714"/>
        <v>0</v>
      </c>
      <c r="J481" s="185">
        <f t="shared" si="715"/>
        <v>0</v>
      </c>
      <c r="K481" s="185">
        <f t="shared" si="716"/>
        <v>0</v>
      </c>
      <c r="L481" s="317">
        <f t="shared" si="696"/>
        <v>38</v>
      </c>
      <c r="M481" s="317">
        <f t="shared" si="760"/>
        <v>465</v>
      </c>
      <c r="N481" s="185">
        <f t="shared" si="681"/>
        <v>0</v>
      </c>
      <c r="O481" s="185">
        <f t="shared" si="728"/>
        <v>0</v>
      </c>
      <c r="P481" s="185">
        <f t="shared" si="768"/>
        <v>0</v>
      </c>
      <c r="Q481" s="185">
        <f t="shared" si="729"/>
        <v>0</v>
      </c>
      <c r="R481" s="185">
        <f t="shared" si="720"/>
        <v>134.16999999999999</v>
      </c>
      <c r="S481" s="185">
        <f t="shared" si="721"/>
        <v>188.55</v>
      </c>
      <c r="T481" s="185">
        <f t="shared" si="717"/>
        <v>322.72000000000003</v>
      </c>
      <c r="U481" s="185">
        <f t="shared" si="769"/>
        <v>590639.83000000007</v>
      </c>
      <c r="V481" s="185">
        <f t="shared" si="770"/>
        <v>1782210.1699999985</v>
      </c>
      <c r="W481" s="185">
        <f t="shared" si="718"/>
        <v>0</v>
      </c>
      <c r="X481" s="401" t="str">
        <f t="shared" si="761"/>
        <v xml:space="preserve"> </v>
      </c>
      <c r="Y481" s="185">
        <f t="shared" si="730"/>
        <v>57524586.200000003</v>
      </c>
      <c r="Z481" s="393">
        <f t="shared" si="755"/>
        <v>0.13125000000000001</v>
      </c>
      <c r="AA481" s="185">
        <f t="shared" si="756"/>
        <v>2810.15</v>
      </c>
      <c r="AB481" s="185">
        <f t="shared" si="731"/>
        <v>-626365.01</v>
      </c>
      <c r="AC481" s="185">
        <f t="shared" si="757"/>
        <v>629175.16</v>
      </c>
      <c r="AD481" s="185">
        <f t="shared" ref="AD481:AE481" si="788">+AD480</f>
        <v>134.16999999999999</v>
      </c>
      <c r="AE481" s="185">
        <f t="shared" si="788"/>
        <v>188.55</v>
      </c>
      <c r="AF481" s="185">
        <f t="shared" si="733"/>
        <v>3132.8700000000235</v>
      </c>
      <c r="AG481" s="185">
        <f t="shared" si="734"/>
        <v>-57164851.209999993</v>
      </c>
      <c r="AH481" s="185">
        <f t="shared" si="735"/>
        <v>58852523.909999974</v>
      </c>
      <c r="AI481" s="411">
        <f t="shared" si="723"/>
        <v>685177.29999999353</v>
      </c>
      <c r="AJ481" s="411">
        <f t="shared" si="782"/>
        <v>-58150951.210000001</v>
      </c>
      <c r="AK481" s="411">
        <f t="shared" si="724"/>
        <v>-57465773.910000004</v>
      </c>
      <c r="AL481" s="185">
        <f t="shared" si="736"/>
        <v>58150951.210000001</v>
      </c>
      <c r="AM481" s="317">
        <f t="shared" si="763"/>
        <v>38</v>
      </c>
      <c r="AN481" s="14">
        <f t="shared" si="725"/>
        <v>0</v>
      </c>
      <c r="AO481" s="14">
        <f t="shared" si="694"/>
        <v>0</v>
      </c>
      <c r="AP481" s="14">
        <f t="shared" si="726"/>
        <v>0</v>
      </c>
      <c r="AS481" s="14">
        <f t="shared" si="759"/>
        <v>0</v>
      </c>
      <c r="AT481" s="14">
        <f t="shared" si="764"/>
        <v>0</v>
      </c>
      <c r="AU481" s="185">
        <f t="shared" si="765"/>
        <v>0</v>
      </c>
      <c r="AV481" s="185">
        <f t="shared" si="766"/>
        <v>0</v>
      </c>
    </row>
    <row r="482" spans="1:49" ht="15.75" thickBot="1">
      <c r="A482" s="404" t="str">
        <f t="shared" si="712"/>
        <v xml:space="preserve"> </v>
      </c>
      <c r="B482" s="237">
        <f t="shared" si="706"/>
        <v>0</v>
      </c>
      <c r="C482" s="21">
        <f t="shared" si="753"/>
        <v>0</v>
      </c>
      <c r="D482" s="21">
        <f t="shared" si="767"/>
        <v>0</v>
      </c>
      <c r="E482" s="21">
        <f t="shared" si="754"/>
        <v>0</v>
      </c>
      <c r="F482" s="21">
        <f t="shared" si="713"/>
        <v>0</v>
      </c>
      <c r="G482" s="21">
        <f t="shared" si="709"/>
        <v>0</v>
      </c>
      <c r="H482" s="21">
        <f t="shared" si="710"/>
        <v>0</v>
      </c>
      <c r="I482" s="237">
        <f t="shared" si="714"/>
        <v>0</v>
      </c>
      <c r="J482" s="237">
        <f t="shared" si="715"/>
        <v>0</v>
      </c>
      <c r="K482" s="237">
        <f t="shared" si="716"/>
        <v>0</v>
      </c>
      <c r="L482" s="318">
        <f t="shared" si="696"/>
        <v>38</v>
      </c>
      <c r="M482" s="318">
        <f t="shared" si="760"/>
        <v>466</v>
      </c>
      <c r="N482" s="237">
        <f t="shared" ref="N482:N490" si="789">IF(+W481&lt;0,0,+W481)</f>
        <v>0</v>
      </c>
      <c r="O482" s="237">
        <f t="shared" si="728"/>
        <v>0</v>
      </c>
      <c r="P482" s="237">
        <f t="shared" si="768"/>
        <v>0</v>
      </c>
      <c r="Q482" s="237">
        <f t="shared" si="729"/>
        <v>0</v>
      </c>
      <c r="R482" s="237">
        <f t="shared" si="720"/>
        <v>134.16999999999999</v>
      </c>
      <c r="S482" s="237">
        <f t="shared" si="721"/>
        <v>188.55</v>
      </c>
      <c r="T482" s="237">
        <f t="shared" si="717"/>
        <v>322.72000000000003</v>
      </c>
      <c r="U482" s="237">
        <f t="shared" si="769"/>
        <v>590639.83000000007</v>
      </c>
      <c r="V482" s="237">
        <f t="shared" si="770"/>
        <v>1782210.1699999985</v>
      </c>
      <c r="W482" s="237">
        <f t="shared" si="718"/>
        <v>0</v>
      </c>
      <c r="X482" s="404" t="str">
        <f t="shared" si="761"/>
        <v xml:space="preserve"> </v>
      </c>
      <c r="Y482" s="237">
        <f t="shared" si="730"/>
        <v>58150951.210000001</v>
      </c>
      <c r="Z482" s="394">
        <f t="shared" si="755"/>
        <v>0.13125000000000001</v>
      </c>
      <c r="AA482" s="237">
        <f t="shared" si="756"/>
        <v>2810.15</v>
      </c>
      <c r="AB482" s="237">
        <f t="shared" si="731"/>
        <v>-633215.88</v>
      </c>
      <c r="AC482" s="237">
        <f t="shared" si="757"/>
        <v>636026.03</v>
      </c>
      <c r="AD482" s="237">
        <f t="shared" ref="AD482:AE482" si="790">+AD481</f>
        <v>134.16999999999999</v>
      </c>
      <c r="AE482" s="237">
        <f t="shared" si="790"/>
        <v>188.55</v>
      </c>
      <c r="AF482" s="237">
        <f t="shared" si="733"/>
        <v>3132.8700000000235</v>
      </c>
      <c r="AG482" s="237">
        <f t="shared" si="734"/>
        <v>-57798067.089999996</v>
      </c>
      <c r="AH482" s="237">
        <f t="shared" si="735"/>
        <v>59488549.939999975</v>
      </c>
      <c r="AI482" s="412">
        <f t="shared" si="723"/>
        <v>682367.1499999935</v>
      </c>
      <c r="AJ482" s="412">
        <f t="shared" si="782"/>
        <v>-58784167.090000004</v>
      </c>
      <c r="AK482" s="411">
        <f t="shared" si="724"/>
        <v>-58101799.940000013</v>
      </c>
      <c r="AL482" s="237">
        <f t="shared" si="736"/>
        <v>58784167.090000004</v>
      </c>
      <c r="AM482" s="318">
        <f t="shared" si="763"/>
        <v>38</v>
      </c>
      <c r="AN482" s="21">
        <f t="shared" si="725"/>
        <v>0</v>
      </c>
      <c r="AO482" s="21">
        <f t="shared" si="694"/>
        <v>0</v>
      </c>
      <c r="AP482" s="21">
        <f t="shared" si="726"/>
        <v>0</v>
      </c>
      <c r="AQ482" s="21"/>
      <c r="AR482" s="23"/>
      <c r="AS482" s="21">
        <f t="shared" si="759"/>
        <v>0</v>
      </c>
      <c r="AT482" s="21">
        <f t="shared" si="764"/>
        <v>0</v>
      </c>
      <c r="AU482" s="237">
        <f t="shared" si="765"/>
        <v>0</v>
      </c>
      <c r="AV482" s="237">
        <f t="shared" si="766"/>
        <v>0</v>
      </c>
    </row>
    <row r="483" spans="1:49">
      <c r="A483" s="401" t="str">
        <f t="shared" si="712"/>
        <v xml:space="preserve"> </v>
      </c>
      <c r="B483" s="185">
        <f t="shared" si="706"/>
        <v>0</v>
      </c>
      <c r="C483" s="14">
        <f t="shared" si="753"/>
        <v>0</v>
      </c>
      <c r="D483" s="14">
        <f t="shared" si="767"/>
        <v>0</v>
      </c>
      <c r="E483" s="14">
        <f t="shared" si="754"/>
        <v>0</v>
      </c>
      <c r="F483" s="14">
        <f t="shared" si="713"/>
        <v>0</v>
      </c>
      <c r="G483" s="14">
        <f t="shared" si="709"/>
        <v>0</v>
      </c>
      <c r="H483" s="14">
        <f t="shared" si="710"/>
        <v>0</v>
      </c>
      <c r="I483" s="185">
        <f t="shared" si="714"/>
        <v>0</v>
      </c>
      <c r="J483" s="185">
        <f t="shared" si="715"/>
        <v>0</v>
      </c>
      <c r="K483" s="185">
        <f t="shared" si="716"/>
        <v>0</v>
      </c>
      <c r="L483" s="317">
        <f t="shared" si="696"/>
        <v>38</v>
      </c>
      <c r="M483" s="317">
        <f t="shared" si="760"/>
        <v>467</v>
      </c>
      <c r="N483" s="185">
        <f t="shared" si="789"/>
        <v>0</v>
      </c>
      <c r="O483" s="185">
        <f t="shared" si="728"/>
        <v>0</v>
      </c>
      <c r="P483" s="185">
        <f t="shared" si="768"/>
        <v>0</v>
      </c>
      <c r="Q483" s="185">
        <f t="shared" si="729"/>
        <v>0</v>
      </c>
      <c r="R483" s="185">
        <f t="shared" si="720"/>
        <v>134.16999999999999</v>
      </c>
      <c r="S483" s="185">
        <f t="shared" si="721"/>
        <v>188.55</v>
      </c>
      <c r="T483" s="185">
        <f t="shared" si="717"/>
        <v>322.72000000000003</v>
      </c>
      <c r="U483" s="185">
        <f t="shared" si="769"/>
        <v>590639.83000000007</v>
      </c>
      <c r="V483" s="185">
        <f t="shared" si="770"/>
        <v>1782210.1699999985</v>
      </c>
      <c r="W483" s="185">
        <f t="shared" si="718"/>
        <v>0</v>
      </c>
      <c r="X483" s="401" t="str">
        <f t="shared" si="761"/>
        <v xml:space="preserve"> </v>
      </c>
      <c r="Y483" s="185">
        <f t="shared" si="730"/>
        <v>58784167.090000004</v>
      </c>
      <c r="Z483" s="393">
        <f t="shared" si="755"/>
        <v>0.13125000000000001</v>
      </c>
      <c r="AA483" s="185">
        <f t="shared" si="756"/>
        <v>2810.15</v>
      </c>
      <c r="AB483" s="185">
        <f t="shared" si="731"/>
        <v>-640141.67999999993</v>
      </c>
      <c r="AC483" s="185">
        <f t="shared" si="757"/>
        <v>642951.82999999996</v>
      </c>
      <c r="AD483" s="185">
        <f t="shared" ref="AD483:AE483" si="791">+AD482</f>
        <v>134.16999999999999</v>
      </c>
      <c r="AE483" s="185">
        <f t="shared" si="791"/>
        <v>188.55</v>
      </c>
      <c r="AF483" s="185">
        <f t="shared" si="733"/>
        <v>3132.8700000000235</v>
      </c>
      <c r="AG483" s="185">
        <f t="shared" si="734"/>
        <v>-58438208.769999996</v>
      </c>
      <c r="AH483" s="185">
        <f t="shared" si="735"/>
        <v>60131501.769999973</v>
      </c>
      <c r="AI483" s="411">
        <f t="shared" si="723"/>
        <v>679556.99999999348</v>
      </c>
      <c r="AJ483" s="411">
        <f t="shared" si="782"/>
        <v>-59424308.770000003</v>
      </c>
      <c r="AK483" s="411">
        <f t="shared" si="724"/>
        <v>-58744751.770000011</v>
      </c>
      <c r="AL483" s="185">
        <f t="shared" si="736"/>
        <v>59424308.770000003</v>
      </c>
      <c r="AM483" s="317">
        <f t="shared" si="763"/>
        <v>38</v>
      </c>
      <c r="AN483" s="14">
        <f t="shared" si="725"/>
        <v>0</v>
      </c>
      <c r="AO483" s="14">
        <f t="shared" si="694"/>
        <v>0</v>
      </c>
      <c r="AP483" s="14">
        <f t="shared" si="726"/>
        <v>0</v>
      </c>
      <c r="AS483" s="14">
        <f t="shared" si="759"/>
        <v>0</v>
      </c>
      <c r="AT483" s="14">
        <f t="shared" si="764"/>
        <v>0</v>
      </c>
      <c r="AU483" s="185">
        <f t="shared" si="765"/>
        <v>0</v>
      </c>
      <c r="AV483" s="185">
        <f t="shared" si="766"/>
        <v>0</v>
      </c>
    </row>
    <row r="484" spans="1:49">
      <c r="A484" s="401" t="str">
        <f t="shared" si="712"/>
        <v xml:space="preserve"> </v>
      </c>
      <c r="B484" s="185">
        <f t="shared" si="706"/>
        <v>0</v>
      </c>
      <c r="C484" s="14">
        <f t="shared" si="753"/>
        <v>0</v>
      </c>
      <c r="D484" s="14">
        <f t="shared" si="767"/>
        <v>0</v>
      </c>
      <c r="E484" s="14">
        <f t="shared" si="754"/>
        <v>0</v>
      </c>
      <c r="F484" s="14">
        <f t="shared" si="713"/>
        <v>0</v>
      </c>
      <c r="G484" s="14">
        <f t="shared" si="709"/>
        <v>0</v>
      </c>
      <c r="H484" s="14">
        <f t="shared" si="710"/>
        <v>0</v>
      </c>
      <c r="I484" s="185">
        <f t="shared" si="714"/>
        <v>0</v>
      </c>
      <c r="J484" s="185">
        <f t="shared" si="715"/>
        <v>0</v>
      </c>
      <c r="K484" s="185">
        <f t="shared" si="716"/>
        <v>0</v>
      </c>
      <c r="L484" s="317">
        <f t="shared" si="696"/>
        <v>39</v>
      </c>
      <c r="M484" s="317">
        <f t="shared" si="760"/>
        <v>468</v>
      </c>
      <c r="N484" s="185">
        <f t="shared" si="789"/>
        <v>0</v>
      </c>
      <c r="O484" s="185">
        <f t="shared" si="728"/>
        <v>0</v>
      </c>
      <c r="P484" s="185">
        <f t="shared" si="768"/>
        <v>0</v>
      </c>
      <c r="Q484" s="185">
        <f t="shared" si="729"/>
        <v>0</v>
      </c>
      <c r="R484" s="185">
        <f t="shared" si="720"/>
        <v>134.16999999999999</v>
      </c>
      <c r="S484" s="185">
        <f t="shared" si="721"/>
        <v>188.55</v>
      </c>
      <c r="T484" s="185">
        <f t="shared" si="717"/>
        <v>322.72000000000003</v>
      </c>
      <c r="U484" s="185">
        <f t="shared" si="769"/>
        <v>590639.83000000007</v>
      </c>
      <c r="V484" s="185">
        <f t="shared" si="770"/>
        <v>1782210.1699999985</v>
      </c>
      <c r="W484" s="185">
        <f t="shared" si="718"/>
        <v>0</v>
      </c>
      <c r="X484" s="401" t="str">
        <f t="shared" si="761"/>
        <v xml:space="preserve"> </v>
      </c>
      <c r="Y484" s="185">
        <f t="shared" si="730"/>
        <v>59424308.770000003</v>
      </c>
      <c r="Z484" s="393">
        <f t="shared" si="755"/>
        <v>0.13125000000000001</v>
      </c>
      <c r="AA484" s="185">
        <f t="shared" si="756"/>
        <v>2810.15</v>
      </c>
      <c r="AB484" s="185">
        <f t="shared" si="731"/>
        <v>-647143.23</v>
      </c>
      <c r="AC484" s="185">
        <f t="shared" si="757"/>
        <v>649953.38</v>
      </c>
      <c r="AD484" s="185">
        <f t="shared" ref="AD484:AE484" si="792">+AD483</f>
        <v>134.16999999999999</v>
      </c>
      <c r="AE484" s="185">
        <f t="shared" si="792"/>
        <v>188.55</v>
      </c>
      <c r="AF484" s="185">
        <f t="shared" si="733"/>
        <v>3132.8700000000235</v>
      </c>
      <c r="AG484" s="185">
        <f t="shared" si="734"/>
        <v>-59085351.999999993</v>
      </c>
      <c r="AH484" s="185">
        <f t="shared" si="735"/>
        <v>60781455.149999976</v>
      </c>
      <c r="AI484" s="411">
        <f t="shared" si="723"/>
        <v>676746.84999999346</v>
      </c>
      <c r="AJ484" s="411">
        <f t="shared" si="782"/>
        <v>-60071452</v>
      </c>
      <c r="AK484" s="411">
        <f t="shared" si="724"/>
        <v>-59394705.150000006</v>
      </c>
      <c r="AL484" s="185">
        <f t="shared" si="736"/>
        <v>60071452</v>
      </c>
      <c r="AM484" s="317">
        <f t="shared" si="763"/>
        <v>39</v>
      </c>
      <c r="AN484" s="14">
        <f t="shared" si="725"/>
        <v>0</v>
      </c>
      <c r="AO484" s="14">
        <f t="shared" si="694"/>
        <v>0</v>
      </c>
      <c r="AP484" s="14">
        <f t="shared" si="726"/>
        <v>0</v>
      </c>
      <c r="AS484" s="14">
        <f t="shared" si="759"/>
        <v>0</v>
      </c>
      <c r="AT484" s="14">
        <f t="shared" si="764"/>
        <v>0</v>
      </c>
      <c r="AU484" s="185">
        <f t="shared" si="765"/>
        <v>0</v>
      </c>
      <c r="AV484" s="185">
        <f t="shared" si="766"/>
        <v>0</v>
      </c>
    </row>
    <row r="485" spans="1:49">
      <c r="A485" s="401" t="str">
        <f t="shared" si="712"/>
        <v xml:space="preserve"> </v>
      </c>
      <c r="B485" s="185">
        <f t="shared" si="706"/>
        <v>0</v>
      </c>
      <c r="C485" s="14">
        <f t="shared" si="753"/>
        <v>0</v>
      </c>
      <c r="D485" s="14">
        <f t="shared" si="767"/>
        <v>0</v>
      </c>
      <c r="E485" s="14">
        <f t="shared" si="754"/>
        <v>0</v>
      </c>
      <c r="F485" s="14">
        <f t="shared" si="713"/>
        <v>0</v>
      </c>
      <c r="G485" s="14">
        <f t="shared" si="709"/>
        <v>0</v>
      </c>
      <c r="H485" s="14">
        <f t="shared" si="710"/>
        <v>0</v>
      </c>
      <c r="I485" s="185">
        <f t="shared" si="714"/>
        <v>0</v>
      </c>
      <c r="J485" s="185">
        <f t="shared" si="715"/>
        <v>0</v>
      </c>
      <c r="K485" s="185">
        <f t="shared" si="716"/>
        <v>0</v>
      </c>
      <c r="L485" s="317">
        <f t="shared" si="696"/>
        <v>39</v>
      </c>
      <c r="M485" s="317">
        <f t="shared" si="760"/>
        <v>469</v>
      </c>
      <c r="N485" s="185">
        <f t="shared" si="789"/>
        <v>0</v>
      </c>
      <c r="O485" s="185">
        <f t="shared" si="728"/>
        <v>0</v>
      </c>
      <c r="P485" s="185">
        <f t="shared" si="768"/>
        <v>0</v>
      </c>
      <c r="Q485" s="185">
        <f t="shared" si="729"/>
        <v>0</v>
      </c>
      <c r="R485" s="185">
        <f t="shared" si="720"/>
        <v>134.16999999999999</v>
      </c>
      <c r="S485" s="185">
        <f t="shared" si="721"/>
        <v>188.55</v>
      </c>
      <c r="T485" s="185">
        <f t="shared" si="717"/>
        <v>322.72000000000003</v>
      </c>
      <c r="U485" s="185">
        <f t="shared" si="769"/>
        <v>590639.83000000007</v>
      </c>
      <c r="V485" s="185">
        <f t="shared" si="770"/>
        <v>1782210.1699999985</v>
      </c>
      <c r="W485" s="185">
        <f t="shared" si="718"/>
        <v>0</v>
      </c>
      <c r="X485" s="401" t="str">
        <f t="shared" si="761"/>
        <v xml:space="preserve"> </v>
      </c>
      <c r="Y485" s="185">
        <f t="shared" si="730"/>
        <v>60071452</v>
      </c>
      <c r="Z485" s="393">
        <f t="shared" si="755"/>
        <v>0.13125000000000001</v>
      </c>
      <c r="AA485" s="185">
        <f t="shared" si="756"/>
        <v>2810.15</v>
      </c>
      <c r="AB485" s="185">
        <f t="shared" si="731"/>
        <v>-654221.36</v>
      </c>
      <c r="AC485" s="185">
        <f t="shared" si="757"/>
        <v>657031.51</v>
      </c>
      <c r="AD485" s="185">
        <f t="shared" ref="AD485:AE485" si="793">+AD484</f>
        <v>134.16999999999999</v>
      </c>
      <c r="AE485" s="185">
        <f t="shared" si="793"/>
        <v>188.55</v>
      </c>
      <c r="AF485" s="185">
        <f t="shared" si="733"/>
        <v>3132.8700000000235</v>
      </c>
      <c r="AG485" s="185">
        <f t="shared" si="734"/>
        <v>-59739573.359999992</v>
      </c>
      <c r="AH485" s="185">
        <f t="shared" si="735"/>
        <v>61438486.659999974</v>
      </c>
      <c r="AI485" s="411">
        <f t="shared" si="723"/>
        <v>673936.69999999343</v>
      </c>
      <c r="AJ485" s="411">
        <f t="shared" si="782"/>
        <v>-60725673.359999999</v>
      </c>
      <c r="AK485" s="411">
        <f t="shared" si="724"/>
        <v>-60051736.660000004</v>
      </c>
      <c r="AL485" s="185">
        <f t="shared" si="736"/>
        <v>60725673.359999999</v>
      </c>
      <c r="AM485" s="317">
        <f t="shared" si="763"/>
        <v>39</v>
      </c>
      <c r="AN485" s="14">
        <f t="shared" si="725"/>
        <v>0</v>
      </c>
      <c r="AO485" s="14">
        <f t="shared" si="694"/>
        <v>0</v>
      </c>
      <c r="AP485" s="14">
        <f t="shared" si="726"/>
        <v>0</v>
      </c>
      <c r="AS485" s="14">
        <f t="shared" si="759"/>
        <v>0</v>
      </c>
      <c r="AT485" s="14">
        <f t="shared" si="764"/>
        <v>0</v>
      </c>
      <c r="AU485" s="185">
        <f t="shared" si="765"/>
        <v>0</v>
      </c>
      <c r="AV485" s="185">
        <f t="shared" si="766"/>
        <v>0</v>
      </c>
    </row>
    <row r="486" spans="1:49">
      <c r="A486" s="401" t="str">
        <f t="shared" si="712"/>
        <v xml:space="preserve"> </v>
      </c>
      <c r="B486" s="185">
        <f t="shared" si="706"/>
        <v>0</v>
      </c>
      <c r="C486" s="14">
        <f t="shared" si="753"/>
        <v>0</v>
      </c>
      <c r="D486" s="14">
        <f t="shared" si="767"/>
        <v>0</v>
      </c>
      <c r="E486" s="14">
        <f t="shared" si="754"/>
        <v>0</v>
      </c>
      <c r="F486" s="14">
        <f t="shared" si="713"/>
        <v>0</v>
      </c>
      <c r="G486" s="14">
        <f t="shared" si="709"/>
        <v>0</v>
      </c>
      <c r="H486" s="14">
        <f t="shared" si="710"/>
        <v>0</v>
      </c>
      <c r="I486" s="185">
        <f t="shared" si="714"/>
        <v>0</v>
      </c>
      <c r="J486" s="185">
        <f t="shared" si="715"/>
        <v>0</v>
      </c>
      <c r="K486" s="185">
        <f t="shared" si="716"/>
        <v>0</v>
      </c>
      <c r="L486" s="317">
        <f t="shared" si="696"/>
        <v>39</v>
      </c>
      <c r="M486" s="317">
        <f t="shared" si="760"/>
        <v>470</v>
      </c>
      <c r="N486" s="185">
        <f t="shared" si="789"/>
        <v>0</v>
      </c>
      <c r="O486" s="185">
        <f t="shared" si="728"/>
        <v>0</v>
      </c>
      <c r="P486" s="185">
        <f t="shared" si="768"/>
        <v>0</v>
      </c>
      <c r="Q486" s="185">
        <f t="shared" si="729"/>
        <v>0</v>
      </c>
      <c r="R486" s="185">
        <f t="shared" si="720"/>
        <v>134.16999999999999</v>
      </c>
      <c r="S486" s="185">
        <f t="shared" si="721"/>
        <v>188.55</v>
      </c>
      <c r="T486" s="185">
        <f t="shared" si="717"/>
        <v>322.72000000000003</v>
      </c>
      <c r="U486" s="185">
        <f t="shared" si="769"/>
        <v>590639.83000000007</v>
      </c>
      <c r="V486" s="185">
        <f t="shared" si="770"/>
        <v>1782210.1699999985</v>
      </c>
      <c r="W486" s="185">
        <f t="shared" si="718"/>
        <v>0</v>
      </c>
      <c r="X486" s="401" t="str">
        <f t="shared" si="761"/>
        <v xml:space="preserve"> </v>
      </c>
      <c r="Y486" s="185">
        <f t="shared" si="730"/>
        <v>60725673.359999999</v>
      </c>
      <c r="Z486" s="393">
        <f t="shared" si="755"/>
        <v>0.13125000000000001</v>
      </c>
      <c r="AA486" s="185">
        <f t="shared" si="756"/>
        <v>2810.15</v>
      </c>
      <c r="AB486" s="185">
        <f t="shared" si="731"/>
        <v>-661376.9</v>
      </c>
      <c r="AC486" s="185">
        <f t="shared" si="757"/>
        <v>664187.05000000005</v>
      </c>
      <c r="AD486" s="185">
        <f t="shared" ref="AD486:AE486" si="794">+AD485</f>
        <v>134.16999999999999</v>
      </c>
      <c r="AE486" s="185">
        <f t="shared" si="794"/>
        <v>188.55</v>
      </c>
      <c r="AF486" s="185">
        <f t="shared" si="733"/>
        <v>3132.8700000000235</v>
      </c>
      <c r="AG486" s="185">
        <f t="shared" si="734"/>
        <v>-60400950.25999999</v>
      </c>
      <c r="AH486" s="185">
        <f t="shared" si="735"/>
        <v>62102673.709999971</v>
      </c>
      <c r="AI486" s="411">
        <f t="shared" si="723"/>
        <v>671126.54999999341</v>
      </c>
      <c r="AJ486" s="411">
        <f t="shared" si="782"/>
        <v>-61387050.259999998</v>
      </c>
      <c r="AK486" s="411">
        <f t="shared" si="724"/>
        <v>-60715923.710000001</v>
      </c>
      <c r="AL486" s="185">
        <f t="shared" si="736"/>
        <v>61387050.259999998</v>
      </c>
      <c r="AM486" s="317">
        <f t="shared" si="763"/>
        <v>39</v>
      </c>
      <c r="AN486" s="14">
        <f t="shared" si="725"/>
        <v>0</v>
      </c>
      <c r="AO486" s="14">
        <f t="shared" si="694"/>
        <v>0</v>
      </c>
      <c r="AP486" s="14">
        <f t="shared" si="726"/>
        <v>0</v>
      </c>
      <c r="AS486" s="14">
        <f t="shared" si="759"/>
        <v>0</v>
      </c>
      <c r="AT486" s="14">
        <f t="shared" si="764"/>
        <v>0</v>
      </c>
      <c r="AU486" s="185">
        <f t="shared" si="765"/>
        <v>0</v>
      </c>
      <c r="AV486" s="185">
        <f t="shared" si="766"/>
        <v>0</v>
      </c>
    </row>
    <row r="487" spans="1:49">
      <c r="A487" s="401" t="str">
        <f t="shared" si="712"/>
        <v xml:space="preserve"> </v>
      </c>
      <c r="B487" s="185">
        <f t="shared" si="706"/>
        <v>0</v>
      </c>
      <c r="C487" s="14">
        <f t="shared" si="753"/>
        <v>0</v>
      </c>
      <c r="D487" s="14">
        <f t="shared" si="767"/>
        <v>0</v>
      </c>
      <c r="E487" s="14">
        <f t="shared" si="754"/>
        <v>0</v>
      </c>
      <c r="F487" s="14">
        <f t="shared" si="713"/>
        <v>0</v>
      </c>
      <c r="G487" s="14">
        <f t="shared" si="709"/>
        <v>0</v>
      </c>
      <c r="H487" s="14">
        <f t="shared" si="710"/>
        <v>0</v>
      </c>
      <c r="I487" s="185">
        <f t="shared" si="714"/>
        <v>0</v>
      </c>
      <c r="J487" s="185">
        <f t="shared" si="715"/>
        <v>0</v>
      </c>
      <c r="K487" s="185">
        <f t="shared" si="716"/>
        <v>0</v>
      </c>
      <c r="L487" s="317">
        <f t="shared" si="696"/>
        <v>39</v>
      </c>
      <c r="M487" s="317">
        <f t="shared" si="760"/>
        <v>471</v>
      </c>
      <c r="N487" s="185">
        <f t="shared" si="789"/>
        <v>0</v>
      </c>
      <c r="O487" s="185">
        <f t="shared" si="728"/>
        <v>0</v>
      </c>
      <c r="P487" s="185">
        <f t="shared" si="768"/>
        <v>0</v>
      </c>
      <c r="Q487" s="185">
        <f t="shared" si="729"/>
        <v>0</v>
      </c>
      <c r="R487" s="185">
        <f t="shared" si="720"/>
        <v>134.16999999999999</v>
      </c>
      <c r="S487" s="185">
        <f t="shared" si="721"/>
        <v>188.55</v>
      </c>
      <c r="T487" s="185">
        <f t="shared" si="717"/>
        <v>322.72000000000003</v>
      </c>
      <c r="U487" s="185">
        <f t="shared" si="769"/>
        <v>590639.83000000007</v>
      </c>
      <c r="V487" s="185">
        <f t="shared" si="770"/>
        <v>1782210.1699999985</v>
      </c>
      <c r="W487" s="185">
        <f t="shared" si="718"/>
        <v>0</v>
      </c>
      <c r="X487" s="401" t="str">
        <f t="shared" si="761"/>
        <v xml:space="preserve"> </v>
      </c>
      <c r="Y487" s="185">
        <f t="shared" si="730"/>
        <v>61387050.259999998</v>
      </c>
      <c r="Z487" s="393">
        <f t="shared" si="755"/>
        <v>0.13125000000000001</v>
      </c>
      <c r="AA487" s="185">
        <f t="shared" si="756"/>
        <v>2810.15</v>
      </c>
      <c r="AB487" s="185">
        <f t="shared" si="731"/>
        <v>-668610.71</v>
      </c>
      <c r="AC487" s="185">
        <f t="shared" si="757"/>
        <v>671420.86</v>
      </c>
      <c r="AD487" s="185">
        <f t="shared" ref="AD487:AE487" si="795">+AD486</f>
        <v>134.16999999999999</v>
      </c>
      <c r="AE487" s="185">
        <f t="shared" si="795"/>
        <v>188.55</v>
      </c>
      <c r="AF487" s="185">
        <f t="shared" si="733"/>
        <v>3132.8700000000235</v>
      </c>
      <c r="AG487" s="185">
        <f t="shared" si="734"/>
        <v>-61069560.969999991</v>
      </c>
      <c r="AH487" s="185">
        <f t="shared" si="735"/>
        <v>62774094.56999997</v>
      </c>
      <c r="AI487" s="411">
        <f t="shared" si="723"/>
        <v>668316.39999999339</v>
      </c>
      <c r="AJ487" s="411">
        <f t="shared" si="782"/>
        <v>-62055660.969999999</v>
      </c>
      <c r="AK487" s="411">
        <f t="shared" si="724"/>
        <v>-61387344.570000008</v>
      </c>
      <c r="AL487" s="185">
        <f t="shared" si="736"/>
        <v>62055660.969999999</v>
      </c>
      <c r="AM487" s="317">
        <f t="shared" si="763"/>
        <v>39</v>
      </c>
      <c r="AN487" s="14">
        <f t="shared" si="725"/>
        <v>0</v>
      </c>
      <c r="AO487" s="14">
        <f t="shared" si="694"/>
        <v>0</v>
      </c>
      <c r="AP487" s="14">
        <f t="shared" si="726"/>
        <v>0</v>
      </c>
      <c r="AS487" s="14">
        <f t="shared" si="759"/>
        <v>0</v>
      </c>
      <c r="AT487" s="14">
        <f t="shared" si="764"/>
        <v>0</v>
      </c>
      <c r="AU487" s="185">
        <f t="shared" si="765"/>
        <v>0</v>
      </c>
      <c r="AV487" s="185">
        <f t="shared" si="766"/>
        <v>0</v>
      </c>
    </row>
    <row r="488" spans="1:49">
      <c r="A488" s="401" t="str">
        <f t="shared" si="712"/>
        <v xml:space="preserve"> </v>
      </c>
      <c r="B488" s="185">
        <f t="shared" si="706"/>
        <v>0</v>
      </c>
      <c r="C488" s="14">
        <f t="shared" si="753"/>
        <v>0</v>
      </c>
      <c r="D488" s="14">
        <f t="shared" si="767"/>
        <v>0</v>
      </c>
      <c r="E488" s="14">
        <f t="shared" si="754"/>
        <v>0</v>
      </c>
      <c r="F488" s="14">
        <f t="shared" si="713"/>
        <v>0</v>
      </c>
      <c r="G488" s="14">
        <f t="shared" si="709"/>
        <v>0</v>
      </c>
      <c r="H488" s="14">
        <f t="shared" si="710"/>
        <v>0</v>
      </c>
      <c r="I488" s="185">
        <f t="shared" si="714"/>
        <v>0</v>
      </c>
      <c r="J488" s="185">
        <f t="shared" si="715"/>
        <v>0</v>
      </c>
      <c r="K488" s="185">
        <f t="shared" si="716"/>
        <v>0</v>
      </c>
      <c r="L488" s="317">
        <f t="shared" si="696"/>
        <v>39</v>
      </c>
      <c r="M488" s="317">
        <f t="shared" si="760"/>
        <v>472</v>
      </c>
      <c r="N488" s="185">
        <f t="shared" si="789"/>
        <v>0</v>
      </c>
      <c r="O488" s="185">
        <f t="shared" si="728"/>
        <v>0</v>
      </c>
      <c r="P488" s="185">
        <f t="shared" si="768"/>
        <v>0</v>
      </c>
      <c r="Q488" s="185">
        <f t="shared" si="729"/>
        <v>0</v>
      </c>
      <c r="R488" s="185">
        <f t="shared" si="720"/>
        <v>134.16999999999999</v>
      </c>
      <c r="S488" s="185">
        <f t="shared" si="721"/>
        <v>188.55</v>
      </c>
      <c r="T488" s="185">
        <f t="shared" si="717"/>
        <v>322.72000000000003</v>
      </c>
      <c r="U488" s="185">
        <f t="shared" si="769"/>
        <v>590639.83000000007</v>
      </c>
      <c r="V488" s="185">
        <f t="shared" si="770"/>
        <v>1782210.1699999985</v>
      </c>
      <c r="W488" s="185">
        <f t="shared" si="718"/>
        <v>0</v>
      </c>
      <c r="X488" s="401" t="str">
        <f t="shared" si="761"/>
        <v xml:space="preserve"> </v>
      </c>
      <c r="Y488" s="185">
        <f t="shared" si="730"/>
        <v>62055660.969999999</v>
      </c>
      <c r="Z488" s="393">
        <f t="shared" si="755"/>
        <v>0.13125000000000001</v>
      </c>
      <c r="AA488" s="185">
        <f t="shared" si="756"/>
        <v>2810.15</v>
      </c>
      <c r="AB488" s="185">
        <f t="shared" si="731"/>
        <v>-675923.64</v>
      </c>
      <c r="AC488" s="185">
        <f t="shared" si="757"/>
        <v>678733.79</v>
      </c>
      <c r="AD488" s="185">
        <f t="shared" ref="AD488:AE488" si="796">+AD487</f>
        <v>134.16999999999999</v>
      </c>
      <c r="AE488" s="185">
        <f t="shared" si="796"/>
        <v>188.55</v>
      </c>
      <c r="AF488" s="185">
        <f t="shared" si="733"/>
        <v>3132.8700000000235</v>
      </c>
      <c r="AG488" s="185">
        <f t="shared" si="734"/>
        <v>-61745484.609999992</v>
      </c>
      <c r="AH488" s="185">
        <f t="shared" si="735"/>
        <v>63452828.35999997</v>
      </c>
      <c r="AI488" s="411">
        <f t="shared" si="723"/>
        <v>665506.24999999336</v>
      </c>
      <c r="AJ488" s="411">
        <f t="shared" si="782"/>
        <v>-62731584.609999999</v>
      </c>
      <c r="AK488" s="411">
        <f t="shared" si="724"/>
        <v>-62066078.360000007</v>
      </c>
      <c r="AL488" s="185">
        <f t="shared" si="736"/>
        <v>62731584.609999999</v>
      </c>
      <c r="AM488" s="317">
        <f t="shared" si="763"/>
        <v>39</v>
      </c>
      <c r="AN488" s="14">
        <f t="shared" si="725"/>
        <v>0</v>
      </c>
      <c r="AO488" s="14">
        <f t="shared" si="694"/>
        <v>0</v>
      </c>
      <c r="AP488" s="14">
        <f t="shared" si="726"/>
        <v>0</v>
      </c>
      <c r="AS488" s="14">
        <f t="shared" si="759"/>
        <v>0</v>
      </c>
      <c r="AT488" s="14">
        <f t="shared" si="764"/>
        <v>0</v>
      </c>
      <c r="AU488" s="185">
        <f t="shared" si="765"/>
        <v>0</v>
      </c>
      <c r="AV488" s="185">
        <f t="shared" si="766"/>
        <v>0</v>
      </c>
    </row>
    <row r="489" spans="1:49">
      <c r="A489" s="401" t="str">
        <f t="shared" si="712"/>
        <v xml:space="preserve"> </v>
      </c>
      <c r="B489" s="185">
        <f t="shared" si="706"/>
        <v>0</v>
      </c>
      <c r="C489" s="14">
        <f t="shared" si="753"/>
        <v>0</v>
      </c>
      <c r="D489" s="14">
        <f t="shared" si="767"/>
        <v>0</v>
      </c>
      <c r="E489" s="14">
        <f t="shared" si="754"/>
        <v>0</v>
      </c>
      <c r="F489" s="14">
        <f t="shared" si="713"/>
        <v>0</v>
      </c>
      <c r="G489" s="14">
        <f t="shared" si="709"/>
        <v>0</v>
      </c>
      <c r="H489" s="14">
        <f t="shared" si="710"/>
        <v>0</v>
      </c>
      <c r="I489" s="185">
        <f t="shared" si="714"/>
        <v>0</v>
      </c>
      <c r="J489" s="185">
        <f t="shared" si="715"/>
        <v>0</v>
      </c>
      <c r="K489" s="185">
        <f t="shared" si="716"/>
        <v>0</v>
      </c>
      <c r="L489" s="317">
        <f t="shared" si="696"/>
        <v>39</v>
      </c>
      <c r="M489" s="317">
        <f t="shared" si="760"/>
        <v>473</v>
      </c>
      <c r="N489" s="185">
        <f t="shared" si="789"/>
        <v>0</v>
      </c>
      <c r="O489" s="185">
        <f t="shared" si="728"/>
        <v>0</v>
      </c>
      <c r="P489" s="185">
        <f t="shared" si="768"/>
        <v>0</v>
      </c>
      <c r="Q489" s="185">
        <f t="shared" si="729"/>
        <v>0</v>
      </c>
      <c r="R489" s="185">
        <f t="shared" si="720"/>
        <v>134.16999999999999</v>
      </c>
      <c r="S489" s="185">
        <f t="shared" si="721"/>
        <v>188.55</v>
      </c>
      <c r="T489" s="185">
        <f t="shared" si="717"/>
        <v>322.72000000000003</v>
      </c>
      <c r="U489" s="185">
        <f t="shared" si="769"/>
        <v>590639.83000000007</v>
      </c>
      <c r="V489" s="185">
        <f t="shared" si="770"/>
        <v>1782210.1699999985</v>
      </c>
      <c r="W489" s="185">
        <f t="shared" si="718"/>
        <v>0</v>
      </c>
      <c r="X489" s="401" t="str">
        <f t="shared" si="761"/>
        <v xml:space="preserve"> </v>
      </c>
      <c r="Y489" s="185">
        <f t="shared" si="730"/>
        <v>62731584.609999999</v>
      </c>
      <c r="Z489" s="393">
        <f t="shared" si="755"/>
        <v>0.13125000000000001</v>
      </c>
      <c r="AA489" s="185">
        <f t="shared" si="756"/>
        <v>2810.15</v>
      </c>
      <c r="AB489" s="185">
        <f t="shared" si="731"/>
        <v>-683316.55999999994</v>
      </c>
      <c r="AC489" s="185">
        <f t="shared" si="757"/>
        <v>686126.71</v>
      </c>
      <c r="AD489" s="185">
        <f t="shared" ref="AD489:AE489" si="797">+AD488</f>
        <v>134.16999999999999</v>
      </c>
      <c r="AE489" s="185">
        <f t="shared" si="797"/>
        <v>188.55</v>
      </c>
      <c r="AF489" s="185">
        <f t="shared" si="733"/>
        <v>3132.8700000000235</v>
      </c>
      <c r="AG489" s="185">
        <f t="shared" si="734"/>
        <v>-62428801.169999994</v>
      </c>
      <c r="AH489" s="185">
        <f t="shared" si="735"/>
        <v>64138955.06999997</v>
      </c>
      <c r="AI489" s="411">
        <f t="shared" si="723"/>
        <v>662696.09999999334</v>
      </c>
      <c r="AJ489" s="411">
        <f t="shared" si="782"/>
        <v>-63414901.170000002</v>
      </c>
      <c r="AK489" s="411">
        <f t="shared" si="724"/>
        <v>-62752205.070000008</v>
      </c>
      <c r="AL489" s="185">
        <f t="shared" si="736"/>
        <v>63414901.170000002</v>
      </c>
      <c r="AM489" s="317">
        <f t="shared" si="763"/>
        <v>39</v>
      </c>
      <c r="AN489" s="14">
        <f t="shared" si="725"/>
        <v>0</v>
      </c>
      <c r="AO489" s="14">
        <f t="shared" si="694"/>
        <v>0</v>
      </c>
      <c r="AP489" s="14">
        <f t="shared" si="726"/>
        <v>0</v>
      </c>
      <c r="AS489" s="14">
        <f t="shared" si="759"/>
        <v>0</v>
      </c>
      <c r="AT489" s="14">
        <f t="shared" si="764"/>
        <v>0</v>
      </c>
      <c r="AU489" s="185">
        <f t="shared" si="765"/>
        <v>0</v>
      </c>
      <c r="AV489" s="185">
        <f t="shared" si="766"/>
        <v>0</v>
      </c>
    </row>
    <row r="490" spans="1:49">
      <c r="A490" s="401" t="str">
        <f t="shared" si="712"/>
        <v xml:space="preserve"> </v>
      </c>
      <c r="B490" s="185">
        <f t="shared" si="706"/>
        <v>0</v>
      </c>
      <c r="C490" s="14">
        <f t="shared" si="753"/>
        <v>0</v>
      </c>
      <c r="D490" s="14">
        <f t="shared" si="767"/>
        <v>0</v>
      </c>
      <c r="E490" s="14">
        <f t="shared" si="754"/>
        <v>0</v>
      </c>
      <c r="F490" s="14">
        <f t="shared" si="713"/>
        <v>0</v>
      </c>
      <c r="G490" s="14">
        <f t="shared" si="709"/>
        <v>0</v>
      </c>
      <c r="H490" s="14">
        <f t="shared" si="710"/>
        <v>0</v>
      </c>
      <c r="I490" s="185">
        <f t="shared" si="714"/>
        <v>0</v>
      </c>
      <c r="J490" s="185">
        <f t="shared" si="715"/>
        <v>0</v>
      </c>
      <c r="K490" s="185">
        <f t="shared" si="716"/>
        <v>0</v>
      </c>
      <c r="L490" s="317">
        <f t="shared" si="696"/>
        <v>39</v>
      </c>
      <c r="M490" s="317">
        <f t="shared" si="760"/>
        <v>474</v>
      </c>
      <c r="N490" s="185">
        <f t="shared" si="789"/>
        <v>0</v>
      </c>
      <c r="O490" s="185">
        <f t="shared" si="728"/>
        <v>0</v>
      </c>
      <c r="P490" s="185">
        <f t="shared" si="768"/>
        <v>0</v>
      </c>
      <c r="Q490" s="185">
        <f t="shared" si="729"/>
        <v>0</v>
      </c>
      <c r="R490" s="185">
        <f t="shared" si="720"/>
        <v>134.16999999999999</v>
      </c>
      <c r="S490" s="185">
        <f t="shared" si="721"/>
        <v>188.55</v>
      </c>
      <c r="T490" s="185">
        <f t="shared" si="717"/>
        <v>322.72000000000003</v>
      </c>
      <c r="U490" s="185">
        <f t="shared" si="769"/>
        <v>590639.83000000007</v>
      </c>
      <c r="V490" s="185">
        <f t="shared" si="770"/>
        <v>1782210.1699999985</v>
      </c>
      <c r="W490" s="185">
        <f t="shared" si="718"/>
        <v>0</v>
      </c>
      <c r="X490" s="401" t="str">
        <f t="shared" si="761"/>
        <v xml:space="preserve"> </v>
      </c>
      <c r="Y490" s="185">
        <f t="shared" si="730"/>
        <v>63414901.170000002</v>
      </c>
      <c r="Z490" s="393">
        <f t="shared" si="755"/>
        <v>0.13125000000000001</v>
      </c>
      <c r="AA490" s="185">
        <f t="shared" si="756"/>
        <v>2810.15</v>
      </c>
      <c r="AB490" s="185">
        <f t="shared" si="731"/>
        <v>-690790.33</v>
      </c>
      <c r="AC490" s="185">
        <f t="shared" si="757"/>
        <v>693600.48</v>
      </c>
      <c r="AD490" s="185">
        <f t="shared" ref="AD490:AE490" si="798">+AD489</f>
        <v>134.16999999999999</v>
      </c>
      <c r="AE490" s="185">
        <f t="shared" si="798"/>
        <v>188.55</v>
      </c>
      <c r="AF490" s="185">
        <f t="shared" si="733"/>
        <v>3132.8700000000235</v>
      </c>
      <c r="AG490" s="185">
        <f t="shared" si="734"/>
        <v>-63119591.499999993</v>
      </c>
      <c r="AH490" s="185">
        <f t="shared" si="735"/>
        <v>64832555.549999967</v>
      </c>
      <c r="AI490" s="411">
        <f t="shared" si="723"/>
        <v>659885.94999999332</v>
      </c>
      <c r="AJ490" s="411">
        <f t="shared" si="782"/>
        <v>-64105691.5</v>
      </c>
      <c r="AK490" s="411">
        <f t="shared" si="724"/>
        <v>-63445805.550000004</v>
      </c>
      <c r="AL490" s="185">
        <f t="shared" si="736"/>
        <v>64105691.5</v>
      </c>
      <c r="AM490" s="317">
        <f t="shared" si="763"/>
        <v>39</v>
      </c>
      <c r="AN490" s="14">
        <f t="shared" si="725"/>
        <v>0</v>
      </c>
      <c r="AO490" s="14">
        <f t="shared" si="694"/>
        <v>0</v>
      </c>
      <c r="AP490" s="14">
        <f t="shared" si="726"/>
        <v>0</v>
      </c>
      <c r="AS490" s="14">
        <f t="shared" si="759"/>
        <v>0</v>
      </c>
      <c r="AT490" s="14">
        <f t="shared" si="764"/>
        <v>0</v>
      </c>
      <c r="AU490" s="185">
        <f t="shared" si="765"/>
        <v>0</v>
      </c>
      <c r="AV490" s="185">
        <f t="shared" si="766"/>
        <v>0</v>
      </c>
    </row>
    <row r="491" spans="1:49">
      <c r="A491" s="401"/>
      <c r="L491" s="317">
        <f t="shared" si="696"/>
        <v>0</v>
      </c>
      <c r="M491" s="317"/>
      <c r="X491" s="401">
        <f t="shared" si="761"/>
        <v>0</v>
      </c>
      <c r="Y491" s="185">
        <f t="shared" si="730"/>
        <v>64105691.5</v>
      </c>
      <c r="Z491" s="393">
        <f t="shared" si="755"/>
        <v>0.10625</v>
      </c>
      <c r="AA491" s="14">
        <f t="shared" si="756"/>
        <v>0</v>
      </c>
      <c r="AB491" s="14">
        <f t="shared" si="731"/>
        <v>0</v>
      </c>
      <c r="AC491" s="14">
        <f t="shared" si="757"/>
        <v>0</v>
      </c>
      <c r="AD491" s="14">
        <f t="shared" ref="AD491:AE491" si="799">+AD490</f>
        <v>134.16999999999999</v>
      </c>
      <c r="AE491" s="14">
        <f t="shared" si="799"/>
        <v>188.55</v>
      </c>
      <c r="AF491" s="14">
        <f t="shared" si="733"/>
        <v>322.72000000000003</v>
      </c>
      <c r="AG491" s="185">
        <f t="shared" si="734"/>
        <v>-63119591.499999993</v>
      </c>
      <c r="AH491" s="185">
        <f t="shared" si="735"/>
        <v>64832555.549999967</v>
      </c>
      <c r="AI491" s="411">
        <f t="shared" si="723"/>
        <v>659885.94999999332</v>
      </c>
      <c r="AJ491" s="411">
        <f t="shared" si="782"/>
        <v>-64105691.5</v>
      </c>
      <c r="AK491" s="411">
        <f t="shared" si="724"/>
        <v>-63445805.550000004</v>
      </c>
      <c r="AL491" s="185">
        <f t="shared" si="736"/>
        <v>64105691.5</v>
      </c>
      <c r="AM491" s="317">
        <f t="shared" si="763"/>
        <v>0</v>
      </c>
    </row>
    <row r="492" spans="1:49">
      <c r="A492" s="401"/>
      <c r="L492" s="317">
        <f t="shared" si="696"/>
        <v>0</v>
      </c>
      <c r="M492" s="317"/>
      <c r="X492" s="401">
        <f t="shared" si="761"/>
        <v>0</v>
      </c>
      <c r="Y492" s="185">
        <f t="shared" si="730"/>
        <v>64105691.5</v>
      </c>
      <c r="Z492" s="393">
        <f t="shared" si="755"/>
        <v>0.10625</v>
      </c>
      <c r="AA492" s="14">
        <f t="shared" si="756"/>
        <v>0</v>
      </c>
      <c r="AB492" s="14">
        <f t="shared" si="731"/>
        <v>0</v>
      </c>
      <c r="AC492" s="14">
        <f t="shared" si="757"/>
        <v>0</v>
      </c>
      <c r="AD492" s="14">
        <f t="shared" ref="AD492:AE492" si="800">+AD491</f>
        <v>134.16999999999999</v>
      </c>
      <c r="AE492" s="14">
        <f t="shared" si="800"/>
        <v>188.55</v>
      </c>
      <c r="AF492" s="14">
        <f t="shared" si="733"/>
        <v>322.72000000000003</v>
      </c>
      <c r="AG492" s="185">
        <f t="shared" si="734"/>
        <v>-63119591.499999993</v>
      </c>
      <c r="AH492" s="185">
        <f t="shared" si="735"/>
        <v>64832555.549999967</v>
      </c>
      <c r="AI492" s="411">
        <f t="shared" si="723"/>
        <v>659885.94999999332</v>
      </c>
      <c r="AJ492" s="411">
        <f t="shared" si="782"/>
        <v>-64105691.5</v>
      </c>
      <c r="AK492" s="411">
        <f t="shared" si="724"/>
        <v>-63445805.550000004</v>
      </c>
      <c r="AL492" s="185">
        <f t="shared" si="736"/>
        <v>64105691.5</v>
      </c>
      <c r="AM492" s="317">
        <f t="shared" si="763"/>
        <v>0</v>
      </c>
    </row>
    <row r="493" spans="1:49">
      <c r="A493" s="401"/>
      <c r="L493" s="317">
        <f t="shared" si="696"/>
        <v>0</v>
      </c>
      <c r="M493" s="317"/>
      <c r="X493" s="401">
        <f t="shared" si="761"/>
        <v>0</v>
      </c>
      <c r="Y493" s="185">
        <f t="shared" si="730"/>
        <v>64105691.5</v>
      </c>
      <c r="Z493" s="393">
        <f t="shared" si="755"/>
        <v>0.10625</v>
      </c>
      <c r="AA493" s="14">
        <f t="shared" si="756"/>
        <v>0</v>
      </c>
      <c r="AB493" s="14">
        <f t="shared" si="731"/>
        <v>0</v>
      </c>
      <c r="AC493" s="14">
        <f t="shared" si="757"/>
        <v>0</v>
      </c>
      <c r="AD493" s="14">
        <f t="shared" ref="AD493:AE493" si="801">+AD492</f>
        <v>134.16999999999999</v>
      </c>
      <c r="AE493" s="14">
        <f t="shared" si="801"/>
        <v>188.55</v>
      </c>
      <c r="AF493" s="14">
        <f t="shared" si="733"/>
        <v>322.72000000000003</v>
      </c>
      <c r="AG493" s="185">
        <f t="shared" si="734"/>
        <v>-63119591.499999993</v>
      </c>
      <c r="AH493" s="185">
        <f t="shared" si="735"/>
        <v>64832555.549999967</v>
      </c>
      <c r="AI493" s="411">
        <f t="shared" si="723"/>
        <v>659885.94999999332</v>
      </c>
      <c r="AJ493" s="411">
        <f t="shared" si="782"/>
        <v>-64105691.5</v>
      </c>
      <c r="AK493" s="411">
        <f t="shared" si="724"/>
        <v>-63445805.550000004</v>
      </c>
      <c r="AL493" s="185">
        <f t="shared" si="736"/>
        <v>64105691.5</v>
      </c>
      <c r="AM493" s="317">
        <f t="shared" si="763"/>
        <v>0</v>
      </c>
    </row>
    <row r="494" spans="1:49" ht="15.75" thickBot="1">
      <c r="A494" s="404"/>
      <c r="B494" s="237"/>
      <c r="C494" s="21"/>
      <c r="D494" s="21"/>
      <c r="E494" s="21"/>
      <c r="F494" s="21"/>
      <c r="G494" s="21"/>
      <c r="H494" s="21"/>
      <c r="I494" s="237"/>
      <c r="J494" s="237"/>
      <c r="K494" s="237"/>
      <c r="L494" s="318">
        <f t="shared" si="696"/>
        <v>0</v>
      </c>
      <c r="M494" s="318"/>
      <c r="N494" s="237"/>
      <c r="U494" s="237"/>
      <c r="V494" s="237"/>
      <c r="W494" s="237"/>
      <c r="X494" s="404">
        <f t="shared" si="761"/>
        <v>0</v>
      </c>
      <c r="Y494" s="185">
        <f t="shared" si="730"/>
        <v>64105691.5</v>
      </c>
      <c r="Z494" s="393">
        <f t="shared" si="755"/>
        <v>0.10625</v>
      </c>
      <c r="AA494" s="14">
        <f t="shared" si="756"/>
        <v>0</v>
      </c>
      <c r="AB494" s="14">
        <f t="shared" si="731"/>
        <v>0</v>
      </c>
      <c r="AC494" s="14">
        <f t="shared" si="757"/>
        <v>0</v>
      </c>
      <c r="AD494" s="14">
        <f t="shared" ref="AD494:AE494" si="802">+AD493</f>
        <v>134.16999999999999</v>
      </c>
      <c r="AE494" s="14">
        <f t="shared" si="802"/>
        <v>188.55</v>
      </c>
      <c r="AF494" s="14">
        <f t="shared" si="733"/>
        <v>322.72000000000003</v>
      </c>
      <c r="AG494" s="185">
        <f t="shared" si="734"/>
        <v>-63119591.499999993</v>
      </c>
      <c r="AH494" s="185">
        <f t="shared" si="735"/>
        <v>64832555.549999967</v>
      </c>
      <c r="AI494" s="411">
        <f t="shared" si="723"/>
        <v>659885.94999999332</v>
      </c>
      <c r="AJ494" s="411">
        <f t="shared" si="782"/>
        <v>-64105691.5</v>
      </c>
      <c r="AK494" s="411">
        <f t="shared" si="724"/>
        <v>-63445805.550000004</v>
      </c>
      <c r="AL494" s="185">
        <f t="shared" si="736"/>
        <v>64105691.5</v>
      </c>
      <c r="AM494" s="318">
        <f t="shared" si="763"/>
        <v>0</v>
      </c>
      <c r="AN494" s="21"/>
      <c r="AO494" s="21"/>
      <c r="AP494" s="21"/>
      <c r="AQ494" s="21"/>
      <c r="AR494" s="23"/>
      <c r="AS494" s="21"/>
      <c r="AT494" s="21"/>
      <c r="AU494" s="237"/>
      <c r="AV494" s="237"/>
      <c r="AW494" s="21"/>
    </row>
    <row r="495" spans="1:49">
      <c r="A495" s="401"/>
      <c r="L495" s="317">
        <f t="shared" ref="L495:L558" si="803">IF(MOD(M495,12)=0,M495/12,L494)</f>
        <v>0</v>
      </c>
      <c r="M495" s="317"/>
      <c r="X495" s="401">
        <f t="shared" si="761"/>
        <v>0</v>
      </c>
      <c r="Y495" s="185">
        <f t="shared" si="730"/>
        <v>64105691.5</v>
      </c>
      <c r="Z495" s="393">
        <f t="shared" si="755"/>
        <v>0.10625</v>
      </c>
      <c r="AA495" s="14">
        <f t="shared" si="756"/>
        <v>0</v>
      </c>
      <c r="AB495" s="14">
        <f t="shared" si="731"/>
        <v>0</v>
      </c>
      <c r="AC495" s="14">
        <f t="shared" si="757"/>
        <v>0</v>
      </c>
      <c r="AD495" s="14">
        <f t="shared" ref="AD495:AE495" si="804">+AD494</f>
        <v>134.16999999999999</v>
      </c>
      <c r="AE495" s="14">
        <f t="shared" si="804"/>
        <v>188.55</v>
      </c>
      <c r="AF495" s="14">
        <f t="shared" si="733"/>
        <v>322.72000000000003</v>
      </c>
      <c r="AG495" s="185">
        <f t="shared" si="734"/>
        <v>-63119591.499999993</v>
      </c>
      <c r="AH495" s="185">
        <f t="shared" si="735"/>
        <v>64832555.549999967</v>
      </c>
      <c r="AI495" s="411">
        <f t="shared" si="723"/>
        <v>659885.94999999332</v>
      </c>
      <c r="AJ495" s="411">
        <f t="shared" si="782"/>
        <v>-64105691.5</v>
      </c>
      <c r="AK495" s="411">
        <f t="shared" si="724"/>
        <v>-63445805.550000004</v>
      </c>
      <c r="AL495" s="185">
        <f t="shared" si="736"/>
        <v>64105691.5</v>
      </c>
      <c r="AM495" s="317">
        <f t="shared" si="763"/>
        <v>0</v>
      </c>
    </row>
    <row r="496" spans="1:49">
      <c r="A496" s="401"/>
      <c r="L496" s="317">
        <f t="shared" si="803"/>
        <v>0</v>
      </c>
      <c r="M496" s="317"/>
      <c r="X496" s="401">
        <f t="shared" si="761"/>
        <v>0</v>
      </c>
      <c r="Y496" s="185">
        <f t="shared" si="730"/>
        <v>64105691.5</v>
      </c>
      <c r="Z496" s="393">
        <f t="shared" si="755"/>
        <v>0.10625</v>
      </c>
      <c r="AA496" s="14">
        <f t="shared" si="756"/>
        <v>0</v>
      </c>
      <c r="AB496" s="14">
        <f t="shared" si="731"/>
        <v>0</v>
      </c>
      <c r="AC496" s="14">
        <f t="shared" si="757"/>
        <v>0</v>
      </c>
      <c r="AD496" s="14">
        <f t="shared" ref="AD496:AE496" si="805">+AD495</f>
        <v>134.16999999999999</v>
      </c>
      <c r="AE496" s="14">
        <f t="shared" si="805"/>
        <v>188.55</v>
      </c>
      <c r="AF496" s="14">
        <f t="shared" si="733"/>
        <v>322.72000000000003</v>
      </c>
      <c r="AG496" s="185">
        <f t="shared" si="734"/>
        <v>-63119591.499999993</v>
      </c>
      <c r="AH496" s="185">
        <f t="shared" si="735"/>
        <v>64832555.549999967</v>
      </c>
      <c r="AI496" s="411">
        <f t="shared" si="723"/>
        <v>659885.94999999332</v>
      </c>
      <c r="AJ496" s="411">
        <f t="shared" si="782"/>
        <v>-64105691.5</v>
      </c>
      <c r="AK496" s="411">
        <f t="shared" si="724"/>
        <v>-63445805.550000004</v>
      </c>
      <c r="AL496" s="185">
        <f t="shared" si="736"/>
        <v>64105691.5</v>
      </c>
      <c r="AM496" s="317">
        <f t="shared" si="763"/>
        <v>0</v>
      </c>
    </row>
    <row r="497" spans="1:49">
      <c r="A497" s="401"/>
      <c r="L497" s="317">
        <f t="shared" si="803"/>
        <v>0</v>
      </c>
      <c r="M497" s="317"/>
      <c r="X497" s="401">
        <f t="shared" si="761"/>
        <v>0</v>
      </c>
      <c r="Y497" s="185">
        <f t="shared" si="730"/>
        <v>64105691.5</v>
      </c>
      <c r="Z497" s="393">
        <f t="shared" si="755"/>
        <v>0.10625</v>
      </c>
      <c r="AA497" s="14">
        <f t="shared" si="756"/>
        <v>0</v>
      </c>
      <c r="AB497" s="14">
        <f t="shared" si="731"/>
        <v>0</v>
      </c>
      <c r="AC497" s="14">
        <f t="shared" si="757"/>
        <v>0</v>
      </c>
      <c r="AD497" s="14">
        <f t="shared" ref="AD497:AE497" si="806">+AD496</f>
        <v>134.16999999999999</v>
      </c>
      <c r="AE497" s="14">
        <f t="shared" si="806"/>
        <v>188.55</v>
      </c>
      <c r="AF497" s="14">
        <f t="shared" si="733"/>
        <v>322.72000000000003</v>
      </c>
      <c r="AG497" s="185">
        <f t="shared" si="734"/>
        <v>-63119591.499999993</v>
      </c>
      <c r="AH497" s="185">
        <f t="shared" si="735"/>
        <v>64832555.549999967</v>
      </c>
      <c r="AI497" s="411">
        <f t="shared" si="723"/>
        <v>659885.94999999332</v>
      </c>
      <c r="AJ497" s="411">
        <f t="shared" si="782"/>
        <v>-64105691.5</v>
      </c>
      <c r="AK497" s="411">
        <f t="shared" si="724"/>
        <v>-63445805.550000004</v>
      </c>
      <c r="AL497" s="185">
        <f t="shared" si="736"/>
        <v>64105691.5</v>
      </c>
      <c r="AM497" s="317">
        <f t="shared" si="763"/>
        <v>0</v>
      </c>
    </row>
    <row r="498" spans="1:49">
      <c r="A498" s="401"/>
      <c r="L498" s="317">
        <f t="shared" si="803"/>
        <v>0</v>
      </c>
      <c r="M498" s="317"/>
      <c r="X498" s="401">
        <f t="shared" si="761"/>
        <v>0</v>
      </c>
      <c r="Y498" s="185">
        <f t="shared" si="730"/>
        <v>64105691.5</v>
      </c>
      <c r="Z498" s="393">
        <f t="shared" si="755"/>
        <v>0.10625</v>
      </c>
      <c r="AA498" s="14">
        <f t="shared" si="756"/>
        <v>0</v>
      </c>
      <c r="AB498" s="14">
        <f t="shared" si="731"/>
        <v>0</v>
      </c>
      <c r="AC498" s="14">
        <f t="shared" si="757"/>
        <v>0</v>
      </c>
      <c r="AD498" s="14">
        <f t="shared" ref="AD498:AE498" si="807">+AD497</f>
        <v>134.16999999999999</v>
      </c>
      <c r="AE498" s="14">
        <f t="shared" si="807"/>
        <v>188.55</v>
      </c>
      <c r="AF498" s="14">
        <f t="shared" si="733"/>
        <v>322.72000000000003</v>
      </c>
      <c r="AG498" s="185">
        <f t="shared" si="734"/>
        <v>-63119591.499999993</v>
      </c>
      <c r="AH498" s="185">
        <f t="shared" si="735"/>
        <v>64832555.549999967</v>
      </c>
      <c r="AI498" s="411">
        <f t="shared" si="723"/>
        <v>659885.94999999332</v>
      </c>
      <c r="AJ498" s="411">
        <f t="shared" si="782"/>
        <v>-64105691.5</v>
      </c>
      <c r="AK498" s="411">
        <f t="shared" si="724"/>
        <v>-63445805.550000004</v>
      </c>
      <c r="AL498" s="185">
        <f t="shared" si="736"/>
        <v>64105691.5</v>
      </c>
      <c r="AM498" s="317">
        <f t="shared" si="763"/>
        <v>0</v>
      </c>
    </row>
    <row r="499" spans="1:49">
      <c r="A499" s="401"/>
      <c r="L499" s="317">
        <f t="shared" si="803"/>
        <v>0</v>
      </c>
      <c r="M499" s="317"/>
      <c r="X499" s="401">
        <f t="shared" si="761"/>
        <v>0</v>
      </c>
      <c r="Y499" s="185">
        <f t="shared" si="730"/>
        <v>64105691.5</v>
      </c>
      <c r="Z499" s="393">
        <f t="shared" si="755"/>
        <v>0.10625</v>
      </c>
      <c r="AA499" s="14">
        <f t="shared" si="756"/>
        <v>0</v>
      </c>
      <c r="AB499" s="14">
        <f t="shared" si="731"/>
        <v>0</v>
      </c>
      <c r="AC499" s="14">
        <f t="shared" si="757"/>
        <v>0</v>
      </c>
      <c r="AD499" s="14">
        <f t="shared" ref="AD499:AE499" si="808">+AD498</f>
        <v>134.16999999999999</v>
      </c>
      <c r="AE499" s="14">
        <f t="shared" si="808"/>
        <v>188.55</v>
      </c>
      <c r="AF499" s="14">
        <f t="shared" si="733"/>
        <v>322.72000000000003</v>
      </c>
      <c r="AG499" s="185">
        <f t="shared" si="734"/>
        <v>-63119591.499999993</v>
      </c>
      <c r="AH499" s="185">
        <f t="shared" si="735"/>
        <v>64832555.549999967</v>
      </c>
      <c r="AI499" s="411">
        <f t="shared" si="723"/>
        <v>659885.94999999332</v>
      </c>
      <c r="AJ499" s="411">
        <f t="shared" si="782"/>
        <v>-64105691.5</v>
      </c>
      <c r="AK499" s="411">
        <f t="shared" si="724"/>
        <v>-63445805.550000004</v>
      </c>
      <c r="AL499" s="185">
        <f t="shared" si="736"/>
        <v>64105691.5</v>
      </c>
      <c r="AM499" s="317">
        <f t="shared" si="763"/>
        <v>0</v>
      </c>
    </row>
    <row r="500" spans="1:49">
      <c r="A500" s="401"/>
      <c r="L500" s="317">
        <f t="shared" si="803"/>
        <v>0</v>
      </c>
      <c r="M500" s="317"/>
      <c r="X500" s="401">
        <f t="shared" si="761"/>
        <v>0</v>
      </c>
      <c r="Y500" s="185">
        <f t="shared" si="730"/>
        <v>64105691.5</v>
      </c>
      <c r="Z500" s="393">
        <f t="shared" si="755"/>
        <v>0.10625</v>
      </c>
      <c r="AA500" s="14">
        <f t="shared" si="756"/>
        <v>0</v>
      </c>
      <c r="AB500" s="14">
        <f t="shared" si="731"/>
        <v>0</v>
      </c>
      <c r="AC500" s="14">
        <f t="shared" si="757"/>
        <v>0</v>
      </c>
      <c r="AD500" s="14">
        <f t="shared" ref="AD500:AE500" si="809">+AD499</f>
        <v>134.16999999999999</v>
      </c>
      <c r="AE500" s="14">
        <f t="shared" si="809"/>
        <v>188.55</v>
      </c>
      <c r="AF500" s="14">
        <f t="shared" si="733"/>
        <v>322.72000000000003</v>
      </c>
      <c r="AG500" s="185">
        <f t="shared" si="734"/>
        <v>-63119591.499999993</v>
      </c>
      <c r="AH500" s="185">
        <f t="shared" si="735"/>
        <v>64832555.549999967</v>
      </c>
      <c r="AI500" s="411">
        <f t="shared" si="723"/>
        <v>659885.94999999332</v>
      </c>
      <c r="AJ500" s="411">
        <f t="shared" si="782"/>
        <v>-64105691.5</v>
      </c>
      <c r="AK500" s="411">
        <f t="shared" si="724"/>
        <v>-63445805.550000004</v>
      </c>
      <c r="AL500" s="185">
        <f t="shared" si="736"/>
        <v>64105691.5</v>
      </c>
      <c r="AM500" s="317">
        <f t="shared" si="763"/>
        <v>0</v>
      </c>
    </row>
    <row r="501" spans="1:49">
      <c r="A501" s="401"/>
      <c r="L501" s="317">
        <f t="shared" si="803"/>
        <v>0</v>
      </c>
      <c r="M501" s="317"/>
      <c r="X501" s="401">
        <f t="shared" si="761"/>
        <v>0</v>
      </c>
      <c r="Y501" s="185">
        <f t="shared" si="730"/>
        <v>64105691.5</v>
      </c>
      <c r="Z501" s="393">
        <f t="shared" si="755"/>
        <v>0.10625</v>
      </c>
      <c r="AA501" s="14">
        <f t="shared" si="756"/>
        <v>0</v>
      </c>
      <c r="AB501" s="14">
        <f t="shared" si="731"/>
        <v>0</v>
      </c>
      <c r="AC501" s="14">
        <f t="shared" si="757"/>
        <v>0</v>
      </c>
      <c r="AD501" s="14">
        <f t="shared" ref="AD501:AE501" si="810">+AD500</f>
        <v>134.16999999999999</v>
      </c>
      <c r="AE501" s="14">
        <f t="shared" si="810"/>
        <v>188.55</v>
      </c>
      <c r="AF501" s="14">
        <f t="shared" si="733"/>
        <v>322.72000000000003</v>
      </c>
      <c r="AG501" s="185">
        <f t="shared" si="734"/>
        <v>-63119591.499999993</v>
      </c>
      <c r="AH501" s="185">
        <f t="shared" si="735"/>
        <v>64832555.549999967</v>
      </c>
      <c r="AI501" s="411">
        <f t="shared" si="723"/>
        <v>659885.94999999332</v>
      </c>
      <c r="AJ501" s="411">
        <f t="shared" si="782"/>
        <v>-64105691.5</v>
      </c>
      <c r="AK501" s="411">
        <f t="shared" si="724"/>
        <v>-63445805.550000004</v>
      </c>
      <c r="AL501" s="185">
        <f t="shared" si="736"/>
        <v>64105691.5</v>
      </c>
      <c r="AM501" s="317">
        <f t="shared" si="763"/>
        <v>0</v>
      </c>
    </row>
    <row r="502" spans="1:49">
      <c r="A502" s="401"/>
      <c r="L502" s="317">
        <f t="shared" si="803"/>
        <v>0</v>
      </c>
      <c r="M502" s="317"/>
      <c r="X502" s="401">
        <f t="shared" si="761"/>
        <v>0</v>
      </c>
      <c r="Y502" s="185">
        <f t="shared" si="730"/>
        <v>64105691.5</v>
      </c>
      <c r="Z502" s="393">
        <f t="shared" si="755"/>
        <v>0.10625</v>
      </c>
      <c r="AA502" s="14">
        <f t="shared" si="756"/>
        <v>0</v>
      </c>
      <c r="AB502" s="14">
        <f t="shared" si="731"/>
        <v>0</v>
      </c>
      <c r="AC502" s="14">
        <f t="shared" si="757"/>
        <v>0</v>
      </c>
      <c r="AD502" s="14">
        <f t="shared" ref="AD502:AE502" si="811">+AD501</f>
        <v>134.16999999999999</v>
      </c>
      <c r="AE502" s="14">
        <f t="shared" si="811"/>
        <v>188.55</v>
      </c>
      <c r="AF502" s="14">
        <f t="shared" si="733"/>
        <v>322.72000000000003</v>
      </c>
      <c r="AG502" s="185">
        <f t="shared" si="734"/>
        <v>-63119591.499999993</v>
      </c>
      <c r="AH502" s="185">
        <f t="shared" si="735"/>
        <v>64832555.549999967</v>
      </c>
      <c r="AI502" s="411">
        <f t="shared" si="723"/>
        <v>659885.94999999332</v>
      </c>
      <c r="AJ502" s="411">
        <f t="shared" si="782"/>
        <v>-64105691.5</v>
      </c>
      <c r="AK502" s="411">
        <f t="shared" si="724"/>
        <v>-63445805.550000004</v>
      </c>
      <c r="AL502" s="185">
        <f t="shared" si="736"/>
        <v>64105691.5</v>
      </c>
      <c r="AM502" s="317">
        <f t="shared" si="763"/>
        <v>0</v>
      </c>
    </row>
    <row r="503" spans="1:49">
      <c r="A503" s="401"/>
      <c r="L503" s="317">
        <f t="shared" si="803"/>
        <v>0</v>
      </c>
      <c r="M503" s="317"/>
      <c r="X503" s="401">
        <f t="shared" si="761"/>
        <v>0</v>
      </c>
      <c r="Y503" s="185">
        <f t="shared" si="730"/>
        <v>64105691.5</v>
      </c>
      <c r="Z503" s="393">
        <f t="shared" si="755"/>
        <v>0.10625</v>
      </c>
      <c r="AA503" s="14">
        <f t="shared" si="756"/>
        <v>0</v>
      </c>
      <c r="AB503" s="14">
        <f t="shared" si="731"/>
        <v>0</v>
      </c>
      <c r="AC503" s="14">
        <f t="shared" si="757"/>
        <v>0</v>
      </c>
      <c r="AD503" s="14">
        <f t="shared" ref="AD503:AE503" si="812">+AD502</f>
        <v>134.16999999999999</v>
      </c>
      <c r="AE503" s="14">
        <f t="shared" si="812"/>
        <v>188.55</v>
      </c>
      <c r="AF503" s="14">
        <f t="shared" si="733"/>
        <v>322.72000000000003</v>
      </c>
      <c r="AG503" s="185">
        <f t="shared" si="734"/>
        <v>-63119591.499999993</v>
      </c>
      <c r="AH503" s="185">
        <f t="shared" si="735"/>
        <v>64832555.549999967</v>
      </c>
      <c r="AI503" s="411">
        <f t="shared" si="723"/>
        <v>659885.94999999332</v>
      </c>
      <c r="AJ503" s="411">
        <f t="shared" si="782"/>
        <v>-64105691.5</v>
      </c>
      <c r="AK503" s="411">
        <f t="shared" si="724"/>
        <v>-63445805.550000004</v>
      </c>
      <c r="AL503" s="185">
        <f t="shared" si="736"/>
        <v>64105691.5</v>
      </c>
      <c r="AM503" s="317">
        <f t="shared" si="763"/>
        <v>0</v>
      </c>
    </row>
    <row r="504" spans="1:49">
      <c r="A504" s="401"/>
      <c r="L504" s="317">
        <f t="shared" si="803"/>
        <v>0</v>
      </c>
      <c r="M504" s="317"/>
      <c r="X504" s="401">
        <f t="shared" si="761"/>
        <v>0</v>
      </c>
      <c r="Y504" s="185">
        <f t="shared" si="730"/>
        <v>64105691.5</v>
      </c>
      <c r="Z504" s="393">
        <f t="shared" si="755"/>
        <v>0.10625</v>
      </c>
      <c r="AA504" s="14">
        <f t="shared" si="756"/>
        <v>0</v>
      </c>
      <c r="AB504" s="14">
        <f t="shared" si="731"/>
        <v>0</v>
      </c>
      <c r="AC504" s="14">
        <f t="shared" si="757"/>
        <v>0</v>
      </c>
      <c r="AD504" s="14">
        <f t="shared" ref="AD504:AE504" si="813">+AD503</f>
        <v>134.16999999999999</v>
      </c>
      <c r="AE504" s="14">
        <f t="shared" si="813"/>
        <v>188.55</v>
      </c>
      <c r="AF504" s="14">
        <f t="shared" si="733"/>
        <v>322.72000000000003</v>
      </c>
      <c r="AG504" s="185">
        <f t="shared" si="734"/>
        <v>-63119591.499999993</v>
      </c>
      <c r="AH504" s="185">
        <f t="shared" si="735"/>
        <v>64832555.549999967</v>
      </c>
      <c r="AI504" s="411">
        <f t="shared" si="723"/>
        <v>659885.94999999332</v>
      </c>
      <c r="AJ504" s="411">
        <f t="shared" si="782"/>
        <v>-64105691.5</v>
      </c>
      <c r="AK504" s="411">
        <f t="shared" si="724"/>
        <v>-63445805.550000004</v>
      </c>
      <c r="AL504" s="185">
        <f t="shared" si="736"/>
        <v>64105691.5</v>
      </c>
      <c r="AM504" s="317">
        <f t="shared" si="763"/>
        <v>0</v>
      </c>
    </row>
    <row r="505" spans="1:49">
      <c r="A505" s="401"/>
      <c r="L505" s="317">
        <f t="shared" si="803"/>
        <v>0</v>
      </c>
      <c r="M505" s="317"/>
      <c r="X505" s="401">
        <f t="shared" si="761"/>
        <v>0</v>
      </c>
      <c r="Y505" s="185">
        <f t="shared" si="730"/>
        <v>64105691.5</v>
      </c>
      <c r="Z505" s="393">
        <f t="shared" si="755"/>
        <v>0.10625</v>
      </c>
      <c r="AA505" s="14">
        <f t="shared" si="756"/>
        <v>0</v>
      </c>
      <c r="AB505" s="14">
        <f t="shared" si="731"/>
        <v>0</v>
      </c>
      <c r="AC505" s="14">
        <f t="shared" si="757"/>
        <v>0</v>
      </c>
      <c r="AD505" s="14">
        <f t="shared" ref="AD505:AE505" si="814">+AD504</f>
        <v>134.16999999999999</v>
      </c>
      <c r="AE505" s="14">
        <f t="shared" si="814"/>
        <v>188.55</v>
      </c>
      <c r="AF505" s="14">
        <f t="shared" si="733"/>
        <v>322.72000000000003</v>
      </c>
      <c r="AG505" s="185">
        <f t="shared" si="734"/>
        <v>-63119591.499999993</v>
      </c>
      <c r="AH505" s="185">
        <f t="shared" si="735"/>
        <v>64832555.549999967</v>
      </c>
      <c r="AI505" s="411">
        <f t="shared" si="723"/>
        <v>659885.94999999332</v>
      </c>
      <c r="AJ505" s="411">
        <f t="shared" si="782"/>
        <v>-64105691.5</v>
      </c>
      <c r="AK505" s="411">
        <f t="shared" si="724"/>
        <v>-63445805.550000004</v>
      </c>
      <c r="AL505" s="185">
        <f t="shared" si="736"/>
        <v>64105691.5</v>
      </c>
      <c r="AM505" s="317">
        <f t="shared" si="763"/>
        <v>0</v>
      </c>
    </row>
    <row r="506" spans="1:49" ht="15.75" thickBot="1">
      <c r="A506" s="404"/>
      <c r="B506" s="237"/>
      <c r="C506" s="21"/>
      <c r="D506" s="21"/>
      <c r="E506" s="21"/>
      <c r="F506" s="21"/>
      <c r="G506" s="21"/>
      <c r="H506" s="21"/>
      <c r="I506" s="237"/>
      <c r="J506" s="237"/>
      <c r="K506" s="237"/>
      <c r="L506" s="318">
        <f t="shared" si="803"/>
        <v>0</v>
      </c>
      <c r="M506" s="318"/>
      <c r="N506" s="237"/>
      <c r="U506" s="237"/>
      <c r="V506" s="237"/>
      <c r="W506" s="237"/>
      <c r="X506" s="404">
        <f t="shared" si="761"/>
        <v>0</v>
      </c>
      <c r="Y506" s="185">
        <f t="shared" si="730"/>
        <v>64105691.5</v>
      </c>
      <c r="Z506" s="393">
        <f t="shared" si="755"/>
        <v>0.10625</v>
      </c>
      <c r="AA506" s="14">
        <f t="shared" si="756"/>
        <v>0</v>
      </c>
      <c r="AB506" s="14">
        <f t="shared" si="731"/>
        <v>0</v>
      </c>
      <c r="AC506" s="14">
        <f t="shared" si="757"/>
        <v>0</v>
      </c>
      <c r="AD506" s="14">
        <f t="shared" ref="AD506:AE506" si="815">+AD505</f>
        <v>134.16999999999999</v>
      </c>
      <c r="AE506" s="14">
        <f t="shared" si="815"/>
        <v>188.55</v>
      </c>
      <c r="AF506" s="14">
        <f t="shared" si="733"/>
        <v>322.72000000000003</v>
      </c>
      <c r="AG506" s="185">
        <f t="shared" si="734"/>
        <v>-63119591.499999993</v>
      </c>
      <c r="AH506" s="185">
        <f t="shared" si="735"/>
        <v>64832555.549999967</v>
      </c>
      <c r="AI506" s="411">
        <f t="shared" si="723"/>
        <v>659885.94999999332</v>
      </c>
      <c r="AJ506" s="411">
        <f t="shared" si="782"/>
        <v>-64105691.5</v>
      </c>
      <c r="AK506" s="411">
        <f t="shared" si="724"/>
        <v>-63445805.550000004</v>
      </c>
      <c r="AL506" s="185">
        <f t="shared" si="736"/>
        <v>64105691.5</v>
      </c>
      <c r="AM506" s="318">
        <f t="shared" si="763"/>
        <v>0</v>
      </c>
      <c r="AN506" s="21"/>
      <c r="AO506" s="21"/>
      <c r="AP506" s="21"/>
      <c r="AQ506" s="21"/>
      <c r="AR506" s="23"/>
      <c r="AS506" s="21"/>
      <c r="AT506" s="21"/>
      <c r="AU506" s="237"/>
      <c r="AV506" s="237"/>
      <c r="AW506" s="21"/>
    </row>
    <row r="507" spans="1:49">
      <c r="A507" s="401"/>
      <c r="L507" s="317">
        <f t="shared" si="803"/>
        <v>0</v>
      </c>
      <c r="M507" s="317"/>
      <c r="X507" s="401">
        <f t="shared" si="761"/>
        <v>0</v>
      </c>
      <c r="Y507" s="185">
        <f t="shared" si="730"/>
        <v>64105691.5</v>
      </c>
      <c r="Z507" s="393">
        <f t="shared" si="755"/>
        <v>0.10625</v>
      </c>
      <c r="AA507" s="14">
        <f t="shared" si="756"/>
        <v>0</v>
      </c>
      <c r="AB507" s="14">
        <f t="shared" si="731"/>
        <v>0</v>
      </c>
      <c r="AC507" s="14">
        <f t="shared" si="757"/>
        <v>0</v>
      </c>
      <c r="AD507" s="14">
        <f t="shared" ref="AD507:AE507" si="816">+AD506</f>
        <v>134.16999999999999</v>
      </c>
      <c r="AE507" s="14">
        <f t="shared" si="816"/>
        <v>188.55</v>
      </c>
      <c r="AF507" s="14">
        <f t="shared" si="733"/>
        <v>322.72000000000003</v>
      </c>
      <c r="AG507" s="185">
        <f t="shared" si="734"/>
        <v>-63119591.499999993</v>
      </c>
      <c r="AH507" s="185">
        <f t="shared" si="735"/>
        <v>64832555.549999967</v>
      </c>
      <c r="AI507" s="411">
        <f t="shared" si="723"/>
        <v>659885.94999999332</v>
      </c>
      <c r="AJ507" s="411">
        <f t="shared" si="782"/>
        <v>-64105691.5</v>
      </c>
      <c r="AK507" s="411">
        <f t="shared" si="724"/>
        <v>-63445805.550000004</v>
      </c>
      <c r="AL507" s="185">
        <f t="shared" si="736"/>
        <v>64105691.5</v>
      </c>
      <c r="AM507" s="317">
        <f t="shared" si="763"/>
        <v>0</v>
      </c>
    </row>
    <row r="508" spans="1:49">
      <c r="A508" s="401"/>
      <c r="L508" s="317">
        <f t="shared" si="803"/>
        <v>0</v>
      </c>
      <c r="M508" s="317"/>
      <c r="X508" s="401">
        <f t="shared" si="761"/>
        <v>0</v>
      </c>
      <c r="Y508" s="185">
        <f t="shared" si="730"/>
        <v>64105691.5</v>
      </c>
      <c r="Z508" s="393">
        <f t="shared" si="755"/>
        <v>0.10625</v>
      </c>
      <c r="AA508" s="14">
        <f t="shared" si="756"/>
        <v>0</v>
      </c>
      <c r="AB508" s="14">
        <f t="shared" si="731"/>
        <v>0</v>
      </c>
      <c r="AC508" s="14">
        <f t="shared" si="757"/>
        <v>0</v>
      </c>
      <c r="AD508" s="14">
        <f t="shared" ref="AD508:AE508" si="817">+AD507</f>
        <v>134.16999999999999</v>
      </c>
      <c r="AE508" s="14">
        <f t="shared" si="817"/>
        <v>188.55</v>
      </c>
      <c r="AF508" s="14">
        <f t="shared" si="733"/>
        <v>322.72000000000003</v>
      </c>
      <c r="AG508" s="185">
        <f t="shared" si="734"/>
        <v>-63119591.499999993</v>
      </c>
      <c r="AH508" s="185">
        <f t="shared" si="735"/>
        <v>64832555.549999967</v>
      </c>
      <c r="AI508" s="411">
        <f t="shared" ref="AI508:AI543" si="818">O508-AA508+AI507</f>
        <v>659885.94999999332</v>
      </c>
      <c r="AJ508" s="411">
        <f t="shared" si="782"/>
        <v>-64105691.5</v>
      </c>
      <c r="AK508" s="411">
        <f t="shared" ref="AK508:AK543" si="819">SUM(AI508:AJ508)</f>
        <v>-63445805.550000004</v>
      </c>
      <c r="AL508" s="185">
        <f t="shared" si="736"/>
        <v>64105691.5</v>
      </c>
      <c r="AM508" s="317">
        <f t="shared" si="763"/>
        <v>0</v>
      </c>
    </row>
    <row r="509" spans="1:49">
      <c r="A509" s="401"/>
      <c r="L509" s="317">
        <f t="shared" si="803"/>
        <v>0</v>
      </c>
      <c r="M509" s="317"/>
      <c r="X509" s="401">
        <f t="shared" si="761"/>
        <v>0</v>
      </c>
      <c r="Y509" s="185">
        <f t="shared" si="730"/>
        <v>64105691.5</v>
      </c>
      <c r="Z509" s="393">
        <f t="shared" si="755"/>
        <v>0.10625</v>
      </c>
      <c r="AA509" s="14">
        <f t="shared" si="756"/>
        <v>0</v>
      </c>
      <c r="AB509" s="14">
        <f t="shared" si="731"/>
        <v>0</v>
      </c>
      <c r="AC509" s="14">
        <f t="shared" si="757"/>
        <v>0</v>
      </c>
      <c r="AD509" s="14">
        <f t="shared" ref="AD509:AE509" si="820">+AD508</f>
        <v>134.16999999999999</v>
      </c>
      <c r="AE509" s="14">
        <f t="shared" si="820"/>
        <v>188.55</v>
      </c>
      <c r="AF509" s="14">
        <f t="shared" si="733"/>
        <v>322.72000000000003</v>
      </c>
      <c r="AG509" s="185">
        <f t="shared" si="734"/>
        <v>-63119591.499999993</v>
      </c>
      <c r="AH509" s="185">
        <f t="shared" si="735"/>
        <v>64832555.549999967</v>
      </c>
      <c r="AI509" s="411">
        <f t="shared" si="818"/>
        <v>659885.94999999332</v>
      </c>
      <c r="AJ509" s="411">
        <f t="shared" si="782"/>
        <v>-64105691.5</v>
      </c>
      <c r="AK509" s="411">
        <f t="shared" si="819"/>
        <v>-63445805.550000004</v>
      </c>
      <c r="AL509" s="185">
        <f t="shared" si="736"/>
        <v>64105691.5</v>
      </c>
      <c r="AM509" s="317">
        <f t="shared" si="763"/>
        <v>0</v>
      </c>
    </row>
    <row r="510" spans="1:49">
      <c r="A510" s="401"/>
      <c r="L510" s="317">
        <f t="shared" si="803"/>
        <v>0</v>
      </c>
      <c r="M510" s="317"/>
      <c r="X510" s="401">
        <f t="shared" si="761"/>
        <v>0</v>
      </c>
      <c r="Y510" s="185">
        <f t="shared" ref="Y510:Y543" si="821">IF(+AL509&lt;0,0,+AL509)</f>
        <v>64105691.5</v>
      </c>
      <c r="Z510" s="393">
        <f t="shared" si="755"/>
        <v>0.10625</v>
      </c>
      <c r="AA510" s="14">
        <f t="shared" si="756"/>
        <v>0</v>
      </c>
      <c r="AB510" s="14">
        <f t="shared" ref="AB510:AB543" si="822">+AA510-AC510</f>
        <v>0</v>
      </c>
      <c r="AC510" s="14">
        <f t="shared" si="757"/>
        <v>0</v>
      </c>
      <c r="AD510" s="14">
        <f t="shared" ref="AD510:AE510" si="823">+AD509</f>
        <v>134.16999999999999</v>
      </c>
      <c r="AE510" s="14">
        <f t="shared" si="823"/>
        <v>188.55</v>
      </c>
      <c r="AF510" s="14">
        <f t="shared" ref="AF510:AF543" si="824">SUM(AB510:AE510)</f>
        <v>322.72000000000003</v>
      </c>
      <c r="AG510" s="185">
        <f t="shared" ref="AG510:AG543" si="825">+AB510+AG509</f>
        <v>-63119591.499999993</v>
      </c>
      <c r="AH510" s="185">
        <f t="shared" ref="AH510:AH543" si="826">+AH509+AC510</f>
        <v>64832555.549999967</v>
      </c>
      <c r="AI510" s="411">
        <f t="shared" si="818"/>
        <v>659885.94999999332</v>
      </c>
      <c r="AJ510" s="411">
        <f t="shared" si="782"/>
        <v>-64105691.5</v>
      </c>
      <c r="AK510" s="411">
        <f t="shared" si="819"/>
        <v>-63445805.550000004</v>
      </c>
      <c r="AL510" s="185">
        <f t="shared" ref="AL510:AL543" si="827">+Y510-AB510</f>
        <v>64105691.5</v>
      </c>
      <c r="AM510" s="317">
        <f t="shared" si="763"/>
        <v>0</v>
      </c>
    </row>
    <row r="511" spans="1:49">
      <c r="A511" s="401"/>
      <c r="L511" s="317">
        <f t="shared" si="803"/>
        <v>0</v>
      </c>
      <c r="M511" s="317"/>
      <c r="X511" s="401">
        <f t="shared" si="761"/>
        <v>0</v>
      </c>
      <c r="Y511" s="185">
        <f t="shared" si="821"/>
        <v>64105691.5</v>
      </c>
      <c r="Z511" s="393">
        <f t="shared" si="755"/>
        <v>0.10625</v>
      </c>
      <c r="AA511" s="14">
        <f t="shared" si="756"/>
        <v>0</v>
      </c>
      <c r="AB511" s="14">
        <f t="shared" si="822"/>
        <v>0</v>
      </c>
      <c r="AC511" s="14">
        <f t="shared" si="757"/>
        <v>0</v>
      </c>
      <c r="AD511" s="14">
        <f t="shared" ref="AD511:AE511" si="828">+AD510</f>
        <v>134.16999999999999</v>
      </c>
      <c r="AE511" s="14">
        <f t="shared" si="828"/>
        <v>188.55</v>
      </c>
      <c r="AF511" s="14">
        <f t="shared" si="824"/>
        <v>322.72000000000003</v>
      </c>
      <c r="AG511" s="185">
        <f t="shared" si="825"/>
        <v>-63119591.499999993</v>
      </c>
      <c r="AH511" s="185">
        <f t="shared" si="826"/>
        <v>64832555.549999967</v>
      </c>
      <c r="AI511" s="411">
        <f t="shared" si="818"/>
        <v>659885.94999999332</v>
      </c>
      <c r="AJ511" s="411">
        <f t="shared" si="782"/>
        <v>-64105691.5</v>
      </c>
      <c r="AK511" s="411">
        <f t="shared" si="819"/>
        <v>-63445805.550000004</v>
      </c>
      <c r="AL511" s="185">
        <f t="shared" si="827"/>
        <v>64105691.5</v>
      </c>
      <c r="AM511" s="317">
        <f t="shared" si="763"/>
        <v>0</v>
      </c>
    </row>
    <row r="512" spans="1:49">
      <c r="A512" s="401"/>
      <c r="L512" s="317">
        <f t="shared" si="803"/>
        <v>0</v>
      </c>
      <c r="M512" s="317"/>
      <c r="X512" s="401">
        <f t="shared" si="761"/>
        <v>0</v>
      </c>
      <c r="Y512" s="185">
        <f t="shared" si="821"/>
        <v>64105691.5</v>
      </c>
      <c r="Z512" s="393">
        <f t="shared" si="755"/>
        <v>0.10625</v>
      </c>
      <c r="AA512" s="14">
        <f t="shared" si="756"/>
        <v>0</v>
      </c>
      <c r="AB512" s="14">
        <f t="shared" si="822"/>
        <v>0</v>
      </c>
      <c r="AC512" s="14">
        <f t="shared" si="757"/>
        <v>0</v>
      </c>
      <c r="AD512" s="14">
        <f t="shared" ref="AD512:AE512" si="829">+AD511</f>
        <v>134.16999999999999</v>
      </c>
      <c r="AE512" s="14">
        <f t="shared" si="829"/>
        <v>188.55</v>
      </c>
      <c r="AF512" s="14">
        <f t="shared" si="824"/>
        <v>322.72000000000003</v>
      </c>
      <c r="AG512" s="185">
        <f t="shared" si="825"/>
        <v>-63119591.499999993</v>
      </c>
      <c r="AH512" s="185">
        <f t="shared" si="826"/>
        <v>64832555.549999967</v>
      </c>
      <c r="AI512" s="411">
        <f t="shared" si="818"/>
        <v>659885.94999999332</v>
      </c>
      <c r="AJ512" s="411">
        <f t="shared" si="782"/>
        <v>-64105691.5</v>
      </c>
      <c r="AK512" s="411">
        <f t="shared" si="819"/>
        <v>-63445805.550000004</v>
      </c>
      <c r="AL512" s="185">
        <f t="shared" si="827"/>
        <v>64105691.5</v>
      </c>
      <c r="AM512" s="317">
        <f t="shared" si="763"/>
        <v>0</v>
      </c>
    </row>
    <row r="513" spans="1:49">
      <c r="A513" s="401"/>
      <c r="L513" s="317">
        <f t="shared" si="803"/>
        <v>0</v>
      </c>
      <c r="M513" s="317"/>
      <c r="X513" s="401">
        <f t="shared" si="761"/>
        <v>0</v>
      </c>
      <c r="Y513" s="185">
        <f t="shared" si="821"/>
        <v>64105691.5</v>
      </c>
      <c r="Z513" s="393">
        <f t="shared" si="755"/>
        <v>0.10625</v>
      </c>
      <c r="AA513" s="14">
        <f t="shared" si="756"/>
        <v>0</v>
      </c>
      <c r="AB513" s="14">
        <f t="shared" si="822"/>
        <v>0</v>
      </c>
      <c r="AC513" s="14">
        <f t="shared" si="757"/>
        <v>0</v>
      </c>
      <c r="AD513" s="14">
        <f t="shared" ref="AD513:AE513" si="830">+AD512</f>
        <v>134.16999999999999</v>
      </c>
      <c r="AE513" s="14">
        <f t="shared" si="830"/>
        <v>188.55</v>
      </c>
      <c r="AF513" s="14">
        <f t="shared" si="824"/>
        <v>322.72000000000003</v>
      </c>
      <c r="AG513" s="185">
        <f t="shared" si="825"/>
        <v>-63119591.499999993</v>
      </c>
      <c r="AH513" s="185">
        <f t="shared" si="826"/>
        <v>64832555.549999967</v>
      </c>
      <c r="AI513" s="411">
        <f t="shared" si="818"/>
        <v>659885.94999999332</v>
      </c>
      <c r="AJ513" s="411">
        <f t="shared" si="782"/>
        <v>-64105691.5</v>
      </c>
      <c r="AK513" s="411">
        <f t="shared" si="819"/>
        <v>-63445805.550000004</v>
      </c>
      <c r="AL513" s="185">
        <f t="shared" si="827"/>
        <v>64105691.5</v>
      </c>
      <c r="AM513" s="317">
        <f t="shared" si="763"/>
        <v>0</v>
      </c>
    </row>
    <row r="514" spans="1:49">
      <c r="A514" s="401"/>
      <c r="L514" s="317">
        <f t="shared" si="803"/>
        <v>0</v>
      </c>
      <c r="M514" s="317"/>
      <c r="X514" s="401">
        <f t="shared" si="761"/>
        <v>0</v>
      </c>
      <c r="Y514" s="185">
        <f t="shared" si="821"/>
        <v>64105691.5</v>
      </c>
      <c r="Z514" s="393">
        <f t="shared" si="755"/>
        <v>0.10625</v>
      </c>
      <c r="AA514" s="14">
        <f t="shared" si="756"/>
        <v>0</v>
      </c>
      <c r="AB514" s="14">
        <f t="shared" si="822"/>
        <v>0</v>
      </c>
      <c r="AC514" s="14">
        <f t="shared" si="757"/>
        <v>0</v>
      </c>
      <c r="AD514" s="14">
        <f t="shared" ref="AD514:AE514" si="831">+AD513</f>
        <v>134.16999999999999</v>
      </c>
      <c r="AE514" s="14">
        <f t="shared" si="831"/>
        <v>188.55</v>
      </c>
      <c r="AF514" s="14">
        <f t="shared" si="824"/>
        <v>322.72000000000003</v>
      </c>
      <c r="AG514" s="185">
        <f t="shared" si="825"/>
        <v>-63119591.499999993</v>
      </c>
      <c r="AH514" s="185">
        <f t="shared" si="826"/>
        <v>64832555.549999967</v>
      </c>
      <c r="AI514" s="411">
        <f t="shared" si="818"/>
        <v>659885.94999999332</v>
      </c>
      <c r="AJ514" s="411">
        <f t="shared" si="782"/>
        <v>-64105691.5</v>
      </c>
      <c r="AK514" s="411">
        <f t="shared" si="819"/>
        <v>-63445805.550000004</v>
      </c>
      <c r="AL514" s="185">
        <f t="shared" si="827"/>
        <v>64105691.5</v>
      </c>
      <c r="AM514" s="317">
        <f t="shared" si="763"/>
        <v>0</v>
      </c>
    </row>
    <row r="515" spans="1:49">
      <c r="A515" s="401"/>
      <c r="L515" s="317">
        <f t="shared" si="803"/>
        <v>0</v>
      </c>
      <c r="M515" s="317"/>
      <c r="X515" s="401">
        <f t="shared" si="761"/>
        <v>0</v>
      </c>
      <c r="Y515" s="185">
        <f t="shared" si="821"/>
        <v>64105691.5</v>
      </c>
      <c r="Z515" s="393">
        <f t="shared" si="755"/>
        <v>0.10625</v>
      </c>
      <c r="AA515" s="14">
        <f t="shared" si="756"/>
        <v>0</v>
      </c>
      <c r="AB515" s="14">
        <f t="shared" si="822"/>
        <v>0</v>
      </c>
      <c r="AC515" s="14">
        <f t="shared" si="757"/>
        <v>0</v>
      </c>
      <c r="AD515" s="14">
        <f t="shared" ref="AD515:AE515" si="832">+AD514</f>
        <v>134.16999999999999</v>
      </c>
      <c r="AE515" s="14">
        <f t="shared" si="832"/>
        <v>188.55</v>
      </c>
      <c r="AF515" s="14">
        <f t="shared" si="824"/>
        <v>322.72000000000003</v>
      </c>
      <c r="AG515" s="185">
        <f t="shared" si="825"/>
        <v>-63119591.499999993</v>
      </c>
      <c r="AH515" s="185">
        <f t="shared" si="826"/>
        <v>64832555.549999967</v>
      </c>
      <c r="AI515" s="411">
        <f t="shared" si="818"/>
        <v>659885.94999999332</v>
      </c>
      <c r="AJ515" s="411">
        <f t="shared" si="782"/>
        <v>-64105691.5</v>
      </c>
      <c r="AK515" s="411">
        <f t="shared" si="819"/>
        <v>-63445805.550000004</v>
      </c>
      <c r="AL515" s="185">
        <f t="shared" si="827"/>
        <v>64105691.5</v>
      </c>
      <c r="AM515" s="317">
        <f t="shared" si="763"/>
        <v>0</v>
      </c>
    </row>
    <row r="516" spans="1:49">
      <c r="A516" s="401"/>
      <c r="L516" s="317">
        <f t="shared" si="803"/>
        <v>0</v>
      </c>
      <c r="M516" s="317"/>
      <c r="X516" s="401">
        <f t="shared" si="761"/>
        <v>0</v>
      </c>
      <c r="Y516" s="185">
        <f t="shared" si="821"/>
        <v>64105691.5</v>
      </c>
      <c r="Z516" s="393">
        <f t="shared" si="755"/>
        <v>0.10625</v>
      </c>
      <c r="AA516" s="14">
        <f t="shared" si="756"/>
        <v>0</v>
      </c>
      <c r="AB516" s="14">
        <f t="shared" si="822"/>
        <v>0</v>
      </c>
      <c r="AC516" s="14">
        <f t="shared" si="757"/>
        <v>0</v>
      </c>
      <c r="AD516" s="14">
        <f t="shared" ref="AD516:AE516" si="833">+AD515</f>
        <v>134.16999999999999</v>
      </c>
      <c r="AE516" s="14">
        <f t="shared" si="833"/>
        <v>188.55</v>
      </c>
      <c r="AF516" s="14">
        <f t="shared" si="824"/>
        <v>322.72000000000003</v>
      </c>
      <c r="AG516" s="185">
        <f t="shared" si="825"/>
        <v>-63119591.499999993</v>
      </c>
      <c r="AH516" s="185">
        <f t="shared" si="826"/>
        <v>64832555.549999967</v>
      </c>
      <c r="AI516" s="411">
        <f t="shared" si="818"/>
        <v>659885.94999999332</v>
      </c>
      <c r="AJ516" s="411">
        <f t="shared" si="782"/>
        <v>-64105691.5</v>
      </c>
      <c r="AK516" s="411">
        <f t="shared" si="819"/>
        <v>-63445805.550000004</v>
      </c>
      <c r="AL516" s="185">
        <f t="shared" si="827"/>
        <v>64105691.5</v>
      </c>
      <c r="AM516" s="317">
        <f t="shared" si="763"/>
        <v>0</v>
      </c>
    </row>
    <row r="517" spans="1:49">
      <c r="A517" s="401"/>
      <c r="L517" s="317">
        <f t="shared" si="803"/>
        <v>0</v>
      </c>
      <c r="M517" s="317"/>
      <c r="X517" s="401">
        <f t="shared" si="761"/>
        <v>0</v>
      </c>
      <c r="Y517" s="185">
        <f t="shared" si="821"/>
        <v>64105691.5</v>
      </c>
      <c r="Z517" s="393">
        <f t="shared" si="755"/>
        <v>0.10625</v>
      </c>
      <c r="AA517" s="14">
        <f t="shared" si="756"/>
        <v>0</v>
      </c>
      <c r="AB517" s="14">
        <f t="shared" si="822"/>
        <v>0</v>
      </c>
      <c r="AC517" s="14">
        <f t="shared" si="757"/>
        <v>0</v>
      </c>
      <c r="AD517" s="14">
        <f t="shared" ref="AD517:AE517" si="834">+AD516</f>
        <v>134.16999999999999</v>
      </c>
      <c r="AE517" s="14">
        <f t="shared" si="834"/>
        <v>188.55</v>
      </c>
      <c r="AF517" s="14">
        <f t="shared" si="824"/>
        <v>322.72000000000003</v>
      </c>
      <c r="AG517" s="185">
        <f t="shared" si="825"/>
        <v>-63119591.499999993</v>
      </c>
      <c r="AH517" s="185">
        <f t="shared" si="826"/>
        <v>64832555.549999967</v>
      </c>
      <c r="AI517" s="411">
        <f t="shared" si="818"/>
        <v>659885.94999999332</v>
      </c>
      <c r="AJ517" s="411">
        <f t="shared" si="782"/>
        <v>-64105691.5</v>
      </c>
      <c r="AK517" s="411">
        <f t="shared" si="819"/>
        <v>-63445805.550000004</v>
      </c>
      <c r="AL517" s="185">
        <f t="shared" si="827"/>
        <v>64105691.5</v>
      </c>
      <c r="AM517" s="317">
        <f t="shared" si="763"/>
        <v>0</v>
      </c>
    </row>
    <row r="518" spans="1:49" ht="15.75" thickBot="1">
      <c r="A518" s="404"/>
      <c r="B518" s="237"/>
      <c r="C518" s="21"/>
      <c r="D518" s="21"/>
      <c r="E518" s="21"/>
      <c r="F518" s="21"/>
      <c r="G518" s="21"/>
      <c r="H518" s="21"/>
      <c r="I518" s="237"/>
      <c r="J518" s="237"/>
      <c r="K518" s="237"/>
      <c r="L518" s="318">
        <f t="shared" si="803"/>
        <v>0</v>
      </c>
      <c r="M518" s="318"/>
      <c r="N518" s="237"/>
      <c r="U518" s="237"/>
      <c r="V518" s="237"/>
      <c r="W518" s="237"/>
      <c r="X518" s="404">
        <f t="shared" si="761"/>
        <v>0</v>
      </c>
      <c r="Y518" s="185">
        <f t="shared" si="821"/>
        <v>64105691.5</v>
      </c>
      <c r="Z518" s="393">
        <f t="shared" si="755"/>
        <v>0.10625</v>
      </c>
      <c r="AA518" s="14">
        <f t="shared" si="756"/>
        <v>0</v>
      </c>
      <c r="AB518" s="14">
        <f t="shared" si="822"/>
        <v>0</v>
      </c>
      <c r="AC518" s="14">
        <f t="shared" si="757"/>
        <v>0</v>
      </c>
      <c r="AD518" s="14">
        <f t="shared" ref="AD518:AE518" si="835">+AD517</f>
        <v>134.16999999999999</v>
      </c>
      <c r="AE518" s="14">
        <f t="shared" si="835"/>
        <v>188.55</v>
      </c>
      <c r="AF518" s="14">
        <f t="shared" si="824"/>
        <v>322.72000000000003</v>
      </c>
      <c r="AG518" s="185">
        <f t="shared" si="825"/>
        <v>-63119591.499999993</v>
      </c>
      <c r="AH518" s="185">
        <f t="shared" si="826"/>
        <v>64832555.549999967</v>
      </c>
      <c r="AI518" s="411">
        <f t="shared" si="818"/>
        <v>659885.94999999332</v>
      </c>
      <c r="AJ518" s="411">
        <f t="shared" si="782"/>
        <v>-64105691.5</v>
      </c>
      <c r="AK518" s="411">
        <f t="shared" si="819"/>
        <v>-63445805.550000004</v>
      </c>
      <c r="AL518" s="185">
        <f t="shared" si="827"/>
        <v>64105691.5</v>
      </c>
      <c r="AM518" s="318">
        <f t="shared" si="763"/>
        <v>0</v>
      </c>
      <c r="AN518" s="21"/>
      <c r="AO518" s="21"/>
      <c r="AP518" s="21"/>
      <c r="AQ518" s="21"/>
      <c r="AR518" s="23"/>
      <c r="AS518" s="21"/>
      <c r="AT518" s="21"/>
      <c r="AU518" s="237"/>
      <c r="AV518" s="237"/>
      <c r="AW518" s="21"/>
    </row>
    <row r="519" spans="1:49">
      <c r="A519" s="401"/>
      <c r="L519" s="317">
        <f t="shared" si="803"/>
        <v>0</v>
      </c>
      <c r="M519" s="317"/>
      <c r="X519" s="401">
        <f t="shared" si="761"/>
        <v>0</v>
      </c>
      <c r="Y519" s="185">
        <f t="shared" si="821"/>
        <v>64105691.5</v>
      </c>
      <c r="Z519" s="393">
        <f t="shared" si="755"/>
        <v>0.10625</v>
      </c>
      <c r="AA519" s="14">
        <f t="shared" si="756"/>
        <v>0</v>
      </c>
      <c r="AB519" s="14">
        <f t="shared" si="822"/>
        <v>0</v>
      </c>
      <c r="AC519" s="14">
        <f t="shared" si="757"/>
        <v>0</v>
      </c>
      <c r="AD519" s="14">
        <f t="shared" ref="AD519:AE519" si="836">+AD518</f>
        <v>134.16999999999999</v>
      </c>
      <c r="AE519" s="14">
        <f t="shared" si="836"/>
        <v>188.55</v>
      </c>
      <c r="AF519" s="14">
        <f t="shared" si="824"/>
        <v>322.72000000000003</v>
      </c>
      <c r="AG519" s="185">
        <f t="shared" si="825"/>
        <v>-63119591.499999993</v>
      </c>
      <c r="AH519" s="185">
        <f t="shared" si="826"/>
        <v>64832555.549999967</v>
      </c>
      <c r="AI519" s="411">
        <f t="shared" si="818"/>
        <v>659885.94999999332</v>
      </c>
      <c r="AJ519" s="411">
        <f t="shared" si="782"/>
        <v>-64105691.5</v>
      </c>
      <c r="AK519" s="411">
        <f t="shared" si="819"/>
        <v>-63445805.550000004</v>
      </c>
      <c r="AL519" s="185">
        <f t="shared" si="827"/>
        <v>64105691.5</v>
      </c>
      <c r="AM519" s="317">
        <f t="shared" si="763"/>
        <v>0</v>
      </c>
    </row>
    <row r="520" spans="1:49">
      <c r="A520" s="401"/>
      <c r="L520" s="317">
        <f t="shared" si="803"/>
        <v>0</v>
      </c>
      <c r="M520" s="317"/>
      <c r="X520" s="401">
        <f t="shared" si="761"/>
        <v>0</v>
      </c>
      <c r="Y520" s="185">
        <f t="shared" si="821"/>
        <v>64105691.5</v>
      </c>
      <c r="Z520" s="393">
        <f t="shared" si="755"/>
        <v>0.10625</v>
      </c>
      <c r="AA520" s="14">
        <f t="shared" si="756"/>
        <v>0</v>
      </c>
      <c r="AB520" s="14">
        <f t="shared" si="822"/>
        <v>0</v>
      </c>
      <c r="AC520" s="14">
        <f t="shared" si="757"/>
        <v>0</v>
      </c>
      <c r="AD520" s="14">
        <f t="shared" ref="AD520:AE520" si="837">+AD519</f>
        <v>134.16999999999999</v>
      </c>
      <c r="AE520" s="14">
        <f t="shared" si="837"/>
        <v>188.55</v>
      </c>
      <c r="AF520" s="14">
        <f t="shared" si="824"/>
        <v>322.72000000000003</v>
      </c>
      <c r="AG520" s="185">
        <f t="shared" si="825"/>
        <v>-63119591.499999993</v>
      </c>
      <c r="AH520" s="185">
        <f t="shared" si="826"/>
        <v>64832555.549999967</v>
      </c>
      <c r="AI520" s="411">
        <f t="shared" si="818"/>
        <v>659885.94999999332</v>
      </c>
      <c r="AJ520" s="411">
        <f t="shared" si="782"/>
        <v>-64105691.5</v>
      </c>
      <c r="AK520" s="411">
        <f t="shared" si="819"/>
        <v>-63445805.550000004</v>
      </c>
      <c r="AL520" s="185">
        <f t="shared" si="827"/>
        <v>64105691.5</v>
      </c>
      <c r="AM520" s="317">
        <f t="shared" si="763"/>
        <v>0</v>
      </c>
    </row>
    <row r="521" spans="1:49">
      <c r="A521" s="401"/>
      <c r="L521" s="317">
        <f t="shared" si="803"/>
        <v>0</v>
      </c>
      <c r="M521" s="317"/>
      <c r="X521" s="401">
        <f t="shared" si="761"/>
        <v>0</v>
      </c>
      <c r="Y521" s="185">
        <f t="shared" si="821"/>
        <v>64105691.5</v>
      </c>
      <c r="Z521" s="393">
        <f t="shared" si="755"/>
        <v>0.10625</v>
      </c>
      <c r="AA521" s="14">
        <f t="shared" si="756"/>
        <v>0</v>
      </c>
      <c r="AB521" s="14">
        <f t="shared" si="822"/>
        <v>0</v>
      </c>
      <c r="AC521" s="14">
        <f t="shared" si="757"/>
        <v>0</v>
      </c>
      <c r="AD521" s="14">
        <f t="shared" ref="AD521:AE521" si="838">+AD520</f>
        <v>134.16999999999999</v>
      </c>
      <c r="AE521" s="14">
        <f t="shared" si="838"/>
        <v>188.55</v>
      </c>
      <c r="AF521" s="14">
        <f t="shared" si="824"/>
        <v>322.72000000000003</v>
      </c>
      <c r="AG521" s="185">
        <f t="shared" si="825"/>
        <v>-63119591.499999993</v>
      </c>
      <c r="AH521" s="185">
        <f t="shared" si="826"/>
        <v>64832555.549999967</v>
      </c>
      <c r="AI521" s="411">
        <f t="shared" si="818"/>
        <v>659885.94999999332</v>
      </c>
      <c r="AJ521" s="411">
        <f t="shared" si="782"/>
        <v>-64105691.5</v>
      </c>
      <c r="AK521" s="411">
        <f t="shared" si="819"/>
        <v>-63445805.550000004</v>
      </c>
      <c r="AL521" s="185">
        <f t="shared" si="827"/>
        <v>64105691.5</v>
      </c>
      <c r="AM521" s="317">
        <f t="shared" si="763"/>
        <v>0</v>
      </c>
    </row>
    <row r="522" spans="1:49">
      <c r="A522" s="401"/>
      <c r="L522" s="317">
        <f t="shared" si="803"/>
        <v>0</v>
      </c>
      <c r="M522" s="317"/>
      <c r="X522" s="401">
        <f t="shared" si="761"/>
        <v>0</v>
      </c>
      <c r="Y522" s="185">
        <f t="shared" si="821"/>
        <v>64105691.5</v>
      </c>
      <c r="Z522" s="393">
        <f t="shared" si="755"/>
        <v>0.10625</v>
      </c>
      <c r="AA522" s="14">
        <f t="shared" si="756"/>
        <v>0</v>
      </c>
      <c r="AB522" s="14">
        <f t="shared" si="822"/>
        <v>0</v>
      </c>
      <c r="AC522" s="14">
        <f t="shared" si="757"/>
        <v>0</v>
      </c>
      <c r="AD522" s="14">
        <f t="shared" ref="AD522:AE522" si="839">+AD521</f>
        <v>134.16999999999999</v>
      </c>
      <c r="AE522" s="14">
        <f t="shared" si="839"/>
        <v>188.55</v>
      </c>
      <c r="AF522" s="14">
        <f t="shared" si="824"/>
        <v>322.72000000000003</v>
      </c>
      <c r="AG522" s="185">
        <f t="shared" si="825"/>
        <v>-63119591.499999993</v>
      </c>
      <c r="AH522" s="185">
        <f t="shared" si="826"/>
        <v>64832555.549999967</v>
      </c>
      <c r="AI522" s="411">
        <f t="shared" si="818"/>
        <v>659885.94999999332</v>
      </c>
      <c r="AJ522" s="411">
        <f t="shared" si="782"/>
        <v>-64105691.5</v>
      </c>
      <c r="AK522" s="411">
        <f t="shared" si="819"/>
        <v>-63445805.550000004</v>
      </c>
      <c r="AL522" s="185">
        <f t="shared" si="827"/>
        <v>64105691.5</v>
      </c>
      <c r="AM522" s="317">
        <f t="shared" si="763"/>
        <v>0</v>
      </c>
    </row>
    <row r="523" spans="1:49">
      <c r="A523" s="401"/>
      <c r="L523" s="317">
        <f t="shared" si="803"/>
        <v>0</v>
      </c>
      <c r="M523" s="317"/>
      <c r="X523" s="401">
        <f t="shared" si="761"/>
        <v>0</v>
      </c>
      <c r="Y523" s="185">
        <f t="shared" si="821"/>
        <v>64105691.5</v>
      </c>
      <c r="Z523" s="393">
        <f t="shared" si="755"/>
        <v>0.10625</v>
      </c>
      <c r="AA523" s="14">
        <f t="shared" si="756"/>
        <v>0</v>
      </c>
      <c r="AB523" s="14">
        <f t="shared" si="822"/>
        <v>0</v>
      </c>
      <c r="AC523" s="14">
        <f t="shared" si="757"/>
        <v>0</v>
      </c>
      <c r="AD523" s="14">
        <f t="shared" ref="AD523:AE523" si="840">+AD522</f>
        <v>134.16999999999999</v>
      </c>
      <c r="AE523" s="14">
        <f t="shared" si="840"/>
        <v>188.55</v>
      </c>
      <c r="AF523" s="14">
        <f t="shared" si="824"/>
        <v>322.72000000000003</v>
      </c>
      <c r="AG523" s="185">
        <f t="shared" si="825"/>
        <v>-63119591.499999993</v>
      </c>
      <c r="AH523" s="185">
        <f t="shared" si="826"/>
        <v>64832555.549999967</v>
      </c>
      <c r="AI523" s="411">
        <f t="shared" si="818"/>
        <v>659885.94999999332</v>
      </c>
      <c r="AJ523" s="411">
        <f t="shared" si="782"/>
        <v>-64105691.5</v>
      </c>
      <c r="AK523" s="411">
        <f t="shared" si="819"/>
        <v>-63445805.550000004</v>
      </c>
      <c r="AL523" s="185">
        <f t="shared" si="827"/>
        <v>64105691.5</v>
      </c>
      <c r="AM523" s="317">
        <f t="shared" si="763"/>
        <v>0</v>
      </c>
    </row>
    <row r="524" spans="1:49">
      <c r="A524" s="401"/>
      <c r="L524" s="317">
        <f t="shared" si="803"/>
        <v>0</v>
      </c>
      <c r="M524" s="317"/>
      <c r="X524" s="401">
        <f t="shared" si="761"/>
        <v>0</v>
      </c>
      <c r="Y524" s="185">
        <f t="shared" si="821"/>
        <v>64105691.5</v>
      </c>
      <c r="Z524" s="393">
        <f t="shared" si="755"/>
        <v>0.10625</v>
      </c>
      <c r="AA524" s="14">
        <f t="shared" si="756"/>
        <v>0</v>
      </c>
      <c r="AB524" s="14">
        <f t="shared" si="822"/>
        <v>0</v>
      </c>
      <c r="AC524" s="14">
        <f t="shared" si="757"/>
        <v>0</v>
      </c>
      <c r="AD524" s="14">
        <f t="shared" ref="AD524:AE524" si="841">+AD523</f>
        <v>134.16999999999999</v>
      </c>
      <c r="AE524" s="14">
        <f t="shared" si="841"/>
        <v>188.55</v>
      </c>
      <c r="AF524" s="14">
        <f t="shared" si="824"/>
        <v>322.72000000000003</v>
      </c>
      <c r="AG524" s="185">
        <f t="shared" si="825"/>
        <v>-63119591.499999993</v>
      </c>
      <c r="AH524" s="185">
        <f t="shared" si="826"/>
        <v>64832555.549999967</v>
      </c>
      <c r="AI524" s="411">
        <f t="shared" si="818"/>
        <v>659885.94999999332</v>
      </c>
      <c r="AJ524" s="411">
        <f t="shared" si="782"/>
        <v>-64105691.5</v>
      </c>
      <c r="AK524" s="411">
        <f t="shared" si="819"/>
        <v>-63445805.550000004</v>
      </c>
      <c r="AL524" s="185">
        <f t="shared" si="827"/>
        <v>64105691.5</v>
      </c>
      <c r="AM524" s="317">
        <f t="shared" si="763"/>
        <v>0</v>
      </c>
    </row>
    <row r="525" spans="1:49">
      <c r="A525" s="401"/>
      <c r="L525" s="317">
        <f t="shared" si="803"/>
        <v>0</v>
      </c>
      <c r="M525" s="317"/>
      <c r="X525" s="401">
        <f t="shared" si="761"/>
        <v>0</v>
      </c>
      <c r="Y525" s="185">
        <f t="shared" si="821"/>
        <v>64105691.5</v>
      </c>
      <c r="Z525" s="393">
        <f t="shared" si="755"/>
        <v>0.10625</v>
      </c>
      <c r="AA525" s="14">
        <f t="shared" si="756"/>
        <v>0</v>
      </c>
      <c r="AB525" s="14">
        <f t="shared" si="822"/>
        <v>0</v>
      </c>
      <c r="AC525" s="14">
        <f t="shared" si="757"/>
        <v>0</v>
      </c>
      <c r="AD525" s="14">
        <f t="shared" ref="AD525:AE525" si="842">+AD524</f>
        <v>134.16999999999999</v>
      </c>
      <c r="AE525" s="14">
        <f t="shared" si="842"/>
        <v>188.55</v>
      </c>
      <c r="AF525" s="14">
        <f t="shared" si="824"/>
        <v>322.72000000000003</v>
      </c>
      <c r="AG525" s="185">
        <f t="shared" si="825"/>
        <v>-63119591.499999993</v>
      </c>
      <c r="AH525" s="185">
        <f t="shared" si="826"/>
        <v>64832555.549999967</v>
      </c>
      <c r="AI525" s="411">
        <f t="shared" si="818"/>
        <v>659885.94999999332</v>
      </c>
      <c r="AJ525" s="411">
        <f t="shared" si="782"/>
        <v>-64105691.5</v>
      </c>
      <c r="AK525" s="411">
        <f t="shared" si="819"/>
        <v>-63445805.550000004</v>
      </c>
      <c r="AL525" s="185">
        <f t="shared" si="827"/>
        <v>64105691.5</v>
      </c>
      <c r="AM525" s="317">
        <f t="shared" si="763"/>
        <v>0</v>
      </c>
    </row>
    <row r="526" spans="1:49">
      <c r="A526" s="401"/>
      <c r="L526" s="317">
        <f t="shared" si="803"/>
        <v>0</v>
      </c>
      <c r="M526" s="317"/>
      <c r="X526" s="401">
        <f t="shared" si="761"/>
        <v>0</v>
      </c>
      <c r="Y526" s="185">
        <f t="shared" si="821"/>
        <v>64105691.5</v>
      </c>
      <c r="Z526" s="393">
        <f t="shared" si="755"/>
        <v>0.10625</v>
      </c>
      <c r="AA526" s="14">
        <f t="shared" si="756"/>
        <v>0</v>
      </c>
      <c r="AB526" s="14">
        <f t="shared" si="822"/>
        <v>0</v>
      </c>
      <c r="AC526" s="14">
        <f t="shared" si="757"/>
        <v>0</v>
      </c>
      <c r="AD526" s="14">
        <f t="shared" ref="AD526:AE526" si="843">+AD525</f>
        <v>134.16999999999999</v>
      </c>
      <c r="AE526" s="14">
        <f t="shared" si="843"/>
        <v>188.55</v>
      </c>
      <c r="AF526" s="14">
        <f t="shared" si="824"/>
        <v>322.72000000000003</v>
      </c>
      <c r="AG526" s="185">
        <f t="shared" si="825"/>
        <v>-63119591.499999993</v>
      </c>
      <c r="AH526" s="185">
        <f t="shared" si="826"/>
        <v>64832555.549999967</v>
      </c>
      <c r="AI526" s="411">
        <f t="shared" si="818"/>
        <v>659885.94999999332</v>
      </c>
      <c r="AJ526" s="411">
        <f t="shared" si="782"/>
        <v>-64105691.5</v>
      </c>
      <c r="AK526" s="411">
        <f t="shared" si="819"/>
        <v>-63445805.550000004</v>
      </c>
      <c r="AL526" s="185">
        <f t="shared" si="827"/>
        <v>64105691.5</v>
      </c>
      <c r="AM526" s="317">
        <f t="shared" si="763"/>
        <v>0</v>
      </c>
    </row>
    <row r="527" spans="1:49">
      <c r="A527" s="401"/>
      <c r="L527" s="317">
        <f t="shared" si="803"/>
        <v>0</v>
      </c>
      <c r="M527" s="317"/>
      <c r="X527" s="401">
        <f t="shared" si="761"/>
        <v>0</v>
      </c>
      <c r="Y527" s="185">
        <f t="shared" si="821"/>
        <v>64105691.5</v>
      </c>
      <c r="Z527" s="393">
        <f t="shared" ref="Z527:Z543" si="844">IF(L527&gt;4,$AA$9,$AA$8)</f>
        <v>0.10625</v>
      </c>
      <c r="AA527" s="14">
        <f t="shared" ref="AA527:AA543" si="845">IF($O$9&lt;=$A527,IF(+AL526&lt;=0,0,IF(Z527=$AA$8,$Z$8,$Z$9)),0)</f>
        <v>0</v>
      </c>
      <c r="AB527" s="14">
        <f t="shared" si="822"/>
        <v>0</v>
      </c>
      <c r="AC527" s="14">
        <f t="shared" ref="AC527:AC543" si="846">IF($O$9&lt;=$A527,ROUND(Y527*(Z527/12),2),0)</f>
        <v>0</v>
      </c>
      <c r="AD527" s="14">
        <f t="shared" ref="AD527:AE527" si="847">+AD526</f>
        <v>134.16999999999999</v>
      </c>
      <c r="AE527" s="14">
        <f t="shared" si="847"/>
        <v>188.55</v>
      </c>
      <c r="AF527" s="14">
        <f t="shared" si="824"/>
        <v>322.72000000000003</v>
      </c>
      <c r="AG527" s="185">
        <f t="shared" si="825"/>
        <v>-63119591.499999993</v>
      </c>
      <c r="AH527" s="185">
        <f t="shared" si="826"/>
        <v>64832555.549999967</v>
      </c>
      <c r="AI527" s="411">
        <f t="shared" si="818"/>
        <v>659885.94999999332</v>
      </c>
      <c r="AJ527" s="411">
        <f t="shared" si="782"/>
        <v>-64105691.5</v>
      </c>
      <c r="AK527" s="411">
        <f t="shared" si="819"/>
        <v>-63445805.550000004</v>
      </c>
      <c r="AL527" s="185">
        <f t="shared" si="827"/>
        <v>64105691.5</v>
      </c>
      <c r="AM527" s="317">
        <f t="shared" si="763"/>
        <v>0</v>
      </c>
    </row>
    <row r="528" spans="1:49">
      <c r="A528" s="401"/>
      <c r="L528" s="317">
        <f t="shared" si="803"/>
        <v>0</v>
      </c>
      <c r="M528" s="317"/>
      <c r="X528" s="401">
        <f t="shared" ref="X528:X591" si="848">+A528</f>
        <v>0</v>
      </c>
      <c r="Y528" s="185">
        <f t="shared" si="821"/>
        <v>64105691.5</v>
      </c>
      <c r="Z528" s="393">
        <f t="shared" si="844"/>
        <v>0.10625</v>
      </c>
      <c r="AA528" s="14">
        <f t="shared" si="845"/>
        <v>0</v>
      </c>
      <c r="AB528" s="14">
        <f t="shared" si="822"/>
        <v>0</v>
      </c>
      <c r="AC528" s="14">
        <f t="shared" si="846"/>
        <v>0</v>
      </c>
      <c r="AD528" s="14">
        <f t="shared" ref="AD528:AE528" si="849">+AD527</f>
        <v>134.16999999999999</v>
      </c>
      <c r="AE528" s="14">
        <f t="shared" si="849"/>
        <v>188.55</v>
      </c>
      <c r="AF528" s="14">
        <f t="shared" si="824"/>
        <v>322.72000000000003</v>
      </c>
      <c r="AG528" s="185">
        <f t="shared" si="825"/>
        <v>-63119591.499999993</v>
      </c>
      <c r="AH528" s="185">
        <f t="shared" si="826"/>
        <v>64832555.549999967</v>
      </c>
      <c r="AI528" s="411">
        <f t="shared" si="818"/>
        <v>659885.94999999332</v>
      </c>
      <c r="AJ528" s="411">
        <f t="shared" si="782"/>
        <v>-64105691.5</v>
      </c>
      <c r="AK528" s="411">
        <f t="shared" si="819"/>
        <v>-63445805.550000004</v>
      </c>
      <c r="AL528" s="185">
        <f t="shared" si="827"/>
        <v>64105691.5</v>
      </c>
      <c r="AM528" s="317">
        <f t="shared" ref="AM528:AM591" si="850">+L528</f>
        <v>0</v>
      </c>
    </row>
    <row r="529" spans="1:49">
      <c r="A529" s="401"/>
      <c r="L529" s="317">
        <f t="shared" si="803"/>
        <v>0</v>
      </c>
      <c r="M529" s="317"/>
      <c r="X529" s="401">
        <f t="shared" si="848"/>
        <v>0</v>
      </c>
      <c r="Y529" s="185">
        <f t="shared" si="821"/>
        <v>64105691.5</v>
      </c>
      <c r="Z529" s="393">
        <f t="shared" si="844"/>
        <v>0.10625</v>
      </c>
      <c r="AA529" s="14">
        <f t="shared" si="845"/>
        <v>0</v>
      </c>
      <c r="AB529" s="14">
        <f t="shared" si="822"/>
        <v>0</v>
      </c>
      <c r="AC529" s="14">
        <f t="shared" si="846"/>
        <v>0</v>
      </c>
      <c r="AD529" s="14">
        <f t="shared" ref="AD529:AE529" si="851">+AD528</f>
        <v>134.16999999999999</v>
      </c>
      <c r="AE529" s="14">
        <f t="shared" si="851"/>
        <v>188.55</v>
      </c>
      <c r="AF529" s="14">
        <f t="shared" si="824"/>
        <v>322.72000000000003</v>
      </c>
      <c r="AG529" s="185">
        <f t="shared" si="825"/>
        <v>-63119591.499999993</v>
      </c>
      <c r="AH529" s="185">
        <f t="shared" si="826"/>
        <v>64832555.549999967</v>
      </c>
      <c r="AI529" s="411">
        <f t="shared" si="818"/>
        <v>659885.94999999332</v>
      </c>
      <c r="AJ529" s="411">
        <f t="shared" si="782"/>
        <v>-64105691.5</v>
      </c>
      <c r="AK529" s="411">
        <f t="shared" si="819"/>
        <v>-63445805.550000004</v>
      </c>
      <c r="AL529" s="185">
        <f t="shared" si="827"/>
        <v>64105691.5</v>
      </c>
      <c r="AM529" s="317">
        <f t="shared" si="850"/>
        <v>0</v>
      </c>
    </row>
    <row r="530" spans="1:49" ht="15.75" thickBot="1">
      <c r="A530" s="404"/>
      <c r="B530" s="237"/>
      <c r="C530" s="21"/>
      <c r="D530" s="21"/>
      <c r="E530" s="21"/>
      <c r="F530" s="21"/>
      <c r="G530" s="21"/>
      <c r="H530" s="21"/>
      <c r="I530" s="237"/>
      <c r="J530" s="237"/>
      <c r="K530" s="237"/>
      <c r="L530" s="318">
        <f t="shared" si="803"/>
        <v>0</v>
      </c>
      <c r="M530" s="318"/>
      <c r="N530" s="237"/>
      <c r="U530" s="237"/>
      <c r="V530" s="237"/>
      <c r="W530" s="237"/>
      <c r="X530" s="404">
        <f t="shared" si="848"/>
        <v>0</v>
      </c>
      <c r="Y530" s="185">
        <f t="shared" si="821"/>
        <v>64105691.5</v>
      </c>
      <c r="Z530" s="393">
        <f t="shared" si="844"/>
        <v>0.10625</v>
      </c>
      <c r="AA530" s="14">
        <f t="shared" si="845"/>
        <v>0</v>
      </c>
      <c r="AB530" s="14">
        <f t="shared" si="822"/>
        <v>0</v>
      </c>
      <c r="AC530" s="14">
        <f t="shared" si="846"/>
        <v>0</v>
      </c>
      <c r="AD530" s="14">
        <f t="shared" ref="AD530:AE530" si="852">+AD529</f>
        <v>134.16999999999999</v>
      </c>
      <c r="AE530" s="14">
        <f t="shared" si="852"/>
        <v>188.55</v>
      </c>
      <c r="AF530" s="14">
        <f t="shared" si="824"/>
        <v>322.72000000000003</v>
      </c>
      <c r="AG530" s="185">
        <f t="shared" si="825"/>
        <v>-63119591.499999993</v>
      </c>
      <c r="AH530" s="185">
        <f t="shared" si="826"/>
        <v>64832555.549999967</v>
      </c>
      <c r="AI530" s="411">
        <f t="shared" si="818"/>
        <v>659885.94999999332</v>
      </c>
      <c r="AJ530" s="411">
        <f t="shared" si="782"/>
        <v>-64105691.5</v>
      </c>
      <c r="AK530" s="411">
        <f t="shared" si="819"/>
        <v>-63445805.550000004</v>
      </c>
      <c r="AL530" s="185">
        <f t="shared" si="827"/>
        <v>64105691.5</v>
      </c>
      <c r="AM530" s="318">
        <f t="shared" si="850"/>
        <v>0</v>
      </c>
      <c r="AN530" s="21"/>
      <c r="AO530" s="21"/>
      <c r="AP530" s="21"/>
      <c r="AQ530" s="21"/>
      <c r="AR530" s="23"/>
      <c r="AS530" s="21"/>
      <c r="AT530" s="21"/>
      <c r="AU530" s="237"/>
      <c r="AV530" s="237"/>
      <c r="AW530" s="21"/>
    </row>
    <row r="531" spans="1:49">
      <c r="A531" s="401"/>
      <c r="L531" s="317">
        <f t="shared" si="803"/>
        <v>0</v>
      </c>
      <c r="M531" s="317"/>
      <c r="X531" s="401">
        <f t="shared" si="848"/>
        <v>0</v>
      </c>
      <c r="Y531" s="185">
        <f t="shared" si="821"/>
        <v>64105691.5</v>
      </c>
      <c r="Z531" s="393">
        <f t="shared" si="844"/>
        <v>0.10625</v>
      </c>
      <c r="AA531" s="14">
        <f t="shared" si="845"/>
        <v>0</v>
      </c>
      <c r="AB531" s="14">
        <f t="shared" si="822"/>
        <v>0</v>
      </c>
      <c r="AC531" s="14">
        <f t="shared" si="846"/>
        <v>0</v>
      </c>
      <c r="AD531" s="14">
        <f t="shared" ref="AD531:AE531" si="853">+AD530</f>
        <v>134.16999999999999</v>
      </c>
      <c r="AE531" s="14">
        <f t="shared" si="853"/>
        <v>188.55</v>
      </c>
      <c r="AF531" s="14">
        <f t="shared" si="824"/>
        <v>322.72000000000003</v>
      </c>
      <c r="AG531" s="185">
        <f t="shared" si="825"/>
        <v>-63119591.499999993</v>
      </c>
      <c r="AH531" s="185">
        <f t="shared" si="826"/>
        <v>64832555.549999967</v>
      </c>
      <c r="AI531" s="411">
        <f t="shared" si="818"/>
        <v>659885.94999999332</v>
      </c>
      <c r="AJ531" s="411">
        <f t="shared" si="782"/>
        <v>-64105691.5</v>
      </c>
      <c r="AK531" s="411">
        <f t="shared" si="819"/>
        <v>-63445805.550000004</v>
      </c>
      <c r="AL531" s="185">
        <f t="shared" si="827"/>
        <v>64105691.5</v>
      </c>
      <c r="AM531" s="317">
        <f t="shared" si="850"/>
        <v>0</v>
      </c>
    </row>
    <row r="532" spans="1:49">
      <c r="A532" s="401"/>
      <c r="L532" s="317">
        <f t="shared" si="803"/>
        <v>0</v>
      </c>
      <c r="M532" s="317"/>
      <c r="X532" s="401">
        <f t="shared" si="848"/>
        <v>0</v>
      </c>
      <c r="Y532" s="185">
        <f t="shared" si="821"/>
        <v>64105691.5</v>
      </c>
      <c r="Z532" s="393">
        <f t="shared" si="844"/>
        <v>0.10625</v>
      </c>
      <c r="AA532" s="14">
        <f t="shared" si="845"/>
        <v>0</v>
      </c>
      <c r="AB532" s="14">
        <f t="shared" si="822"/>
        <v>0</v>
      </c>
      <c r="AC532" s="14">
        <f t="shared" si="846"/>
        <v>0</v>
      </c>
      <c r="AD532" s="14">
        <f t="shared" ref="AD532:AE532" si="854">+AD531</f>
        <v>134.16999999999999</v>
      </c>
      <c r="AE532" s="14">
        <f t="shared" si="854"/>
        <v>188.55</v>
      </c>
      <c r="AF532" s="14">
        <f t="shared" si="824"/>
        <v>322.72000000000003</v>
      </c>
      <c r="AG532" s="185">
        <f t="shared" si="825"/>
        <v>-63119591.499999993</v>
      </c>
      <c r="AH532" s="185">
        <f t="shared" si="826"/>
        <v>64832555.549999967</v>
      </c>
      <c r="AI532" s="411">
        <f t="shared" si="818"/>
        <v>659885.94999999332</v>
      </c>
      <c r="AJ532" s="411">
        <f t="shared" si="782"/>
        <v>-64105691.5</v>
      </c>
      <c r="AK532" s="411">
        <f t="shared" si="819"/>
        <v>-63445805.550000004</v>
      </c>
      <c r="AL532" s="185">
        <f t="shared" si="827"/>
        <v>64105691.5</v>
      </c>
      <c r="AM532" s="317">
        <f t="shared" si="850"/>
        <v>0</v>
      </c>
    </row>
    <row r="533" spans="1:49">
      <c r="A533" s="401"/>
      <c r="L533" s="317">
        <f t="shared" si="803"/>
        <v>0</v>
      </c>
      <c r="M533" s="317"/>
      <c r="X533" s="401">
        <f t="shared" si="848"/>
        <v>0</v>
      </c>
      <c r="Y533" s="185">
        <f t="shared" si="821"/>
        <v>64105691.5</v>
      </c>
      <c r="Z533" s="393">
        <f t="shared" si="844"/>
        <v>0.10625</v>
      </c>
      <c r="AA533" s="14">
        <f t="shared" si="845"/>
        <v>0</v>
      </c>
      <c r="AB533" s="14">
        <f t="shared" si="822"/>
        <v>0</v>
      </c>
      <c r="AC533" s="14">
        <f t="shared" si="846"/>
        <v>0</v>
      </c>
      <c r="AD533" s="14">
        <f t="shared" ref="AD533:AE533" si="855">+AD532</f>
        <v>134.16999999999999</v>
      </c>
      <c r="AE533" s="14">
        <f t="shared" si="855"/>
        <v>188.55</v>
      </c>
      <c r="AF533" s="14">
        <f t="shared" si="824"/>
        <v>322.72000000000003</v>
      </c>
      <c r="AG533" s="185">
        <f t="shared" si="825"/>
        <v>-63119591.499999993</v>
      </c>
      <c r="AH533" s="185">
        <f t="shared" si="826"/>
        <v>64832555.549999967</v>
      </c>
      <c r="AI533" s="411">
        <f t="shared" si="818"/>
        <v>659885.94999999332</v>
      </c>
      <c r="AJ533" s="411">
        <f t="shared" si="782"/>
        <v>-64105691.5</v>
      </c>
      <c r="AK533" s="411">
        <f t="shared" si="819"/>
        <v>-63445805.550000004</v>
      </c>
      <c r="AL533" s="185">
        <f t="shared" si="827"/>
        <v>64105691.5</v>
      </c>
      <c r="AM533" s="317">
        <f t="shared" si="850"/>
        <v>0</v>
      </c>
    </row>
    <row r="534" spans="1:49">
      <c r="A534" s="401"/>
      <c r="L534" s="317">
        <f t="shared" si="803"/>
        <v>0</v>
      </c>
      <c r="M534" s="317"/>
      <c r="X534" s="401">
        <f t="shared" si="848"/>
        <v>0</v>
      </c>
      <c r="Y534" s="185">
        <f t="shared" si="821"/>
        <v>64105691.5</v>
      </c>
      <c r="Z534" s="393">
        <f t="shared" si="844"/>
        <v>0.10625</v>
      </c>
      <c r="AA534" s="14">
        <f t="shared" si="845"/>
        <v>0</v>
      </c>
      <c r="AB534" s="14">
        <f t="shared" si="822"/>
        <v>0</v>
      </c>
      <c r="AC534" s="14">
        <f t="shared" si="846"/>
        <v>0</v>
      </c>
      <c r="AD534" s="14">
        <f t="shared" ref="AD534:AE534" si="856">+AD533</f>
        <v>134.16999999999999</v>
      </c>
      <c r="AE534" s="14">
        <f t="shared" si="856"/>
        <v>188.55</v>
      </c>
      <c r="AF534" s="14">
        <f t="shared" si="824"/>
        <v>322.72000000000003</v>
      </c>
      <c r="AG534" s="185">
        <f t="shared" si="825"/>
        <v>-63119591.499999993</v>
      </c>
      <c r="AH534" s="185">
        <f t="shared" si="826"/>
        <v>64832555.549999967</v>
      </c>
      <c r="AI534" s="411">
        <f t="shared" si="818"/>
        <v>659885.94999999332</v>
      </c>
      <c r="AJ534" s="411">
        <f t="shared" si="782"/>
        <v>-64105691.5</v>
      </c>
      <c r="AK534" s="411">
        <f t="shared" si="819"/>
        <v>-63445805.550000004</v>
      </c>
      <c r="AL534" s="185">
        <f t="shared" si="827"/>
        <v>64105691.5</v>
      </c>
      <c r="AM534" s="317">
        <f t="shared" si="850"/>
        <v>0</v>
      </c>
    </row>
    <row r="535" spans="1:49">
      <c r="A535" s="401"/>
      <c r="L535" s="317">
        <f t="shared" si="803"/>
        <v>0</v>
      </c>
      <c r="M535" s="317"/>
      <c r="X535" s="401">
        <f t="shared" si="848"/>
        <v>0</v>
      </c>
      <c r="Y535" s="185">
        <f t="shared" si="821"/>
        <v>64105691.5</v>
      </c>
      <c r="Z535" s="393">
        <f t="shared" si="844"/>
        <v>0.10625</v>
      </c>
      <c r="AA535" s="14">
        <f t="shared" si="845"/>
        <v>0</v>
      </c>
      <c r="AB535" s="14">
        <f t="shared" si="822"/>
        <v>0</v>
      </c>
      <c r="AC535" s="14">
        <f t="shared" si="846"/>
        <v>0</v>
      </c>
      <c r="AD535" s="14">
        <f t="shared" ref="AD535:AE535" si="857">+AD534</f>
        <v>134.16999999999999</v>
      </c>
      <c r="AE535" s="14">
        <f t="shared" si="857"/>
        <v>188.55</v>
      </c>
      <c r="AF535" s="14">
        <f t="shared" si="824"/>
        <v>322.72000000000003</v>
      </c>
      <c r="AG535" s="185">
        <f t="shared" si="825"/>
        <v>-63119591.499999993</v>
      </c>
      <c r="AH535" s="185">
        <f t="shared" si="826"/>
        <v>64832555.549999967</v>
      </c>
      <c r="AI535" s="411">
        <f t="shared" si="818"/>
        <v>659885.94999999332</v>
      </c>
      <c r="AJ535" s="411">
        <f t="shared" si="782"/>
        <v>-64105691.5</v>
      </c>
      <c r="AK535" s="411">
        <f t="shared" si="819"/>
        <v>-63445805.550000004</v>
      </c>
      <c r="AL535" s="185">
        <f t="shared" si="827"/>
        <v>64105691.5</v>
      </c>
      <c r="AM535" s="317">
        <f t="shared" si="850"/>
        <v>0</v>
      </c>
    </row>
    <row r="536" spans="1:49">
      <c r="A536" s="401"/>
      <c r="L536" s="317">
        <f t="shared" si="803"/>
        <v>0</v>
      </c>
      <c r="M536" s="317"/>
      <c r="X536" s="401">
        <f t="shared" si="848"/>
        <v>0</v>
      </c>
      <c r="Y536" s="185">
        <f t="shared" si="821"/>
        <v>64105691.5</v>
      </c>
      <c r="Z536" s="393">
        <f t="shared" si="844"/>
        <v>0.10625</v>
      </c>
      <c r="AA536" s="14">
        <f t="shared" si="845"/>
        <v>0</v>
      </c>
      <c r="AB536" s="14">
        <f t="shared" si="822"/>
        <v>0</v>
      </c>
      <c r="AC536" s="14">
        <f t="shared" si="846"/>
        <v>0</v>
      </c>
      <c r="AD536" s="14">
        <f t="shared" ref="AD536:AE536" si="858">+AD535</f>
        <v>134.16999999999999</v>
      </c>
      <c r="AE536" s="14">
        <f t="shared" si="858"/>
        <v>188.55</v>
      </c>
      <c r="AF536" s="14">
        <f t="shared" si="824"/>
        <v>322.72000000000003</v>
      </c>
      <c r="AG536" s="185">
        <f t="shared" si="825"/>
        <v>-63119591.499999993</v>
      </c>
      <c r="AH536" s="185">
        <f t="shared" si="826"/>
        <v>64832555.549999967</v>
      </c>
      <c r="AI536" s="411">
        <f t="shared" si="818"/>
        <v>659885.94999999332</v>
      </c>
      <c r="AJ536" s="411">
        <f t="shared" si="782"/>
        <v>-64105691.5</v>
      </c>
      <c r="AK536" s="411">
        <f t="shared" si="819"/>
        <v>-63445805.550000004</v>
      </c>
      <c r="AL536" s="185">
        <f t="shared" si="827"/>
        <v>64105691.5</v>
      </c>
      <c r="AM536" s="317">
        <f t="shared" si="850"/>
        <v>0</v>
      </c>
    </row>
    <row r="537" spans="1:49">
      <c r="A537" s="401"/>
      <c r="L537" s="317">
        <f t="shared" si="803"/>
        <v>0</v>
      </c>
      <c r="M537" s="317"/>
      <c r="X537" s="401">
        <f t="shared" si="848"/>
        <v>0</v>
      </c>
      <c r="Y537" s="185">
        <f t="shared" si="821"/>
        <v>64105691.5</v>
      </c>
      <c r="Z537" s="393">
        <f t="shared" si="844"/>
        <v>0.10625</v>
      </c>
      <c r="AA537" s="14">
        <f t="shared" si="845"/>
        <v>0</v>
      </c>
      <c r="AB537" s="14">
        <f t="shared" si="822"/>
        <v>0</v>
      </c>
      <c r="AC537" s="14">
        <f t="shared" si="846"/>
        <v>0</v>
      </c>
      <c r="AD537" s="14">
        <f t="shared" ref="AD537:AE537" si="859">+AD536</f>
        <v>134.16999999999999</v>
      </c>
      <c r="AE537" s="14">
        <f t="shared" si="859"/>
        <v>188.55</v>
      </c>
      <c r="AF537" s="14">
        <f t="shared" si="824"/>
        <v>322.72000000000003</v>
      </c>
      <c r="AG537" s="185">
        <f t="shared" si="825"/>
        <v>-63119591.499999993</v>
      </c>
      <c r="AH537" s="185">
        <f t="shared" si="826"/>
        <v>64832555.549999967</v>
      </c>
      <c r="AI537" s="411">
        <f t="shared" si="818"/>
        <v>659885.94999999332</v>
      </c>
      <c r="AJ537" s="411">
        <f t="shared" si="782"/>
        <v>-64105691.5</v>
      </c>
      <c r="AK537" s="411">
        <f t="shared" si="819"/>
        <v>-63445805.550000004</v>
      </c>
      <c r="AL537" s="185">
        <f t="shared" si="827"/>
        <v>64105691.5</v>
      </c>
      <c r="AM537" s="317">
        <f t="shared" si="850"/>
        <v>0</v>
      </c>
    </row>
    <row r="538" spans="1:49">
      <c r="A538" s="401"/>
      <c r="L538" s="317">
        <f t="shared" si="803"/>
        <v>0</v>
      </c>
      <c r="M538" s="317"/>
      <c r="X538" s="401">
        <f t="shared" si="848"/>
        <v>0</v>
      </c>
      <c r="Y538" s="185">
        <f t="shared" si="821"/>
        <v>64105691.5</v>
      </c>
      <c r="Z538" s="393">
        <f t="shared" si="844"/>
        <v>0.10625</v>
      </c>
      <c r="AA538" s="14">
        <f t="shared" si="845"/>
        <v>0</v>
      </c>
      <c r="AB538" s="14">
        <f t="shared" si="822"/>
        <v>0</v>
      </c>
      <c r="AC538" s="14">
        <f t="shared" si="846"/>
        <v>0</v>
      </c>
      <c r="AD538" s="14">
        <f t="shared" ref="AD538:AE538" si="860">+AD537</f>
        <v>134.16999999999999</v>
      </c>
      <c r="AE538" s="14">
        <f t="shared" si="860"/>
        <v>188.55</v>
      </c>
      <c r="AF538" s="14">
        <f t="shared" si="824"/>
        <v>322.72000000000003</v>
      </c>
      <c r="AG538" s="185">
        <f t="shared" si="825"/>
        <v>-63119591.499999993</v>
      </c>
      <c r="AH538" s="185">
        <f t="shared" si="826"/>
        <v>64832555.549999967</v>
      </c>
      <c r="AI538" s="411">
        <f t="shared" si="818"/>
        <v>659885.94999999332</v>
      </c>
      <c r="AJ538" s="411">
        <f t="shared" si="782"/>
        <v>-64105691.5</v>
      </c>
      <c r="AK538" s="411">
        <f t="shared" si="819"/>
        <v>-63445805.550000004</v>
      </c>
      <c r="AL538" s="185">
        <f t="shared" si="827"/>
        <v>64105691.5</v>
      </c>
      <c r="AM538" s="317">
        <f t="shared" si="850"/>
        <v>0</v>
      </c>
    </row>
    <row r="539" spans="1:49">
      <c r="A539" s="401"/>
      <c r="L539" s="317">
        <f t="shared" si="803"/>
        <v>0</v>
      </c>
      <c r="M539" s="317"/>
      <c r="X539" s="401">
        <f t="shared" si="848"/>
        <v>0</v>
      </c>
      <c r="Y539" s="185">
        <f t="shared" si="821"/>
        <v>64105691.5</v>
      </c>
      <c r="Z539" s="393">
        <f t="shared" si="844"/>
        <v>0.10625</v>
      </c>
      <c r="AA539" s="14">
        <f t="shared" si="845"/>
        <v>0</v>
      </c>
      <c r="AB539" s="14">
        <f t="shared" si="822"/>
        <v>0</v>
      </c>
      <c r="AC539" s="14">
        <f t="shared" si="846"/>
        <v>0</v>
      </c>
      <c r="AD539" s="14">
        <f t="shared" ref="AD539:AE539" si="861">+AD538</f>
        <v>134.16999999999999</v>
      </c>
      <c r="AE539" s="14">
        <f t="shared" si="861"/>
        <v>188.55</v>
      </c>
      <c r="AF539" s="14">
        <f t="shared" si="824"/>
        <v>322.72000000000003</v>
      </c>
      <c r="AG539" s="185">
        <f t="shared" si="825"/>
        <v>-63119591.499999993</v>
      </c>
      <c r="AH539" s="185">
        <f t="shared" si="826"/>
        <v>64832555.549999967</v>
      </c>
      <c r="AI539" s="411">
        <f t="shared" si="818"/>
        <v>659885.94999999332</v>
      </c>
      <c r="AJ539" s="411">
        <f t="shared" ref="AJ539:AJ543" si="862">+W539-AL539</f>
        <v>-64105691.5</v>
      </c>
      <c r="AK539" s="411">
        <f t="shared" si="819"/>
        <v>-63445805.550000004</v>
      </c>
      <c r="AL539" s="185">
        <f t="shared" si="827"/>
        <v>64105691.5</v>
      </c>
      <c r="AM539" s="317">
        <f t="shared" si="850"/>
        <v>0</v>
      </c>
    </row>
    <row r="540" spans="1:49">
      <c r="A540" s="401"/>
      <c r="L540" s="317">
        <f t="shared" si="803"/>
        <v>0</v>
      </c>
      <c r="M540" s="317"/>
      <c r="X540" s="401">
        <f t="shared" si="848"/>
        <v>0</v>
      </c>
      <c r="Y540" s="185">
        <f t="shared" si="821"/>
        <v>64105691.5</v>
      </c>
      <c r="Z540" s="393">
        <f t="shared" si="844"/>
        <v>0.10625</v>
      </c>
      <c r="AA540" s="14">
        <f t="shared" si="845"/>
        <v>0</v>
      </c>
      <c r="AB540" s="14">
        <f t="shared" si="822"/>
        <v>0</v>
      </c>
      <c r="AC540" s="14">
        <f t="shared" si="846"/>
        <v>0</v>
      </c>
      <c r="AD540" s="14">
        <f t="shared" ref="AD540:AE540" si="863">+AD539</f>
        <v>134.16999999999999</v>
      </c>
      <c r="AE540" s="14">
        <f t="shared" si="863"/>
        <v>188.55</v>
      </c>
      <c r="AF540" s="14">
        <f t="shared" si="824"/>
        <v>322.72000000000003</v>
      </c>
      <c r="AG540" s="185">
        <f t="shared" si="825"/>
        <v>-63119591.499999993</v>
      </c>
      <c r="AH540" s="185">
        <f t="shared" si="826"/>
        <v>64832555.549999967</v>
      </c>
      <c r="AI540" s="411">
        <f t="shared" si="818"/>
        <v>659885.94999999332</v>
      </c>
      <c r="AJ540" s="411">
        <f t="shared" si="862"/>
        <v>-64105691.5</v>
      </c>
      <c r="AK540" s="411">
        <f t="shared" si="819"/>
        <v>-63445805.550000004</v>
      </c>
      <c r="AL540" s="185">
        <f t="shared" si="827"/>
        <v>64105691.5</v>
      </c>
      <c r="AM540" s="317">
        <f t="shared" si="850"/>
        <v>0</v>
      </c>
    </row>
    <row r="541" spans="1:49">
      <c r="A541" s="401"/>
      <c r="L541" s="317">
        <f t="shared" si="803"/>
        <v>0</v>
      </c>
      <c r="M541" s="317"/>
      <c r="X541" s="401">
        <f t="shared" si="848"/>
        <v>0</v>
      </c>
      <c r="Y541" s="185">
        <f t="shared" si="821"/>
        <v>64105691.5</v>
      </c>
      <c r="Z541" s="393">
        <f t="shared" si="844"/>
        <v>0.10625</v>
      </c>
      <c r="AA541" s="14">
        <f t="shared" si="845"/>
        <v>0</v>
      </c>
      <c r="AB541" s="14">
        <f t="shared" si="822"/>
        <v>0</v>
      </c>
      <c r="AC541" s="14">
        <f t="shared" si="846"/>
        <v>0</v>
      </c>
      <c r="AD541" s="14">
        <f t="shared" ref="AD541:AE541" si="864">+AD540</f>
        <v>134.16999999999999</v>
      </c>
      <c r="AE541" s="14">
        <f t="shared" si="864"/>
        <v>188.55</v>
      </c>
      <c r="AF541" s="14">
        <f t="shared" si="824"/>
        <v>322.72000000000003</v>
      </c>
      <c r="AG541" s="185">
        <f t="shared" si="825"/>
        <v>-63119591.499999993</v>
      </c>
      <c r="AH541" s="185">
        <f t="shared" si="826"/>
        <v>64832555.549999967</v>
      </c>
      <c r="AI541" s="411">
        <f t="shared" si="818"/>
        <v>659885.94999999332</v>
      </c>
      <c r="AJ541" s="411">
        <f t="shared" si="862"/>
        <v>-64105691.5</v>
      </c>
      <c r="AK541" s="411">
        <f t="shared" si="819"/>
        <v>-63445805.550000004</v>
      </c>
      <c r="AL541" s="185">
        <f t="shared" si="827"/>
        <v>64105691.5</v>
      </c>
      <c r="AM541" s="317">
        <f t="shared" si="850"/>
        <v>0</v>
      </c>
    </row>
    <row r="542" spans="1:49" ht="15.75" thickBot="1">
      <c r="A542" s="404"/>
      <c r="B542" s="237"/>
      <c r="C542" s="21"/>
      <c r="D542" s="21"/>
      <c r="E542" s="21"/>
      <c r="F542" s="21"/>
      <c r="G542" s="21"/>
      <c r="H542" s="21"/>
      <c r="I542" s="237"/>
      <c r="J542" s="237"/>
      <c r="K542" s="237"/>
      <c r="L542" s="318">
        <f t="shared" si="803"/>
        <v>0</v>
      </c>
      <c r="M542" s="318"/>
      <c r="N542" s="237"/>
      <c r="U542" s="237"/>
      <c r="V542" s="237"/>
      <c r="W542" s="237"/>
      <c r="X542" s="404">
        <f t="shared" si="848"/>
        <v>0</v>
      </c>
      <c r="Y542" s="185">
        <f t="shared" si="821"/>
        <v>64105691.5</v>
      </c>
      <c r="Z542" s="393">
        <f t="shared" si="844"/>
        <v>0.10625</v>
      </c>
      <c r="AA542" s="14">
        <f t="shared" si="845"/>
        <v>0</v>
      </c>
      <c r="AB542" s="14">
        <f t="shared" si="822"/>
        <v>0</v>
      </c>
      <c r="AC542" s="14">
        <f t="shared" si="846"/>
        <v>0</v>
      </c>
      <c r="AD542" s="14">
        <f t="shared" ref="AD542:AE542" si="865">+AD541</f>
        <v>134.16999999999999</v>
      </c>
      <c r="AE542" s="14">
        <f t="shared" si="865"/>
        <v>188.55</v>
      </c>
      <c r="AF542" s="14">
        <f t="shared" si="824"/>
        <v>322.72000000000003</v>
      </c>
      <c r="AG542" s="185">
        <f t="shared" si="825"/>
        <v>-63119591.499999993</v>
      </c>
      <c r="AH542" s="185">
        <f t="shared" si="826"/>
        <v>64832555.549999967</v>
      </c>
      <c r="AI542" s="411">
        <f t="shared" si="818"/>
        <v>659885.94999999332</v>
      </c>
      <c r="AJ542" s="411">
        <f t="shared" si="862"/>
        <v>-64105691.5</v>
      </c>
      <c r="AK542" s="411">
        <f t="shared" si="819"/>
        <v>-63445805.550000004</v>
      </c>
      <c r="AL542" s="185">
        <f t="shared" si="827"/>
        <v>64105691.5</v>
      </c>
      <c r="AM542" s="318">
        <f t="shared" si="850"/>
        <v>0</v>
      </c>
      <c r="AN542" s="21"/>
      <c r="AO542" s="21"/>
      <c r="AP542" s="21"/>
      <c r="AQ542" s="21"/>
      <c r="AR542" s="23"/>
      <c r="AS542" s="21"/>
      <c r="AT542" s="21"/>
      <c r="AU542" s="237"/>
      <c r="AV542" s="237"/>
      <c r="AW542" s="21"/>
    </row>
    <row r="543" spans="1:49">
      <c r="A543" s="401"/>
      <c r="L543" s="317">
        <f t="shared" si="803"/>
        <v>0</v>
      </c>
      <c r="M543" s="317"/>
      <c r="X543" s="401">
        <f t="shared" si="848"/>
        <v>0</v>
      </c>
      <c r="Y543" s="185">
        <f t="shared" si="821"/>
        <v>64105691.5</v>
      </c>
      <c r="Z543" s="393">
        <f t="shared" si="844"/>
        <v>0.10625</v>
      </c>
      <c r="AA543" s="14">
        <f t="shared" si="845"/>
        <v>0</v>
      </c>
      <c r="AB543" s="14">
        <f t="shared" si="822"/>
        <v>0</v>
      </c>
      <c r="AC543" s="14">
        <f t="shared" si="846"/>
        <v>0</v>
      </c>
      <c r="AD543" s="14">
        <f t="shared" ref="AD543:AE543" si="866">+AD542</f>
        <v>134.16999999999999</v>
      </c>
      <c r="AE543" s="14">
        <f t="shared" si="866"/>
        <v>188.55</v>
      </c>
      <c r="AF543" s="14">
        <f t="shared" si="824"/>
        <v>322.72000000000003</v>
      </c>
      <c r="AG543" s="185">
        <f t="shared" si="825"/>
        <v>-63119591.499999993</v>
      </c>
      <c r="AH543" s="185">
        <f t="shared" si="826"/>
        <v>64832555.549999967</v>
      </c>
      <c r="AI543" s="411">
        <f t="shared" si="818"/>
        <v>659885.94999999332</v>
      </c>
      <c r="AJ543" s="411">
        <f t="shared" si="862"/>
        <v>-64105691.5</v>
      </c>
      <c r="AK543" s="411">
        <f t="shared" si="819"/>
        <v>-63445805.550000004</v>
      </c>
      <c r="AL543" s="185">
        <f t="shared" si="827"/>
        <v>64105691.5</v>
      </c>
      <c r="AM543" s="317">
        <f t="shared" si="850"/>
        <v>0</v>
      </c>
    </row>
    <row r="544" spans="1:49">
      <c r="A544" s="401"/>
      <c r="L544" s="317">
        <f t="shared" si="803"/>
        <v>0</v>
      </c>
      <c r="M544" s="317"/>
      <c r="X544" s="401">
        <f t="shared" si="848"/>
        <v>0</v>
      </c>
      <c r="AM544" s="317">
        <f t="shared" si="850"/>
        <v>0</v>
      </c>
    </row>
    <row r="545" spans="1:49">
      <c r="A545" s="401"/>
      <c r="L545" s="317">
        <f t="shared" si="803"/>
        <v>0</v>
      </c>
      <c r="M545" s="317"/>
      <c r="X545" s="401">
        <f t="shared" si="848"/>
        <v>0</v>
      </c>
      <c r="AM545" s="317">
        <f t="shared" si="850"/>
        <v>0</v>
      </c>
    </row>
    <row r="546" spans="1:49">
      <c r="A546" s="401"/>
      <c r="L546" s="317">
        <f t="shared" si="803"/>
        <v>0</v>
      </c>
      <c r="M546" s="317"/>
      <c r="X546" s="401">
        <f t="shared" si="848"/>
        <v>0</v>
      </c>
      <c r="AM546" s="317">
        <f t="shared" si="850"/>
        <v>0</v>
      </c>
    </row>
    <row r="547" spans="1:49">
      <c r="A547" s="401"/>
      <c r="L547" s="317">
        <f t="shared" si="803"/>
        <v>0</v>
      </c>
      <c r="M547" s="317"/>
      <c r="X547" s="401">
        <f t="shared" si="848"/>
        <v>0</v>
      </c>
      <c r="AM547" s="317">
        <f t="shared" si="850"/>
        <v>0</v>
      </c>
    </row>
    <row r="548" spans="1:49">
      <c r="A548" s="401"/>
      <c r="L548" s="317">
        <f t="shared" si="803"/>
        <v>0</v>
      </c>
      <c r="M548" s="317"/>
      <c r="X548" s="401">
        <f t="shared" si="848"/>
        <v>0</v>
      </c>
      <c r="AM548" s="317">
        <f t="shared" si="850"/>
        <v>0</v>
      </c>
    </row>
    <row r="549" spans="1:49">
      <c r="A549" s="401"/>
      <c r="L549" s="317">
        <f t="shared" si="803"/>
        <v>0</v>
      </c>
      <c r="M549" s="317"/>
      <c r="X549" s="401">
        <f t="shared" si="848"/>
        <v>0</v>
      </c>
      <c r="AM549" s="317">
        <f t="shared" si="850"/>
        <v>0</v>
      </c>
    </row>
    <row r="550" spans="1:49">
      <c r="A550" s="401"/>
      <c r="L550" s="317">
        <f t="shared" si="803"/>
        <v>0</v>
      </c>
      <c r="M550" s="317"/>
      <c r="X550" s="401">
        <f t="shared" si="848"/>
        <v>0</v>
      </c>
      <c r="AM550" s="317">
        <f t="shared" si="850"/>
        <v>0</v>
      </c>
    </row>
    <row r="551" spans="1:49">
      <c r="A551" s="401"/>
      <c r="L551" s="317">
        <f t="shared" si="803"/>
        <v>0</v>
      </c>
      <c r="M551" s="317"/>
      <c r="X551" s="401">
        <f t="shared" si="848"/>
        <v>0</v>
      </c>
      <c r="AM551" s="317">
        <f t="shared" si="850"/>
        <v>0</v>
      </c>
    </row>
    <row r="552" spans="1:49">
      <c r="A552" s="401"/>
      <c r="L552" s="317">
        <f t="shared" si="803"/>
        <v>0</v>
      </c>
      <c r="M552" s="317"/>
      <c r="X552" s="401">
        <f t="shared" si="848"/>
        <v>0</v>
      </c>
      <c r="AM552" s="317">
        <f t="shared" si="850"/>
        <v>0</v>
      </c>
    </row>
    <row r="553" spans="1:49">
      <c r="A553" s="401"/>
      <c r="L553" s="317">
        <f t="shared" si="803"/>
        <v>0</v>
      </c>
      <c r="M553" s="317"/>
      <c r="X553" s="401">
        <f t="shared" si="848"/>
        <v>0</v>
      </c>
      <c r="AM553" s="317">
        <f t="shared" si="850"/>
        <v>0</v>
      </c>
    </row>
    <row r="554" spans="1:49" ht="15.75" thickBot="1">
      <c r="A554" s="404"/>
      <c r="B554" s="237"/>
      <c r="C554" s="21"/>
      <c r="D554" s="21"/>
      <c r="E554" s="21"/>
      <c r="F554" s="21"/>
      <c r="G554" s="21"/>
      <c r="H554" s="21"/>
      <c r="I554" s="237"/>
      <c r="J554" s="237"/>
      <c r="K554" s="237"/>
      <c r="L554" s="318">
        <f t="shared" si="803"/>
        <v>0</v>
      </c>
      <c r="M554" s="318"/>
      <c r="N554" s="237"/>
      <c r="O554" s="21"/>
      <c r="P554" s="21"/>
      <c r="Q554" s="21"/>
      <c r="R554" s="21"/>
      <c r="S554" s="21"/>
      <c r="T554" s="21"/>
      <c r="U554" s="237"/>
      <c r="V554" s="237"/>
      <c r="W554" s="237"/>
      <c r="X554" s="404">
        <f t="shared" si="848"/>
        <v>0</v>
      </c>
      <c r="Y554" s="237"/>
      <c r="Z554" s="394"/>
      <c r="AA554" s="21"/>
      <c r="AB554" s="21"/>
      <c r="AC554" s="21"/>
      <c r="AD554" s="21"/>
      <c r="AE554" s="21"/>
      <c r="AF554" s="21"/>
      <c r="AG554" s="237"/>
      <c r="AH554" s="237"/>
      <c r="AI554" s="237"/>
      <c r="AJ554" s="237"/>
      <c r="AK554" s="237"/>
      <c r="AL554" s="237"/>
      <c r="AM554" s="318">
        <f t="shared" si="850"/>
        <v>0</v>
      </c>
      <c r="AN554" s="21"/>
      <c r="AO554" s="21"/>
      <c r="AP554" s="21"/>
      <c r="AQ554" s="21"/>
      <c r="AR554" s="23"/>
      <c r="AS554" s="21"/>
      <c r="AT554" s="21"/>
      <c r="AU554" s="237"/>
      <c r="AV554" s="237"/>
      <c r="AW554" s="21"/>
    </row>
    <row r="555" spans="1:49">
      <c r="A555" s="401"/>
      <c r="L555" s="317">
        <f t="shared" si="803"/>
        <v>0</v>
      </c>
      <c r="M555" s="317"/>
      <c r="X555" s="401">
        <f t="shared" si="848"/>
        <v>0</v>
      </c>
      <c r="AM555" s="317">
        <f t="shared" si="850"/>
        <v>0</v>
      </c>
    </row>
    <row r="556" spans="1:49">
      <c r="A556" s="401"/>
      <c r="L556" s="317">
        <f t="shared" si="803"/>
        <v>0</v>
      </c>
      <c r="M556" s="317"/>
      <c r="X556" s="401">
        <f t="shared" si="848"/>
        <v>0</v>
      </c>
      <c r="AM556" s="317">
        <f t="shared" si="850"/>
        <v>0</v>
      </c>
    </row>
    <row r="557" spans="1:49">
      <c r="A557" s="401"/>
      <c r="L557" s="317">
        <f t="shared" si="803"/>
        <v>0</v>
      </c>
      <c r="M557" s="317"/>
      <c r="X557" s="401">
        <f t="shared" si="848"/>
        <v>0</v>
      </c>
      <c r="AM557" s="317">
        <f t="shared" si="850"/>
        <v>0</v>
      </c>
    </row>
    <row r="558" spans="1:49">
      <c r="A558" s="401"/>
      <c r="L558" s="317">
        <f t="shared" si="803"/>
        <v>0</v>
      </c>
      <c r="M558" s="317"/>
      <c r="X558" s="401">
        <f t="shared" si="848"/>
        <v>0</v>
      </c>
      <c r="AM558" s="317">
        <f t="shared" si="850"/>
        <v>0</v>
      </c>
    </row>
    <row r="559" spans="1:49">
      <c r="A559" s="401"/>
      <c r="L559" s="317">
        <f t="shared" ref="L559:L622" si="867">IF(MOD(M559,12)=0,M559/12,L558)</f>
        <v>0</v>
      </c>
      <c r="M559" s="317"/>
      <c r="X559" s="401">
        <f t="shared" si="848"/>
        <v>0</v>
      </c>
      <c r="AM559" s="317">
        <f t="shared" si="850"/>
        <v>0</v>
      </c>
    </row>
    <row r="560" spans="1:49">
      <c r="A560" s="401"/>
      <c r="L560" s="317">
        <f t="shared" si="867"/>
        <v>0</v>
      </c>
      <c r="M560" s="317"/>
      <c r="X560" s="401">
        <f t="shared" si="848"/>
        <v>0</v>
      </c>
      <c r="AM560" s="317">
        <f t="shared" si="850"/>
        <v>0</v>
      </c>
    </row>
    <row r="561" spans="1:49">
      <c r="A561" s="401"/>
      <c r="L561" s="317">
        <f t="shared" si="867"/>
        <v>0</v>
      </c>
      <c r="M561" s="317"/>
      <c r="X561" s="401">
        <f t="shared" si="848"/>
        <v>0</v>
      </c>
      <c r="AM561" s="317">
        <f t="shared" si="850"/>
        <v>0</v>
      </c>
    </row>
    <row r="562" spans="1:49">
      <c r="A562" s="401"/>
      <c r="L562" s="317">
        <f t="shared" si="867"/>
        <v>0</v>
      </c>
      <c r="M562" s="317"/>
      <c r="X562" s="401">
        <f t="shared" si="848"/>
        <v>0</v>
      </c>
      <c r="AM562" s="317">
        <f t="shared" si="850"/>
        <v>0</v>
      </c>
    </row>
    <row r="563" spans="1:49">
      <c r="A563" s="401"/>
      <c r="L563" s="317">
        <f t="shared" si="867"/>
        <v>0</v>
      </c>
      <c r="M563" s="317"/>
      <c r="X563" s="401">
        <f t="shared" si="848"/>
        <v>0</v>
      </c>
      <c r="AM563" s="317">
        <f t="shared" si="850"/>
        <v>0</v>
      </c>
    </row>
    <row r="564" spans="1:49">
      <c r="A564" s="401"/>
      <c r="L564" s="317">
        <f t="shared" si="867"/>
        <v>0</v>
      </c>
      <c r="M564" s="317"/>
      <c r="X564" s="401">
        <f t="shared" si="848"/>
        <v>0</v>
      </c>
      <c r="AM564" s="317">
        <f t="shared" si="850"/>
        <v>0</v>
      </c>
    </row>
    <row r="565" spans="1:49">
      <c r="A565" s="401"/>
      <c r="L565" s="317">
        <f t="shared" si="867"/>
        <v>0</v>
      </c>
      <c r="M565" s="317"/>
      <c r="X565" s="401">
        <f t="shared" si="848"/>
        <v>0</v>
      </c>
      <c r="AM565" s="317">
        <f t="shared" si="850"/>
        <v>0</v>
      </c>
    </row>
    <row r="566" spans="1:49" ht="15.75" thickBot="1">
      <c r="A566" s="404"/>
      <c r="B566" s="237"/>
      <c r="C566" s="21"/>
      <c r="D566" s="21"/>
      <c r="E566" s="21"/>
      <c r="F566" s="21"/>
      <c r="G566" s="21"/>
      <c r="H566" s="21"/>
      <c r="I566" s="237"/>
      <c r="J566" s="237"/>
      <c r="K566" s="237"/>
      <c r="L566" s="318">
        <f t="shared" si="867"/>
        <v>0</v>
      </c>
      <c r="M566" s="318"/>
      <c r="N566" s="237"/>
      <c r="O566" s="21"/>
      <c r="P566" s="21"/>
      <c r="Q566" s="21"/>
      <c r="R566" s="21"/>
      <c r="S566" s="21"/>
      <c r="T566" s="21"/>
      <c r="U566" s="237"/>
      <c r="V566" s="237"/>
      <c r="W566" s="237"/>
      <c r="X566" s="404">
        <f t="shared" si="848"/>
        <v>0</v>
      </c>
      <c r="Y566" s="237"/>
      <c r="Z566" s="394"/>
      <c r="AA566" s="21"/>
      <c r="AB566" s="21"/>
      <c r="AC566" s="21"/>
      <c r="AD566" s="21"/>
      <c r="AE566" s="21"/>
      <c r="AF566" s="21"/>
      <c r="AG566" s="237"/>
      <c r="AH566" s="237"/>
      <c r="AI566" s="237"/>
      <c r="AJ566" s="237"/>
      <c r="AK566" s="237"/>
      <c r="AL566" s="237"/>
      <c r="AM566" s="318">
        <f t="shared" si="850"/>
        <v>0</v>
      </c>
      <c r="AN566" s="21"/>
      <c r="AO566" s="21"/>
      <c r="AP566" s="21"/>
      <c r="AQ566" s="21"/>
      <c r="AR566" s="23"/>
      <c r="AS566" s="21"/>
      <c r="AT566" s="21"/>
      <c r="AU566" s="237"/>
      <c r="AV566" s="237"/>
      <c r="AW566" s="21"/>
    </row>
    <row r="567" spans="1:49">
      <c r="A567" s="401"/>
      <c r="L567" s="317">
        <f t="shared" si="867"/>
        <v>0</v>
      </c>
      <c r="M567" s="317"/>
      <c r="X567" s="401">
        <f t="shared" si="848"/>
        <v>0</v>
      </c>
      <c r="AM567" s="317">
        <f t="shared" si="850"/>
        <v>0</v>
      </c>
    </row>
    <row r="568" spans="1:49">
      <c r="A568" s="401"/>
      <c r="L568" s="317">
        <f t="shared" si="867"/>
        <v>0</v>
      </c>
      <c r="M568" s="317"/>
      <c r="X568" s="401">
        <f t="shared" si="848"/>
        <v>0</v>
      </c>
      <c r="AM568" s="317">
        <f t="shared" si="850"/>
        <v>0</v>
      </c>
    </row>
    <row r="569" spans="1:49">
      <c r="A569" s="401"/>
      <c r="L569" s="317">
        <f t="shared" si="867"/>
        <v>0</v>
      </c>
      <c r="M569" s="317"/>
      <c r="X569" s="401">
        <f t="shared" si="848"/>
        <v>0</v>
      </c>
      <c r="AM569" s="317">
        <f t="shared" si="850"/>
        <v>0</v>
      </c>
    </row>
    <row r="570" spans="1:49">
      <c r="A570" s="401"/>
      <c r="L570" s="317">
        <f t="shared" si="867"/>
        <v>0</v>
      </c>
      <c r="M570" s="317"/>
      <c r="X570" s="401">
        <f t="shared" si="848"/>
        <v>0</v>
      </c>
      <c r="AM570" s="317">
        <f t="shared" si="850"/>
        <v>0</v>
      </c>
    </row>
    <row r="571" spans="1:49">
      <c r="A571" s="401"/>
      <c r="L571" s="317">
        <f t="shared" si="867"/>
        <v>0</v>
      </c>
      <c r="M571" s="317"/>
      <c r="X571" s="401">
        <f t="shared" si="848"/>
        <v>0</v>
      </c>
      <c r="AM571" s="317">
        <f t="shared" si="850"/>
        <v>0</v>
      </c>
    </row>
    <row r="572" spans="1:49">
      <c r="A572" s="401"/>
      <c r="L572" s="317">
        <f t="shared" si="867"/>
        <v>0</v>
      </c>
      <c r="M572" s="317"/>
      <c r="X572" s="401">
        <f t="shared" si="848"/>
        <v>0</v>
      </c>
      <c r="AM572" s="317">
        <f t="shared" si="850"/>
        <v>0</v>
      </c>
    </row>
    <row r="573" spans="1:49">
      <c r="A573" s="401"/>
      <c r="L573" s="317">
        <f t="shared" si="867"/>
        <v>0</v>
      </c>
      <c r="M573" s="317"/>
      <c r="X573" s="401">
        <f t="shared" si="848"/>
        <v>0</v>
      </c>
      <c r="AM573" s="317">
        <f t="shared" si="850"/>
        <v>0</v>
      </c>
    </row>
    <row r="574" spans="1:49">
      <c r="A574" s="401"/>
      <c r="L574" s="317">
        <f t="shared" si="867"/>
        <v>0</v>
      </c>
      <c r="M574" s="317"/>
      <c r="X574" s="401">
        <f t="shared" si="848"/>
        <v>0</v>
      </c>
      <c r="AM574" s="317">
        <f t="shared" si="850"/>
        <v>0</v>
      </c>
    </row>
    <row r="575" spans="1:49">
      <c r="A575" s="401"/>
      <c r="L575" s="317">
        <f t="shared" si="867"/>
        <v>0</v>
      </c>
      <c r="M575" s="317"/>
      <c r="X575" s="401">
        <f t="shared" si="848"/>
        <v>0</v>
      </c>
      <c r="AM575" s="317">
        <f t="shared" si="850"/>
        <v>0</v>
      </c>
    </row>
    <row r="576" spans="1:49">
      <c r="A576" s="401"/>
      <c r="L576" s="317">
        <f t="shared" si="867"/>
        <v>0</v>
      </c>
      <c r="M576" s="317"/>
      <c r="X576" s="401">
        <f t="shared" si="848"/>
        <v>0</v>
      </c>
      <c r="AM576" s="317">
        <f t="shared" si="850"/>
        <v>0</v>
      </c>
    </row>
    <row r="577" spans="1:49">
      <c r="A577" s="401"/>
      <c r="L577" s="317">
        <f t="shared" si="867"/>
        <v>0</v>
      </c>
      <c r="M577" s="317"/>
      <c r="X577" s="401">
        <f t="shared" si="848"/>
        <v>0</v>
      </c>
      <c r="AM577" s="317">
        <f t="shared" si="850"/>
        <v>0</v>
      </c>
    </row>
    <row r="578" spans="1:49" ht="15.75" thickBot="1">
      <c r="A578" s="404"/>
      <c r="B578" s="237"/>
      <c r="C578" s="21"/>
      <c r="D578" s="21"/>
      <c r="E578" s="21"/>
      <c r="F578" s="21"/>
      <c r="G578" s="21"/>
      <c r="H578" s="21"/>
      <c r="I578" s="237"/>
      <c r="J578" s="237"/>
      <c r="K578" s="237"/>
      <c r="L578" s="318">
        <f t="shared" si="867"/>
        <v>0</v>
      </c>
      <c r="M578" s="318"/>
      <c r="N578" s="237"/>
      <c r="O578" s="21"/>
      <c r="P578" s="21"/>
      <c r="Q578" s="21"/>
      <c r="R578" s="21"/>
      <c r="S578" s="21"/>
      <c r="T578" s="21"/>
      <c r="U578" s="237"/>
      <c r="V578" s="237"/>
      <c r="W578" s="237"/>
      <c r="X578" s="404">
        <f t="shared" si="848"/>
        <v>0</v>
      </c>
      <c r="Y578" s="237"/>
      <c r="Z578" s="394"/>
      <c r="AA578" s="21"/>
      <c r="AB578" s="21"/>
      <c r="AC578" s="21"/>
      <c r="AD578" s="21"/>
      <c r="AE578" s="21"/>
      <c r="AF578" s="21"/>
      <c r="AG578" s="237"/>
      <c r="AH578" s="237"/>
      <c r="AI578" s="237"/>
      <c r="AJ578" s="237"/>
      <c r="AK578" s="237"/>
      <c r="AL578" s="237"/>
      <c r="AM578" s="318">
        <f t="shared" si="850"/>
        <v>0</v>
      </c>
      <c r="AN578" s="21"/>
      <c r="AO578" s="21"/>
      <c r="AP578" s="21"/>
      <c r="AQ578" s="21"/>
      <c r="AR578" s="23"/>
      <c r="AS578" s="21"/>
      <c r="AT578" s="21"/>
      <c r="AU578" s="237"/>
      <c r="AV578" s="237"/>
      <c r="AW578" s="21"/>
    </row>
    <row r="579" spans="1:49">
      <c r="A579" s="401"/>
      <c r="L579" s="317">
        <f t="shared" si="867"/>
        <v>0</v>
      </c>
      <c r="M579" s="317"/>
      <c r="X579" s="401">
        <f t="shared" si="848"/>
        <v>0</v>
      </c>
      <c r="AM579" s="317">
        <f t="shared" si="850"/>
        <v>0</v>
      </c>
    </row>
    <row r="580" spans="1:49">
      <c r="A580" s="401"/>
      <c r="L580" s="317">
        <f t="shared" si="867"/>
        <v>0</v>
      </c>
      <c r="M580" s="317"/>
      <c r="X580" s="401">
        <f t="shared" si="848"/>
        <v>0</v>
      </c>
      <c r="AM580" s="317">
        <f t="shared" si="850"/>
        <v>0</v>
      </c>
    </row>
    <row r="581" spans="1:49">
      <c r="A581" s="401"/>
      <c r="L581" s="317">
        <f t="shared" si="867"/>
        <v>0</v>
      </c>
      <c r="M581" s="317"/>
      <c r="X581" s="401">
        <f t="shared" si="848"/>
        <v>0</v>
      </c>
      <c r="AM581" s="317">
        <f t="shared" si="850"/>
        <v>0</v>
      </c>
    </row>
    <row r="582" spans="1:49">
      <c r="A582" s="401"/>
      <c r="L582" s="317">
        <f t="shared" si="867"/>
        <v>0</v>
      </c>
      <c r="M582" s="317"/>
      <c r="X582" s="401">
        <f t="shared" si="848"/>
        <v>0</v>
      </c>
      <c r="AM582" s="317">
        <f t="shared" si="850"/>
        <v>0</v>
      </c>
    </row>
    <row r="583" spans="1:49">
      <c r="A583" s="401"/>
      <c r="L583" s="317">
        <f t="shared" si="867"/>
        <v>0</v>
      </c>
      <c r="M583" s="317"/>
      <c r="X583" s="401">
        <f t="shared" si="848"/>
        <v>0</v>
      </c>
      <c r="AM583" s="317">
        <f t="shared" si="850"/>
        <v>0</v>
      </c>
    </row>
    <row r="584" spans="1:49">
      <c r="A584" s="401"/>
      <c r="L584" s="317">
        <f t="shared" si="867"/>
        <v>0</v>
      </c>
      <c r="M584" s="317"/>
      <c r="X584" s="401">
        <f t="shared" si="848"/>
        <v>0</v>
      </c>
      <c r="AM584" s="317">
        <f t="shared" si="850"/>
        <v>0</v>
      </c>
    </row>
    <row r="585" spans="1:49">
      <c r="A585" s="401"/>
      <c r="L585" s="317">
        <f t="shared" si="867"/>
        <v>0</v>
      </c>
      <c r="M585" s="317"/>
      <c r="X585" s="401">
        <f t="shared" si="848"/>
        <v>0</v>
      </c>
      <c r="AM585" s="317">
        <f t="shared" si="850"/>
        <v>0</v>
      </c>
    </row>
    <row r="586" spans="1:49">
      <c r="A586" s="401"/>
      <c r="L586" s="317">
        <f t="shared" si="867"/>
        <v>0</v>
      </c>
      <c r="M586" s="317"/>
      <c r="X586" s="401">
        <f t="shared" si="848"/>
        <v>0</v>
      </c>
      <c r="AM586" s="317">
        <f t="shared" si="850"/>
        <v>0</v>
      </c>
    </row>
    <row r="587" spans="1:49">
      <c r="A587" s="401"/>
      <c r="L587" s="317">
        <f t="shared" si="867"/>
        <v>0</v>
      </c>
      <c r="M587" s="317"/>
      <c r="X587" s="401">
        <f t="shared" si="848"/>
        <v>0</v>
      </c>
      <c r="AM587" s="317">
        <f t="shared" si="850"/>
        <v>0</v>
      </c>
    </row>
    <row r="588" spans="1:49">
      <c r="A588" s="401"/>
      <c r="L588" s="317">
        <f t="shared" si="867"/>
        <v>0</v>
      </c>
      <c r="M588" s="317"/>
      <c r="X588" s="401">
        <f t="shared" si="848"/>
        <v>0</v>
      </c>
      <c r="AM588" s="317">
        <f t="shared" si="850"/>
        <v>0</v>
      </c>
    </row>
    <row r="589" spans="1:49">
      <c r="A589" s="401"/>
      <c r="L589" s="317">
        <f t="shared" si="867"/>
        <v>0</v>
      </c>
      <c r="M589" s="317"/>
      <c r="X589" s="401">
        <f t="shared" si="848"/>
        <v>0</v>
      </c>
      <c r="AM589" s="317">
        <f t="shared" si="850"/>
        <v>0</v>
      </c>
    </row>
    <row r="590" spans="1:49" ht="15.75" thickBot="1">
      <c r="A590" s="404"/>
      <c r="B590" s="237"/>
      <c r="C590" s="21"/>
      <c r="D590" s="21"/>
      <c r="E590" s="21"/>
      <c r="F590" s="21"/>
      <c r="G590" s="21"/>
      <c r="H590" s="21"/>
      <c r="I590" s="237"/>
      <c r="J590" s="237"/>
      <c r="K590" s="237"/>
      <c r="L590" s="318">
        <f t="shared" si="867"/>
        <v>0</v>
      </c>
      <c r="M590" s="318"/>
      <c r="N590" s="237"/>
      <c r="O590" s="21"/>
      <c r="P590" s="21"/>
      <c r="Q590" s="21"/>
      <c r="R590" s="21"/>
      <c r="S590" s="21"/>
      <c r="T590" s="21"/>
      <c r="U590" s="237"/>
      <c r="V590" s="237"/>
      <c r="W590" s="237"/>
      <c r="X590" s="404">
        <f t="shared" si="848"/>
        <v>0</v>
      </c>
      <c r="Y590" s="237"/>
      <c r="Z590" s="394"/>
      <c r="AA590" s="21"/>
      <c r="AB590" s="21"/>
      <c r="AC590" s="21"/>
      <c r="AD590" s="21"/>
      <c r="AE590" s="21"/>
      <c r="AF590" s="21"/>
      <c r="AG590" s="237"/>
      <c r="AH590" s="237"/>
      <c r="AI590" s="237"/>
      <c r="AJ590" s="237"/>
      <c r="AK590" s="237"/>
      <c r="AL590" s="237"/>
      <c r="AM590" s="318">
        <f t="shared" si="850"/>
        <v>0</v>
      </c>
      <c r="AN590" s="21"/>
      <c r="AO590" s="21"/>
      <c r="AP590" s="21"/>
      <c r="AQ590" s="21"/>
      <c r="AR590" s="23"/>
      <c r="AS590" s="21"/>
      <c r="AT590" s="21"/>
      <c r="AU590" s="237"/>
      <c r="AV590" s="237"/>
      <c r="AW590" s="21"/>
    </row>
    <row r="591" spans="1:49">
      <c r="A591" s="401"/>
      <c r="L591" s="317">
        <f t="shared" si="867"/>
        <v>0</v>
      </c>
      <c r="M591" s="317"/>
      <c r="X591" s="401">
        <f t="shared" si="848"/>
        <v>0</v>
      </c>
      <c r="AM591" s="317">
        <f t="shared" si="850"/>
        <v>0</v>
      </c>
    </row>
    <row r="592" spans="1:49">
      <c r="A592" s="401"/>
      <c r="L592" s="317">
        <f t="shared" si="867"/>
        <v>0</v>
      </c>
      <c r="M592" s="317"/>
      <c r="X592" s="401">
        <f t="shared" ref="X592:X655" si="868">+A592</f>
        <v>0</v>
      </c>
      <c r="AM592" s="317">
        <f t="shared" ref="AM592:AM655" si="869">+L592</f>
        <v>0</v>
      </c>
    </row>
    <row r="593" spans="1:49">
      <c r="A593" s="401"/>
      <c r="L593" s="317">
        <f t="shared" si="867"/>
        <v>0</v>
      </c>
      <c r="M593" s="317"/>
      <c r="X593" s="401">
        <f t="shared" si="868"/>
        <v>0</v>
      </c>
      <c r="AM593" s="317">
        <f t="shared" si="869"/>
        <v>0</v>
      </c>
    </row>
    <row r="594" spans="1:49">
      <c r="A594" s="401"/>
      <c r="L594" s="317">
        <f t="shared" si="867"/>
        <v>0</v>
      </c>
      <c r="M594" s="317"/>
      <c r="X594" s="401">
        <f t="shared" si="868"/>
        <v>0</v>
      </c>
      <c r="AM594" s="317">
        <f t="shared" si="869"/>
        <v>0</v>
      </c>
    </row>
    <row r="595" spans="1:49">
      <c r="A595" s="401"/>
      <c r="L595" s="317">
        <f t="shared" si="867"/>
        <v>0</v>
      </c>
      <c r="M595" s="317"/>
      <c r="X595" s="401">
        <f t="shared" si="868"/>
        <v>0</v>
      </c>
      <c r="AM595" s="317">
        <f t="shared" si="869"/>
        <v>0</v>
      </c>
    </row>
    <row r="596" spans="1:49">
      <c r="A596" s="401"/>
      <c r="L596" s="317">
        <f t="shared" si="867"/>
        <v>0</v>
      </c>
      <c r="M596" s="317"/>
      <c r="X596" s="401">
        <f t="shared" si="868"/>
        <v>0</v>
      </c>
      <c r="AM596" s="317">
        <f t="shared" si="869"/>
        <v>0</v>
      </c>
    </row>
    <row r="597" spans="1:49">
      <c r="A597" s="401"/>
      <c r="L597" s="317">
        <f t="shared" si="867"/>
        <v>0</v>
      </c>
      <c r="M597" s="317"/>
      <c r="X597" s="401">
        <f t="shared" si="868"/>
        <v>0</v>
      </c>
      <c r="AM597" s="317">
        <f t="shared" si="869"/>
        <v>0</v>
      </c>
    </row>
    <row r="598" spans="1:49">
      <c r="A598" s="401"/>
      <c r="L598" s="317">
        <f t="shared" si="867"/>
        <v>0</v>
      </c>
      <c r="M598" s="317"/>
      <c r="X598" s="401">
        <f t="shared" si="868"/>
        <v>0</v>
      </c>
      <c r="AM598" s="317">
        <f t="shared" si="869"/>
        <v>0</v>
      </c>
    </row>
    <row r="599" spans="1:49">
      <c r="A599" s="401"/>
      <c r="L599" s="317">
        <f t="shared" si="867"/>
        <v>0</v>
      </c>
      <c r="M599" s="317"/>
      <c r="X599" s="401">
        <f t="shared" si="868"/>
        <v>0</v>
      </c>
      <c r="AM599" s="317">
        <f t="shared" si="869"/>
        <v>0</v>
      </c>
    </row>
    <row r="600" spans="1:49">
      <c r="A600" s="401"/>
      <c r="L600" s="317">
        <f t="shared" si="867"/>
        <v>0</v>
      </c>
      <c r="M600" s="317"/>
      <c r="X600" s="401">
        <f t="shared" si="868"/>
        <v>0</v>
      </c>
      <c r="AM600" s="317">
        <f t="shared" si="869"/>
        <v>0</v>
      </c>
    </row>
    <row r="601" spans="1:49">
      <c r="A601" s="401"/>
      <c r="L601" s="317">
        <f t="shared" si="867"/>
        <v>0</v>
      </c>
      <c r="M601" s="317"/>
      <c r="X601" s="401">
        <f t="shared" si="868"/>
        <v>0</v>
      </c>
      <c r="AM601" s="317">
        <f t="shared" si="869"/>
        <v>0</v>
      </c>
    </row>
    <row r="602" spans="1:49" ht="15.75" thickBot="1">
      <c r="A602" s="404"/>
      <c r="B602" s="237"/>
      <c r="C602" s="21"/>
      <c r="D602" s="21"/>
      <c r="E602" s="21"/>
      <c r="F602" s="21"/>
      <c r="G602" s="21"/>
      <c r="H602" s="21"/>
      <c r="I602" s="237"/>
      <c r="J602" s="237"/>
      <c r="K602" s="237"/>
      <c r="L602" s="318">
        <f t="shared" si="867"/>
        <v>0</v>
      </c>
      <c r="M602" s="318"/>
      <c r="N602" s="237"/>
      <c r="O602" s="21"/>
      <c r="P602" s="21"/>
      <c r="Q602" s="21"/>
      <c r="R602" s="21"/>
      <c r="S602" s="21"/>
      <c r="T602" s="21"/>
      <c r="U602" s="237"/>
      <c r="V602" s="237"/>
      <c r="W602" s="237"/>
      <c r="X602" s="404">
        <f t="shared" si="868"/>
        <v>0</v>
      </c>
      <c r="Y602" s="237"/>
      <c r="Z602" s="394"/>
      <c r="AA602" s="21"/>
      <c r="AB602" s="21"/>
      <c r="AC602" s="21"/>
      <c r="AD602" s="21"/>
      <c r="AE602" s="21"/>
      <c r="AF602" s="21"/>
      <c r="AG602" s="237"/>
      <c r="AH602" s="237"/>
      <c r="AI602" s="237"/>
      <c r="AJ602" s="237"/>
      <c r="AK602" s="237"/>
      <c r="AL602" s="237"/>
      <c r="AM602" s="318">
        <f t="shared" si="869"/>
        <v>0</v>
      </c>
      <c r="AN602" s="21"/>
      <c r="AO602" s="21"/>
      <c r="AP602" s="21"/>
      <c r="AQ602" s="21"/>
      <c r="AR602" s="23"/>
      <c r="AS602" s="21"/>
      <c r="AT602" s="21"/>
      <c r="AU602" s="237"/>
      <c r="AV602" s="237"/>
      <c r="AW602" s="21"/>
    </row>
    <row r="603" spans="1:49">
      <c r="A603" s="401"/>
      <c r="L603" s="317">
        <f t="shared" si="867"/>
        <v>0</v>
      </c>
      <c r="M603" s="317"/>
      <c r="X603" s="401">
        <f t="shared" si="868"/>
        <v>0</v>
      </c>
      <c r="AM603" s="317">
        <f t="shared" si="869"/>
        <v>0</v>
      </c>
    </row>
    <row r="604" spans="1:49">
      <c r="A604" s="401"/>
      <c r="L604" s="317">
        <f t="shared" si="867"/>
        <v>0</v>
      </c>
      <c r="M604" s="317"/>
      <c r="X604" s="401">
        <f t="shared" si="868"/>
        <v>0</v>
      </c>
      <c r="AM604" s="317">
        <f t="shared" si="869"/>
        <v>0</v>
      </c>
    </row>
    <row r="605" spans="1:49">
      <c r="A605" s="401"/>
      <c r="L605" s="317">
        <f t="shared" si="867"/>
        <v>0</v>
      </c>
      <c r="M605" s="317"/>
      <c r="X605" s="401">
        <f t="shared" si="868"/>
        <v>0</v>
      </c>
      <c r="AM605" s="317">
        <f t="shared" si="869"/>
        <v>0</v>
      </c>
    </row>
    <row r="606" spans="1:49">
      <c r="A606" s="401"/>
      <c r="L606" s="317">
        <f t="shared" si="867"/>
        <v>0</v>
      </c>
      <c r="M606" s="317"/>
      <c r="X606" s="401">
        <f t="shared" si="868"/>
        <v>0</v>
      </c>
      <c r="AM606" s="317">
        <f t="shared" si="869"/>
        <v>0</v>
      </c>
    </row>
    <row r="607" spans="1:49">
      <c r="A607" s="401"/>
      <c r="L607" s="317">
        <f t="shared" si="867"/>
        <v>0</v>
      </c>
      <c r="M607" s="317"/>
      <c r="X607" s="401">
        <f t="shared" si="868"/>
        <v>0</v>
      </c>
      <c r="AM607" s="317">
        <f t="shared" si="869"/>
        <v>0</v>
      </c>
    </row>
    <row r="608" spans="1:49">
      <c r="A608" s="401"/>
      <c r="L608" s="317">
        <f t="shared" si="867"/>
        <v>0</v>
      </c>
      <c r="M608" s="317"/>
      <c r="X608" s="401">
        <f t="shared" si="868"/>
        <v>0</v>
      </c>
      <c r="AM608" s="317">
        <f t="shared" si="869"/>
        <v>0</v>
      </c>
    </row>
    <row r="609" spans="1:49">
      <c r="A609" s="401"/>
      <c r="L609" s="317">
        <f t="shared" si="867"/>
        <v>0</v>
      </c>
      <c r="M609" s="317"/>
      <c r="X609" s="401">
        <f t="shared" si="868"/>
        <v>0</v>
      </c>
      <c r="AM609" s="317">
        <f t="shared" si="869"/>
        <v>0</v>
      </c>
    </row>
    <row r="610" spans="1:49">
      <c r="A610" s="401"/>
      <c r="L610" s="317">
        <f t="shared" si="867"/>
        <v>0</v>
      </c>
      <c r="M610" s="317"/>
      <c r="X610" s="401">
        <f t="shared" si="868"/>
        <v>0</v>
      </c>
      <c r="AM610" s="317">
        <f t="shared" si="869"/>
        <v>0</v>
      </c>
    </row>
    <row r="611" spans="1:49">
      <c r="A611" s="401"/>
      <c r="L611" s="317">
        <f t="shared" si="867"/>
        <v>0</v>
      </c>
      <c r="M611" s="317"/>
      <c r="X611" s="401">
        <f t="shared" si="868"/>
        <v>0</v>
      </c>
      <c r="AM611" s="317">
        <f t="shared" si="869"/>
        <v>0</v>
      </c>
    </row>
    <row r="612" spans="1:49">
      <c r="A612" s="401"/>
      <c r="L612" s="317">
        <f t="shared" si="867"/>
        <v>0</v>
      </c>
      <c r="M612" s="317"/>
      <c r="X612" s="401">
        <f t="shared" si="868"/>
        <v>0</v>
      </c>
      <c r="AM612" s="317">
        <f t="shared" si="869"/>
        <v>0</v>
      </c>
    </row>
    <row r="613" spans="1:49">
      <c r="A613" s="401"/>
      <c r="L613" s="317">
        <f t="shared" si="867"/>
        <v>0</v>
      </c>
      <c r="M613" s="317"/>
      <c r="X613" s="401">
        <f t="shared" si="868"/>
        <v>0</v>
      </c>
      <c r="AM613" s="317">
        <f t="shared" si="869"/>
        <v>0</v>
      </c>
    </row>
    <row r="614" spans="1:49" ht="15.75" thickBot="1">
      <c r="A614" s="404"/>
      <c r="B614" s="237"/>
      <c r="C614" s="21"/>
      <c r="D614" s="21"/>
      <c r="E614" s="21"/>
      <c r="F614" s="21"/>
      <c r="G614" s="21"/>
      <c r="H614" s="21"/>
      <c r="I614" s="237"/>
      <c r="J614" s="237"/>
      <c r="K614" s="237"/>
      <c r="L614" s="318">
        <f t="shared" si="867"/>
        <v>0</v>
      </c>
      <c r="M614" s="318"/>
      <c r="N614" s="237"/>
      <c r="O614" s="21"/>
      <c r="P614" s="21"/>
      <c r="Q614" s="21"/>
      <c r="R614" s="21"/>
      <c r="S614" s="21"/>
      <c r="T614" s="21"/>
      <c r="U614" s="237"/>
      <c r="V614" s="237"/>
      <c r="W614" s="237"/>
      <c r="X614" s="404">
        <f t="shared" si="868"/>
        <v>0</v>
      </c>
      <c r="Y614" s="237"/>
      <c r="Z614" s="394"/>
      <c r="AA614" s="21"/>
      <c r="AB614" s="21"/>
      <c r="AC614" s="21"/>
      <c r="AD614" s="21"/>
      <c r="AE614" s="21"/>
      <c r="AF614" s="21"/>
      <c r="AG614" s="237"/>
      <c r="AH614" s="237"/>
      <c r="AI614" s="237"/>
      <c r="AJ614" s="237"/>
      <c r="AK614" s="237"/>
      <c r="AL614" s="237"/>
      <c r="AM614" s="318">
        <f t="shared" si="869"/>
        <v>0</v>
      </c>
      <c r="AN614" s="21"/>
      <c r="AO614" s="21"/>
      <c r="AP614" s="21"/>
      <c r="AQ614" s="21"/>
      <c r="AR614" s="23"/>
      <c r="AS614" s="21"/>
      <c r="AT614" s="21"/>
      <c r="AU614" s="237"/>
      <c r="AV614" s="237"/>
      <c r="AW614" s="21"/>
    </row>
    <row r="615" spans="1:49">
      <c r="A615" s="401"/>
      <c r="L615" s="317">
        <f t="shared" si="867"/>
        <v>0</v>
      </c>
      <c r="M615" s="317"/>
      <c r="X615" s="401">
        <f t="shared" si="868"/>
        <v>0</v>
      </c>
      <c r="AM615" s="317">
        <f t="shared" si="869"/>
        <v>0</v>
      </c>
    </row>
    <row r="616" spans="1:49">
      <c r="A616" s="401"/>
      <c r="L616" s="317">
        <f t="shared" si="867"/>
        <v>0</v>
      </c>
      <c r="M616" s="317"/>
      <c r="X616" s="401">
        <f t="shared" si="868"/>
        <v>0</v>
      </c>
      <c r="AM616" s="317">
        <f t="shared" si="869"/>
        <v>0</v>
      </c>
    </row>
    <row r="617" spans="1:49">
      <c r="A617" s="401"/>
      <c r="L617" s="317">
        <f t="shared" si="867"/>
        <v>0</v>
      </c>
      <c r="M617" s="317"/>
      <c r="X617" s="401">
        <f t="shared" si="868"/>
        <v>0</v>
      </c>
      <c r="AM617" s="317">
        <f t="shared" si="869"/>
        <v>0</v>
      </c>
    </row>
    <row r="618" spans="1:49">
      <c r="A618" s="401"/>
      <c r="L618" s="317">
        <f t="shared" si="867"/>
        <v>0</v>
      </c>
      <c r="M618" s="317"/>
      <c r="X618" s="401">
        <f t="shared" si="868"/>
        <v>0</v>
      </c>
      <c r="AM618" s="317">
        <f t="shared" si="869"/>
        <v>0</v>
      </c>
    </row>
    <row r="619" spans="1:49">
      <c r="A619" s="401"/>
      <c r="L619" s="317">
        <f t="shared" si="867"/>
        <v>0</v>
      </c>
      <c r="M619" s="317"/>
      <c r="X619" s="401">
        <f t="shared" si="868"/>
        <v>0</v>
      </c>
      <c r="AM619" s="317">
        <f t="shared" si="869"/>
        <v>0</v>
      </c>
    </row>
    <row r="620" spans="1:49">
      <c r="A620" s="401"/>
      <c r="L620" s="317">
        <f t="shared" si="867"/>
        <v>0</v>
      </c>
      <c r="M620" s="317"/>
      <c r="X620" s="401">
        <f t="shared" si="868"/>
        <v>0</v>
      </c>
      <c r="AM620" s="317">
        <f t="shared" si="869"/>
        <v>0</v>
      </c>
    </row>
    <row r="621" spans="1:49">
      <c r="A621" s="401"/>
      <c r="L621" s="317">
        <f t="shared" si="867"/>
        <v>0</v>
      </c>
      <c r="M621" s="317"/>
      <c r="X621" s="401">
        <f t="shared" si="868"/>
        <v>0</v>
      </c>
      <c r="AM621" s="317">
        <f t="shared" si="869"/>
        <v>0</v>
      </c>
    </row>
    <row r="622" spans="1:49">
      <c r="A622" s="401"/>
      <c r="L622" s="317">
        <f t="shared" si="867"/>
        <v>0</v>
      </c>
      <c r="M622" s="317"/>
      <c r="X622" s="401">
        <f t="shared" si="868"/>
        <v>0</v>
      </c>
      <c r="AM622" s="317">
        <f t="shared" si="869"/>
        <v>0</v>
      </c>
    </row>
    <row r="623" spans="1:49">
      <c r="A623" s="401"/>
      <c r="L623" s="317">
        <f t="shared" ref="L623:L686" si="870">IF(MOD(M623,12)=0,M623/12,L622)</f>
        <v>0</v>
      </c>
      <c r="M623" s="317"/>
      <c r="X623" s="401">
        <f t="shared" si="868"/>
        <v>0</v>
      </c>
      <c r="AM623" s="317">
        <f t="shared" si="869"/>
        <v>0</v>
      </c>
    </row>
    <row r="624" spans="1:49">
      <c r="A624" s="401"/>
      <c r="L624" s="317">
        <f t="shared" si="870"/>
        <v>0</v>
      </c>
      <c r="M624" s="317"/>
      <c r="X624" s="401">
        <f t="shared" si="868"/>
        <v>0</v>
      </c>
      <c r="AM624" s="317">
        <f t="shared" si="869"/>
        <v>0</v>
      </c>
    </row>
    <row r="625" spans="1:49">
      <c r="A625" s="401"/>
      <c r="L625" s="317">
        <f t="shared" si="870"/>
        <v>0</v>
      </c>
      <c r="M625" s="317"/>
      <c r="X625" s="401">
        <f t="shared" si="868"/>
        <v>0</v>
      </c>
      <c r="AM625" s="317">
        <f t="shared" si="869"/>
        <v>0</v>
      </c>
    </row>
    <row r="626" spans="1:49" ht="15.75" thickBot="1">
      <c r="A626" s="404"/>
      <c r="B626" s="237"/>
      <c r="C626" s="21"/>
      <c r="D626" s="21"/>
      <c r="E626" s="21"/>
      <c r="F626" s="21"/>
      <c r="G626" s="21"/>
      <c r="H626" s="21"/>
      <c r="I626" s="237"/>
      <c r="J626" s="237"/>
      <c r="K626" s="237"/>
      <c r="L626" s="318">
        <f t="shared" si="870"/>
        <v>0</v>
      </c>
      <c r="M626" s="318"/>
      <c r="N626" s="237"/>
      <c r="O626" s="21"/>
      <c r="P626" s="21"/>
      <c r="Q626" s="21"/>
      <c r="R626" s="21"/>
      <c r="S626" s="21"/>
      <c r="T626" s="21"/>
      <c r="U626" s="237"/>
      <c r="V626" s="237"/>
      <c r="W626" s="237"/>
      <c r="X626" s="404">
        <f t="shared" si="868"/>
        <v>0</v>
      </c>
      <c r="Y626" s="237"/>
      <c r="Z626" s="394"/>
      <c r="AA626" s="21"/>
      <c r="AB626" s="21"/>
      <c r="AC626" s="21"/>
      <c r="AD626" s="21"/>
      <c r="AE626" s="21"/>
      <c r="AF626" s="21"/>
      <c r="AG626" s="237"/>
      <c r="AH626" s="237"/>
      <c r="AI626" s="237"/>
      <c r="AJ626" s="237"/>
      <c r="AK626" s="237"/>
      <c r="AL626" s="237"/>
      <c r="AM626" s="318">
        <f t="shared" si="869"/>
        <v>0</v>
      </c>
      <c r="AN626" s="21"/>
      <c r="AO626" s="21"/>
      <c r="AP626" s="21"/>
      <c r="AQ626" s="21"/>
      <c r="AR626" s="23"/>
      <c r="AS626" s="21"/>
      <c r="AT626" s="21"/>
      <c r="AU626" s="237"/>
      <c r="AV626" s="237"/>
      <c r="AW626" s="21"/>
    </row>
    <row r="627" spans="1:49">
      <c r="A627" s="401"/>
      <c r="L627" s="317">
        <f t="shared" si="870"/>
        <v>0</v>
      </c>
      <c r="M627" s="317"/>
      <c r="X627" s="401">
        <f t="shared" si="868"/>
        <v>0</v>
      </c>
      <c r="AM627" s="317">
        <f t="shared" si="869"/>
        <v>0</v>
      </c>
    </row>
    <row r="628" spans="1:49">
      <c r="A628" s="401"/>
      <c r="L628" s="317">
        <f t="shared" si="870"/>
        <v>0</v>
      </c>
      <c r="M628" s="317"/>
      <c r="X628" s="401">
        <f t="shared" si="868"/>
        <v>0</v>
      </c>
      <c r="AM628" s="317">
        <f t="shared" si="869"/>
        <v>0</v>
      </c>
    </row>
    <row r="629" spans="1:49">
      <c r="A629" s="401"/>
      <c r="L629" s="317">
        <f t="shared" si="870"/>
        <v>0</v>
      </c>
      <c r="M629" s="317"/>
      <c r="X629" s="401">
        <f t="shared" si="868"/>
        <v>0</v>
      </c>
      <c r="AM629" s="317">
        <f t="shared" si="869"/>
        <v>0</v>
      </c>
    </row>
    <row r="630" spans="1:49">
      <c r="A630" s="401"/>
      <c r="L630" s="317">
        <f t="shared" si="870"/>
        <v>0</v>
      </c>
      <c r="M630" s="317"/>
      <c r="X630" s="401">
        <f t="shared" si="868"/>
        <v>0</v>
      </c>
      <c r="AM630" s="317">
        <f t="shared" si="869"/>
        <v>0</v>
      </c>
    </row>
    <row r="631" spans="1:49">
      <c r="A631" s="401"/>
      <c r="L631" s="317">
        <f t="shared" si="870"/>
        <v>0</v>
      </c>
      <c r="M631" s="317"/>
      <c r="X631" s="401">
        <f t="shared" si="868"/>
        <v>0</v>
      </c>
      <c r="AM631" s="317">
        <f t="shared" si="869"/>
        <v>0</v>
      </c>
    </row>
    <row r="632" spans="1:49">
      <c r="A632" s="401"/>
      <c r="L632" s="317">
        <f t="shared" si="870"/>
        <v>0</v>
      </c>
      <c r="M632" s="317"/>
      <c r="X632" s="401">
        <f t="shared" si="868"/>
        <v>0</v>
      </c>
      <c r="AM632" s="317">
        <f t="shared" si="869"/>
        <v>0</v>
      </c>
    </row>
    <row r="633" spans="1:49">
      <c r="A633" s="401"/>
      <c r="L633" s="317">
        <f t="shared" si="870"/>
        <v>0</v>
      </c>
      <c r="M633" s="317"/>
      <c r="X633" s="401">
        <f t="shared" si="868"/>
        <v>0</v>
      </c>
      <c r="AM633" s="317">
        <f t="shared" si="869"/>
        <v>0</v>
      </c>
    </row>
    <row r="634" spans="1:49">
      <c r="A634" s="401"/>
      <c r="L634" s="317">
        <f t="shared" si="870"/>
        <v>0</v>
      </c>
      <c r="M634" s="317"/>
      <c r="X634" s="401">
        <f t="shared" si="868"/>
        <v>0</v>
      </c>
      <c r="AM634" s="317">
        <f t="shared" si="869"/>
        <v>0</v>
      </c>
    </row>
    <row r="635" spans="1:49">
      <c r="A635" s="401"/>
      <c r="L635" s="317">
        <f t="shared" si="870"/>
        <v>0</v>
      </c>
      <c r="M635" s="317"/>
      <c r="X635" s="401">
        <f t="shared" si="868"/>
        <v>0</v>
      </c>
      <c r="AM635" s="317">
        <f t="shared" si="869"/>
        <v>0</v>
      </c>
    </row>
    <row r="636" spans="1:49">
      <c r="A636" s="401"/>
      <c r="L636" s="317">
        <f t="shared" si="870"/>
        <v>0</v>
      </c>
      <c r="M636" s="317"/>
      <c r="X636" s="401">
        <f t="shared" si="868"/>
        <v>0</v>
      </c>
      <c r="AM636" s="317">
        <f t="shared" si="869"/>
        <v>0</v>
      </c>
    </row>
    <row r="637" spans="1:49">
      <c r="A637" s="401"/>
      <c r="L637" s="317">
        <f t="shared" si="870"/>
        <v>0</v>
      </c>
      <c r="M637" s="317"/>
      <c r="X637" s="401">
        <f t="shared" si="868"/>
        <v>0</v>
      </c>
      <c r="AM637" s="317">
        <f t="shared" si="869"/>
        <v>0</v>
      </c>
    </row>
    <row r="638" spans="1:49" ht="15.75" thickBot="1">
      <c r="A638" s="404"/>
      <c r="B638" s="237"/>
      <c r="C638" s="21"/>
      <c r="D638" s="21"/>
      <c r="E638" s="21"/>
      <c r="F638" s="21"/>
      <c r="G638" s="21"/>
      <c r="H638" s="21"/>
      <c r="I638" s="237"/>
      <c r="J638" s="237"/>
      <c r="K638" s="237"/>
      <c r="L638" s="318">
        <f t="shared" si="870"/>
        <v>0</v>
      </c>
      <c r="M638" s="318"/>
      <c r="N638" s="237"/>
      <c r="O638" s="21"/>
      <c r="P638" s="21"/>
      <c r="Q638" s="21"/>
      <c r="R638" s="21"/>
      <c r="S638" s="21"/>
      <c r="T638" s="21"/>
      <c r="U638" s="237"/>
      <c r="V638" s="237"/>
      <c r="W638" s="237"/>
      <c r="X638" s="404">
        <f t="shared" si="868"/>
        <v>0</v>
      </c>
      <c r="Y638" s="237"/>
      <c r="Z638" s="394"/>
      <c r="AA638" s="21"/>
      <c r="AB638" s="21"/>
      <c r="AC638" s="21"/>
      <c r="AD638" s="21"/>
      <c r="AE638" s="21"/>
      <c r="AF638" s="21"/>
      <c r="AG638" s="237"/>
      <c r="AH638" s="237"/>
      <c r="AI638" s="237"/>
      <c r="AJ638" s="237"/>
      <c r="AK638" s="237"/>
      <c r="AL638" s="237"/>
      <c r="AM638" s="318">
        <f t="shared" si="869"/>
        <v>0</v>
      </c>
      <c r="AN638" s="21"/>
      <c r="AO638" s="21"/>
      <c r="AP638" s="21"/>
      <c r="AQ638" s="21"/>
      <c r="AR638" s="23"/>
      <c r="AS638" s="21"/>
      <c r="AT638" s="21"/>
      <c r="AU638" s="237"/>
      <c r="AV638" s="237"/>
      <c r="AW638" s="21"/>
    </row>
    <row r="639" spans="1:49">
      <c r="A639" s="401"/>
      <c r="L639" s="317">
        <f t="shared" si="870"/>
        <v>0</v>
      </c>
      <c r="M639" s="317"/>
      <c r="X639" s="401">
        <f t="shared" si="868"/>
        <v>0</v>
      </c>
      <c r="AM639" s="317">
        <f t="shared" si="869"/>
        <v>0</v>
      </c>
    </row>
    <row r="640" spans="1:49">
      <c r="A640" s="401"/>
      <c r="L640" s="317">
        <f t="shared" si="870"/>
        <v>0</v>
      </c>
      <c r="M640" s="317"/>
      <c r="X640" s="401">
        <f t="shared" si="868"/>
        <v>0</v>
      </c>
      <c r="AM640" s="317">
        <f t="shared" si="869"/>
        <v>0</v>
      </c>
    </row>
    <row r="641" spans="1:49">
      <c r="A641" s="401"/>
      <c r="L641" s="317">
        <f t="shared" si="870"/>
        <v>0</v>
      </c>
      <c r="M641" s="317"/>
      <c r="X641" s="401">
        <f t="shared" si="868"/>
        <v>0</v>
      </c>
      <c r="AM641" s="317">
        <f t="shared" si="869"/>
        <v>0</v>
      </c>
    </row>
    <row r="642" spans="1:49">
      <c r="A642" s="401"/>
      <c r="L642" s="317">
        <f t="shared" si="870"/>
        <v>0</v>
      </c>
      <c r="M642" s="317"/>
      <c r="X642" s="401">
        <f t="shared" si="868"/>
        <v>0</v>
      </c>
      <c r="AM642" s="317">
        <f t="shared" si="869"/>
        <v>0</v>
      </c>
    </row>
    <row r="643" spans="1:49">
      <c r="A643" s="401"/>
      <c r="L643" s="317">
        <f t="shared" si="870"/>
        <v>0</v>
      </c>
      <c r="M643" s="317"/>
      <c r="X643" s="401">
        <f t="shared" si="868"/>
        <v>0</v>
      </c>
      <c r="AM643" s="317">
        <f t="shared" si="869"/>
        <v>0</v>
      </c>
    </row>
    <row r="644" spans="1:49">
      <c r="A644" s="401"/>
      <c r="L644" s="317">
        <f t="shared" si="870"/>
        <v>0</v>
      </c>
      <c r="M644" s="317"/>
      <c r="X644" s="401">
        <f t="shared" si="868"/>
        <v>0</v>
      </c>
      <c r="AM644" s="317">
        <f t="shared" si="869"/>
        <v>0</v>
      </c>
    </row>
    <row r="645" spans="1:49">
      <c r="A645" s="401"/>
      <c r="L645" s="317">
        <f t="shared" si="870"/>
        <v>0</v>
      </c>
      <c r="M645" s="317"/>
      <c r="X645" s="401">
        <f t="shared" si="868"/>
        <v>0</v>
      </c>
      <c r="AM645" s="317">
        <f t="shared" si="869"/>
        <v>0</v>
      </c>
    </row>
    <row r="646" spans="1:49">
      <c r="A646" s="401"/>
      <c r="L646" s="317">
        <f t="shared" si="870"/>
        <v>0</v>
      </c>
      <c r="M646" s="317"/>
      <c r="X646" s="401">
        <f t="shared" si="868"/>
        <v>0</v>
      </c>
      <c r="AM646" s="317">
        <f t="shared" si="869"/>
        <v>0</v>
      </c>
    </row>
    <row r="647" spans="1:49">
      <c r="A647" s="401"/>
      <c r="L647" s="317">
        <f t="shared" si="870"/>
        <v>0</v>
      </c>
      <c r="M647" s="317"/>
      <c r="X647" s="401">
        <f t="shared" si="868"/>
        <v>0</v>
      </c>
      <c r="AM647" s="317">
        <f t="shared" si="869"/>
        <v>0</v>
      </c>
    </row>
    <row r="648" spans="1:49">
      <c r="A648" s="401"/>
      <c r="L648" s="317">
        <f t="shared" si="870"/>
        <v>0</v>
      </c>
      <c r="M648" s="317"/>
      <c r="X648" s="401">
        <f t="shared" si="868"/>
        <v>0</v>
      </c>
      <c r="AM648" s="317">
        <f t="shared" si="869"/>
        <v>0</v>
      </c>
    </row>
    <row r="649" spans="1:49">
      <c r="A649" s="401"/>
      <c r="L649" s="317">
        <f t="shared" si="870"/>
        <v>0</v>
      </c>
      <c r="M649" s="317"/>
      <c r="X649" s="401">
        <f t="shared" si="868"/>
        <v>0</v>
      </c>
      <c r="AM649" s="317">
        <f t="shared" si="869"/>
        <v>0</v>
      </c>
    </row>
    <row r="650" spans="1:49" ht="15.75" thickBot="1">
      <c r="A650" s="404"/>
      <c r="B650" s="237"/>
      <c r="C650" s="21"/>
      <c r="D650" s="21"/>
      <c r="E650" s="21"/>
      <c r="F650" s="21"/>
      <c r="G650" s="21"/>
      <c r="H650" s="21"/>
      <c r="I650" s="237"/>
      <c r="J650" s="237"/>
      <c r="K650" s="237"/>
      <c r="L650" s="318">
        <f t="shared" si="870"/>
        <v>0</v>
      </c>
      <c r="M650" s="318"/>
      <c r="N650" s="237"/>
      <c r="O650" s="21"/>
      <c r="P650" s="21"/>
      <c r="Q650" s="21"/>
      <c r="R650" s="21"/>
      <c r="S650" s="21"/>
      <c r="T650" s="21"/>
      <c r="U650" s="237"/>
      <c r="V650" s="237"/>
      <c r="W650" s="237"/>
      <c r="X650" s="404">
        <f t="shared" si="868"/>
        <v>0</v>
      </c>
      <c r="Y650" s="237"/>
      <c r="Z650" s="394"/>
      <c r="AA650" s="21"/>
      <c r="AB650" s="21"/>
      <c r="AC650" s="21"/>
      <c r="AD650" s="21"/>
      <c r="AE650" s="21"/>
      <c r="AF650" s="21"/>
      <c r="AG650" s="237"/>
      <c r="AH650" s="237"/>
      <c r="AI650" s="237"/>
      <c r="AJ650" s="237"/>
      <c r="AK650" s="237"/>
      <c r="AL650" s="237"/>
      <c r="AM650" s="318">
        <f t="shared" si="869"/>
        <v>0</v>
      </c>
      <c r="AN650" s="21"/>
      <c r="AO650" s="21"/>
      <c r="AP650" s="21"/>
      <c r="AQ650" s="21"/>
      <c r="AR650" s="23"/>
      <c r="AS650" s="21"/>
      <c r="AT650" s="21"/>
      <c r="AU650" s="237"/>
      <c r="AV650" s="237"/>
      <c r="AW650" s="21"/>
    </row>
    <row r="651" spans="1:49">
      <c r="A651" s="401"/>
      <c r="L651" s="317">
        <f t="shared" si="870"/>
        <v>0</v>
      </c>
      <c r="M651" s="317"/>
      <c r="X651" s="401">
        <f t="shared" si="868"/>
        <v>0</v>
      </c>
      <c r="AM651" s="317">
        <f t="shared" si="869"/>
        <v>0</v>
      </c>
    </row>
    <row r="652" spans="1:49">
      <c r="A652" s="401"/>
      <c r="L652" s="317">
        <f t="shared" si="870"/>
        <v>0</v>
      </c>
      <c r="M652" s="317"/>
      <c r="X652" s="401">
        <f t="shared" si="868"/>
        <v>0</v>
      </c>
      <c r="AM652" s="317">
        <f t="shared" si="869"/>
        <v>0</v>
      </c>
    </row>
    <row r="653" spans="1:49">
      <c r="A653" s="401"/>
      <c r="L653" s="317">
        <f t="shared" si="870"/>
        <v>0</v>
      </c>
      <c r="M653" s="317"/>
      <c r="X653" s="401">
        <f t="shared" si="868"/>
        <v>0</v>
      </c>
      <c r="AM653" s="317">
        <f t="shared" si="869"/>
        <v>0</v>
      </c>
    </row>
    <row r="654" spans="1:49">
      <c r="A654" s="401"/>
      <c r="L654" s="317">
        <f t="shared" si="870"/>
        <v>0</v>
      </c>
      <c r="M654" s="317"/>
      <c r="X654" s="401">
        <f t="shared" si="868"/>
        <v>0</v>
      </c>
      <c r="AM654" s="317">
        <f t="shared" si="869"/>
        <v>0</v>
      </c>
    </row>
    <row r="655" spans="1:49">
      <c r="A655" s="401"/>
      <c r="L655" s="317">
        <f t="shared" si="870"/>
        <v>0</v>
      </c>
      <c r="M655" s="317"/>
      <c r="X655" s="401">
        <f t="shared" si="868"/>
        <v>0</v>
      </c>
      <c r="AM655" s="317">
        <f t="shared" si="869"/>
        <v>0</v>
      </c>
    </row>
    <row r="656" spans="1:49">
      <c r="A656" s="401"/>
      <c r="L656" s="317">
        <f t="shared" si="870"/>
        <v>0</v>
      </c>
      <c r="M656" s="317"/>
      <c r="X656" s="401">
        <f t="shared" ref="X656:X719" si="871">+A656</f>
        <v>0</v>
      </c>
      <c r="AM656" s="317">
        <f t="shared" ref="AM656:AM719" si="872">+L656</f>
        <v>0</v>
      </c>
    </row>
    <row r="657" spans="1:49">
      <c r="A657" s="401"/>
      <c r="L657" s="317">
        <f t="shared" si="870"/>
        <v>0</v>
      </c>
      <c r="M657" s="317"/>
      <c r="X657" s="401">
        <f t="shared" si="871"/>
        <v>0</v>
      </c>
      <c r="AM657" s="317">
        <f t="shared" si="872"/>
        <v>0</v>
      </c>
    </row>
    <row r="658" spans="1:49">
      <c r="A658" s="401"/>
      <c r="L658" s="317">
        <f t="shared" si="870"/>
        <v>0</v>
      </c>
      <c r="M658" s="317"/>
      <c r="X658" s="401">
        <f t="shared" si="871"/>
        <v>0</v>
      </c>
      <c r="AM658" s="317">
        <f t="shared" si="872"/>
        <v>0</v>
      </c>
    </row>
    <row r="659" spans="1:49">
      <c r="A659" s="401"/>
      <c r="L659" s="317">
        <f t="shared" si="870"/>
        <v>0</v>
      </c>
      <c r="M659" s="317"/>
      <c r="X659" s="401">
        <f t="shared" si="871"/>
        <v>0</v>
      </c>
      <c r="AM659" s="317">
        <f t="shared" si="872"/>
        <v>0</v>
      </c>
    </row>
    <row r="660" spans="1:49">
      <c r="A660" s="401"/>
      <c r="L660" s="317">
        <f t="shared" si="870"/>
        <v>0</v>
      </c>
      <c r="M660" s="317"/>
      <c r="X660" s="401">
        <f t="shared" si="871"/>
        <v>0</v>
      </c>
      <c r="AM660" s="317">
        <f t="shared" si="872"/>
        <v>0</v>
      </c>
    </row>
    <row r="661" spans="1:49">
      <c r="A661" s="401"/>
      <c r="L661" s="317">
        <f t="shared" si="870"/>
        <v>0</v>
      </c>
      <c r="M661" s="317"/>
      <c r="X661" s="401">
        <f t="shared" si="871"/>
        <v>0</v>
      </c>
      <c r="AM661" s="317">
        <f t="shared" si="872"/>
        <v>0</v>
      </c>
    </row>
    <row r="662" spans="1:49" ht="15.75" thickBot="1">
      <c r="A662" s="404"/>
      <c r="B662" s="237"/>
      <c r="C662" s="21"/>
      <c r="D662" s="21"/>
      <c r="E662" s="21"/>
      <c r="F662" s="21"/>
      <c r="G662" s="21"/>
      <c r="H662" s="21"/>
      <c r="I662" s="237"/>
      <c r="J662" s="237"/>
      <c r="K662" s="237"/>
      <c r="L662" s="318">
        <f t="shared" si="870"/>
        <v>0</v>
      </c>
      <c r="M662" s="318"/>
      <c r="N662" s="237"/>
      <c r="O662" s="21"/>
      <c r="P662" s="21"/>
      <c r="Q662" s="21"/>
      <c r="R662" s="21"/>
      <c r="S662" s="21"/>
      <c r="T662" s="21"/>
      <c r="U662" s="237"/>
      <c r="V662" s="237"/>
      <c r="W662" s="237"/>
      <c r="X662" s="404">
        <f t="shared" si="871"/>
        <v>0</v>
      </c>
      <c r="Y662" s="237"/>
      <c r="Z662" s="394"/>
      <c r="AA662" s="21"/>
      <c r="AB662" s="21"/>
      <c r="AC662" s="21"/>
      <c r="AD662" s="21"/>
      <c r="AE662" s="21"/>
      <c r="AF662" s="21"/>
      <c r="AG662" s="237"/>
      <c r="AH662" s="237"/>
      <c r="AI662" s="237"/>
      <c r="AJ662" s="237"/>
      <c r="AK662" s="237"/>
      <c r="AL662" s="237"/>
      <c r="AM662" s="318">
        <f t="shared" si="872"/>
        <v>0</v>
      </c>
      <c r="AN662" s="21"/>
      <c r="AO662" s="21"/>
      <c r="AP662" s="21"/>
      <c r="AQ662" s="21"/>
      <c r="AR662" s="23"/>
      <c r="AS662" s="21"/>
      <c r="AT662" s="21"/>
      <c r="AU662" s="237"/>
      <c r="AV662" s="237"/>
      <c r="AW662" s="21"/>
    </row>
    <row r="663" spans="1:49">
      <c r="A663" s="401"/>
      <c r="L663" s="317">
        <f t="shared" si="870"/>
        <v>0</v>
      </c>
      <c r="M663" s="317"/>
      <c r="X663" s="401">
        <f t="shared" si="871"/>
        <v>0</v>
      </c>
      <c r="AM663" s="317">
        <f t="shared" si="872"/>
        <v>0</v>
      </c>
    </row>
    <row r="664" spans="1:49">
      <c r="A664" s="401"/>
      <c r="L664" s="317">
        <f t="shared" si="870"/>
        <v>0</v>
      </c>
      <c r="M664" s="317"/>
      <c r="X664" s="401">
        <f t="shared" si="871"/>
        <v>0</v>
      </c>
      <c r="AM664" s="317">
        <f t="shared" si="872"/>
        <v>0</v>
      </c>
    </row>
    <row r="665" spans="1:49">
      <c r="A665" s="401"/>
      <c r="L665" s="317">
        <f t="shared" si="870"/>
        <v>0</v>
      </c>
      <c r="M665" s="317"/>
      <c r="X665" s="401">
        <f t="shared" si="871"/>
        <v>0</v>
      </c>
      <c r="AM665" s="317">
        <f t="shared" si="872"/>
        <v>0</v>
      </c>
    </row>
    <row r="666" spans="1:49">
      <c r="A666" s="401"/>
      <c r="L666" s="317">
        <f t="shared" si="870"/>
        <v>0</v>
      </c>
      <c r="M666" s="317"/>
      <c r="X666" s="401">
        <f t="shared" si="871"/>
        <v>0</v>
      </c>
      <c r="AM666" s="317">
        <f t="shared" si="872"/>
        <v>0</v>
      </c>
    </row>
    <row r="667" spans="1:49">
      <c r="A667" s="401"/>
      <c r="L667" s="317">
        <f t="shared" si="870"/>
        <v>0</v>
      </c>
      <c r="M667" s="317"/>
      <c r="X667" s="401">
        <f t="shared" si="871"/>
        <v>0</v>
      </c>
      <c r="AM667" s="317">
        <f t="shared" si="872"/>
        <v>0</v>
      </c>
    </row>
    <row r="668" spans="1:49">
      <c r="A668" s="401"/>
      <c r="L668" s="317">
        <f t="shared" si="870"/>
        <v>0</v>
      </c>
      <c r="M668" s="317"/>
      <c r="X668" s="401">
        <f t="shared" si="871"/>
        <v>0</v>
      </c>
      <c r="AM668" s="317">
        <f t="shared" si="872"/>
        <v>0</v>
      </c>
    </row>
    <row r="669" spans="1:49">
      <c r="A669" s="401"/>
      <c r="L669" s="317">
        <f t="shared" si="870"/>
        <v>0</v>
      </c>
      <c r="M669" s="317"/>
      <c r="X669" s="401">
        <f t="shared" si="871"/>
        <v>0</v>
      </c>
      <c r="AM669" s="317">
        <f t="shared" si="872"/>
        <v>0</v>
      </c>
    </row>
    <row r="670" spans="1:49">
      <c r="A670" s="401"/>
      <c r="L670" s="317">
        <f t="shared" si="870"/>
        <v>0</v>
      </c>
      <c r="M670" s="317"/>
      <c r="X670" s="401">
        <f t="shared" si="871"/>
        <v>0</v>
      </c>
      <c r="AM670" s="317">
        <f t="shared" si="872"/>
        <v>0</v>
      </c>
    </row>
    <row r="671" spans="1:49">
      <c r="A671" s="401"/>
      <c r="L671" s="317">
        <f t="shared" si="870"/>
        <v>0</v>
      </c>
      <c r="M671" s="317"/>
      <c r="X671" s="401">
        <f t="shared" si="871"/>
        <v>0</v>
      </c>
      <c r="AM671" s="317">
        <f t="shared" si="872"/>
        <v>0</v>
      </c>
    </row>
    <row r="672" spans="1:49">
      <c r="A672" s="401"/>
      <c r="L672" s="317">
        <f t="shared" si="870"/>
        <v>0</v>
      </c>
      <c r="M672" s="317"/>
      <c r="X672" s="401">
        <f t="shared" si="871"/>
        <v>0</v>
      </c>
      <c r="AM672" s="317">
        <f t="shared" si="872"/>
        <v>0</v>
      </c>
    </row>
    <row r="673" spans="1:49">
      <c r="A673" s="401"/>
      <c r="L673" s="317">
        <f t="shared" si="870"/>
        <v>0</v>
      </c>
      <c r="M673" s="317"/>
      <c r="X673" s="401">
        <f t="shared" si="871"/>
        <v>0</v>
      </c>
      <c r="AM673" s="317">
        <f t="shared" si="872"/>
        <v>0</v>
      </c>
    </row>
    <row r="674" spans="1:49" ht="15.75" thickBot="1">
      <c r="A674" s="404"/>
      <c r="B674" s="237"/>
      <c r="C674" s="21"/>
      <c r="D674" s="21"/>
      <c r="E674" s="21"/>
      <c r="F674" s="21"/>
      <c r="G674" s="21"/>
      <c r="H674" s="21"/>
      <c r="I674" s="237"/>
      <c r="J674" s="237"/>
      <c r="K674" s="237"/>
      <c r="L674" s="318">
        <f t="shared" si="870"/>
        <v>0</v>
      </c>
      <c r="M674" s="318"/>
      <c r="N674" s="237"/>
      <c r="O674" s="21"/>
      <c r="P674" s="21"/>
      <c r="Q674" s="21"/>
      <c r="R674" s="21"/>
      <c r="S674" s="21"/>
      <c r="T674" s="21"/>
      <c r="U674" s="237"/>
      <c r="V674" s="237"/>
      <c r="W674" s="237"/>
      <c r="X674" s="404">
        <f t="shared" si="871"/>
        <v>0</v>
      </c>
      <c r="Y674" s="237"/>
      <c r="Z674" s="394"/>
      <c r="AA674" s="21"/>
      <c r="AB674" s="21"/>
      <c r="AC674" s="21"/>
      <c r="AD674" s="21"/>
      <c r="AE674" s="21"/>
      <c r="AF674" s="21"/>
      <c r="AG674" s="237"/>
      <c r="AH674" s="237"/>
      <c r="AI674" s="237"/>
      <c r="AJ674" s="237"/>
      <c r="AK674" s="237"/>
      <c r="AL674" s="237"/>
      <c r="AM674" s="318">
        <f t="shared" si="872"/>
        <v>0</v>
      </c>
      <c r="AN674" s="21"/>
      <c r="AO674" s="21"/>
      <c r="AP674" s="21"/>
      <c r="AQ674" s="21"/>
      <c r="AR674" s="23"/>
      <c r="AS674" s="21"/>
      <c r="AT674" s="21"/>
      <c r="AU674" s="237"/>
      <c r="AV674" s="237"/>
      <c r="AW674" s="21"/>
    </row>
    <row r="675" spans="1:49">
      <c r="A675" s="401"/>
      <c r="L675" s="317">
        <f t="shared" si="870"/>
        <v>0</v>
      </c>
      <c r="M675" s="317"/>
      <c r="X675" s="401">
        <f t="shared" si="871"/>
        <v>0</v>
      </c>
      <c r="AM675" s="317">
        <f t="shared" si="872"/>
        <v>0</v>
      </c>
    </row>
    <row r="676" spans="1:49">
      <c r="A676" s="401"/>
      <c r="L676" s="317">
        <f t="shared" si="870"/>
        <v>0</v>
      </c>
      <c r="M676" s="317"/>
      <c r="X676" s="401">
        <f t="shared" si="871"/>
        <v>0</v>
      </c>
      <c r="AM676" s="317">
        <f t="shared" si="872"/>
        <v>0</v>
      </c>
    </row>
    <row r="677" spans="1:49">
      <c r="A677" s="401"/>
      <c r="L677" s="317">
        <f t="shared" si="870"/>
        <v>0</v>
      </c>
      <c r="M677" s="317"/>
      <c r="X677" s="401">
        <f t="shared" si="871"/>
        <v>0</v>
      </c>
      <c r="AM677" s="317">
        <f t="shared" si="872"/>
        <v>0</v>
      </c>
    </row>
    <row r="678" spans="1:49">
      <c r="A678" s="401"/>
      <c r="L678" s="317">
        <f t="shared" si="870"/>
        <v>0</v>
      </c>
      <c r="M678" s="317"/>
      <c r="X678" s="401">
        <f t="shared" si="871"/>
        <v>0</v>
      </c>
      <c r="AM678" s="317">
        <f t="shared" si="872"/>
        <v>0</v>
      </c>
    </row>
    <row r="679" spans="1:49">
      <c r="A679" s="401"/>
      <c r="L679" s="317">
        <f t="shared" si="870"/>
        <v>0</v>
      </c>
      <c r="M679" s="317"/>
      <c r="X679" s="401">
        <f t="shared" si="871"/>
        <v>0</v>
      </c>
      <c r="AM679" s="317">
        <f t="shared" si="872"/>
        <v>0</v>
      </c>
    </row>
    <row r="680" spans="1:49">
      <c r="A680" s="401"/>
      <c r="L680" s="317">
        <f t="shared" si="870"/>
        <v>0</v>
      </c>
      <c r="M680" s="317"/>
      <c r="X680" s="401">
        <f t="shared" si="871"/>
        <v>0</v>
      </c>
      <c r="AM680" s="317">
        <f t="shared" si="872"/>
        <v>0</v>
      </c>
    </row>
    <row r="681" spans="1:49">
      <c r="A681" s="401"/>
      <c r="L681" s="317">
        <f t="shared" si="870"/>
        <v>0</v>
      </c>
      <c r="M681" s="317"/>
      <c r="X681" s="401">
        <f t="shared" si="871"/>
        <v>0</v>
      </c>
      <c r="AM681" s="317">
        <f t="shared" si="872"/>
        <v>0</v>
      </c>
    </row>
    <row r="682" spans="1:49">
      <c r="A682" s="401"/>
      <c r="L682" s="317">
        <f t="shared" si="870"/>
        <v>0</v>
      </c>
      <c r="M682" s="317"/>
      <c r="X682" s="401">
        <f t="shared" si="871"/>
        <v>0</v>
      </c>
      <c r="AM682" s="317">
        <f t="shared" si="872"/>
        <v>0</v>
      </c>
    </row>
    <row r="683" spans="1:49">
      <c r="A683" s="401"/>
      <c r="L683" s="317">
        <f t="shared" si="870"/>
        <v>0</v>
      </c>
      <c r="M683" s="317"/>
      <c r="X683" s="401">
        <f t="shared" si="871"/>
        <v>0</v>
      </c>
      <c r="AM683" s="317">
        <f t="shared" si="872"/>
        <v>0</v>
      </c>
    </row>
    <row r="684" spans="1:49">
      <c r="A684" s="401"/>
      <c r="L684" s="317">
        <f t="shared" si="870"/>
        <v>0</v>
      </c>
      <c r="M684" s="317"/>
      <c r="X684" s="401">
        <f t="shared" si="871"/>
        <v>0</v>
      </c>
      <c r="AM684" s="317">
        <f t="shared" si="872"/>
        <v>0</v>
      </c>
    </row>
    <row r="685" spans="1:49">
      <c r="A685" s="401"/>
      <c r="L685" s="317">
        <f t="shared" si="870"/>
        <v>0</v>
      </c>
      <c r="M685" s="317"/>
      <c r="X685" s="401">
        <f t="shared" si="871"/>
        <v>0</v>
      </c>
      <c r="AM685" s="317">
        <f t="shared" si="872"/>
        <v>0</v>
      </c>
    </row>
    <row r="686" spans="1:49" ht="15.75" thickBot="1">
      <c r="A686" s="404"/>
      <c r="B686" s="237"/>
      <c r="C686" s="21"/>
      <c r="D686" s="21"/>
      <c r="E686" s="21"/>
      <c r="F686" s="21"/>
      <c r="G686" s="21"/>
      <c r="H686" s="21"/>
      <c r="I686" s="237"/>
      <c r="J686" s="237"/>
      <c r="K686" s="237"/>
      <c r="L686" s="318">
        <f t="shared" si="870"/>
        <v>0</v>
      </c>
      <c r="M686" s="318"/>
      <c r="N686" s="237"/>
      <c r="O686" s="21"/>
      <c r="P686" s="21"/>
      <c r="Q686" s="21"/>
      <c r="R686" s="21"/>
      <c r="S686" s="21"/>
      <c r="T686" s="21"/>
      <c r="U686" s="237"/>
      <c r="V686" s="237"/>
      <c r="W686" s="237"/>
      <c r="X686" s="404">
        <f t="shared" si="871"/>
        <v>0</v>
      </c>
      <c r="Y686" s="237"/>
      <c r="Z686" s="394"/>
      <c r="AA686" s="21"/>
      <c r="AB686" s="21"/>
      <c r="AC686" s="21"/>
      <c r="AD686" s="21"/>
      <c r="AE686" s="21"/>
      <c r="AF686" s="21"/>
      <c r="AG686" s="237"/>
      <c r="AH686" s="237"/>
      <c r="AI686" s="237"/>
      <c r="AJ686" s="237"/>
      <c r="AK686" s="237"/>
      <c r="AL686" s="237"/>
      <c r="AM686" s="318">
        <f t="shared" si="872"/>
        <v>0</v>
      </c>
      <c r="AN686" s="21"/>
      <c r="AO686" s="21"/>
      <c r="AP686" s="21"/>
      <c r="AQ686" s="21"/>
      <c r="AR686" s="23"/>
      <c r="AS686" s="21"/>
      <c r="AT686" s="21"/>
      <c r="AU686" s="237"/>
      <c r="AV686" s="237"/>
      <c r="AW686" s="21"/>
    </row>
    <row r="687" spans="1:49">
      <c r="A687" s="401"/>
      <c r="L687" s="317">
        <f t="shared" ref="L687:L750" si="873">IF(MOD(M687,12)=0,M687/12,L686)</f>
        <v>0</v>
      </c>
      <c r="M687" s="317"/>
      <c r="X687" s="401">
        <f t="shared" si="871"/>
        <v>0</v>
      </c>
      <c r="AM687" s="317">
        <f t="shared" si="872"/>
        <v>0</v>
      </c>
    </row>
    <row r="688" spans="1:49">
      <c r="A688" s="401"/>
      <c r="L688" s="317">
        <f t="shared" si="873"/>
        <v>0</v>
      </c>
      <c r="M688" s="317"/>
      <c r="X688" s="401">
        <f t="shared" si="871"/>
        <v>0</v>
      </c>
      <c r="AM688" s="317">
        <f t="shared" si="872"/>
        <v>0</v>
      </c>
    </row>
    <row r="689" spans="1:49">
      <c r="A689" s="401"/>
      <c r="L689" s="317">
        <f t="shared" si="873"/>
        <v>0</v>
      </c>
      <c r="M689" s="317"/>
      <c r="X689" s="401">
        <f t="shared" si="871"/>
        <v>0</v>
      </c>
      <c r="AM689" s="317">
        <f t="shared" si="872"/>
        <v>0</v>
      </c>
    </row>
    <row r="690" spans="1:49">
      <c r="A690" s="401"/>
      <c r="L690" s="317">
        <f t="shared" si="873"/>
        <v>0</v>
      </c>
      <c r="M690" s="317"/>
      <c r="X690" s="401">
        <f t="shared" si="871"/>
        <v>0</v>
      </c>
      <c r="AM690" s="317">
        <f t="shared" si="872"/>
        <v>0</v>
      </c>
    </row>
    <row r="691" spans="1:49">
      <c r="A691" s="401"/>
      <c r="L691" s="317">
        <f t="shared" si="873"/>
        <v>0</v>
      </c>
      <c r="M691" s="317"/>
      <c r="X691" s="401">
        <f t="shared" si="871"/>
        <v>0</v>
      </c>
      <c r="AM691" s="317">
        <f t="shared" si="872"/>
        <v>0</v>
      </c>
    </row>
    <row r="692" spans="1:49">
      <c r="A692" s="401"/>
      <c r="L692" s="317">
        <f t="shared" si="873"/>
        <v>0</v>
      </c>
      <c r="M692" s="317"/>
      <c r="X692" s="401">
        <f t="shared" si="871"/>
        <v>0</v>
      </c>
      <c r="AM692" s="317">
        <f t="shared" si="872"/>
        <v>0</v>
      </c>
    </row>
    <row r="693" spans="1:49">
      <c r="A693" s="401"/>
      <c r="L693" s="317">
        <f t="shared" si="873"/>
        <v>0</v>
      </c>
      <c r="M693" s="317"/>
      <c r="X693" s="401">
        <f t="shared" si="871"/>
        <v>0</v>
      </c>
      <c r="AM693" s="317">
        <f t="shared" si="872"/>
        <v>0</v>
      </c>
    </row>
    <row r="694" spans="1:49">
      <c r="A694" s="401"/>
      <c r="L694" s="317">
        <f t="shared" si="873"/>
        <v>0</v>
      </c>
      <c r="M694" s="317"/>
      <c r="X694" s="401">
        <f t="shared" si="871"/>
        <v>0</v>
      </c>
      <c r="AM694" s="317">
        <f t="shared" si="872"/>
        <v>0</v>
      </c>
    </row>
    <row r="695" spans="1:49">
      <c r="A695" s="401"/>
      <c r="L695" s="317">
        <f t="shared" si="873"/>
        <v>0</v>
      </c>
      <c r="M695" s="317"/>
      <c r="X695" s="401">
        <f t="shared" si="871"/>
        <v>0</v>
      </c>
      <c r="AM695" s="317">
        <f t="shared" si="872"/>
        <v>0</v>
      </c>
    </row>
    <row r="696" spans="1:49">
      <c r="A696" s="401"/>
      <c r="L696" s="317">
        <f t="shared" si="873"/>
        <v>0</v>
      </c>
      <c r="M696" s="317"/>
      <c r="X696" s="401">
        <f t="shared" si="871"/>
        <v>0</v>
      </c>
      <c r="AM696" s="317">
        <f t="shared" si="872"/>
        <v>0</v>
      </c>
    </row>
    <row r="697" spans="1:49">
      <c r="A697" s="401"/>
      <c r="L697" s="317">
        <f t="shared" si="873"/>
        <v>0</v>
      </c>
      <c r="M697" s="317"/>
      <c r="X697" s="401">
        <f t="shared" si="871"/>
        <v>0</v>
      </c>
      <c r="AM697" s="317">
        <f t="shared" si="872"/>
        <v>0</v>
      </c>
    </row>
    <row r="698" spans="1:49" ht="15.75" thickBot="1">
      <c r="A698" s="404"/>
      <c r="B698" s="237"/>
      <c r="C698" s="21"/>
      <c r="D698" s="21"/>
      <c r="E698" s="21"/>
      <c r="F698" s="21"/>
      <c r="G698" s="21"/>
      <c r="H698" s="21"/>
      <c r="I698" s="237"/>
      <c r="J698" s="237"/>
      <c r="K698" s="237"/>
      <c r="L698" s="318">
        <f t="shared" si="873"/>
        <v>0</v>
      </c>
      <c r="M698" s="318"/>
      <c r="N698" s="237"/>
      <c r="O698" s="21"/>
      <c r="P698" s="21"/>
      <c r="Q698" s="21"/>
      <c r="R698" s="21"/>
      <c r="S698" s="21"/>
      <c r="T698" s="21"/>
      <c r="U698" s="237"/>
      <c r="V698" s="237"/>
      <c r="W698" s="237"/>
      <c r="X698" s="404">
        <f t="shared" si="871"/>
        <v>0</v>
      </c>
      <c r="Y698" s="237"/>
      <c r="Z698" s="394"/>
      <c r="AA698" s="21"/>
      <c r="AB698" s="21"/>
      <c r="AC698" s="21"/>
      <c r="AD698" s="21"/>
      <c r="AE698" s="21"/>
      <c r="AF698" s="21"/>
      <c r="AG698" s="237"/>
      <c r="AH698" s="237"/>
      <c r="AI698" s="237"/>
      <c r="AJ698" s="237"/>
      <c r="AK698" s="237"/>
      <c r="AL698" s="237"/>
      <c r="AM698" s="318">
        <f t="shared" si="872"/>
        <v>0</v>
      </c>
      <c r="AN698" s="21"/>
      <c r="AO698" s="21"/>
      <c r="AP698" s="21"/>
      <c r="AQ698" s="21"/>
      <c r="AR698" s="23"/>
      <c r="AS698" s="21"/>
      <c r="AT698" s="21"/>
      <c r="AU698" s="237"/>
      <c r="AV698" s="237"/>
      <c r="AW698" s="21"/>
    </row>
    <row r="699" spans="1:49">
      <c r="A699" s="401"/>
      <c r="L699" s="317">
        <f t="shared" si="873"/>
        <v>0</v>
      </c>
      <c r="M699" s="317"/>
      <c r="X699" s="401">
        <f t="shared" si="871"/>
        <v>0</v>
      </c>
      <c r="AM699" s="317">
        <f t="shared" si="872"/>
        <v>0</v>
      </c>
    </row>
    <row r="700" spans="1:49">
      <c r="A700" s="401"/>
      <c r="L700" s="317">
        <f t="shared" si="873"/>
        <v>0</v>
      </c>
      <c r="M700" s="317"/>
      <c r="X700" s="401">
        <f t="shared" si="871"/>
        <v>0</v>
      </c>
      <c r="AM700" s="317">
        <f t="shared" si="872"/>
        <v>0</v>
      </c>
    </row>
    <row r="701" spans="1:49">
      <c r="A701" s="401"/>
      <c r="L701" s="317">
        <f t="shared" si="873"/>
        <v>0</v>
      </c>
      <c r="M701" s="317"/>
      <c r="X701" s="401">
        <f t="shared" si="871"/>
        <v>0</v>
      </c>
      <c r="AM701" s="317">
        <f t="shared" si="872"/>
        <v>0</v>
      </c>
    </row>
    <row r="702" spans="1:49">
      <c r="A702" s="401"/>
      <c r="L702" s="317">
        <f t="shared" si="873"/>
        <v>0</v>
      </c>
      <c r="M702" s="317"/>
      <c r="X702" s="401">
        <f t="shared" si="871"/>
        <v>0</v>
      </c>
      <c r="AM702" s="317">
        <f t="shared" si="872"/>
        <v>0</v>
      </c>
    </row>
    <row r="703" spans="1:49">
      <c r="A703" s="401"/>
      <c r="L703" s="317">
        <f t="shared" si="873"/>
        <v>0</v>
      </c>
      <c r="M703" s="317"/>
      <c r="X703" s="401">
        <f t="shared" si="871"/>
        <v>0</v>
      </c>
      <c r="AM703" s="317">
        <f t="shared" si="872"/>
        <v>0</v>
      </c>
    </row>
    <row r="704" spans="1:49">
      <c r="A704" s="401"/>
      <c r="L704" s="317">
        <f t="shared" si="873"/>
        <v>0</v>
      </c>
      <c r="M704" s="317"/>
      <c r="X704" s="401">
        <f t="shared" si="871"/>
        <v>0</v>
      </c>
      <c r="AM704" s="317">
        <f t="shared" si="872"/>
        <v>0</v>
      </c>
    </row>
    <row r="705" spans="1:49">
      <c r="A705" s="401"/>
      <c r="L705" s="317">
        <f t="shared" si="873"/>
        <v>0</v>
      </c>
      <c r="M705" s="317"/>
      <c r="X705" s="401">
        <f t="shared" si="871"/>
        <v>0</v>
      </c>
      <c r="AM705" s="317">
        <f t="shared" si="872"/>
        <v>0</v>
      </c>
    </row>
    <row r="706" spans="1:49">
      <c r="A706" s="401"/>
      <c r="L706" s="317">
        <f t="shared" si="873"/>
        <v>0</v>
      </c>
      <c r="M706" s="317"/>
      <c r="X706" s="401">
        <f t="shared" si="871"/>
        <v>0</v>
      </c>
      <c r="AM706" s="317">
        <f t="shared" si="872"/>
        <v>0</v>
      </c>
    </row>
    <row r="707" spans="1:49">
      <c r="A707" s="401"/>
      <c r="L707" s="317">
        <f t="shared" si="873"/>
        <v>0</v>
      </c>
      <c r="M707" s="317"/>
      <c r="X707" s="401">
        <f t="shared" si="871"/>
        <v>0</v>
      </c>
      <c r="AM707" s="317">
        <f t="shared" si="872"/>
        <v>0</v>
      </c>
    </row>
    <row r="708" spans="1:49">
      <c r="A708" s="401"/>
      <c r="L708" s="317">
        <f t="shared" si="873"/>
        <v>0</v>
      </c>
      <c r="M708" s="317"/>
      <c r="X708" s="401">
        <f t="shared" si="871"/>
        <v>0</v>
      </c>
      <c r="AM708" s="317">
        <f t="shared" si="872"/>
        <v>0</v>
      </c>
    </row>
    <row r="709" spans="1:49">
      <c r="A709" s="401"/>
      <c r="L709" s="317">
        <f t="shared" si="873"/>
        <v>0</v>
      </c>
      <c r="M709" s="317"/>
      <c r="X709" s="401">
        <f t="shared" si="871"/>
        <v>0</v>
      </c>
      <c r="AM709" s="317">
        <f t="shared" si="872"/>
        <v>0</v>
      </c>
    </row>
    <row r="710" spans="1:49" ht="15.75" thickBot="1">
      <c r="A710" s="404"/>
      <c r="B710" s="237"/>
      <c r="C710" s="21"/>
      <c r="D710" s="21"/>
      <c r="E710" s="21"/>
      <c r="F710" s="21"/>
      <c r="G710" s="21"/>
      <c r="H710" s="21"/>
      <c r="I710" s="237"/>
      <c r="J710" s="237"/>
      <c r="K710" s="237"/>
      <c r="L710" s="318">
        <f t="shared" si="873"/>
        <v>0</v>
      </c>
      <c r="M710" s="318"/>
      <c r="N710" s="237"/>
      <c r="O710" s="21"/>
      <c r="P710" s="21"/>
      <c r="Q710" s="21"/>
      <c r="R710" s="21"/>
      <c r="S710" s="21"/>
      <c r="T710" s="21"/>
      <c r="U710" s="237"/>
      <c r="V710" s="237"/>
      <c r="W710" s="237"/>
      <c r="X710" s="404">
        <f t="shared" si="871"/>
        <v>0</v>
      </c>
      <c r="Y710" s="237"/>
      <c r="Z710" s="394"/>
      <c r="AA710" s="21"/>
      <c r="AB710" s="21"/>
      <c r="AC710" s="21"/>
      <c r="AD710" s="21"/>
      <c r="AE710" s="21"/>
      <c r="AF710" s="21"/>
      <c r="AG710" s="237"/>
      <c r="AH710" s="237"/>
      <c r="AI710" s="237"/>
      <c r="AJ710" s="237"/>
      <c r="AK710" s="237"/>
      <c r="AL710" s="237"/>
      <c r="AM710" s="318">
        <f t="shared" si="872"/>
        <v>0</v>
      </c>
      <c r="AN710" s="21"/>
      <c r="AO710" s="21"/>
      <c r="AP710" s="21"/>
      <c r="AQ710" s="21"/>
      <c r="AR710" s="23"/>
      <c r="AS710" s="21"/>
      <c r="AT710" s="21"/>
      <c r="AU710" s="237"/>
      <c r="AV710" s="237"/>
      <c r="AW710" s="21"/>
    </row>
    <row r="711" spans="1:49">
      <c r="A711" s="401"/>
      <c r="L711" s="317">
        <f t="shared" si="873"/>
        <v>0</v>
      </c>
      <c r="M711" s="317"/>
      <c r="X711" s="401">
        <f t="shared" si="871"/>
        <v>0</v>
      </c>
      <c r="AM711" s="317">
        <f t="shared" si="872"/>
        <v>0</v>
      </c>
    </row>
    <row r="712" spans="1:49">
      <c r="A712" s="401"/>
      <c r="L712" s="317">
        <f t="shared" si="873"/>
        <v>0</v>
      </c>
      <c r="M712" s="317"/>
      <c r="X712" s="401">
        <f t="shared" si="871"/>
        <v>0</v>
      </c>
      <c r="AM712" s="317">
        <f t="shared" si="872"/>
        <v>0</v>
      </c>
    </row>
    <row r="713" spans="1:49">
      <c r="A713" s="401"/>
      <c r="L713" s="317">
        <f t="shared" si="873"/>
        <v>0</v>
      </c>
      <c r="M713" s="317"/>
      <c r="X713" s="401">
        <f t="shared" si="871"/>
        <v>0</v>
      </c>
      <c r="AM713" s="317">
        <f t="shared" si="872"/>
        <v>0</v>
      </c>
    </row>
    <row r="714" spans="1:49">
      <c r="A714" s="401"/>
      <c r="L714" s="317">
        <f t="shared" si="873"/>
        <v>0</v>
      </c>
      <c r="M714" s="317"/>
      <c r="X714" s="401">
        <f t="shared" si="871"/>
        <v>0</v>
      </c>
      <c r="AM714" s="317">
        <f t="shared" si="872"/>
        <v>0</v>
      </c>
    </row>
    <row r="715" spans="1:49">
      <c r="A715" s="401"/>
      <c r="L715" s="317">
        <f t="shared" si="873"/>
        <v>0</v>
      </c>
      <c r="M715" s="317"/>
      <c r="X715" s="401">
        <f t="shared" si="871"/>
        <v>0</v>
      </c>
      <c r="AM715" s="317">
        <f t="shared" si="872"/>
        <v>0</v>
      </c>
    </row>
    <row r="716" spans="1:49">
      <c r="A716" s="401"/>
      <c r="L716" s="317">
        <f t="shared" si="873"/>
        <v>0</v>
      </c>
      <c r="M716" s="317"/>
      <c r="X716" s="401">
        <f t="shared" si="871"/>
        <v>0</v>
      </c>
      <c r="AM716" s="317">
        <f t="shared" si="872"/>
        <v>0</v>
      </c>
    </row>
    <row r="717" spans="1:49">
      <c r="A717" s="401"/>
      <c r="L717" s="317">
        <f t="shared" si="873"/>
        <v>0</v>
      </c>
      <c r="M717" s="317"/>
      <c r="X717" s="401">
        <f t="shared" si="871"/>
        <v>0</v>
      </c>
      <c r="AM717" s="317">
        <f t="shared" si="872"/>
        <v>0</v>
      </c>
    </row>
    <row r="718" spans="1:49">
      <c r="A718" s="401"/>
      <c r="L718" s="317">
        <f t="shared" si="873"/>
        <v>0</v>
      </c>
      <c r="M718" s="317"/>
      <c r="X718" s="401">
        <f t="shared" si="871"/>
        <v>0</v>
      </c>
      <c r="AM718" s="317">
        <f t="shared" si="872"/>
        <v>0</v>
      </c>
    </row>
    <row r="719" spans="1:49">
      <c r="A719" s="401"/>
      <c r="L719" s="317">
        <f t="shared" si="873"/>
        <v>0</v>
      </c>
      <c r="M719" s="317"/>
      <c r="X719" s="401">
        <f t="shared" si="871"/>
        <v>0</v>
      </c>
      <c r="AM719" s="317">
        <f t="shared" si="872"/>
        <v>0</v>
      </c>
    </row>
    <row r="720" spans="1:49">
      <c r="A720" s="401"/>
      <c r="L720" s="317">
        <f t="shared" si="873"/>
        <v>0</v>
      </c>
      <c r="M720" s="317"/>
      <c r="X720" s="401">
        <f t="shared" ref="X720:X782" si="874">+A720</f>
        <v>0</v>
      </c>
      <c r="AM720" s="317">
        <f t="shared" ref="AM720:AM723" si="875">+L720</f>
        <v>0</v>
      </c>
    </row>
    <row r="721" spans="1:49">
      <c r="A721" s="401"/>
      <c r="L721" s="317">
        <f t="shared" si="873"/>
        <v>0</v>
      </c>
      <c r="M721" s="317"/>
      <c r="X721" s="401">
        <f t="shared" si="874"/>
        <v>0</v>
      </c>
      <c r="AM721" s="317">
        <f t="shared" si="875"/>
        <v>0</v>
      </c>
    </row>
    <row r="722" spans="1:49" ht="15.75" thickBot="1">
      <c r="A722" s="404"/>
      <c r="B722" s="237"/>
      <c r="C722" s="21"/>
      <c r="D722" s="21"/>
      <c r="E722" s="21"/>
      <c r="F722" s="21"/>
      <c r="G722" s="21"/>
      <c r="H722" s="21"/>
      <c r="I722" s="237"/>
      <c r="J722" s="237"/>
      <c r="K722" s="237"/>
      <c r="L722" s="318">
        <f t="shared" si="873"/>
        <v>0</v>
      </c>
      <c r="M722" s="318"/>
      <c r="N722" s="237"/>
      <c r="O722" s="21"/>
      <c r="P722" s="21"/>
      <c r="Q722" s="21"/>
      <c r="R722" s="21"/>
      <c r="S722" s="21"/>
      <c r="T722" s="21"/>
      <c r="U722" s="237"/>
      <c r="V722" s="237"/>
      <c r="W722" s="237"/>
      <c r="X722" s="404">
        <f t="shared" si="874"/>
        <v>0</v>
      </c>
      <c r="Y722" s="237"/>
      <c r="Z722" s="394"/>
      <c r="AA722" s="21"/>
      <c r="AB722" s="21"/>
      <c r="AC722" s="21"/>
      <c r="AD722" s="21"/>
      <c r="AE722" s="21"/>
      <c r="AF722" s="21"/>
      <c r="AG722" s="237"/>
      <c r="AH722" s="237"/>
      <c r="AI722" s="237"/>
      <c r="AJ722" s="237"/>
      <c r="AK722" s="237"/>
      <c r="AL722" s="237"/>
      <c r="AM722" s="318">
        <f t="shared" si="875"/>
        <v>0</v>
      </c>
      <c r="AN722" s="21"/>
      <c r="AO722" s="21"/>
      <c r="AP722" s="21"/>
      <c r="AQ722" s="21"/>
      <c r="AR722" s="23"/>
      <c r="AS722" s="21"/>
      <c r="AT722" s="21"/>
      <c r="AU722" s="237"/>
      <c r="AV722" s="237"/>
      <c r="AW722" s="21"/>
    </row>
    <row r="723" spans="1:49">
      <c r="A723" s="401"/>
      <c r="L723" s="317">
        <f t="shared" si="873"/>
        <v>0</v>
      </c>
      <c r="M723" s="317"/>
      <c r="X723" s="401">
        <f t="shared" si="874"/>
        <v>0</v>
      </c>
      <c r="AM723" s="317">
        <f t="shared" si="875"/>
        <v>0</v>
      </c>
    </row>
    <row r="724" spans="1:49">
      <c r="A724" s="401"/>
      <c r="L724" s="317">
        <f t="shared" si="873"/>
        <v>0</v>
      </c>
      <c r="M724" s="317"/>
      <c r="X724" s="401">
        <f t="shared" si="874"/>
        <v>0</v>
      </c>
      <c r="AM724" s="317"/>
    </row>
    <row r="725" spans="1:49">
      <c r="A725" s="401"/>
      <c r="L725" s="317">
        <f t="shared" si="873"/>
        <v>0</v>
      </c>
      <c r="M725" s="317"/>
      <c r="X725" s="401">
        <f t="shared" si="874"/>
        <v>0</v>
      </c>
      <c r="AM725" s="317"/>
    </row>
    <row r="726" spans="1:49">
      <c r="A726" s="401"/>
      <c r="L726" s="317">
        <f t="shared" si="873"/>
        <v>0</v>
      </c>
      <c r="M726" s="317"/>
      <c r="X726" s="401">
        <f t="shared" si="874"/>
        <v>0</v>
      </c>
      <c r="AM726" s="317"/>
    </row>
    <row r="727" spans="1:49">
      <c r="A727" s="401"/>
      <c r="L727" s="317">
        <f t="shared" si="873"/>
        <v>0</v>
      </c>
      <c r="M727" s="317"/>
      <c r="X727" s="401">
        <f t="shared" si="874"/>
        <v>0</v>
      </c>
      <c r="AM727" s="317"/>
    </row>
    <row r="728" spans="1:49">
      <c r="A728" s="401"/>
      <c r="L728" s="317">
        <f t="shared" si="873"/>
        <v>0</v>
      </c>
      <c r="M728" s="317"/>
      <c r="X728" s="401">
        <f t="shared" si="874"/>
        <v>0</v>
      </c>
      <c r="AM728" s="317"/>
    </row>
    <row r="729" spans="1:49">
      <c r="A729" s="401"/>
      <c r="L729" s="317">
        <f t="shared" si="873"/>
        <v>0</v>
      </c>
      <c r="M729" s="317"/>
      <c r="X729" s="401">
        <f t="shared" si="874"/>
        <v>0</v>
      </c>
      <c r="AM729" s="317"/>
    </row>
    <row r="730" spans="1:49">
      <c r="A730" s="401"/>
      <c r="L730" s="317">
        <f t="shared" si="873"/>
        <v>0</v>
      </c>
      <c r="M730" s="317"/>
      <c r="X730" s="401">
        <f t="shared" si="874"/>
        <v>0</v>
      </c>
      <c r="AM730" s="317"/>
    </row>
    <row r="731" spans="1:49">
      <c r="A731" s="401"/>
      <c r="L731" s="317">
        <f t="shared" si="873"/>
        <v>0</v>
      </c>
      <c r="M731" s="317"/>
      <c r="X731" s="401">
        <f t="shared" si="874"/>
        <v>0</v>
      </c>
      <c r="AM731" s="317"/>
    </row>
    <row r="732" spans="1:49">
      <c r="A732" s="401"/>
      <c r="L732" s="317">
        <f t="shared" si="873"/>
        <v>0</v>
      </c>
      <c r="M732" s="317"/>
      <c r="X732" s="401">
        <f t="shared" si="874"/>
        <v>0</v>
      </c>
      <c r="AM732" s="317"/>
    </row>
    <row r="733" spans="1:49">
      <c r="A733" s="401"/>
      <c r="L733" s="317">
        <f t="shared" si="873"/>
        <v>0</v>
      </c>
      <c r="M733" s="317"/>
      <c r="X733" s="401">
        <f t="shared" si="874"/>
        <v>0</v>
      </c>
      <c r="AM733" s="317"/>
    </row>
    <row r="734" spans="1:49" ht="15.75" thickBot="1">
      <c r="A734" s="404"/>
      <c r="B734" s="237"/>
      <c r="C734" s="21"/>
      <c r="D734" s="21"/>
      <c r="E734" s="21"/>
      <c r="F734" s="21"/>
      <c r="G734" s="21"/>
      <c r="H734" s="21"/>
      <c r="I734" s="237"/>
      <c r="J734" s="237"/>
      <c r="K734" s="237"/>
      <c r="L734" s="318">
        <f t="shared" si="873"/>
        <v>0</v>
      </c>
      <c r="M734" s="318"/>
      <c r="N734" s="237"/>
      <c r="O734" s="21"/>
      <c r="P734" s="21"/>
      <c r="Q734" s="21"/>
      <c r="R734" s="21"/>
      <c r="S734" s="21"/>
      <c r="T734" s="21"/>
      <c r="U734" s="237"/>
      <c r="V734" s="237"/>
      <c r="W734" s="237"/>
      <c r="X734" s="404">
        <f t="shared" si="874"/>
        <v>0</v>
      </c>
      <c r="Y734" s="237"/>
      <c r="Z734" s="394"/>
      <c r="AA734" s="21"/>
      <c r="AB734" s="21"/>
      <c r="AC734" s="21"/>
      <c r="AD734" s="21"/>
      <c r="AE734" s="21"/>
      <c r="AF734" s="21"/>
      <c r="AG734" s="237"/>
      <c r="AH734" s="237"/>
      <c r="AI734" s="237"/>
      <c r="AJ734" s="237"/>
      <c r="AK734" s="237"/>
      <c r="AL734" s="237"/>
      <c r="AM734" s="318"/>
      <c r="AN734" s="21"/>
      <c r="AO734" s="21"/>
      <c r="AP734" s="21"/>
      <c r="AQ734" s="21"/>
      <c r="AR734" s="23"/>
      <c r="AS734" s="21"/>
      <c r="AT734" s="21"/>
      <c r="AU734" s="237"/>
      <c r="AV734" s="237"/>
      <c r="AW734" s="21"/>
    </row>
    <row r="735" spans="1:49">
      <c r="A735" s="401"/>
      <c r="L735" s="317">
        <f t="shared" si="873"/>
        <v>0</v>
      </c>
      <c r="M735" s="317"/>
      <c r="X735" s="401">
        <f t="shared" si="874"/>
        <v>0</v>
      </c>
      <c r="AM735" s="317"/>
    </row>
    <row r="736" spans="1:49">
      <c r="A736" s="401"/>
      <c r="L736" s="317">
        <f t="shared" si="873"/>
        <v>0</v>
      </c>
      <c r="M736" s="317"/>
      <c r="X736" s="401">
        <f t="shared" si="874"/>
        <v>0</v>
      </c>
      <c r="AM736" s="317"/>
    </row>
    <row r="737" spans="1:49">
      <c r="A737" s="401"/>
      <c r="L737" s="317">
        <f t="shared" si="873"/>
        <v>0</v>
      </c>
      <c r="M737" s="317"/>
      <c r="X737" s="401">
        <f t="shared" si="874"/>
        <v>0</v>
      </c>
      <c r="AM737" s="317"/>
    </row>
    <row r="738" spans="1:49">
      <c r="A738" s="401"/>
      <c r="L738" s="317">
        <f t="shared" si="873"/>
        <v>0</v>
      </c>
      <c r="M738" s="317"/>
      <c r="X738" s="401">
        <f t="shared" si="874"/>
        <v>0</v>
      </c>
      <c r="AM738" s="317"/>
    </row>
    <row r="739" spans="1:49">
      <c r="A739" s="401"/>
      <c r="L739" s="317">
        <f t="shared" si="873"/>
        <v>0</v>
      </c>
      <c r="M739" s="317"/>
      <c r="X739" s="401">
        <f t="shared" si="874"/>
        <v>0</v>
      </c>
      <c r="AM739" s="317"/>
    </row>
    <row r="740" spans="1:49">
      <c r="A740" s="401"/>
      <c r="L740" s="317">
        <f t="shared" si="873"/>
        <v>0</v>
      </c>
      <c r="M740" s="317"/>
      <c r="X740" s="401">
        <f t="shared" si="874"/>
        <v>0</v>
      </c>
      <c r="AM740" s="317"/>
    </row>
    <row r="741" spans="1:49">
      <c r="A741" s="401"/>
      <c r="L741" s="317">
        <f t="shared" si="873"/>
        <v>0</v>
      </c>
      <c r="M741" s="317"/>
      <c r="X741" s="401">
        <f t="shared" si="874"/>
        <v>0</v>
      </c>
      <c r="AM741" s="317"/>
    </row>
    <row r="742" spans="1:49">
      <c r="A742" s="401"/>
      <c r="L742" s="317">
        <f t="shared" si="873"/>
        <v>0</v>
      </c>
      <c r="M742" s="317"/>
      <c r="X742" s="401">
        <f t="shared" si="874"/>
        <v>0</v>
      </c>
      <c r="AM742" s="317"/>
    </row>
    <row r="743" spans="1:49">
      <c r="A743" s="401"/>
      <c r="L743" s="317">
        <f t="shared" si="873"/>
        <v>0</v>
      </c>
      <c r="M743" s="317"/>
      <c r="X743" s="401">
        <f t="shared" si="874"/>
        <v>0</v>
      </c>
      <c r="AM743" s="317"/>
    </row>
    <row r="744" spans="1:49">
      <c r="A744" s="401"/>
      <c r="L744" s="317">
        <f t="shared" si="873"/>
        <v>0</v>
      </c>
      <c r="M744" s="317"/>
      <c r="X744" s="401">
        <f t="shared" si="874"/>
        <v>0</v>
      </c>
      <c r="AM744" s="317"/>
    </row>
    <row r="745" spans="1:49">
      <c r="A745" s="401"/>
      <c r="L745" s="317">
        <f t="shared" si="873"/>
        <v>0</v>
      </c>
      <c r="M745" s="317"/>
      <c r="X745" s="401">
        <f t="shared" si="874"/>
        <v>0</v>
      </c>
      <c r="AM745" s="317"/>
    </row>
    <row r="746" spans="1:49" ht="15.75" thickBot="1">
      <c r="A746" s="404"/>
      <c r="B746" s="237"/>
      <c r="C746" s="21"/>
      <c r="D746" s="21"/>
      <c r="E746" s="21"/>
      <c r="F746" s="21"/>
      <c r="G746" s="21"/>
      <c r="H746" s="21"/>
      <c r="I746" s="237"/>
      <c r="J746" s="237"/>
      <c r="K746" s="237"/>
      <c r="L746" s="318">
        <f t="shared" si="873"/>
        <v>0</v>
      </c>
      <c r="M746" s="318"/>
      <c r="N746" s="237"/>
      <c r="O746" s="21"/>
      <c r="P746" s="21"/>
      <c r="Q746" s="21"/>
      <c r="R746" s="21"/>
      <c r="S746" s="21"/>
      <c r="T746" s="21"/>
      <c r="U746" s="237"/>
      <c r="V746" s="237"/>
      <c r="W746" s="237"/>
      <c r="X746" s="404">
        <f t="shared" si="874"/>
        <v>0</v>
      </c>
      <c r="Y746" s="237"/>
      <c r="Z746" s="394"/>
      <c r="AA746" s="21"/>
      <c r="AB746" s="21"/>
      <c r="AC746" s="21"/>
      <c r="AD746" s="21"/>
      <c r="AE746" s="21"/>
      <c r="AF746" s="21"/>
      <c r="AG746" s="237"/>
      <c r="AH746" s="237"/>
      <c r="AI746" s="237"/>
      <c r="AJ746" s="237"/>
      <c r="AK746" s="237"/>
      <c r="AL746" s="237"/>
      <c r="AM746" s="318"/>
      <c r="AN746" s="21"/>
      <c r="AO746" s="21"/>
      <c r="AP746" s="21"/>
      <c r="AQ746" s="21"/>
      <c r="AR746" s="23"/>
      <c r="AS746" s="21"/>
      <c r="AT746" s="21"/>
      <c r="AU746" s="237"/>
      <c r="AV746" s="237"/>
      <c r="AW746" s="21"/>
    </row>
    <row r="747" spans="1:49">
      <c r="A747" s="401"/>
      <c r="L747" s="317">
        <f t="shared" si="873"/>
        <v>0</v>
      </c>
      <c r="M747" s="317"/>
      <c r="X747" s="401">
        <f t="shared" si="874"/>
        <v>0</v>
      </c>
      <c r="AM747" s="317"/>
    </row>
    <row r="748" spans="1:49">
      <c r="A748" s="401"/>
      <c r="L748" s="317">
        <f t="shared" si="873"/>
        <v>0</v>
      </c>
      <c r="M748" s="317"/>
      <c r="X748" s="401">
        <f t="shared" si="874"/>
        <v>0</v>
      </c>
      <c r="AM748" s="317"/>
    </row>
    <row r="749" spans="1:49">
      <c r="A749" s="401"/>
      <c r="L749" s="317">
        <f t="shared" si="873"/>
        <v>0</v>
      </c>
      <c r="M749" s="317"/>
      <c r="X749" s="401">
        <f t="shared" si="874"/>
        <v>0</v>
      </c>
      <c r="AM749" s="317"/>
    </row>
    <row r="750" spans="1:49">
      <c r="A750" s="401"/>
      <c r="L750" s="317">
        <f t="shared" si="873"/>
        <v>0</v>
      </c>
      <c r="M750" s="317"/>
      <c r="X750" s="401">
        <f t="shared" si="874"/>
        <v>0</v>
      </c>
      <c r="AM750" s="317"/>
    </row>
    <row r="751" spans="1:49">
      <c r="A751" s="401"/>
      <c r="L751" s="317">
        <f t="shared" ref="L751:L782" si="876">IF(MOD(M751,12)=0,M751/12,L750)</f>
        <v>0</v>
      </c>
      <c r="M751" s="317"/>
      <c r="X751" s="401">
        <f t="shared" si="874"/>
        <v>0</v>
      </c>
      <c r="AM751" s="317"/>
    </row>
    <row r="752" spans="1:49">
      <c r="A752" s="401"/>
      <c r="L752" s="317">
        <f t="shared" si="876"/>
        <v>0</v>
      </c>
      <c r="M752" s="317"/>
      <c r="X752" s="401">
        <f t="shared" si="874"/>
        <v>0</v>
      </c>
      <c r="AM752" s="317"/>
    </row>
    <row r="753" spans="1:49">
      <c r="A753" s="401"/>
      <c r="L753" s="317">
        <f t="shared" si="876"/>
        <v>0</v>
      </c>
      <c r="M753" s="317"/>
      <c r="X753" s="401">
        <f t="shared" si="874"/>
        <v>0</v>
      </c>
      <c r="AM753" s="317"/>
    </row>
    <row r="754" spans="1:49">
      <c r="A754" s="401"/>
      <c r="L754" s="317">
        <f t="shared" si="876"/>
        <v>0</v>
      </c>
      <c r="M754" s="317"/>
      <c r="X754" s="401">
        <f t="shared" si="874"/>
        <v>0</v>
      </c>
      <c r="AM754" s="317"/>
    </row>
    <row r="755" spans="1:49">
      <c r="A755" s="401"/>
      <c r="L755" s="317">
        <f t="shared" si="876"/>
        <v>0</v>
      </c>
      <c r="M755" s="317"/>
      <c r="X755" s="401">
        <f t="shared" si="874"/>
        <v>0</v>
      </c>
      <c r="AM755" s="317"/>
    </row>
    <row r="756" spans="1:49">
      <c r="A756" s="401"/>
      <c r="L756" s="317">
        <f t="shared" si="876"/>
        <v>0</v>
      </c>
      <c r="M756" s="317"/>
      <c r="X756" s="401">
        <f t="shared" si="874"/>
        <v>0</v>
      </c>
      <c r="AM756" s="317"/>
    </row>
    <row r="757" spans="1:49">
      <c r="A757" s="401"/>
      <c r="L757" s="317">
        <f t="shared" si="876"/>
        <v>0</v>
      </c>
      <c r="M757" s="317"/>
      <c r="X757" s="401">
        <f t="shared" si="874"/>
        <v>0</v>
      </c>
      <c r="AM757" s="317"/>
    </row>
    <row r="758" spans="1:49" ht="15.75" thickBot="1">
      <c r="A758" s="404"/>
      <c r="B758" s="237"/>
      <c r="C758" s="21"/>
      <c r="D758" s="21"/>
      <c r="E758" s="21"/>
      <c r="F758" s="21"/>
      <c r="G758" s="21"/>
      <c r="H758" s="21"/>
      <c r="I758" s="237"/>
      <c r="J758" s="237"/>
      <c r="K758" s="237"/>
      <c r="L758" s="318">
        <f t="shared" si="876"/>
        <v>0</v>
      </c>
      <c r="M758" s="318"/>
      <c r="N758" s="237"/>
      <c r="O758" s="21"/>
      <c r="P758" s="21"/>
      <c r="Q758" s="21"/>
      <c r="R758" s="21"/>
      <c r="S758" s="21"/>
      <c r="T758" s="21"/>
      <c r="U758" s="237"/>
      <c r="V758" s="237"/>
      <c r="W758" s="237"/>
      <c r="X758" s="404">
        <f t="shared" si="874"/>
        <v>0</v>
      </c>
      <c r="Y758" s="237"/>
      <c r="Z758" s="394"/>
      <c r="AA758" s="21"/>
      <c r="AB758" s="21"/>
      <c r="AC758" s="21"/>
      <c r="AD758" s="21"/>
      <c r="AE758" s="21"/>
      <c r="AF758" s="21"/>
      <c r="AG758" s="237"/>
      <c r="AH758" s="237"/>
      <c r="AI758" s="237"/>
      <c r="AJ758" s="237"/>
      <c r="AK758" s="237"/>
      <c r="AL758" s="237"/>
      <c r="AM758" s="318"/>
      <c r="AN758" s="21"/>
      <c r="AO758" s="21"/>
      <c r="AP758" s="21"/>
      <c r="AQ758" s="21"/>
      <c r="AR758" s="23"/>
      <c r="AS758" s="21"/>
      <c r="AT758" s="21"/>
      <c r="AU758" s="237"/>
      <c r="AV758" s="237"/>
      <c r="AW758" s="21"/>
    </row>
    <row r="759" spans="1:49">
      <c r="A759" s="401"/>
      <c r="L759" s="317">
        <f t="shared" si="876"/>
        <v>0</v>
      </c>
      <c r="M759" s="317"/>
      <c r="X759" s="401">
        <f t="shared" si="874"/>
        <v>0</v>
      </c>
      <c r="AM759" s="317"/>
    </row>
    <row r="760" spans="1:49">
      <c r="A760" s="401"/>
      <c r="L760" s="317">
        <f t="shared" si="876"/>
        <v>0</v>
      </c>
      <c r="M760" s="317"/>
      <c r="X760" s="401">
        <f t="shared" si="874"/>
        <v>0</v>
      </c>
      <c r="AM760" s="317"/>
    </row>
    <row r="761" spans="1:49">
      <c r="A761" s="401"/>
      <c r="L761" s="317">
        <f t="shared" si="876"/>
        <v>0</v>
      </c>
      <c r="M761" s="317"/>
      <c r="X761" s="401">
        <f t="shared" si="874"/>
        <v>0</v>
      </c>
      <c r="AM761" s="317"/>
    </row>
    <row r="762" spans="1:49">
      <c r="A762" s="401"/>
      <c r="L762" s="317">
        <f t="shared" si="876"/>
        <v>0</v>
      </c>
      <c r="M762" s="317"/>
      <c r="X762" s="401">
        <f t="shared" si="874"/>
        <v>0</v>
      </c>
      <c r="AM762" s="317"/>
    </row>
    <row r="763" spans="1:49">
      <c r="A763" s="401"/>
      <c r="L763" s="317">
        <f t="shared" si="876"/>
        <v>0</v>
      </c>
      <c r="M763" s="317"/>
      <c r="X763" s="401">
        <f t="shared" si="874"/>
        <v>0</v>
      </c>
      <c r="AM763" s="317"/>
    </row>
    <row r="764" spans="1:49">
      <c r="A764" s="401"/>
      <c r="L764" s="317">
        <f t="shared" si="876"/>
        <v>0</v>
      </c>
      <c r="M764" s="317"/>
      <c r="X764" s="401">
        <f t="shared" si="874"/>
        <v>0</v>
      </c>
      <c r="AM764" s="317"/>
    </row>
    <row r="765" spans="1:49">
      <c r="A765" s="401"/>
      <c r="L765" s="317">
        <f t="shared" si="876"/>
        <v>0</v>
      </c>
      <c r="M765" s="317"/>
      <c r="X765" s="401">
        <f t="shared" si="874"/>
        <v>0</v>
      </c>
      <c r="AM765" s="317"/>
    </row>
    <row r="766" spans="1:49">
      <c r="A766" s="401"/>
      <c r="L766" s="317">
        <f t="shared" si="876"/>
        <v>0</v>
      </c>
      <c r="M766" s="317"/>
      <c r="X766" s="401">
        <f t="shared" si="874"/>
        <v>0</v>
      </c>
      <c r="AM766" s="317"/>
    </row>
    <row r="767" spans="1:49">
      <c r="A767" s="401"/>
      <c r="L767" s="317">
        <f t="shared" si="876"/>
        <v>0</v>
      </c>
      <c r="M767" s="317"/>
      <c r="X767" s="401">
        <f t="shared" si="874"/>
        <v>0</v>
      </c>
      <c r="AM767" s="317"/>
    </row>
    <row r="768" spans="1:49">
      <c r="A768" s="401"/>
      <c r="L768" s="317">
        <f t="shared" si="876"/>
        <v>0</v>
      </c>
      <c r="M768" s="317"/>
      <c r="X768" s="401">
        <f t="shared" si="874"/>
        <v>0</v>
      </c>
      <c r="AM768" s="317"/>
    </row>
    <row r="769" spans="1:49">
      <c r="A769" s="401"/>
      <c r="L769" s="317">
        <f t="shared" si="876"/>
        <v>0</v>
      </c>
      <c r="M769" s="317"/>
      <c r="X769" s="401">
        <f t="shared" si="874"/>
        <v>0</v>
      </c>
      <c r="AM769" s="317"/>
    </row>
    <row r="770" spans="1:49" ht="15.75" thickBot="1">
      <c r="A770" s="404"/>
      <c r="B770" s="237"/>
      <c r="C770" s="21"/>
      <c r="D770" s="21"/>
      <c r="E770" s="21"/>
      <c r="F770" s="21"/>
      <c r="G770" s="21"/>
      <c r="H770" s="21"/>
      <c r="I770" s="237"/>
      <c r="J770" s="237"/>
      <c r="K770" s="237"/>
      <c r="L770" s="318">
        <f t="shared" si="876"/>
        <v>0</v>
      </c>
      <c r="M770" s="318"/>
      <c r="N770" s="237"/>
      <c r="O770" s="21"/>
      <c r="P770" s="21"/>
      <c r="Q770" s="21"/>
      <c r="R770" s="21"/>
      <c r="S770" s="21"/>
      <c r="T770" s="21"/>
      <c r="U770" s="237"/>
      <c r="V770" s="237"/>
      <c r="W770" s="237"/>
      <c r="X770" s="404">
        <f t="shared" si="874"/>
        <v>0</v>
      </c>
      <c r="Y770" s="237"/>
      <c r="Z770" s="394"/>
      <c r="AA770" s="21"/>
      <c r="AB770" s="21"/>
      <c r="AC770" s="21"/>
      <c r="AD770" s="21"/>
      <c r="AE770" s="21"/>
      <c r="AF770" s="21"/>
      <c r="AG770" s="237"/>
      <c r="AH770" s="237"/>
      <c r="AI770" s="237"/>
      <c r="AJ770" s="237"/>
      <c r="AK770" s="237"/>
      <c r="AL770" s="237"/>
      <c r="AM770" s="318"/>
      <c r="AN770" s="21"/>
      <c r="AO770" s="21"/>
      <c r="AP770" s="21"/>
      <c r="AQ770" s="21"/>
      <c r="AR770" s="23"/>
      <c r="AS770" s="21"/>
      <c r="AT770" s="21"/>
      <c r="AU770" s="237"/>
      <c r="AV770" s="237"/>
      <c r="AW770" s="21"/>
    </row>
    <row r="771" spans="1:49">
      <c r="A771" s="401"/>
      <c r="L771" s="317">
        <f t="shared" si="876"/>
        <v>0</v>
      </c>
      <c r="M771" s="317"/>
      <c r="X771" s="401">
        <f t="shared" si="874"/>
        <v>0</v>
      </c>
      <c r="AM771" s="317"/>
    </row>
    <row r="772" spans="1:49">
      <c r="A772" s="401"/>
      <c r="L772" s="317">
        <f t="shared" si="876"/>
        <v>0</v>
      </c>
      <c r="M772" s="317"/>
      <c r="X772" s="401">
        <f t="shared" si="874"/>
        <v>0</v>
      </c>
      <c r="AM772" s="317"/>
    </row>
    <row r="773" spans="1:49">
      <c r="A773" s="401"/>
      <c r="L773" s="317">
        <f t="shared" si="876"/>
        <v>0</v>
      </c>
      <c r="M773" s="317"/>
      <c r="X773" s="401">
        <f t="shared" si="874"/>
        <v>0</v>
      </c>
      <c r="AM773" s="317"/>
    </row>
    <row r="774" spans="1:49">
      <c r="A774" s="401"/>
      <c r="L774" s="317">
        <f t="shared" si="876"/>
        <v>0</v>
      </c>
      <c r="M774" s="317"/>
      <c r="X774" s="401">
        <f t="shared" si="874"/>
        <v>0</v>
      </c>
      <c r="AM774" s="317"/>
    </row>
    <row r="775" spans="1:49">
      <c r="A775" s="401"/>
      <c r="L775" s="317">
        <f t="shared" si="876"/>
        <v>0</v>
      </c>
      <c r="M775" s="317"/>
      <c r="X775" s="401">
        <f t="shared" si="874"/>
        <v>0</v>
      </c>
      <c r="AM775" s="317"/>
    </row>
    <row r="776" spans="1:49">
      <c r="A776" s="401"/>
      <c r="L776" s="317">
        <f t="shared" si="876"/>
        <v>0</v>
      </c>
      <c r="M776" s="317"/>
      <c r="X776" s="401">
        <f t="shared" si="874"/>
        <v>0</v>
      </c>
      <c r="AM776" s="317"/>
    </row>
    <row r="777" spans="1:49">
      <c r="A777" s="401"/>
      <c r="L777" s="317">
        <f t="shared" si="876"/>
        <v>0</v>
      </c>
      <c r="M777" s="317"/>
      <c r="X777" s="401">
        <f t="shared" si="874"/>
        <v>0</v>
      </c>
      <c r="AM777" s="317"/>
    </row>
    <row r="778" spans="1:49">
      <c r="A778" s="401"/>
      <c r="L778" s="317">
        <f t="shared" si="876"/>
        <v>0</v>
      </c>
      <c r="M778" s="317"/>
      <c r="X778" s="401">
        <f t="shared" si="874"/>
        <v>0</v>
      </c>
      <c r="AM778" s="317"/>
    </row>
    <row r="779" spans="1:49">
      <c r="A779" s="401"/>
      <c r="L779" s="317">
        <f t="shared" si="876"/>
        <v>0</v>
      </c>
      <c r="M779" s="317"/>
      <c r="X779" s="401">
        <f t="shared" si="874"/>
        <v>0</v>
      </c>
      <c r="AM779" s="317"/>
    </row>
    <row r="780" spans="1:49">
      <c r="A780" s="401"/>
      <c r="L780" s="317">
        <f t="shared" si="876"/>
        <v>0</v>
      </c>
      <c r="M780" s="317"/>
      <c r="X780" s="401">
        <f t="shared" si="874"/>
        <v>0</v>
      </c>
      <c r="AM780" s="317"/>
    </row>
    <row r="781" spans="1:49">
      <c r="A781" s="401"/>
      <c r="L781" s="317">
        <f t="shared" si="876"/>
        <v>0</v>
      </c>
      <c r="M781" s="317"/>
      <c r="X781" s="401">
        <f t="shared" si="874"/>
        <v>0</v>
      </c>
      <c r="AM781" s="317"/>
    </row>
    <row r="782" spans="1:49" ht="15.75" thickBot="1">
      <c r="A782" s="404"/>
      <c r="B782" s="237"/>
      <c r="C782" s="21"/>
      <c r="D782" s="21"/>
      <c r="E782" s="21"/>
      <c r="F782" s="21"/>
      <c r="G782" s="21"/>
      <c r="H782" s="21"/>
      <c r="I782" s="237"/>
      <c r="J782" s="237"/>
      <c r="K782" s="237"/>
      <c r="L782" s="318">
        <f t="shared" si="876"/>
        <v>0</v>
      </c>
      <c r="M782" s="318"/>
      <c r="N782" s="237"/>
      <c r="O782" s="21"/>
      <c r="P782" s="21"/>
      <c r="Q782" s="21"/>
      <c r="R782" s="21"/>
      <c r="S782" s="21"/>
      <c r="T782" s="21"/>
      <c r="U782" s="237"/>
      <c r="V782" s="237"/>
      <c r="W782" s="237"/>
      <c r="X782" s="404">
        <f t="shared" si="874"/>
        <v>0</v>
      </c>
      <c r="Y782" s="237"/>
      <c r="Z782" s="394"/>
      <c r="AA782" s="21"/>
      <c r="AB782" s="21"/>
      <c r="AC782" s="21"/>
      <c r="AD782" s="21"/>
      <c r="AE782" s="21"/>
      <c r="AF782" s="21"/>
      <c r="AG782" s="237"/>
      <c r="AH782" s="237"/>
      <c r="AI782" s="237"/>
      <c r="AJ782" s="237"/>
      <c r="AK782" s="237"/>
      <c r="AL782" s="237"/>
      <c r="AM782" s="318"/>
      <c r="AN782" s="21"/>
      <c r="AO782" s="21"/>
      <c r="AP782" s="21"/>
      <c r="AQ782" s="21"/>
      <c r="AR782" s="23"/>
      <c r="AS782" s="21"/>
      <c r="AT782" s="21"/>
      <c r="AU782" s="237"/>
      <c r="AV782" s="237"/>
      <c r="AW782" s="21"/>
    </row>
  </sheetData>
  <mergeCells count="15">
    <mergeCell ref="I13:J13"/>
    <mergeCell ref="AN13:AO13"/>
    <mergeCell ref="C13:H13"/>
    <mergeCell ref="N12:W12"/>
    <mergeCell ref="Y12:AL12"/>
    <mergeCell ref="U13:V13"/>
    <mergeCell ref="Y3:Z3"/>
    <mergeCell ref="Y4:Z4"/>
    <mergeCell ref="AU13:AV13"/>
    <mergeCell ref="Y11:Z11"/>
    <mergeCell ref="AI13:AK13"/>
    <mergeCell ref="AA13:AF13"/>
    <mergeCell ref="AG13:AH13"/>
    <mergeCell ref="Y5:Z5"/>
    <mergeCell ref="AP13:AQ13"/>
  </mergeCells>
  <conditionalFormatting sqref="AK15:AK543">
    <cfRule type="cellIs" dxfId="209" priority="1" operator="greaterThan">
      <formula>0</formula>
    </cfRule>
  </conditionalFormatting>
  <pageMargins left="0.7" right="0.7" top="0.75" bottom="0.75" header="0.3" footer="0.3"/>
  <pageSetup paperSize="5" scale="35"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9406" r:id="rId4" name="Option Button 14">
              <controlPr defaultSize="0" autoFill="0" autoLine="0" autoPict="0">
                <anchor moveWithCells="1">
                  <from>
                    <xdr:col>15</xdr:col>
                    <xdr:colOff>504825</xdr:colOff>
                    <xdr:row>0</xdr:row>
                    <xdr:rowOff>0</xdr:rowOff>
                  </from>
                  <to>
                    <xdr:col>16</xdr:col>
                    <xdr:colOff>238125</xdr:colOff>
                    <xdr:row>0</xdr:row>
                    <xdr:rowOff>190500</xdr:rowOff>
                  </to>
                </anchor>
              </controlPr>
            </control>
          </mc:Choice>
        </mc:AlternateContent>
        <mc:AlternateContent xmlns:mc="http://schemas.openxmlformats.org/markup-compatibility/2006">
          <mc:Choice Requires="x14">
            <control shapeId="59409" r:id="rId5" name="Option Button 17">
              <controlPr defaultSize="0" autoFill="0" autoLine="0" autoPict="0">
                <anchor moveWithCells="1">
                  <from>
                    <xdr:col>16</xdr:col>
                    <xdr:colOff>476250</xdr:colOff>
                    <xdr:row>0</xdr:row>
                    <xdr:rowOff>0</xdr:rowOff>
                  </from>
                  <to>
                    <xdr:col>17</xdr:col>
                    <xdr:colOff>219075</xdr:colOff>
                    <xdr:row>0</xdr:row>
                    <xdr:rowOff>190500</xdr:rowOff>
                  </to>
                </anchor>
              </controlPr>
            </control>
          </mc:Choice>
        </mc:AlternateContent>
        <mc:AlternateContent xmlns:mc="http://schemas.openxmlformats.org/markup-compatibility/2006">
          <mc:Choice Requires="x14">
            <control shapeId="59411" r:id="rId6" name="Option Button 19">
              <controlPr defaultSize="0" autoFill="0" autoLine="0" autoPict="0">
                <anchor moveWithCells="1">
                  <from>
                    <xdr:col>17</xdr:col>
                    <xdr:colOff>523875</xdr:colOff>
                    <xdr:row>0</xdr:row>
                    <xdr:rowOff>0</xdr:rowOff>
                  </from>
                  <to>
                    <xdr:col>18</xdr:col>
                    <xdr:colOff>133350</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AB40C-3409-46A1-8278-0768890627B2}">
  <sheetPr codeName="Sheet7"/>
  <dimension ref="A1:CW114"/>
  <sheetViews>
    <sheetView workbookViewId="0">
      <pane xSplit="2" ySplit="2" topLeftCell="C63" activePane="bottomRight" state="frozen"/>
      <selection pane="topRight" activeCell="C1" sqref="C1"/>
      <selection pane="bottomLeft" activeCell="A3" sqref="A3"/>
      <selection pane="bottomRight" activeCell="F68" sqref="F68"/>
    </sheetView>
  </sheetViews>
  <sheetFormatPr defaultRowHeight="15.75"/>
  <cols>
    <col min="1" max="1" width="30" bestFit="1" customWidth="1"/>
    <col min="2" max="2" width="51.42578125" style="422" customWidth="1"/>
    <col min="3" max="3" width="13" style="422" customWidth="1"/>
    <col min="4" max="6" width="35.5703125" style="422" customWidth="1"/>
    <col min="7" max="8" width="39.140625" customWidth="1"/>
    <col min="9" max="9" width="17" customWidth="1"/>
    <col min="10" max="11" width="15.28515625" style="85" customWidth="1"/>
    <col min="12"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 min="72" max="72" width="25.28515625" bestFit="1" customWidth="1"/>
    <col min="73" max="74" width="25.28515625" customWidth="1"/>
    <col min="75" max="75" width="17" bestFit="1" customWidth="1"/>
    <col min="76" max="76" width="17.7109375" customWidth="1"/>
    <col min="77" max="77" width="11.28515625" customWidth="1"/>
    <col min="78" max="78" width="13.140625" bestFit="1" customWidth="1"/>
    <col min="79" max="84" width="13.140625" customWidth="1"/>
    <col min="85" max="87" width="11.28515625" customWidth="1"/>
    <col min="88" max="88" width="45.42578125" bestFit="1" customWidth="1"/>
    <col min="89" max="89" width="11.28515625" customWidth="1"/>
    <col min="90" max="90" width="22.5703125" bestFit="1" customWidth="1"/>
    <col min="91" max="92" width="22.5703125" customWidth="1"/>
    <col min="93" max="93" width="5" bestFit="1" customWidth="1"/>
    <col min="94" max="94" width="35.28515625" bestFit="1" customWidth="1"/>
    <col min="95" max="95" width="12.7109375" bestFit="1" customWidth="1"/>
    <col min="96" max="96" width="12.5703125" bestFit="1" customWidth="1"/>
    <col min="97" max="97" width="17.5703125" bestFit="1" customWidth="1"/>
    <col min="98" max="98" width="28.85546875" bestFit="1" customWidth="1"/>
    <col min="99" max="99" width="24.140625" bestFit="1" customWidth="1"/>
    <col min="100" max="100" width="13.140625" bestFit="1" customWidth="1"/>
    <col min="101" max="101" width="18.7109375" bestFit="1" customWidth="1"/>
    <col min="102" max="102" width="12.42578125" bestFit="1" customWidth="1"/>
    <col min="103" max="103" width="13.85546875" bestFit="1" customWidth="1"/>
    <col min="104" max="104" width="14.28515625" bestFit="1" customWidth="1"/>
    <col min="105" max="105" width="15.85546875" bestFit="1" customWidth="1"/>
    <col min="106" max="106" width="17.5703125" bestFit="1" customWidth="1"/>
    <col min="107" max="107" width="14.28515625" bestFit="1" customWidth="1"/>
    <col min="108" max="108" width="18.42578125" bestFit="1" customWidth="1"/>
  </cols>
  <sheetData>
    <row r="1" spans="1:101" s="15" customFormat="1" ht="16.5" thickBot="1">
      <c r="B1" s="439"/>
      <c r="C1" s="439"/>
      <c r="D1" s="15" t="s">
        <v>191</v>
      </c>
      <c r="E1" s="441" t="s">
        <v>192</v>
      </c>
      <c r="F1" s="15" t="s">
        <v>193</v>
      </c>
      <c r="G1" s="15" t="s">
        <v>194</v>
      </c>
      <c r="H1" s="15" t="s">
        <v>195</v>
      </c>
      <c r="I1" s="15" t="s">
        <v>196</v>
      </c>
      <c r="J1" s="444" t="s">
        <v>197</v>
      </c>
      <c r="K1" s="30" t="s">
        <v>198</v>
      </c>
      <c r="L1" s="15" t="s">
        <v>199</v>
      </c>
      <c r="M1" s="15" t="s">
        <v>200</v>
      </c>
      <c r="N1" s="440" t="s">
        <v>201</v>
      </c>
      <c r="O1" s="441" t="s">
        <v>202</v>
      </c>
      <c r="P1" s="442" t="s">
        <v>203</v>
      </c>
      <c r="Q1" s="442" t="s">
        <v>204</v>
      </c>
      <c r="R1" s="441" t="s">
        <v>205</v>
      </c>
      <c r="S1" s="15" t="s">
        <v>206</v>
      </c>
      <c r="T1" s="15" t="s">
        <v>207</v>
      </c>
      <c r="U1" s="15" t="s">
        <v>208</v>
      </c>
      <c r="V1" s="441" t="s">
        <v>209</v>
      </c>
      <c r="W1" s="15" t="s">
        <v>210</v>
      </c>
      <c r="X1" s="15" t="s">
        <v>211</v>
      </c>
      <c r="Y1" s="15" t="s">
        <v>212</v>
      </c>
      <c r="Z1" s="15" t="s">
        <v>213</v>
      </c>
      <c r="AA1" s="15" t="s">
        <v>214</v>
      </c>
      <c r="AB1" s="15" t="s">
        <v>215</v>
      </c>
      <c r="AC1" s="15" t="s">
        <v>216</v>
      </c>
      <c r="AD1" s="15" t="s">
        <v>217</v>
      </c>
      <c r="AE1" s="15" t="s">
        <v>218</v>
      </c>
      <c r="AF1" s="441" t="s">
        <v>219</v>
      </c>
      <c r="AG1" s="441" t="s">
        <v>220</v>
      </c>
      <c r="AH1" s="15" t="s">
        <v>221</v>
      </c>
      <c r="AI1" s="15" t="s">
        <v>222</v>
      </c>
      <c r="AJ1" s="442" t="s">
        <v>223</v>
      </c>
      <c r="AK1" s="441" t="s">
        <v>224</v>
      </c>
      <c r="AL1" s="441" t="s">
        <v>225</v>
      </c>
      <c r="AM1" s="15" t="s">
        <v>226</v>
      </c>
      <c r="AN1" s="15" t="s">
        <v>227</v>
      </c>
      <c r="AO1" s="441" t="s">
        <v>228</v>
      </c>
      <c r="AP1" s="15" t="s">
        <v>229</v>
      </c>
      <c r="AQ1" s="15" t="s">
        <v>230</v>
      </c>
      <c r="AR1" s="15" t="s">
        <v>231</v>
      </c>
      <c r="AS1" s="15" t="s">
        <v>232</v>
      </c>
      <c r="AT1" s="441" t="s">
        <v>233</v>
      </c>
      <c r="AU1" s="441" t="s">
        <v>234</v>
      </c>
      <c r="AV1" s="441" t="s">
        <v>235</v>
      </c>
      <c r="AW1" s="15" t="s">
        <v>236</v>
      </c>
      <c r="AX1" s="15" t="s">
        <v>237</v>
      </c>
      <c r="AY1" s="30" t="s">
        <v>238</v>
      </c>
      <c r="AZ1" s="30" t="s">
        <v>239</v>
      </c>
      <c r="BA1" s="30" t="s">
        <v>240</v>
      </c>
      <c r="BB1" s="30" t="s">
        <v>241</v>
      </c>
      <c r="BC1" s="30" t="s">
        <v>242</v>
      </c>
      <c r="BD1" s="30" t="s">
        <v>243</v>
      </c>
      <c r="BE1" s="15" t="s">
        <v>244</v>
      </c>
      <c r="BF1" s="15" t="s">
        <v>245</v>
      </c>
      <c r="BG1" s="15" t="s">
        <v>246</v>
      </c>
      <c r="BH1" s="15" t="s">
        <v>247</v>
      </c>
      <c r="BI1" s="441" t="s">
        <v>248</v>
      </c>
      <c r="BJ1" s="441" t="s">
        <v>249</v>
      </c>
      <c r="BK1" s="441" t="s">
        <v>250</v>
      </c>
      <c r="BL1" s="15" t="s">
        <v>251</v>
      </c>
      <c r="BM1" s="15" t="s">
        <v>252</v>
      </c>
      <c r="BN1" s="30" t="s">
        <v>253</v>
      </c>
      <c r="BO1" s="30" t="s">
        <v>254</v>
      </c>
      <c r="BP1" s="30" t="s">
        <v>255</v>
      </c>
      <c r="BQ1" s="30" t="s">
        <v>256</v>
      </c>
      <c r="BR1" s="30" t="s">
        <v>257</v>
      </c>
      <c r="BS1" s="30" t="s">
        <v>258</v>
      </c>
      <c r="BT1" s="15" t="s">
        <v>259</v>
      </c>
      <c r="BU1" s="15" t="s">
        <v>260</v>
      </c>
      <c r="BV1" s="15" t="s">
        <v>261</v>
      </c>
      <c r="BW1" s="441" t="s">
        <v>262</v>
      </c>
      <c r="BX1" s="15" t="s">
        <v>263</v>
      </c>
      <c r="BY1" s="15" t="s">
        <v>264</v>
      </c>
      <c r="BZ1" s="442" t="s">
        <v>265</v>
      </c>
      <c r="CA1" s="441" t="s">
        <v>266</v>
      </c>
      <c r="CB1" s="15" t="s">
        <v>267</v>
      </c>
      <c r="CC1" s="15" t="s">
        <v>268</v>
      </c>
      <c r="CD1" s="15" t="s">
        <v>269</v>
      </c>
      <c r="CE1" s="30" t="s">
        <v>270</v>
      </c>
      <c r="CF1" s="441" t="s">
        <v>271</v>
      </c>
      <c r="CG1" s="442" t="s">
        <v>272</v>
      </c>
      <c r="CH1" s="442" t="s">
        <v>273</v>
      </c>
      <c r="CI1" s="15" t="s">
        <v>274</v>
      </c>
      <c r="CJ1" s="15" t="s">
        <v>275</v>
      </c>
      <c r="CK1" s="15" t="s">
        <v>276</v>
      </c>
      <c r="CL1" s="15" t="s">
        <v>277</v>
      </c>
      <c r="CM1" s="15" t="s">
        <v>278</v>
      </c>
      <c r="CN1" s="15" t="s">
        <v>279</v>
      </c>
      <c r="CO1" s="15" t="s">
        <v>177</v>
      </c>
    </row>
    <row r="2" spans="1:101">
      <c r="D2">
        <f>+B24</f>
        <v>0</v>
      </c>
      <c r="E2" s="14" t="str">
        <f>+B53</f>
        <v xml:space="preserve"> </v>
      </c>
      <c r="F2" t="str">
        <f>+B72</f>
        <v>Lot 18 Burtrose Subdivision</v>
      </c>
      <c r="G2" t="str">
        <f>+B26</f>
        <v>Buy Your Home Retiremnet Plan Trust</v>
      </c>
      <c r="H2" t="str">
        <f>+B31</f>
        <v>Hubolist Elliott</v>
      </c>
      <c r="I2" t="str">
        <f>+B27</f>
        <v>Hubolist Elliott</v>
      </c>
      <c r="J2" s="85" t="str">
        <f>+B28</f>
        <v/>
      </c>
      <c r="K2" t="str">
        <f>+B30</f>
        <v>Hurbert Lee Elliott</v>
      </c>
      <c r="L2" t="str">
        <f>+B39</f>
        <v>X:      -    -       :</v>
      </c>
      <c r="M2" t="str">
        <f>+B40</f>
        <v>X:      -    -       :</v>
      </c>
      <c r="N2">
        <f>+B46</f>
        <v>100</v>
      </c>
      <c r="O2">
        <f>B47</f>
        <v>44900</v>
      </c>
      <c r="P2" s="14">
        <f>+B45</f>
        <v>221572.01</v>
      </c>
      <c r="Q2" s="14" t="str">
        <f>+B51</f>
        <v>10.625%</v>
      </c>
      <c r="R2" s="230">
        <f>B44</f>
        <v>0</v>
      </c>
      <c r="S2" t="str">
        <f>+B36</f>
        <v>4000 Willow Oak  Rd</v>
      </c>
      <c r="T2" t="str">
        <f>+B37</f>
        <v>Raleigh, NC 27604</v>
      </c>
      <c r="U2" s="185">
        <f>+B62</f>
        <v>0</v>
      </c>
      <c r="V2" s="377" t="str">
        <f>+B48</f>
        <v>0.000%</v>
      </c>
      <c r="W2" s="377" t="str">
        <f>+B66</f>
        <v>WAKE</v>
      </c>
      <c r="X2">
        <f ca="1">+B90</f>
        <v>6</v>
      </c>
      <c r="Y2">
        <f ca="1">+B89</f>
        <v>2026</v>
      </c>
      <c r="Z2" t="str">
        <f>+B77</f>
        <v>Jack H. Gunn and Wife Bonnie B. Gunn</v>
      </c>
      <c r="AA2" t="str">
        <f>+B78</f>
        <v>11681</v>
      </c>
      <c r="AB2" t="str">
        <f>+B79</f>
        <v>1986</v>
      </c>
      <c r="AC2" t="str">
        <f>+B80</f>
        <v>Cary</v>
      </c>
      <c r="AD2">
        <f>+B102</f>
        <v>6</v>
      </c>
      <c r="AE2">
        <f>+B103</f>
        <v>0</v>
      </c>
      <c r="AF2" s="377" t="str">
        <f>+B49</f>
        <v>0.000%</v>
      </c>
      <c r="AG2" s="377" t="str">
        <f>+B50</f>
        <v>10.625%</v>
      </c>
      <c r="AH2" t="str">
        <f>+B41</f>
        <v>X:      -    -       :</v>
      </c>
      <c r="AI2" t="str">
        <f>+B38</f>
        <v>:</v>
      </c>
      <c r="AJ2">
        <f>+B70</f>
        <v>0</v>
      </c>
      <c r="AK2" s="14" t="str">
        <f>+B56</f>
        <v>Hubolist Elliott</v>
      </c>
      <c r="AL2">
        <f>+B57</f>
        <v>2025</v>
      </c>
      <c r="AM2" t="str">
        <f>+B73</f>
        <v>Lot 18 Burtrose Subdivision, as shown on map recorded in Book 1960, Page 45, Wake County Registry.</v>
      </c>
      <c r="AN2">
        <f>B42</f>
        <v>555834859</v>
      </c>
      <c r="AO2" s="14">
        <f>+B12</f>
        <v>9113</v>
      </c>
      <c r="AP2" s="378">
        <f>+B21</f>
        <v>56674</v>
      </c>
      <c r="AQ2" s="378">
        <f>+B20</f>
        <v>45748</v>
      </c>
      <c r="AR2" s="378">
        <f>+B22</f>
        <v>47574</v>
      </c>
      <c r="AS2" s="378">
        <f>+B23</f>
        <v>155230</v>
      </c>
      <c r="AT2" s="230">
        <f>+B16</f>
        <v>360</v>
      </c>
      <c r="AU2" s="230">
        <f>+B13</f>
        <v>10874</v>
      </c>
      <c r="AV2" s="230">
        <f>+B16</f>
        <v>360</v>
      </c>
      <c r="AW2" t="str">
        <f>+B88</f>
        <v>Sam Browning</v>
      </c>
      <c r="AX2" t="str">
        <f>+B104</f>
        <v>X</v>
      </c>
      <c r="AY2" t="str">
        <f>+B99</f>
        <v>DON'T USE</v>
      </c>
      <c r="AZ2" t="str">
        <f>+B100</f>
        <v>Part of Purchase and Sale Agreement</v>
      </c>
      <c r="BA2" t="str">
        <f>+B105</f>
        <v>Purchase and Sale Agreement</v>
      </c>
      <c r="BB2" s="14">
        <f>+B96</f>
        <v>2083.3333333333335</v>
      </c>
      <c r="BC2" s="14">
        <f>+B97</f>
        <v>12500</v>
      </c>
      <c r="BD2" t="str">
        <f>+B98</f>
        <v>A balloon payment of $12,500.00 will be due when the property is resold by the purchaser</v>
      </c>
      <c r="BE2" t="str">
        <f>+B64</f>
        <v>908 Pond St</v>
      </c>
      <c r="BF2" t="str">
        <f>+B65</f>
        <v>Cary NC, 27511</v>
      </c>
      <c r="BG2" t="str">
        <f>+B66</f>
        <v>WAKE</v>
      </c>
      <c r="BH2" t="str">
        <f>+B74</f>
        <v>007478</v>
      </c>
      <c r="BI2">
        <f>+B67</f>
        <v>1610.04</v>
      </c>
      <c r="BJ2" s="377">
        <f>+B14</f>
        <v>10874</v>
      </c>
      <c r="BK2" s="185" t="str">
        <f>+B69</f>
        <v>Monthly</v>
      </c>
      <c r="BL2" t="str">
        <f>+B29</f>
        <v>Hubolist Elliott</v>
      </c>
      <c r="BM2">
        <f>+B95</f>
        <v>25000</v>
      </c>
      <c r="BN2" t="str">
        <f>+B108</f>
        <v>Neal Jay Isaacs</v>
      </c>
      <c r="BO2" t="str">
        <f>+B109</f>
        <v>106 Omaha Falls Ct.</v>
      </c>
      <c r="BP2" t="str">
        <f>+B110</f>
        <v>Garner NC 27529</v>
      </c>
      <c r="BQ2" s="1">
        <f>+B111</f>
        <v>100000</v>
      </c>
      <c r="BR2" s="1" t="str">
        <f>+B112</f>
        <v>3rd</v>
      </c>
      <c r="BS2" s="1">
        <f>+B113</f>
        <v>11</v>
      </c>
      <c r="BT2" t="str">
        <f>+B76</f>
        <v>Grantor's Deceased Spouse, Mattie Elliott's Estate</v>
      </c>
      <c r="BU2" s="85" t="str">
        <f>+B58</f>
        <v>The lease shall be without cost, with the acknowledgement that Lessee will cooperate with work crews in remodeling effort.</v>
      </c>
      <c r="BV2" s="14" t="str">
        <f>+B60</f>
        <v xml:space="preserve"> </v>
      </c>
      <c r="BW2" s="376">
        <f>+B11</f>
        <v>9113</v>
      </c>
      <c r="BX2">
        <f>+B8</f>
        <v>0</v>
      </c>
      <c r="BY2">
        <f>+B9</f>
        <v>65625.000000000015</v>
      </c>
      <c r="BZ2" s="376">
        <f>+B10</f>
        <v>986100</v>
      </c>
      <c r="CA2" s="14">
        <f>B43</f>
        <v>26541.02</v>
      </c>
      <c r="CB2">
        <f>+B34</f>
        <v>0</v>
      </c>
      <c r="CC2">
        <f>+B35</f>
        <v>0</v>
      </c>
      <c r="CD2">
        <f>+B32</f>
        <v>0</v>
      </c>
      <c r="CE2" t="str">
        <f>+B33</f>
        <v>A Widowd Man</v>
      </c>
      <c r="CF2" s="185">
        <f>+B68</f>
        <v>134.16999999999999</v>
      </c>
      <c r="CG2">
        <f>+B17</f>
        <v>300</v>
      </c>
      <c r="CH2">
        <f>+B19</f>
        <v>56674</v>
      </c>
      <c r="CI2">
        <f>+B18</f>
        <v>45748</v>
      </c>
      <c r="CJ2" t="str">
        <f>+B85</f>
        <v>908 Pond St Real Estate Trust dated March, 5 2025</v>
      </c>
      <c r="CK2" s="85" t="str">
        <f>+B86</f>
        <v>March, 5</v>
      </c>
      <c r="CL2" t="str">
        <f>+B82</f>
        <v>Investment Services LLC</v>
      </c>
      <c r="CM2" t="str">
        <f>+B83</f>
        <v>1309 Coffeen Avenue, STE 1200</v>
      </c>
      <c r="CN2" t="str">
        <f>+B84</f>
        <v>Sheridan, Wyoming 82801</v>
      </c>
      <c r="CO2">
        <f>+B87</f>
        <v>2025</v>
      </c>
    </row>
    <row r="3" spans="1:101">
      <c r="CW3" s="25"/>
    </row>
    <row r="4" spans="1:101">
      <c r="K4" s="30"/>
      <c r="AY4" s="30"/>
      <c r="AZ4" s="30"/>
      <c r="BA4" s="30"/>
      <c r="BB4" s="30"/>
      <c r="BC4" s="30"/>
      <c r="BD4" s="30"/>
      <c r="CA4" s="377"/>
      <c r="CB4" s="377"/>
      <c r="CC4" s="377"/>
      <c r="CD4" s="377"/>
      <c r="CE4" s="377"/>
      <c r="CF4" s="377"/>
    </row>
    <row r="5" spans="1:101">
      <c r="F5" s="15"/>
      <c r="G5" t="str">
        <f>+B53</f>
        <v xml:space="preserve"> </v>
      </c>
      <c r="AY5" s="30"/>
      <c r="AZ5" s="30"/>
      <c r="BV5" s="15"/>
      <c r="CE5" s="30"/>
    </row>
    <row r="6" spans="1:101" ht="16.5" thickBot="1">
      <c r="F6"/>
      <c r="BV6" s="14"/>
    </row>
    <row r="7" spans="1:101" ht="16.5" thickBot="1">
      <c r="A7" s="416" t="s">
        <v>280</v>
      </c>
      <c r="B7" s="424">
        <f>+Amortization!AA4</f>
        <v>1051725</v>
      </c>
      <c r="C7" s="423"/>
      <c r="D7" s="423"/>
      <c r="E7" s="423"/>
      <c r="F7" s="423"/>
      <c r="G7" s="25"/>
      <c r="H7" s="25"/>
    </row>
    <row r="8" spans="1:101">
      <c r="A8" s="30" t="s">
        <v>281</v>
      </c>
      <c r="B8" s="431">
        <f>+Amortization!K2</f>
        <v>0</v>
      </c>
      <c r="C8" s="423"/>
      <c r="D8" s="423"/>
      <c r="E8" s="423"/>
      <c r="F8" s="423"/>
      <c r="G8" s="25"/>
      <c r="H8" s="25"/>
    </row>
    <row r="9" spans="1:101">
      <c r="A9" s="30" t="s">
        <v>282</v>
      </c>
      <c r="B9" s="424">
        <f>+Amortization!$O$4</f>
        <v>65625.000000000015</v>
      </c>
      <c r="C9" s="423"/>
      <c r="D9" s="423"/>
      <c r="E9" s="423"/>
      <c r="F9" s="423"/>
      <c r="G9" s="25"/>
      <c r="H9" s="25"/>
    </row>
    <row r="10" spans="1:101">
      <c r="A10" s="30" t="s">
        <v>283</v>
      </c>
      <c r="B10" s="424">
        <f>+Amortization!O5</f>
        <v>986100</v>
      </c>
      <c r="C10" s="424"/>
      <c r="D10" s="424"/>
      <c r="E10" s="424"/>
      <c r="F10" s="424"/>
      <c r="G10" s="382"/>
      <c r="H10" s="382"/>
    </row>
    <row r="11" spans="1:101">
      <c r="A11" s="389" t="s">
        <v>284</v>
      </c>
      <c r="B11" s="424">
        <f>SUM(B12:B12)</f>
        <v>9113</v>
      </c>
      <c r="C11" s="424"/>
      <c r="D11" s="424"/>
      <c r="E11" s="424"/>
      <c r="F11" s="424"/>
      <c r="G11" s="382"/>
      <c r="H11" s="382"/>
    </row>
    <row r="12" spans="1:101">
      <c r="A12" s="389" t="s">
        <v>137</v>
      </c>
      <c r="B12" s="425">
        <f>+Amortization!Z9</f>
        <v>9113</v>
      </c>
      <c r="C12" s="425"/>
      <c r="D12" s="425"/>
      <c r="E12" s="425"/>
      <c r="F12" s="425"/>
      <c r="G12" s="383"/>
      <c r="H12" s="383"/>
    </row>
    <row r="13" spans="1:101" ht="13.5" customHeight="1">
      <c r="A13" s="389" t="s">
        <v>234</v>
      </c>
      <c r="B13" s="426">
        <f>+Amortization!Z10</f>
        <v>10874</v>
      </c>
      <c r="C13" s="426"/>
      <c r="D13" s="426"/>
      <c r="E13" s="426"/>
      <c r="F13" s="426"/>
      <c r="G13" s="386"/>
      <c r="H13" s="386"/>
    </row>
    <row r="14" spans="1:101" ht="13.5" customHeight="1">
      <c r="A14" s="389" t="s">
        <v>285</v>
      </c>
      <c r="B14" s="427">
        <f>SUM(B13:B13)</f>
        <v>10874</v>
      </c>
      <c r="C14" s="427"/>
      <c r="D14" s="427"/>
      <c r="E14" s="427"/>
      <c r="F14" s="427"/>
      <c r="G14" s="385"/>
      <c r="H14" s="385"/>
    </row>
    <row r="15" spans="1:101" ht="13.5" customHeight="1">
      <c r="A15" s="389" t="s">
        <v>286</v>
      </c>
      <c r="B15" s="427">
        <f>+Amortization!O9</f>
        <v>30</v>
      </c>
      <c r="C15" s="427"/>
      <c r="D15" s="427"/>
      <c r="E15" s="427"/>
      <c r="F15" s="427"/>
      <c r="G15" s="385"/>
      <c r="H15" s="385"/>
    </row>
    <row r="16" spans="1:101" ht="13.5" customHeight="1">
      <c r="A16" s="389" t="s">
        <v>235</v>
      </c>
      <c r="B16" s="426">
        <f>+B15*12</f>
        <v>360</v>
      </c>
      <c r="C16" s="426"/>
      <c r="D16" s="426"/>
      <c r="E16" s="426"/>
      <c r="F16" s="426"/>
      <c r="G16" s="386"/>
      <c r="H16" s="386"/>
    </row>
    <row r="17" spans="1:8" ht="13.5" customHeight="1">
      <c r="A17" s="389" t="s">
        <v>287</v>
      </c>
      <c r="B17" s="599">
        <f>+B16-60</f>
        <v>300</v>
      </c>
      <c r="C17" s="428"/>
      <c r="D17" s="428"/>
      <c r="E17" s="428"/>
      <c r="F17" s="428"/>
      <c r="G17" s="28"/>
      <c r="H17" s="28"/>
    </row>
    <row r="18" spans="1:8" ht="13.5" customHeight="1">
      <c r="A18" s="30" t="s">
        <v>288</v>
      </c>
      <c r="B18" s="600">
        <f>+Amortization!O11</f>
        <v>45748</v>
      </c>
      <c r="C18" s="428"/>
      <c r="D18" s="428"/>
      <c r="E18" s="428"/>
      <c r="F18" s="428"/>
      <c r="G18" s="28"/>
      <c r="H18" s="28"/>
    </row>
    <row r="19" spans="1:8" ht="13.5" customHeight="1">
      <c r="A19" s="30" t="s">
        <v>289</v>
      </c>
      <c r="B19" s="600">
        <f>+Amortization!Q11</f>
        <v>56674</v>
      </c>
      <c r="C19" s="428"/>
      <c r="D19" s="428"/>
      <c r="E19" s="428"/>
      <c r="F19" s="428"/>
      <c r="G19" s="28"/>
      <c r="H19" s="28"/>
    </row>
    <row r="20" spans="1:8" ht="13.5" customHeight="1">
      <c r="A20" s="30" t="s">
        <v>290</v>
      </c>
      <c r="B20" s="429">
        <f>+Amortization!O11</f>
        <v>45748</v>
      </c>
      <c r="C20" s="429"/>
      <c r="D20" s="429"/>
      <c r="E20" s="429"/>
      <c r="F20" s="429"/>
      <c r="G20" s="391"/>
      <c r="H20" s="391"/>
    </row>
    <row r="21" spans="1:8">
      <c r="A21" s="30" t="s">
        <v>291</v>
      </c>
      <c r="B21" s="430">
        <f>+$B$18+($B$15*365)-DAY(+$B$18+($B$15*365))+1</f>
        <v>56674</v>
      </c>
      <c r="C21" s="430"/>
      <c r="D21" s="430"/>
      <c r="E21" s="430"/>
      <c r="F21" s="430"/>
      <c r="G21" s="387"/>
      <c r="H21" s="387"/>
    </row>
    <row r="22" spans="1:8">
      <c r="A22" s="30" t="s">
        <v>292</v>
      </c>
      <c r="B22" s="430">
        <f>+$B$20+(5*365)-DAY(+$B$20+(5*365))+32</f>
        <v>47574</v>
      </c>
      <c r="C22" s="430"/>
      <c r="D22" s="430"/>
      <c r="E22" s="430"/>
      <c r="F22" s="430"/>
      <c r="G22" s="387"/>
      <c r="H22" s="387"/>
    </row>
    <row r="23" spans="1:8">
      <c r="A23" s="30" t="s">
        <v>293</v>
      </c>
      <c r="B23" s="430">
        <f>+$B$20+($B$17*365)-DAY(+$B$20+($B$17*365))+1</f>
        <v>155230</v>
      </c>
      <c r="C23" s="430"/>
      <c r="D23" s="430"/>
      <c r="E23" s="430"/>
      <c r="F23" s="430"/>
      <c r="G23" s="387"/>
      <c r="H23" s="387"/>
    </row>
    <row r="24" spans="1:8" ht="16.5" thickBot="1">
      <c r="A24" s="30" t="s">
        <v>294</v>
      </c>
      <c r="B24" s="423"/>
      <c r="C24" s="423"/>
      <c r="D24" s="423"/>
      <c r="E24" s="423"/>
      <c r="F24" s="423"/>
      <c r="G24" s="25"/>
      <c r="H24" s="25"/>
    </row>
    <row r="25" spans="1:8" ht="16.5" thickBot="1">
      <c r="A25" s="416" t="s">
        <v>295</v>
      </c>
      <c r="B25" s="423"/>
      <c r="C25" s="423"/>
      <c r="D25" s="423"/>
      <c r="E25" s="423"/>
      <c r="F25" s="423"/>
      <c r="G25" s="25"/>
      <c r="H25" s="25"/>
    </row>
    <row r="26" spans="1:8">
      <c r="A26" s="30" t="s">
        <v>296</v>
      </c>
      <c r="B26" s="423" t="s">
        <v>297</v>
      </c>
      <c r="C26" s="423"/>
      <c r="D26" s="423"/>
      <c r="E26" s="423"/>
      <c r="F26" s="423"/>
      <c r="G26" s="25"/>
      <c r="H26" s="25"/>
    </row>
    <row r="27" spans="1:8">
      <c r="A27" s="30" t="s">
        <v>298</v>
      </c>
      <c r="B27" s="423" t="str">
        <f>MOG!$B$3 &amp; " " &amp; MOG!$C$3</f>
        <v>Hubolist Elliott</v>
      </c>
      <c r="C27" s="423"/>
      <c r="D27" s="423"/>
      <c r="E27" s="423"/>
      <c r="F27" s="423"/>
      <c r="G27" s="25"/>
      <c r="H27" s="25"/>
    </row>
    <row r="28" spans="1:8">
      <c r="A28" s="30" t="s">
        <v>299</v>
      </c>
      <c r="B28" s="423" t="str">
        <f>IF(B29="",MOG!B4&amp;" "&amp;MOG!C4,"")</f>
        <v/>
      </c>
      <c r="C28" s="423"/>
      <c r="D28" s="423"/>
      <c r="E28" s="423"/>
      <c r="F28" s="423"/>
      <c r="G28" s="25"/>
      <c r="H28" s="25"/>
    </row>
    <row r="29" spans="1:8">
      <c r="A29" s="30" t="s">
        <v>300</v>
      </c>
      <c r="B29" s="428" t="s">
        <v>301</v>
      </c>
      <c r="C29" s="428"/>
      <c r="D29" s="423"/>
      <c r="E29" s="423"/>
      <c r="F29" s="423"/>
      <c r="G29" s="25"/>
      <c r="H29" s="25"/>
    </row>
    <row r="30" spans="1:8">
      <c r="A30" s="30" t="s">
        <v>302</v>
      </c>
      <c r="B30" s="428" t="str">
        <f>MOG!B4&amp;" "&amp;MOG!C4</f>
        <v>Hurbert Lee Elliott</v>
      </c>
      <c r="C30" s="428"/>
      <c r="D30" s="423"/>
      <c r="E30" s="423"/>
      <c r="F30" s="423"/>
      <c r="G30" s="25"/>
      <c r="H30" s="25"/>
    </row>
    <row r="31" spans="1:8">
      <c r="A31" s="30" t="s">
        <v>303</v>
      </c>
      <c r="B31" s="423" t="str">
        <f>IF(B29="",MOG!$B$3 &amp; " " &amp; MOG!$C$3 &amp; IF(+MOG!$C$4="",""," and " &amp; +MOG!$B$4 &amp; " " &amp;MOG!$C$4),B29)</f>
        <v>Hubolist Elliott</v>
      </c>
      <c r="C31" s="423"/>
      <c r="D31" s="423"/>
      <c r="E31" s="423"/>
      <c r="F31" s="423"/>
      <c r="G31" s="25"/>
      <c r="H31" s="25"/>
    </row>
    <row r="32" spans="1:8">
      <c r="A32" s="30" t="s">
        <v>304</v>
      </c>
      <c r="B32" s="423"/>
      <c r="C32" s="423"/>
      <c r="D32" s="423"/>
      <c r="E32" s="423"/>
      <c r="F32" s="423"/>
      <c r="G32" s="25"/>
      <c r="H32" s="25"/>
    </row>
    <row r="33" spans="1:8">
      <c r="A33" s="30" t="s">
        <v>305</v>
      </c>
      <c r="B33" s="423" t="s">
        <v>306</v>
      </c>
      <c r="C33" s="423"/>
      <c r="D33" s="423"/>
      <c r="E33" s="423"/>
      <c r="F33" s="423"/>
      <c r="G33" s="25"/>
      <c r="H33" s="25"/>
    </row>
    <row r="34" spans="1:8" ht="15">
      <c r="A34" s="30" t="s">
        <v>307</v>
      </c>
      <c r="B34" s="438"/>
      <c r="C34" s="438"/>
      <c r="D34" s="438"/>
      <c r="E34" s="438"/>
      <c r="F34" s="438"/>
      <c r="G34" s="25"/>
      <c r="H34" s="25"/>
    </row>
    <row r="35" spans="1:8" ht="15">
      <c r="A35" s="30" t="s">
        <v>308</v>
      </c>
      <c r="B35" s="438"/>
      <c r="C35" s="438"/>
      <c r="D35" s="438"/>
      <c r="E35" s="438"/>
      <c r="F35" s="438"/>
      <c r="G35" s="25"/>
      <c r="H35" s="25"/>
    </row>
    <row r="36" spans="1:8" ht="15">
      <c r="A36" s="30" t="s">
        <v>309</v>
      </c>
      <c r="B36" s="438" t="s">
        <v>310</v>
      </c>
      <c r="C36" s="438"/>
      <c r="D36" s="438"/>
      <c r="E36" s="438"/>
      <c r="F36" s="438"/>
      <c r="G36" s="25"/>
      <c r="H36" s="25"/>
    </row>
    <row r="37" spans="1:8" ht="15">
      <c r="A37" s="30" t="s">
        <v>311</v>
      </c>
      <c r="B37" s="438" t="s">
        <v>312</v>
      </c>
      <c r="C37" s="438"/>
      <c r="D37" s="438"/>
      <c r="E37" s="438"/>
      <c r="F37" s="438"/>
      <c r="G37" s="25"/>
      <c r="H37" s="25"/>
    </row>
    <row r="38" spans="1:8">
      <c r="A38" s="30" t="s">
        <v>222</v>
      </c>
      <c r="B38" s="423" t="s">
        <v>313</v>
      </c>
      <c r="C38" s="423"/>
      <c r="D38" s="423"/>
      <c r="E38" s="423"/>
      <c r="F38" s="423"/>
      <c r="G38" s="25"/>
      <c r="H38" s="25"/>
    </row>
    <row r="39" spans="1:8">
      <c r="A39" s="30" t="s">
        <v>314</v>
      </c>
      <c r="B39" s="428" t="s">
        <v>315</v>
      </c>
      <c r="C39" s="428"/>
      <c r="D39" s="428"/>
      <c r="E39" s="428"/>
      <c r="F39" s="428"/>
      <c r="G39" s="25"/>
      <c r="H39" s="25"/>
    </row>
    <row r="40" spans="1:8">
      <c r="A40" s="30" t="s">
        <v>316</v>
      </c>
      <c r="B40" s="428" t="s">
        <v>315</v>
      </c>
      <c r="C40" s="428"/>
      <c r="D40" s="428"/>
      <c r="E40" s="428"/>
      <c r="F40" s="428"/>
      <c r="G40" s="25"/>
      <c r="H40" s="25"/>
    </row>
    <row r="41" spans="1:8">
      <c r="A41" s="30" t="s">
        <v>317</v>
      </c>
      <c r="B41" s="428" t="s">
        <v>315</v>
      </c>
      <c r="C41" s="428"/>
      <c r="D41" s="428"/>
      <c r="E41" s="428"/>
      <c r="F41" s="428"/>
      <c r="G41" s="25"/>
      <c r="H41" s="25"/>
    </row>
    <row r="42" spans="1:8">
      <c r="A42" s="30" t="s">
        <v>227</v>
      </c>
      <c r="B42" s="423">
        <v>555834859</v>
      </c>
      <c r="C42" s="423"/>
      <c r="D42" s="423"/>
      <c r="E42" s="423"/>
      <c r="F42" s="423"/>
      <c r="G42" s="25"/>
      <c r="H42" s="25"/>
    </row>
    <row r="43" spans="1:8">
      <c r="A43" s="389" t="s">
        <v>318</v>
      </c>
      <c r="B43" s="425">
        <f>Profit!C14</f>
        <v>26541.02</v>
      </c>
      <c r="C43" s="425"/>
      <c r="D43" s="425"/>
      <c r="E43" s="425"/>
      <c r="F43" s="425"/>
      <c r="G43" s="383"/>
      <c r="H43" s="383"/>
    </row>
    <row r="44" spans="1:8">
      <c r="A44" s="389" t="s">
        <v>131</v>
      </c>
      <c r="B44" s="425">
        <f>Profit!C15</f>
        <v>0</v>
      </c>
      <c r="C44" s="425"/>
      <c r="D44" s="425"/>
      <c r="E44" s="425"/>
      <c r="F44" s="425"/>
      <c r="G44" s="383"/>
      <c r="H44" s="383"/>
    </row>
    <row r="45" spans="1:8">
      <c r="A45" s="389" t="s">
        <v>319</v>
      </c>
      <c r="B45" s="425">
        <f>Profit!B21</f>
        <v>221572.01</v>
      </c>
      <c r="C45" s="425"/>
      <c r="D45" s="425"/>
      <c r="E45" s="425"/>
      <c r="F45" s="425"/>
      <c r="G45" s="383"/>
      <c r="H45" s="383"/>
    </row>
    <row r="46" spans="1:8">
      <c r="A46" s="389" t="s">
        <v>320</v>
      </c>
      <c r="B46" s="428">
        <v>100</v>
      </c>
      <c r="C46" s="428"/>
      <c r="D46" s="428"/>
      <c r="E46" s="428"/>
      <c r="F46" s="428"/>
      <c r="G46" s="28"/>
      <c r="H46" s="28"/>
    </row>
    <row r="47" spans="1:8">
      <c r="A47" s="389" t="s">
        <v>321</v>
      </c>
      <c r="B47" s="425">
        <f>+Profit!C20-B46</f>
        <v>44900</v>
      </c>
      <c r="C47" s="425"/>
      <c r="D47" s="425"/>
      <c r="E47" s="425"/>
      <c r="F47" s="425"/>
      <c r="G47" s="383"/>
      <c r="H47" s="383"/>
    </row>
    <row r="48" spans="1:8">
      <c r="A48" s="389" t="s">
        <v>322</v>
      </c>
      <c r="B48" s="427" t="str">
        <f>TEXT(Amortization!$C$3,"0.000%")</f>
        <v>0.000%</v>
      </c>
      <c r="C48" s="427"/>
      <c r="D48" s="427"/>
      <c r="E48" s="427"/>
      <c r="F48" s="427"/>
      <c r="G48" s="385"/>
      <c r="H48" s="385"/>
    </row>
    <row r="49" spans="1:8">
      <c r="A49" s="389" t="s">
        <v>323</v>
      </c>
      <c r="B49" s="427" t="str">
        <f>TEXT(+Amortization!AA8,"0.000%")</f>
        <v>0.000%</v>
      </c>
      <c r="C49" s="427"/>
      <c r="D49" s="427"/>
      <c r="E49" s="427"/>
      <c r="F49" s="427"/>
      <c r="G49" s="385"/>
      <c r="H49" s="385"/>
    </row>
    <row r="50" spans="1:8">
      <c r="A50" s="389" t="s">
        <v>324</v>
      </c>
      <c r="B50" s="427" t="str">
        <f>TEXT(Amortization!$C$4,"0.000%")</f>
        <v>10.625%</v>
      </c>
      <c r="C50" s="427"/>
      <c r="D50" s="427"/>
      <c r="E50" s="427"/>
      <c r="F50" s="427"/>
      <c r="G50" s="385"/>
      <c r="H50" s="385"/>
    </row>
    <row r="51" spans="1:8">
      <c r="A51" s="389" t="s">
        <v>325</v>
      </c>
      <c r="B51" s="425" t="str">
        <f>TEXT(+Amortization!AA9,"0.000%")</f>
        <v>10.625%</v>
      </c>
      <c r="C51" s="425"/>
      <c r="D51" s="425"/>
      <c r="E51" s="425"/>
      <c r="F51" s="425"/>
      <c r="G51" s="383"/>
      <c r="H51" s="383"/>
    </row>
    <row r="52" spans="1:8">
      <c r="B52" s="422" t="str">
        <f>TEXT(Amortization!$O$7,"0.000%")</f>
        <v>23.750%</v>
      </c>
      <c r="G52" s="384"/>
      <c r="H52" s="384"/>
    </row>
    <row r="53" spans="1:8" ht="16.5" thickBot="1">
      <c r="A53" s="389" t="s">
        <v>327</v>
      </c>
      <c r="B53" s="425" t="s">
        <v>328</v>
      </c>
      <c r="C53" s="425"/>
      <c r="D53" s="425"/>
      <c r="E53" s="425"/>
      <c r="F53" s="425"/>
      <c r="G53" s="383"/>
      <c r="H53" s="383"/>
    </row>
    <row r="54" spans="1:8" ht="16.5" thickBot="1">
      <c r="A54" s="416" t="s">
        <v>329</v>
      </c>
      <c r="B54" s="432"/>
      <c r="C54" s="432"/>
      <c r="D54" s="432"/>
      <c r="E54" s="432"/>
      <c r="F54" s="432"/>
      <c r="G54" s="417"/>
      <c r="H54" s="417"/>
    </row>
    <row r="55" spans="1:8">
      <c r="A55" s="389" t="s">
        <v>330</v>
      </c>
      <c r="B55" s="436" t="str">
        <f>+MOG!B3&amp;" "&amp;MOG!C3</f>
        <v>Hubolist Elliott</v>
      </c>
      <c r="C55" s="432"/>
      <c r="D55" s="432"/>
      <c r="E55" s="432"/>
      <c r="F55" s="432"/>
      <c r="G55" s="417"/>
      <c r="H55" s="417"/>
    </row>
    <row r="56" spans="1:8">
      <c r="A56" s="389" t="s">
        <v>331</v>
      </c>
      <c r="B56" s="425" t="str">
        <f>IF(B55="",+Docs!B31,B55)</f>
        <v>Hubolist Elliott</v>
      </c>
      <c r="C56" s="425"/>
      <c r="D56" s="425"/>
      <c r="E56" s="425"/>
      <c r="F56" s="425"/>
      <c r="G56" s="417"/>
      <c r="H56" s="417"/>
    </row>
    <row r="57" spans="1:8">
      <c r="A57" s="389" t="s">
        <v>332</v>
      </c>
      <c r="B57" s="433">
        <v>2025</v>
      </c>
      <c r="C57" s="433"/>
      <c r="D57" s="433"/>
      <c r="E57" s="433"/>
      <c r="F57" s="433"/>
      <c r="G57" s="32"/>
      <c r="H57" s="32"/>
    </row>
    <row r="58" spans="1:8">
      <c r="A58" s="30" t="s">
        <v>333</v>
      </c>
      <c r="B58" s="425" t="s">
        <v>334</v>
      </c>
      <c r="C58" s="425"/>
      <c r="D58" s="425"/>
      <c r="E58" s="425"/>
      <c r="F58" s="425"/>
      <c r="G58" s="383"/>
      <c r="H58" s="383"/>
    </row>
    <row r="59" spans="1:8">
      <c r="A59" s="30" t="s">
        <v>335</v>
      </c>
      <c r="B59" s="436"/>
      <c r="C59" s="432"/>
      <c r="D59" s="432"/>
      <c r="E59" s="432"/>
      <c r="F59" s="432"/>
      <c r="G59" s="383"/>
      <c r="H59" s="383"/>
    </row>
    <row r="60" spans="1:8">
      <c r="A60" s="30" t="s">
        <v>336</v>
      </c>
      <c r="B60" s="425" t="str">
        <f>IF(B59="X","[X] If checked, The rent shall adjust, annually, to exactly the amount of the mortgage payment, property insurance, real estate taxes, plus $10.00."," ")</f>
        <v xml:space="preserve"> </v>
      </c>
      <c r="C60" s="432"/>
      <c r="D60" s="432"/>
      <c r="E60" s="432"/>
      <c r="F60" s="432"/>
      <c r="G60" s="383"/>
      <c r="H60" s="383"/>
    </row>
    <row r="61" spans="1:8">
      <c r="A61" s="30" t="s">
        <v>337</v>
      </c>
      <c r="B61" s="437">
        <v>0</v>
      </c>
      <c r="C61" s="432"/>
      <c r="D61" s="432"/>
      <c r="E61" s="432"/>
      <c r="F61" s="432"/>
      <c r="G61" s="383"/>
      <c r="H61" s="383"/>
    </row>
    <row r="62" spans="1:8" ht="16.5" thickBot="1">
      <c r="A62" s="30" t="s">
        <v>338</v>
      </c>
      <c r="B62" s="431">
        <f>IF(B61=0,0,Carrying!E5)</f>
        <v>0</v>
      </c>
      <c r="C62" s="431"/>
      <c r="D62" s="431"/>
      <c r="E62" s="431"/>
      <c r="F62" s="431"/>
      <c r="G62" s="383"/>
      <c r="H62" s="383"/>
    </row>
    <row r="63" spans="1:8" ht="16.5" thickBot="1">
      <c r="A63" s="416" t="s">
        <v>339</v>
      </c>
      <c r="B63" s="423"/>
      <c r="C63" s="423"/>
      <c r="D63" s="423"/>
      <c r="E63" s="423"/>
      <c r="F63" s="423"/>
      <c r="G63" s="25"/>
      <c r="H63" s="25"/>
    </row>
    <row r="64" spans="1:8">
      <c r="A64" s="30" t="s">
        <v>340</v>
      </c>
      <c r="B64" s="423" t="str">
        <f>+Profit!$B$2</f>
        <v>908 Pond St</v>
      </c>
      <c r="C64" s="423"/>
      <c r="D64" s="423"/>
      <c r="E64" s="423"/>
      <c r="F64" s="423"/>
      <c r="G64" s="25"/>
      <c r="H64" s="25"/>
    </row>
    <row r="65" spans="1:10">
      <c r="A65" s="30" t="s">
        <v>341</v>
      </c>
      <c r="B65" s="423" t="str">
        <f>+Profit!$E$2</f>
        <v>Cary NC, 27511</v>
      </c>
      <c r="C65" s="423"/>
      <c r="D65" s="423"/>
      <c r="E65" s="423"/>
      <c r="F65" s="423"/>
      <c r="G65" s="25"/>
      <c r="H65" s="25"/>
    </row>
    <row r="66" spans="1:10">
      <c r="A66" s="30" t="s">
        <v>210</v>
      </c>
      <c r="B66" s="423" t="s">
        <v>342</v>
      </c>
      <c r="C66" s="423"/>
      <c r="D66" s="423"/>
      <c r="E66" s="423"/>
      <c r="F66" s="423"/>
      <c r="G66" s="25"/>
      <c r="H66" s="25"/>
    </row>
    <row r="67" spans="1:10">
      <c r="A67" s="389" t="s">
        <v>343</v>
      </c>
      <c r="B67" s="423">
        <f>+B68*12</f>
        <v>1610.04</v>
      </c>
      <c r="C67" s="423"/>
      <c r="D67" s="423"/>
      <c r="E67" s="423"/>
      <c r="F67" s="423"/>
      <c r="G67" s="25"/>
      <c r="H67" s="25"/>
    </row>
    <row r="68" spans="1:10">
      <c r="A68" s="389" t="s">
        <v>344</v>
      </c>
      <c r="B68" s="431">
        <f>+Amortization!$T$9</f>
        <v>134.16999999999999</v>
      </c>
      <c r="C68" s="431"/>
      <c r="D68" s="431"/>
      <c r="E68" s="431"/>
      <c r="F68" s="431"/>
      <c r="G68" s="384"/>
      <c r="H68" s="384"/>
    </row>
    <row r="69" spans="1:10">
      <c r="A69" s="389" t="s">
        <v>345</v>
      </c>
      <c r="B69" s="431" t="str">
        <f>+Amortization!$T$8</f>
        <v>Monthly</v>
      </c>
      <c r="C69" s="431"/>
      <c r="D69" s="431"/>
      <c r="E69" s="431"/>
      <c r="F69" s="431"/>
      <c r="G69" s="384"/>
      <c r="H69" s="384"/>
    </row>
    <row r="70" spans="1:10" ht="16.5" thickBot="1">
      <c r="A70" s="390" t="s">
        <v>346</v>
      </c>
      <c r="B70" s="423">
        <v>0</v>
      </c>
      <c r="C70" s="423"/>
      <c r="D70" s="423"/>
      <c r="E70" s="423"/>
      <c r="F70" s="423"/>
      <c r="G70" s="25"/>
      <c r="H70" s="25"/>
    </row>
    <row r="71" spans="1:10" ht="16.5" thickBot="1">
      <c r="A71" s="416" t="s">
        <v>347</v>
      </c>
      <c r="B71" s="423"/>
      <c r="C71" s="423"/>
      <c r="D71" s="423"/>
      <c r="E71" s="423"/>
      <c r="F71" s="423"/>
      <c r="G71" s="25"/>
      <c r="H71" s="25"/>
    </row>
    <row r="72" spans="1:10">
      <c r="A72" s="30" t="s">
        <v>348</v>
      </c>
      <c r="B72" s="425" t="s">
        <v>349</v>
      </c>
      <c r="C72" s="425"/>
      <c r="D72" s="425"/>
      <c r="E72" s="425"/>
      <c r="F72" s="425"/>
      <c r="G72" s="383"/>
      <c r="H72" s="383"/>
    </row>
    <row r="73" spans="1:10">
      <c r="A73" s="30" t="s">
        <v>350</v>
      </c>
      <c r="B73" s="425" t="s">
        <v>351</v>
      </c>
      <c r="C73" s="425"/>
      <c r="D73" s="425"/>
      <c r="E73" s="425"/>
      <c r="F73" s="425"/>
      <c r="G73" s="383"/>
      <c r="H73" s="383"/>
    </row>
    <row r="74" spans="1:10">
      <c r="A74" s="30" t="s">
        <v>352</v>
      </c>
      <c r="B74" s="443" t="s">
        <v>353</v>
      </c>
      <c r="C74" s="432"/>
      <c r="D74" s="432"/>
      <c r="E74" s="432"/>
      <c r="F74" s="432"/>
      <c r="G74" s="432"/>
      <c r="H74" s="432"/>
      <c r="I74" s="432"/>
      <c r="J74" s="432"/>
    </row>
    <row r="75" spans="1:10">
      <c r="C75" s="432"/>
      <c r="D75" s="432"/>
      <c r="E75" s="432"/>
      <c r="F75" s="432"/>
      <c r="G75" s="432"/>
      <c r="H75" s="432"/>
      <c r="I75" s="432"/>
      <c r="J75" s="432"/>
    </row>
    <row r="76" spans="1:10">
      <c r="A76" s="30" t="s">
        <v>354</v>
      </c>
      <c r="B76" s="437" t="s">
        <v>355</v>
      </c>
      <c r="C76" s="432"/>
      <c r="D76" s="432"/>
      <c r="E76" s="432"/>
      <c r="F76" s="432"/>
      <c r="G76" s="432"/>
      <c r="H76" s="432"/>
      <c r="I76" s="432"/>
      <c r="J76" s="432"/>
    </row>
    <row r="77" spans="1:10">
      <c r="A77" s="30" t="s">
        <v>356</v>
      </c>
      <c r="B77" s="428" t="s">
        <v>357</v>
      </c>
      <c r="C77" s="432"/>
      <c r="D77" s="432"/>
      <c r="E77" s="432"/>
      <c r="F77" s="432"/>
      <c r="G77" s="432"/>
      <c r="H77" s="432"/>
      <c r="I77" s="432"/>
      <c r="J77" s="432"/>
    </row>
    <row r="78" spans="1:10">
      <c r="A78" s="30" t="s">
        <v>358</v>
      </c>
      <c r="B78" s="434" t="s">
        <v>359</v>
      </c>
      <c r="C78" s="432"/>
      <c r="D78" s="432"/>
      <c r="E78" s="432"/>
      <c r="F78" s="432"/>
      <c r="G78" s="432"/>
      <c r="H78" s="432"/>
      <c r="I78" s="432"/>
      <c r="J78" s="432"/>
    </row>
    <row r="79" spans="1:10">
      <c r="A79" s="30" t="s">
        <v>360</v>
      </c>
      <c r="B79" s="434" t="s">
        <v>361</v>
      </c>
      <c r="C79" s="432"/>
      <c r="D79" s="432"/>
      <c r="E79" s="432"/>
      <c r="F79" s="432"/>
      <c r="G79" s="432"/>
      <c r="H79" s="432"/>
      <c r="I79" s="432"/>
      <c r="J79" s="432"/>
    </row>
    <row r="80" spans="1:10" ht="16.5" thickBot="1">
      <c r="A80" s="30" t="s">
        <v>362</v>
      </c>
      <c r="B80" s="428" t="s">
        <v>363</v>
      </c>
      <c r="C80" s="432"/>
      <c r="D80" s="432"/>
      <c r="E80" s="432"/>
      <c r="F80" s="432"/>
      <c r="G80" s="432"/>
      <c r="H80" s="432"/>
      <c r="I80" s="432"/>
      <c r="J80" s="432"/>
    </row>
    <row r="81" spans="1:71" ht="16.5" thickBot="1">
      <c r="A81" s="416" t="s">
        <v>364</v>
      </c>
      <c r="B81" s="423"/>
      <c r="C81" s="432"/>
      <c r="D81" s="432"/>
      <c r="E81" s="432"/>
      <c r="F81" s="432"/>
      <c r="G81" s="25"/>
      <c r="H81" s="25"/>
    </row>
    <row r="82" spans="1:71">
      <c r="A82" s="30" t="s">
        <v>277</v>
      </c>
      <c r="B82" s="423" t="s">
        <v>365</v>
      </c>
      <c r="C82" s="423"/>
      <c r="D82" s="423"/>
      <c r="E82" s="423"/>
      <c r="F82" s="423"/>
      <c r="G82" s="25"/>
      <c r="H82" s="25"/>
    </row>
    <row r="83" spans="1:71">
      <c r="A83" s="30" t="s">
        <v>366</v>
      </c>
      <c r="B83" s="422" t="s">
        <v>367</v>
      </c>
    </row>
    <row r="84" spans="1:71">
      <c r="A84" s="30" t="s">
        <v>368</v>
      </c>
      <c r="B84" s="422" t="s">
        <v>369</v>
      </c>
    </row>
    <row r="85" spans="1:71">
      <c r="A85" s="30" t="s">
        <v>275</v>
      </c>
      <c r="B85" s="423" t="str">
        <f>+ B64 &amp; " Real Estate Trust dated " &amp; B86 &amp; " " &amp; B87</f>
        <v>908 Pond St Real Estate Trust dated March, 5 2025</v>
      </c>
      <c r="C85" s="423"/>
      <c r="D85" s="423"/>
      <c r="E85" s="423"/>
      <c r="F85" s="423"/>
      <c r="G85" s="25"/>
      <c r="H85" s="25"/>
      <c r="BR85" s="30"/>
      <c r="BS85" s="30"/>
    </row>
    <row r="86" spans="1:71">
      <c r="A86" s="30" t="s">
        <v>370</v>
      </c>
      <c r="B86" s="435" t="s">
        <v>371</v>
      </c>
      <c r="C86" s="435"/>
      <c r="D86" s="435"/>
      <c r="E86" s="435"/>
      <c r="F86" s="435"/>
      <c r="G86" s="388"/>
      <c r="H86" s="388"/>
    </row>
    <row r="87" spans="1:71">
      <c r="A87" s="30" t="s">
        <v>177</v>
      </c>
      <c r="B87" s="423">
        <v>2025</v>
      </c>
      <c r="C87" s="423"/>
      <c r="D87" s="423"/>
      <c r="E87" s="423"/>
      <c r="F87" s="423"/>
      <c r="G87" s="25"/>
      <c r="H87" s="25"/>
    </row>
    <row r="88" spans="1:71">
      <c r="A88" s="30" t="s">
        <v>236</v>
      </c>
      <c r="B88" s="428" t="s">
        <v>372</v>
      </c>
      <c r="C88" s="428"/>
      <c r="D88" s="428"/>
      <c r="E88" s="428"/>
      <c r="F88" s="428"/>
      <c r="G88" s="28"/>
      <c r="H88" s="28"/>
    </row>
    <row r="89" spans="1:71">
      <c r="A89" s="30" t="s">
        <v>373</v>
      </c>
      <c r="B89" s="433">
        <f ca="1">YEAR(NOW())</f>
        <v>2026</v>
      </c>
      <c r="C89" s="433"/>
      <c r="D89" s="433"/>
      <c r="E89" s="433"/>
      <c r="F89" s="433"/>
      <c r="G89" s="32"/>
      <c r="H89" s="32"/>
    </row>
    <row r="90" spans="1:71">
      <c r="A90" s="30" t="s">
        <v>374</v>
      </c>
      <c r="B90" s="433">
        <f ca="1">MONTH(NOW())</f>
        <v>6</v>
      </c>
      <c r="C90" s="433"/>
      <c r="D90" s="433"/>
      <c r="E90" s="433"/>
      <c r="F90" s="433"/>
      <c r="G90" s="32"/>
      <c r="H90" s="32"/>
    </row>
    <row r="91" spans="1:71">
      <c r="A91" s="30"/>
      <c r="B91" s="423"/>
      <c r="C91" s="423"/>
      <c r="D91" s="423"/>
      <c r="E91" s="423"/>
      <c r="F91" s="423"/>
      <c r="G91" s="25"/>
      <c r="H91" s="25"/>
    </row>
    <row r="92" spans="1:71">
      <c r="A92" s="30" t="s">
        <v>375</v>
      </c>
      <c r="B92" s="423"/>
      <c r="C92" s="423"/>
      <c r="D92" s="423"/>
      <c r="E92" s="423"/>
      <c r="F92" s="423"/>
      <c r="G92" s="25"/>
      <c r="H92" s="25"/>
    </row>
    <row r="93" spans="1:71" ht="16.5" thickBot="1">
      <c r="A93" s="30"/>
      <c r="B93" s="423"/>
      <c r="C93" s="423"/>
      <c r="D93" s="423"/>
      <c r="E93" s="423"/>
      <c r="F93" s="423"/>
      <c r="G93" s="25"/>
      <c r="H93" s="25"/>
    </row>
    <row r="94" spans="1:71" ht="16.5" thickBot="1">
      <c r="A94" s="416" t="s">
        <v>376</v>
      </c>
      <c r="B94" s="423"/>
      <c r="C94" s="423"/>
      <c r="D94" s="423"/>
      <c r="E94" s="423"/>
      <c r="F94" s="423"/>
      <c r="G94" s="25"/>
      <c r="H94" s="25"/>
    </row>
    <row r="95" spans="1:71">
      <c r="A95" s="30" t="s">
        <v>377</v>
      </c>
      <c r="B95" s="423">
        <f>+Profit!C19</f>
        <v>25000</v>
      </c>
      <c r="C95" s="423"/>
      <c r="D95" s="423"/>
      <c r="E95" s="423"/>
      <c r="F95" s="423"/>
      <c r="G95" s="25"/>
      <c r="H95" s="25"/>
    </row>
    <row r="96" spans="1:71">
      <c r="A96" s="30" t="s">
        <v>378</v>
      </c>
      <c r="B96" s="425">
        <f>+B95/2/6</f>
        <v>2083.3333333333335</v>
      </c>
      <c r="C96" s="423"/>
      <c r="D96" s="423"/>
      <c r="E96" s="423"/>
      <c r="F96" s="423"/>
      <c r="G96" s="25"/>
      <c r="H96" s="25"/>
    </row>
    <row r="97" spans="1:8">
      <c r="A97" s="30" t="s">
        <v>379</v>
      </c>
      <c r="B97" s="425">
        <f>+B95/2</f>
        <v>12500</v>
      </c>
      <c r="C97" s="423"/>
      <c r="D97" s="423"/>
      <c r="E97" s="423"/>
      <c r="F97" s="423"/>
      <c r="G97" s="25"/>
      <c r="H97" s="25"/>
    </row>
    <row r="98" spans="1:8">
      <c r="A98" s="30" t="s">
        <v>380</v>
      </c>
      <c r="B98" s="423" t="str">
        <f>"A balloon payment of " &amp; TEXT(B97,"$#,##0.00") &amp; " will be due when the property is resold by the purchaser"</f>
        <v>A balloon payment of $12,500.00 will be due when the property is resold by the purchaser</v>
      </c>
      <c r="C98" s="423"/>
      <c r="D98" s="423"/>
      <c r="E98" s="423"/>
      <c r="F98" s="423"/>
      <c r="G98" s="25"/>
      <c r="H98" s="25"/>
    </row>
    <row r="99" spans="1:8">
      <c r="A99" s="30" t="s">
        <v>238</v>
      </c>
      <c r="B99" s="30" t="str">
        <f>IF(C99="Yes","Limited Allowance Compensating for Rent", "DON'T USE")</f>
        <v>DON'T USE</v>
      </c>
      <c r="C99" s="422" t="s">
        <v>381</v>
      </c>
      <c r="G99" s="384"/>
      <c r="H99" s="384"/>
    </row>
    <row r="100" spans="1:8">
      <c r="A100" s="30" t="s">
        <v>239</v>
      </c>
      <c r="B100" s="30" t="str">
        <f>IF(C100="Yes","Part of Purchase and Sale Agreement", "DON'T USE")</f>
        <v>Part of Purchase and Sale Agreement</v>
      </c>
      <c r="C100" s="422" t="s">
        <v>382</v>
      </c>
      <c r="G100" s="384"/>
      <c r="H100" s="384"/>
    </row>
    <row r="101" spans="1:8">
      <c r="A101" s="30" t="s">
        <v>383</v>
      </c>
      <c r="B101" s="418">
        <v>11</v>
      </c>
      <c r="C101" s="418"/>
      <c r="D101" s="418"/>
      <c r="E101" s="418"/>
      <c r="F101" s="418"/>
      <c r="G101" s="384"/>
      <c r="H101" s="384"/>
    </row>
    <row r="102" spans="1:8">
      <c r="A102" s="30" t="s">
        <v>384</v>
      </c>
      <c r="B102" s="423">
        <v>6</v>
      </c>
      <c r="C102" s="423"/>
      <c r="D102" s="423"/>
      <c r="E102" s="423"/>
      <c r="F102" s="423"/>
      <c r="G102" s="25"/>
      <c r="H102" s="25"/>
    </row>
    <row r="103" spans="1:8">
      <c r="A103" s="30" t="s">
        <v>385</v>
      </c>
      <c r="B103" s="423">
        <v>0</v>
      </c>
      <c r="C103" s="423"/>
      <c r="D103" s="423"/>
      <c r="E103" s="423"/>
      <c r="F103" s="423"/>
      <c r="G103" s="25"/>
      <c r="H103" s="25"/>
    </row>
    <row r="104" spans="1:8">
      <c r="A104" s="30" t="s">
        <v>386</v>
      </c>
      <c r="B104" s="423" t="str">
        <f>IF(B95&gt;0,"X","")</f>
        <v>X</v>
      </c>
      <c r="C104" s="423"/>
      <c r="D104" s="423"/>
      <c r="E104" s="423"/>
      <c r="F104" s="423"/>
      <c r="G104" s="25"/>
      <c r="H104" s="25"/>
    </row>
    <row r="105" spans="1:8">
      <c r="A105" s="30" t="s">
        <v>387</v>
      </c>
      <c r="B105" s="423" t="s">
        <v>388</v>
      </c>
      <c r="C105" s="423"/>
      <c r="D105" s="423"/>
      <c r="E105" s="423"/>
      <c r="F105" s="423"/>
      <c r="G105" s="25"/>
      <c r="H105" s="25"/>
    </row>
    <row r="106" spans="1:8" ht="16.5" thickBot="1">
      <c r="A106" s="30"/>
      <c r="B106" s="423"/>
      <c r="C106" s="423"/>
      <c r="D106" s="423"/>
      <c r="E106" s="423"/>
      <c r="F106" s="423"/>
      <c r="G106" s="25"/>
      <c r="H106" s="25"/>
    </row>
    <row r="107" spans="1:8" ht="16.5" thickBot="1">
      <c r="A107" s="416" t="s">
        <v>389</v>
      </c>
      <c r="B107" s="423"/>
      <c r="C107" s="423"/>
      <c r="D107" s="423"/>
      <c r="E107" s="423"/>
      <c r="F107" s="423"/>
      <c r="G107" s="25"/>
      <c r="H107" s="25"/>
    </row>
    <row r="108" spans="1:8">
      <c r="A108" s="30" t="s">
        <v>390</v>
      </c>
      <c r="B108" s="423" t="s">
        <v>391</v>
      </c>
      <c r="C108" s="423"/>
      <c r="D108" s="423"/>
      <c r="E108" s="423"/>
      <c r="F108" s="423"/>
      <c r="G108" s="25"/>
      <c r="H108" s="25"/>
    </row>
    <row r="109" spans="1:8">
      <c r="A109" s="30" t="s">
        <v>392</v>
      </c>
      <c r="B109" s="423" t="s">
        <v>393</v>
      </c>
      <c r="C109" s="423"/>
      <c r="D109" s="423"/>
      <c r="E109" s="423"/>
      <c r="F109" s="423"/>
      <c r="G109" s="25"/>
      <c r="H109" s="25"/>
    </row>
    <row r="110" spans="1:8">
      <c r="A110" s="30" t="s">
        <v>394</v>
      </c>
      <c r="B110" s="423" t="s">
        <v>395</v>
      </c>
      <c r="C110" s="423"/>
      <c r="D110" s="423"/>
      <c r="E110" s="423"/>
      <c r="F110" s="423"/>
      <c r="G110" s="25"/>
      <c r="H110" s="25"/>
    </row>
    <row r="111" spans="1:8">
      <c r="A111" s="30" t="s">
        <v>396</v>
      </c>
      <c r="B111" s="445">
        <v>100000</v>
      </c>
      <c r="C111" s="423"/>
      <c r="D111" s="423"/>
      <c r="E111" s="423"/>
      <c r="F111" s="423"/>
      <c r="G111" s="25"/>
      <c r="H111" s="25"/>
    </row>
    <row r="112" spans="1:8">
      <c r="A112" s="30" t="s">
        <v>397</v>
      </c>
      <c r="B112" s="423" t="s">
        <v>398</v>
      </c>
      <c r="C112" s="423"/>
      <c r="D112" s="423"/>
      <c r="E112" s="423"/>
      <c r="F112" s="423"/>
      <c r="G112" s="25"/>
      <c r="H112" s="25"/>
    </row>
    <row r="113" spans="1:8">
      <c r="A113" s="30" t="s">
        <v>399</v>
      </c>
      <c r="B113" s="423">
        <v>11</v>
      </c>
      <c r="C113" s="423"/>
      <c r="D113" s="423"/>
      <c r="E113" s="423"/>
      <c r="F113" s="423"/>
      <c r="G113" s="25"/>
      <c r="H113" s="25"/>
    </row>
    <row r="114" spans="1:8">
      <c r="A114" s="30"/>
      <c r="B114" s="423"/>
      <c r="C114" s="423"/>
      <c r="D114" s="423"/>
      <c r="E114" s="423"/>
      <c r="F114" s="423"/>
      <c r="G114" s="25"/>
      <c r="H114" s="25"/>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I20" sqref="I20:I24"/>
    </sheetView>
  </sheetViews>
  <sheetFormatPr defaultRowHeight="1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c r="C1" s="789" t="s">
        <v>400</v>
      </c>
      <c r="D1" s="790"/>
      <c r="E1" s="748"/>
      <c r="I1" s="783"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Hubolist and Hurbert Lee,
Thank you for the opportunity to make an offer on your property at 908 Pond St.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791" t="s">
        <v>401</v>
      </c>
      <c r="K1" s="783" t="str">
        <f>+I1&amp;IF(N14="X",O14,"")&amp;"
"&amp; IF(H15="X",I15,"") &amp;"
"&amp; IF(H16="X",I16,"") &amp;"
"&amp; IF(H20="X",I20,"") &amp;"
"&amp; IF(H26="X",I26,"") &amp;"
"&amp; IF(H33="X",I33,"") &amp; "
"&amp; IF(H42="X",I42,"") &amp; "
"&amp; IF(H52="X",I52,"") &amp; "
"&amp; IF(H61="X",I61,"") &amp; "
"&amp; IF(H74="X",I74,"") &amp; "
"&amp; IF(H81="X",I81,"") &amp; "
"&amp; IF(H82="X",I82,"") &amp; "
"&amp; ""</f>
        <v xml:space="preserve">Hi Hubolist and Hurbert Lee,
Thank you for the opportunity to make an offer on your property at 908 Pond St.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$70,000.00
                                Total Value:                      $70,000.00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$23,800.00
                        12 Month Note:                        $56,600.00
                         Interest Earned:                         $11,320.00            $188.67 per month
                                Total Value:                    $91,720.00
Hubolist,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$625,000.00.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c r="C2" s="3"/>
      <c r="D2" s="22"/>
      <c r="I2" s="748"/>
      <c r="J2" s="791"/>
      <c r="K2" s="783"/>
    </row>
    <row r="3" spans="1:11" ht="16.5" customHeight="1">
      <c r="A3" t="s">
        <v>402</v>
      </c>
      <c r="B3" s="217" t="s">
        <v>403</v>
      </c>
      <c r="C3" s="166" t="s">
        <v>404</v>
      </c>
      <c r="D3" s="22"/>
      <c r="I3" s="748"/>
      <c r="J3" s="160"/>
      <c r="K3" s="783"/>
    </row>
    <row r="4" spans="1:11">
      <c r="A4" t="s">
        <v>405</v>
      </c>
      <c r="B4" s="165" t="s">
        <v>406</v>
      </c>
      <c r="C4" s="167" t="s">
        <v>404</v>
      </c>
      <c r="D4" s="22"/>
      <c r="I4" s="748"/>
      <c r="K4" s="783"/>
    </row>
    <row r="5" spans="1:11" ht="16.5">
      <c r="A5" t="s">
        <v>407</v>
      </c>
      <c r="B5" s="155"/>
      <c r="C5" s="156"/>
      <c r="D5" s="22"/>
      <c r="I5" s="748"/>
      <c r="K5" s="783"/>
    </row>
    <row r="6" spans="1:11" ht="15" customHeight="1" thickBot="1">
      <c r="A6" t="s">
        <v>408</v>
      </c>
      <c r="B6" s="157"/>
      <c r="C6" s="158"/>
      <c r="D6" s="22"/>
      <c r="I6" s="748"/>
      <c r="K6" s="783"/>
    </row>
    <row r="7" spans="1:11">
      <c r="I7" s="748"/>
      <c r="K7" s="783"/>
    </row>
    <row r="8" spans="1:11">
      <c r="I8" s="748"/>
      <c r="K8" s="783"/>
    </row>
    <row r="9" spans="1:11">
      <c r="A9" s="15" t="s">
        <v>409</v>
      </c>
      <c r="B9" s="15" t="s">
        <v>410</v>
      </c>
      <c r="C9" s="15"/>
      <c r="I9" s="748"/>
      <c r="K9" s="783"/>
    </row>
    <row r="10" spans="1:11">
      <c r="B10" s="792" t="s">
        <v>411</v>
      </c>
      <c r="C10" s="793"/>
      <c r="D10" s="793"/>
      <c r="E10" s="793"/>
      <c r="F10" s="793"/>
      <c r="G10" s="793"/>
      <c r="I10" s="748"/>
      <c r="K10" s="783"/>
    </row>
    <row r="11" spans="1:11">
      <c r="B11" s="748"/>
      <c r="C11" s="748"/>
      <c r="D11" s="748"/>
      <c r="E11" s="748"/>
      <c r="F11" s="748"/>
      <c r="G11" s="748"/>
      <c r="I11" s="748"/>
      <c r="K11" s="783"/>
    </row>
    <row r="12" spans="1:11">
      <c r="F12" s="762" t="s">
        <v>412</v>
      </c>
      <c r="I12" s="748"/>
      <c r="K12" s="783"/>
    </row>
    <row r="13" spans="1:11" ht="15.75" thickBot="1">
      <c r="B13" s="31" t="s">
        <v>413</v>
      </c>
      <c r="C13" s="153" t="s">
        <v>414</v>
      </c>
      <c r="D13" s="31" t="s">
        <v>415</v>
      </c>
      <c r="E13" s="31"/>
      <c r="F13" s="628"/>
      <c r="G13" s="31" t="s">
        <v>416</v>
      </c>
      <c r="I13" s="748"/>
      <c r="K13" s="783"/>
    </row>
    <row r="14" spans="1:11" ht="16.5" thickTop="1" thickBot="1">
      <c r="B14" s="164">
        <f>+D14+F14</f>
        <v>239572.01</v>
      </c>
      <c r="C14" s="1">
        <f>+Profit!B4</f>
        <v>625000</v>
      </c>
      <c r="D14" s="1">
        <f>+Profit!K47-Profit!C20</f>
        <v>176572.01</v>
      </c>
      <c r="F14" s="163">
        <f>+B24-(B24*F16)</f>
        <v>63000</v>
      </c>
      <c r="G14" s="131">
        <f>+C14-D14-F14+Profit!D54+Profit!C20</f>
        <v>-128057.735760952</v>
      </c>
      <c r="I14" s="748"/>
      <c r="K14" s="783"/>
    </row>
    <row r="15" spans="1:11" ht="16.5" thickTop="1" thickBot="1">
      <c r="C15" s="126"/>
      <c r="D15" s="127" t="s">
        <v>417</v>
      </c>
      <c r="E15" s="128">
        <f>+Profit!$K$49</f>
        <v>350591.16576095199</v>
      </c>
      <c r="H15" s="154"/>
      <c r="K15" s="783"/>
    </row>
    <row r="16" spans="1:11" ht="16.5" thickTop="1" thickBot="1">
      <c r="C16" s="126"/>
      <c r="D16" s="129" t="s">
        <v>418</v>
      </c>
      <c r="E16" s="130">
        <f>+G14/E15</f>
        <v>-0.36526230055741687</v>
      </c>
      <c r="F16" s="162">
        <v>0.1</v>
      </c>
      <c r="H16" s="154" t="s">
        <v>419</v>
      </c>
      <c r="I16" s="783"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783"/>
    </row>
    <row r="17" spans="1:13" ht="15.75" thickTop="1">
      <c r="C17" s="126"/>
      <c r="D17" s="129" t="s">
        <v>420</v>
      </c>
      <c r="E17" s="130">
        <f>+G14/(F14+G14)</f>
        <v>1.9683706213122305</v>
      </c>
      <c r="F17" t="s">
        <v>421</v>
      </c>
      <c r="I17" s="783"/>
      <c r="K17" s="783"/>
    </row>
    <row r="18" spans="1:13">
      <c r="I18" s="783"/>
      <c r="K18" s="783"/>
    </row>
    <row r="19" spans="1:13" ht="15.75" thickBot="1">
      <c r="A19" s="15" t="s">
        <v>422</v>
      </c>
      <c r="B19" s="15" t="s">
        <v>423</v>
      </c>
      <c r="D19" s="15" t="s">
        <v>424</v>
      </c>
      <c r="H19">
        <f>IF(H20="X",1,0)</f>
        <v>0</v>
      </c>
      <c r="K19" s="783"/>
    </row>
    <row r="20" spans="1:13" ht="15" customHeight="1" thickTop="1" thickBot="1">
      <c r="B20" t="s">
        <v>425</v>
      </c>
      <c r="H20" s="154"/>
      <c r="I20" s="783"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$239,572.01
                                Total Value:                     $63,000.00</v>
      </c>
      <c r="K20" s="783"/>
    </row>
    <row r="21" spans="1:13" ht="15.75" thickTop="1">
      <c r="B21" t="s">
        <v>426</v>
      </c>
      <c r="I21" s="783"/>
      <c r="J21" s="151"/>
      <c r="K21" s="783"/>
      <c r="L21" s="150"/>
      <c r="M21" s="150"/>
    </row>
    <row r="22" spans="1:13" ht="30">
      <c r="F22" s="50" t="s">
        <v>427</v>
      </c>
      <c r="I22" s="783"/>
      <c r="J22" s="150"/>
      <c r="K22" s="783"/>
      <c r="L22" s="150"/>
      <c r="M22" s="150"/>
    </row>
    <row r="23" spans="1:13" ht="15.75" thickBot="1">
      <c r="B23" s="31" t="s">
        <v>428</v>
      </c>
      <c r="C23" s="785"/>
      <c r="D23" s="786"/>
      <c r="E23" s="786"/>
      <c r="F23" s="786"/>
      <c r="G23" s="31" t="s">
        <v>416</v>
      </c>
      <c r="I23" s="784"/>
      <c r="J23" s="150"/>
      <c r="K23" s="783"/>
      <c r="L23" s="150"/>
      <c r="M23" s="150"/>
    </row>
    <row r="24" spans="1:13" ht="16.5" thickTop="1" thickBot="1">
      <c r="B24" s="161">
        <f>+SUM(Profit!C19:'Profit'!C20)</f>
        <v>70000</v>
      </c>
      <c r="C24" s="787" t="s">
        <v>429</v>
      </c>
      <c r="D24" s="788"/>
      <c r="E24" s="788"/>
      <c r="F24" s="10">
        <f>+B24</f>
        <v>70000</v>
      </c>
      <c r="G24" s="131">
        <f>+Profit!K62</f>
        <v>110005.26423904806</v>
      </c>
      <c r="I24" s="748"/>
      <c r="K24" s="783"/>
    </row>
    <row r="25" spans="1:13" ht="15.4" customHeight="1" thickTop="1" thickBot="1">
      <c r="C25" s="126"/>
      <c r="D25" s="127" t="s">
        <v>417</v>
      </c>
      <c r="E25" s="128">
        <f>+Profit!$K$49</f>
        <v>350591.16576095199</v>
      </c>
      <c r="H25">
        <f>IF(H26="X",1+H19,H19)</f>
        <v>1</v>
      </c>
      <c r="K25" s="783"/>
    </row>
    <row r="26" spans="1:13" ht="15" customHeight="1" thickTop="1" thickBot="1">
      <c r="C26" s="126"/>
      <c r="D26" s="129" t="s">
        <v>418</v>
      </c>
      <c r="E26" s="130">
        <f>+G24/E25</f>
        <v>0.31377078198842678</v>
      </c>
      <c r="H26" s="154" t="s">
        <v>430</v>
      </c>
      <c r="I26" s="783"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$70,000.00
                                Total Value:                      $70,000.00</v>
      </c>
      <c r="K26" s="783"/>
    </row>
    <row r="27" spans="1:13" ht="15" customHeight="1" thickTop="1">
      <c r="C27" s="126"/>
      <c r="D27" s="129" t="s">
        <v>420</v>
      </c>
      <c r="E27" s="130">
        <f>+G24/(F24+G24)</f>
        <v>0.61112248413446624</v>
      </c>
      <c r="I27" s="783"/>
      <c r="K27" s="783"/>
    </row>
    <row r="28" spans="1:13" ht="15" customHeight="1">
      <c r="I28" s="783"/>
      <c r="K28" s="783"/>
    </row>
    <row r="29" spans="1:13">
      <c r="A29" s="15"/>
      <c r="B29" s="15"/>
      <c r="I29" s="784"/>
      <c r="K29" s="783"/>
    </row>
    <row r="30" spans="1:13">
      <c r="A30" s="15" t="s">
        <v>431</v>
      </c>
      <c r="B30" s="15" t="s">
        <v>432</v>
      </c>
      <c r="D30" t="s">
        <v>433</v>
      </c>
      <c r="I30" s="748"/>
      <c r="K30" s="783"/>
    </row>
    <row r="31" spans="1:13" ht="25.5">
      <c r="B31" t="s">
        <v>425</v>
      </c>
      <c r="I31" s="151"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783"/>
    </row>
    <row r="32" spans="1:13" ht="15.75" thickBot="1">
      <c r="B32" t="s">
        <v>426</v>
      </c>
      <c r="H32">
        <f>IF(H33="X",H25+1,H25)</f>
        <v>2</v>
      </c>
      <c r="K32" s="783"/>
    </row>
    <row r="33" spans="1:13" ht="15" customHeight="1" thickTop="1" thickBot="1">
      <c r="H33" s="154" t="s">
        <v>430</v>
      </c>
      <c r="I33" s="783"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$23,800.00
                        12 Month Note:                        $56,600.00
                         Interest Earned:                         $11,320.00            $188.67 per month
                                Total Value:                    $91,720.00</v>
      </c>
      <c r="K33" s="783"/>
    </row>
    <row r="34" spans="1:13" ht="16.5" thickTop="1" thickBot="1">
      <c r="C34" s="2" t="s">
        <v>434</v>
      </c>
      <c r="D34" s="3" t="s">
        <v>435</v>
      </c>
      <c r="F34" s="3" t="s">
        <v>436</v>
      </c>
      <c r="I34" s="783"/>
      <c r="K34" s="783"/>
    </row>
    <row r="35" spans="1:13" ht="16.5" thickTop="1" thickBot="1">
      <c r="B35" s="159" t="s">
        <v>437</v>
      </c>
      <c r="C35" s="134">
        <v>10400</v>
      </c>
      <c r="D35" s="125">
        <v>60</v>
      </c>
      <c r="F35" s="762" t="s">
        <v>427</v>
      </c>
      <c r="I35" s="783"/>
      <c r="K35" s="783"/>
    </row>
    <row r="36" spans="1:13" ht="16.5" thickTop="1" thickBot="1">
      <c r="B36" s="31" t="s">
        <v>438</v>
      </c>
      <c r="C36" s="31" t="s">
        <v>439</v>
      </c>
      <c r="D36" s="31" t="s">
        <v>440</v>
      </c>
      <c r="E36" s="31" t="s">
        <v>385</v>
      </c>
      <c r="F36" s="628"/>
      <c r="G36" s="31" t="s">
        <v>416</v>
      </c>
      <c r="I36" s="783"/>
      <c r="K36" s="783"/>
    </row>
    <row r="37" spans="1:13" ht="16.5" thickTop="1" thickBot="1">
      <c r="B37" s="10">
        <f>+SUM(Profit!C19:'Profit'!C20)*B38</f>
        <v>23800</v>
      </c>
      <c r="C37" s="10">
        <f>+SUM(Profit!C19:'Profit'!C20)-B37+C35</f>
        <v>56600</v>
      </c>
      <c r="D37" s="10">
        <f>+C37*D35/12*E37</f>
        <v>11320</v>
      </c>
      <c r="E37" s="136">
        <v>0.04</v>
      </c>
      <c r="F37" s="10">
        <f>+SUM(B37:D37)</f>
        <v>91720</v>
      </c>
      <c r="G37" s="131">
        <f>+Profit!$K$62-D37-C35</f>
        <v>88285.264239048061</v>
      </c>
      <c r="I37" s="783"/>
      <c r="K37" s="783"/>
    </row>
    <row r="38" spans="1:13" ht="16.5" thickTop="1" thickBot="1">
      <c r="B38" s="136">
        <v>0.34</v>
      </c>
      <c r="C38" s="149">
        <f>1-B38</f>
        <v>0.65999999999999992</v>
      </c>
      <c r="D38" s="10"/>
      <c r="E38" s="36"/>
      <c r="F38" s="10"/>
      <c r="G38" s="10"/>
      <c r="I38" s="783"/>
      <c r="K38" s="783"/>
    </row>
    <row r="39" spans="1:13" ht="15.4" customHeight="1" thickTop="1">
      <c r="B39" s="10"/>
      <c r="C39" s="131"/>
      <c r="D39" s="127" t="s">
        <v>417</v>
      </c>
      <c r="E39" s="128">
        <f>+Profit!$K$49-C37+C35</f>
        <v>304391.16576095199</v>
      </c>
      <c r="F39" s="10"/>
      <c r="G39" s="10"/>
      <c r="I39" s="783"/>
      <c r="K39" s="783"/>
    </row>
    <row r="40" spans="1:13">
      <c r="C40" s="126"/>
      <c r="D40" s="129" t="s">
        <v>418</v>
      </c>
      <c r="E40" s="130">
        <f>+G37/E39</f>
        <v>0.29003885187778833</v>
      </c>
      <c r="I40" s="783"/>
      <c r="K40" s="783"/>
    </row>
    <row r="41" spans="1:13" ht="15" customHeight="1" thickBot="1">
      <c r="C41" s="126"/>
      <c r="D41" s="129" t="s">
        <v>420</v>
      </c>
      <c r="E41" s="130">
        <f>+G37/(F37+G37)</f>
        <v>0.49045934635447497</v>
      </c>
      <c r="H41">
        <f>IF(H42="X",H32+1,H32)</f>
        <v>2</v>
      </c>
      <c r="K41" s="783"/>
    </row>
    <row r="42" spans="1:13" ht="16.5" thickTop="1" thickBot="1">
      <c r="A42" s="15" t="s">
        <v>441</v>
      </c>
      <c r="B42" s="15" t="s">
        <v>442</v>
      </c>
      <c r="H42" s="154"/>
      <c r="I42" s="783"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"&amp;Profit!$K$7*100&amp;"%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$140,878.68   *    Expected 3% appreciation per year
                          Expected Value:                    $150,878.68    ** After 60 months.</v>
      </c>
      <c r="K42" s="783"/>
    </row>
    <row r="43" spans="1:13" ht="15.75" thickTop="1">
      <c r="B43" t="s">
        <v>425</v>
      </c>
      <c r="I43" s="783"/>
      <c r="K43" s="748"/>
      <c r="M43" s="138"/>
    </row>
    <row r="44" spans="1:13">
      <c r="B44" t="s">
        <v>426</v>
      </c>
      <c r="I44" s="783"/>
      <c r="K44" s="748"/>
    </row>
    <row r="45" spans="1:13" ht="15" customHeight="1">
      <c r="B45" t="s">
        <v>443</v>
      </c>
      <c r="I45" s="783"/>
      <c r="K45" s="748"/>
    </row>
    <row r="46" spans="1:13">
      <c r="B46" t="s">
        <v>444</v>
      </c>
      <c r="I46" s="783"/>
      <c r="K46" s="748"/>
    </row>
    <row r="47" spans="1:13">
      <c r="F47" s="3" t="s">
        <v>445</v>
      </c>
      <c r="I47" s="783"/>
      <c r="K47" s="748"/>
    </row>
    <row r="48" spans="1:13">
      <c r="C48" s="762" t="s">
        <v>446</v>
      </c>
      <c r="D48" s="762" t="s">
        <v>447</v>
      </c>
      <c r="E48" s="762" t="s">
        <v>448</v>
      </c>
      <c r="F48" s="762" t="s">
        <v>427</v>
      </c>
      <c r="I48" s="783"/>
      <c r="K48" s="748"/>
    </row>
    <row r="49" spans="1:11" ht="15.75" thickBot="1">
      <c r="B49" s="3" t="s">
        <v>438</v>
      </c>
      <c r="C49" s="628" t="s">
        <v>446</v>
      </c>
      <c r="D49" s="628" t="s">
        <v>447</v>
      </c>
      <c r="E49" s="628" t="s">
        <v>449</v>
      </c>
      <c r="F49" s="628"/>
      <c r="G49" s="31" t="s">
        <v>416</v>
      </c>
      <c r="I49" s="783"/>
      <c r="K49" s="748"/>
    </row>
    <row r="50" spans="1:11" ht="16.5" thickTop="1" thickBot="1">
      <c r="B50" s="134">
        <v>10000</v>
      </c>
      <c r="C50" s="8">
        <f>+Profit!$K$62+Profit!C20-B50+(Profit!K7*Profit!C50/12*Profit!B4)</f>
        <v>201255.26423904806</v>
      </c>
      <c r="D50" s="124">
        <v>0.7</v>
      </c>
      <c r="E50" s="10">
        <f>+D50*C50</f>
        <v>140878.68496733363</v>
      </c>
      <c r="F50" s="10">
        <f>+B50+E50</f>
        <v>150878.68496733363</v>
      </c>
      <c r="G50" s="131">
        <f>(1-D50)*C50</f>
        <v>60376.579271714429</v>
      </c>
      <c r="I50" s="783"/>
      <c r="K50" s="748"/>
    </row>
    <row r="51" spans="1:11" ht="15.75" thickTop="1">
      <c r="D51" s="15" t="s">
        <v>450</v>
      </c>
      <c r="I51" s="152"/>
      <c r="K51" s="748"/>
    </row>
    <row r="52" spans="1:11">
      <c r="C52" s="126"/>
      <c r="D52" s="127" t="s">
        <v>417</v>
      </c>
      <c r="E52" s="128">
        <f>+Profit!$K$49-B24+B50</f>
        <v>290591.16576095199</v>
      </c>
      <c r="H52" t="s">
        <v>419</v>
      </c>
      <c r="I52" s="783"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Hubolist,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748"/>
    </row>
    <row r="53" spans="1:11" ht="15" customHeight="1">
      <c r="C53" s="126"/>
      <c r="D53" s="129" t="s">
        <v>418</v>
      </c>
      <c r="E53" s="130">
        <f>+G50/E52</f>
        <v>0.20777155807063249</v>
      </c>
      <c r="I53" s="748"/>
      <c r="K53" s="748"/>
    </row>
    <row r="54" spans="1:11">
      <c r="C54" s="126"/>
      <c r="D54" s="129" t="s">
        <v>420</v>
      </c>
      <c r="E54" s="130">
        <f>+G50/(F50+G50)</f>
        <v>0.28579917044526137</v>
      </c>
      <c r="I54" s="748"/>
      <c r="K54" s="748"/>
    </row>
    <row r="55" spans="1:11" ht="15" customHeight="1">
      <c r="I55" s="748"/>
      <c r="K55" s="748"/>
    </row>
    <row r="56" spans="1:11" ht="15.75" thickBot="1">
      <c r="B56" s="15" t="s">
        <v>451</v>
      </c>
      <c r="D56" t="s">
        <v>452</v>
      </c>
      <c r="I56" s="748"/>
      <c r="K56" s="748"/>
    </row>
    <row r="57" spans="1:11">
      <c r="A57" s="774"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$625,000.00.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775"/>
      <c r="C57" s="775"/>
      <c r="D57" s="775"/>
      <c r="E57" s="775"/>
      <c r="F57" s="775"/>
      <c r="G57" s="776"/>
      <c r="I57" s="748"/>
      <c r="K57" s="748"/>
    </row>
    <row r="58" spans="1:11">
      <c r="A58" s="777"/>
      <c r="B58" s="778"/>
      <c r="C58" s="778"/>
      <c r="D58" s="778"/>
      <c r="E58" s="778"/>
      <c r="F58" s="778"/>
      <c r="G58" s="779"/>
      <c r="I58" s="748"/>
      <c r="K58" s="748"/>
    </row>
    <row r="59" spans="1:11">
      <c r="A59" s="777"/>
      <c r="B59" s="778"/>
      <c r="C59" s="778"/>
      <c r="D59" s="778"/>
      <c r="E59" s="778"/>
      <c r="F59" s="778"/>
      <c r="G59" s="779"/>
      <c r="K59" s="748"/>
    </row>
    <row r="60" spans="1:11">
      <c r="A60" s="777"/>
      <c r="B60" s="778"/>
      <c r="C60" s="778"/>
      <c r="D60" s="778"/>
      <c r="E60" s="778"/>
      <c r="F60" s="778"/>
      <c r="G60" s="779"/>
      <c r="K60" s="748"/>
    </row>
    <row r="61" spans="1:11">
      <c r="A61" s="777"/>
      <c r="B61" s="778"/>
      <c r="C61" s="778"/>
      <c r="D61" s="778"/>
      <c r="E61" s="778"/>
      <c r="F61" s="778"/>
      <c r="G61" s="779"/>
      <c r="H61" t="s">
        <v>419</v>
      </c>
      <c r="I61" s="783" t="str">
        <f>A57</f>
        <v xml:space="preserve">This offer is based on Zillow's Zestimate of $625,000.00.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748"/>
    </row>
    <row r="62" spans="1:11">
      <c r="A62" s="777"/>
      <c r="B62" s="778"/>
      <c r="C62" s="778"/>
      <c r="D62" s="778"/>
      <c r="E62" s="778"/>
      <c r="F62" s="778"/>
      <c r="G62" s="779"/>
      <c r="I62" s="748"/>
      <c r="K62" s="748"/>
    </row>
    <row r="63" spans="1:11">
      <c r="A63" s="777"/>
      <c r="B63" s="778"/>
      <c r="C63" s="778"/>
      <c r="D63" s="778"/>
      <c r="E63" s="778"/>
      <c r="F63" s="778"/>
      <c r="G63" s="779"/>
      <c r="I63" s="748"/>
      <c r="K63" s="748"/>
    </row>
    <row r="64" spans="1:11">
      <c r="A64" s="777"/>
      <c r="B64" s="778"/>
      <c r="C64" s="778"/>
      <c r="D64" s="778"/>
      <c r="E64" s="778"/>
      <c r="F64" s="778"/>
      <c r="G64" s="779"/>
      <c r="I64" s="748"/>
      <c r="K64" s="748"/>
    </row>
    <row r="65" spans="1:11">
      <c r="A65" s="777"/>
      <c r="B65" s="778"/>
      <c r="C65" s="778"/>
      <c r="D65" s="778"/>
      <c r="E65" s="778"/>
      <c r="F65" s="778"/>
      <c r="G65" s="779"/>
      <c r="I65" s="748"/>
      <c r="K65" s="748"/>
    </row>
    <row r="66" spans="1:11">
      <c r="A66" s="777"/>
      <c r="B66" s="778"/>
      <c r="C66" s="778"/>
      <c r="D66" s="778"/>
      <c r="E66" s="778"/>
      <c r="F66" s="778"/>
      <c r="G66" s="779"/>
      <c r="I66" s="748"/>
      <c r="K66" s="748"/>
    </row>
    <row r="67" spans="1:11">
      <c r="A67" s="777"/>
      <c r="B67" s="778"/>
      <c r="C67" s="778"/>
      <c r="D67" s="778"/>
      <c r="E67" s="778"/>
      <c r="F67" s="778"/>
      <c r="G67" s="779"/>
      <c r="I67" s="748"/>
      <c r="K67" s="748"/>
    </row>
    <row r="68" spans="1:11">
      <c r="A68" s="777"/>
      <c r="B68" s="778"/>
      <c r="C68" s="778"/>
      <c r="D68" s="778"/>
      <c r="E68" s="778"/>
      <c r="F68" s="778"/>
      <c r="G68" s="779"/>
      <c r="I68" s="748"/>
    </row>
    <row r="69" spans="1:11">
      <c r="A69" s="777"/>
      <c r="B69" s="778"/>
      <c r="C69" s="778"/>
      <c r="D69" s="778"/>
      <c r="E69" s="778"/>
      <c r="F69" s="778"/>
      <c r="G69" s="779"/>
      <c r="I69" s="748"/>
    </row>
    <row r="70" spans="1:11">
      <c r="A70" s="777"/>
      <c r="B70" s="778"/>
      <c r="C70" s="778"/>
      <c r="D70" s="778"/>
      <c r="E70" s="778"/>
      <c r="F70" s="778"/>
      <c r="G70" s="779"/>
      <c r="I70" s="748"/>
    </row>
    <row r="71" spans="1:11">
      <c r="A71" s="777"/>
      <c r="B71" s="778"/>
      <c r="C71" s="778"/>
      <c r="D71" s="778"/>
      <c r="E71" s="778"/>
      <c r="F71" s="778"/>
      <c r="G71" s="779"/>
      <c r="I71" s="748"/>
    </row>
    <row r="72" spans="1:11">
      <c r="A72" s="777"/>
      <c r="B72" s="778"/>
      <c r="C72" s="778"/>
      <c r="D72" s="778"/>
      <c r="E72" s="778"/>
      <c r="F72" s="778"/>
      <c r="G72" s="779"/>
      <c r="I72" s="748"/>
    </row>
    <row r="73" spans="1:11">
      <c r="A73" s="777"/>
      <c r="B73" s="778"/>
      <c r="C73" s="778"/>
      <c r="D73" s="778"/>
      <c r="E73" s="778"/>
      <c r="F73" s="778"/>
      <c r="G73" s="779"/>
    </row>
    <row r="74" spans="1:11">
      <c r="A74" s="777"/>
      <c r="B74" s="778"/>
      <c r="C74" s="778"/>
      <c r="D74" s="778"/>
      <c r="E74" s="778"/>
      <c r="F74" s="778"/>
      <c r="G74" s="779"/>
      <c r="H74" t="s">
        <v>419</v>
      </c>
      <c r="I74" s="137" t="str">
        <f>"Sincerely,
Wes Browning"</f>
        <v>Sincerely,
Wes Browning</v>
      </c>
    </row>
    <row r="75" spans="1:11" ht="15" customHeight="1">
      <c r="A75" s="777"/>
      <c r="B75" s="778"/>
      <c r="C75" s="778"/>
      <c r="D75" s="778"/>
      <c r="E75" s="778"/>
      <c r="F75" s="778"/>
      <c r="G75" s="779"/>
      <c r="I75" s="137"/>
    </row>
    <row r="76" spans="1:11">
      <c r="A76" s="777"/>
      <c r="B76" s="778"/>
      <c r="C76" s="778"/>
      <c r="D76" s="778"/>
      <c r="E76" s="778"/>
      <c r="F76" s="778"/>
      <c r="G76" s="779"/>
      <c r="I76" s="137"/>
    </row>
    <row r="77" spans="1:11">
      <c r="A77" s="777"/>
      <c r="B77" s="778"/>
      <c r="C77" s="778"/>
      <c r="D77" s="778"/>
      <c r="E77" s="778"/>
      <c r="F77" s="778"/>
      <c r="G77" s="779"/>
    </row>
    <row r="78" spans="1:11">
      <c r="A78" s="777"/>
      <c r="B78" s="778"/>
      <c r="C78" s="778"/>
      <c r="D78" s="778"/>
      <c r="E78" s="778"/>
      <c r="F78" s="778"/>
      <c r="G78" s="779"/>
    </row>
    <row r="79" spans="1:11" ht="15.75" thickBot="1">
      <c r="A79" s="780"/>
      <c r="B79" s="781"/>
      <c r="C79" s="781"/>
      <c r="D79" s="781"/>
      <c r="E79" s="781"/>
      <c r="F79" s="781"/>
      <c r="G79" s="782"/>
    </row>
    <row r="80" spans="1:11">
      <c r="A80" s="137"/>
      <c r="B80" s="137"/>
      <c r="C80" s="137"/>
      <c r="D80" s="137"/>
      <c r="E80" s="137"/>
      <c r="F80" s="137"/>
      <c r="G80" s="137"/>
    </row>
    <row r="81" spans="1:9">
      <c r="A81" s="137"/>
      <c r="B81" s="137"/>
      <c r="C81" s="137"/>
      <c r="D81" s="137"/>
      <c r="E81" s="137"/>
      <c r="F81" s="137"/>
      <c r="G81" s="2" t="s">
        <v>453</v>
      </c>
      <c r="I81" s="137" t="s">
        <v>454</v>
      </c>
    </row>
    <row r="82" spans="1:9">
      <c r="G82" s="2" t="s">
        <v>455</v>
      </c>
      <c r="H82" t="s">
        <v>419</v>
      </c>
      <c r="I82" s="137" t="s">
        <v>456</v>
      </c>
    </row>
  </sheetData>
  <mergeCells count="21">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 ref="A57:G79"/>
    <mergeCell ref="D48:D49"/>
    <mergeCell ref="C48:C49"/>
    <mergeCell ref="I26:I30"/>
    <mergeCell ref="I20:I24"/>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0"/>
  <sheetViews>
    <sheetView zoomScaleNormal="100" workbookViewId="0">
      <pane ySplit="1" topLeftCell="A2" activePane="bottomLeft" state="frozen"/>
      <selection activeCell="C1" sqref="C1:E1"/>
      <selection pane="bottomLeft" activeCell="C27" sqref="C27"/>
    </sheetView>
  </sheetViews>
  <sheetFormatPr defaultRowHeight="1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c r="A1" s="3" t="s">
        <v>469</v>
      </c>
      <c r="B1" s="3" t="s">
        <v>470</v>
      </c>
      <c r="C1" s="32" t="s">
        <v>471</v>
      </c>
      <c r="D1" s="30" t="s">
        <v>472</v>
      </c>
      <c r="E1" s="32" t="s">
        <v>473</v>
      </c>
      <c r="F1" s="3" t="s">
        <v>474</v>
      </c>
    </row>
    <row r="2" spans="1:9">
      <c r="A2" s="25" t="s">
        <v>475</v>
      </c>
      <c r="B2" s="2" t="str">
        <f>+Profit!B2</f>
        <v>908 Pond St</v>
      </c>
      <c r="C2" s="30" t="str">
        <f>+Profit!E2</f>
        <v>Cary NC, 27511</v>
      </c>
      <c r="E2" s="27"/>
    </row>
    <row r="3" spans="1:9">
      <c r="C3" s="28"/>
    </row>
    <row r="4" spans="1:9" ht="16.5">
      <c r="A4" s="2" t="s">
        <v>476</v>
      </c>
      <c r="B4" s="225" t="s">
        <v>477</v>
      </c>
      <c r="C4" s="28"/>
      <c r="D4" s="450">
        <v>8602</v>
      </c>
      <c r="E4" s="12"/>
    </row>
    <row r="5" spans="1:9" ht="15.75">
      <c r="A5" s="2" t="s">
        <v>478</v>
      </c>
      <c r="D5" s="448" t="s">
        <v>479</v>
      </c>
      <c r="E5" s="27"/>
    </row>
    <row r="6" spans="1:9">
      <c r="A6" s="25" t="s">
        <v>480</v>
      </c>
      <c r="B6" s="43"/>
      <c r="E6" s="169"/>
    </row>
    <row r="7" spans="1:9" ht="15.75">
      <c r="A7" s="44" t="s">
        <v>326</v>
      </c>
      <c r="B7" s="447" t="s">
        <v>481</v>
      </c>
      <c r="D7" s="45" t="s">
        <v>482</v>
      </c>
      <c r="E7" s="27" t="s">
        <v>483</v>
      </c>
      <c r="F7" s="19"/>
    </row>
    <row r="8" spans="1:9">
      <c r="A8" s="2" t="s">
        <v>484</v>
      </c>
      <c r="B8" s="27" t="s">
        <v>485</v>
      </c>
      <c r="D8" s="45"/>
      <c r="E8" s="27"/>
      <c r="F8" s="19"/>
    </row>
    <row r="9" spans="1:9">
      <c r="A9" s="44" t="s">
        <v>486</v>
      </c>
      <c r="B9" s="25" t="s">
        <v>487</v>
      </c>
      <c r="D9" s="45"/>
      <c r="E9" s="27"/>
      <c r="F9" s="19"/>
      <c r="H9" s="19"/>
    </row>
    <row r="10" spans="1:9">
      <c r="A10" s="2" t="s">
        <v>488</v>
      </c>
      <c r="B10" s="2" t="s">
        <v>489</v>
      </c>
      <c r="E10" s="19" t="s">
        <v>490</v>
      </c>
      <c r="F10" s="2" t="s">
        <v>1492</v>
      </c>
    </row>
    <row r="11" spans="1:9">
      <c r="B11" s="2" t="s">
        <v>491</v>
      </c>
      <c r="C11" s="25">
        <v>73341358</v>
      </c>
      <c r="E11" s="27"/>
    </row>
    <row r="12" spans="1:9">
      <c r="E12"/>
    </row>
    <row r="13" spans="1:9">
      <c r="B13" s="2" t="s">
        <v>492</v>
      </c>
      <c r="E13"/>
      <c r="F13" s="27"/>
      <c r="I13" s="191"/>
    </row>
    <row r="14" spans="1:9">
      <c r="B14" s="2" t="s">
        <v>493</v>
      </c>
      <c r="E14"/>
      <c r="I14" s="25"/>
    </row>
    <row r="15" spans="1:9">
      <c r="B15" s="2" t="s">
        <v>494</v>
      </c>
    </row>
    <row r="16" spans="1:9">
      <c r="B16" s="19" t="s">
        <v>495</v>
      </c>
      <c r="C16" s="449"/>
      <c r="E16" s="19"/>
    </row>
    <row r="17" spans="1:25">
      <c r="B17" s="2" t="s">
        <v>496</v>
      </c>
      <c r="C17" s="388"/>
    </row>
    <row r="18" spans="1:25">
      <c r="V18" t="s">
        <v>497</v>
      </c>
      <c r="W18" t="s">
        <v>498</v>
      </c>
      <c r="X18" t="s">
        <v>499</v>
      </c>
      <c r="Y18" t="s">
        <v>500</v>
      </c>
    </row>
    <row r="19" spans="1:25">
      <c r="A19" s="2" t="s">
        <v>1424</v>
      </c>
      <c r="D19" s="2" t="s">
        <v>1429</v>
      </c>
      <c r="E19" s="27" t="s">
        <v>1425</v>
      </c>
      <c r="F19" s="19" t="s">
        <v>1426</v>
      </c>
      <c r="V19" t="s">
        <v>501</v>
      </c>
      <c r="W19" s="141">
        <v>0.4458333333333333</v>
      </c>
      <c r="X19" t="s">
        <v>502</v>
      </c>
    </row>
    <row r="20" spans="1:25">
      <c r="E20" s="27" t="s">
        <v>1427</v>
      </c>
    </row>
    <row r="21" spans="1:25">
      <c r="E21" s="27" t="s">
        <v>1428</v>
      </c>
    </row>
    <row r="22" spans="1:25">
      <c r="D22" s="2" t="s">
        <v>1430</v>
      </c>
      <c r="E22" s="27" t="s">
        <v>1431</v>
      </c>
    </row>
    <row r="23" spans="1:25">
      <c r="A23" s="142"/>
      <c r="C23" s="27"/>
    </row>
    <row r="24" spans="1:25" ht="18">
      <c r="A24" s="572" t="s">
        <v>1500</v>
      </c>
      <c r="B24" s="574" t="s">
        <v>1502</v>
      </c>
      <c r="E24" s="575" t="s">
        <v>1503</v>
      </c>
    </row>
    <row r="25" spans="1:25">
      <c r="A25" s="573" t="s">
        <v>1501</v>
      </c>
    </row>
    <row r="26" spans="1:25">
      <c r="A26" s="143" t="s">
        <v>1518</v>
      </c>
      <c r="C26" s="25" t="s">
        <v>1519</v>
      </c>
    </row>
    <row r="27" spans="1:25">
      <c r="A27" s="144"/>
      <c r="C27" s="27"/>
    </row>
    <row r="28" spans="1:25">
      <c r="A28" s="145"/>
      <c r="D28" s="571"/>
    </row>
    <row r="29" spans="1:25">
      <c r="A29" s="146"/>
      <c r="D29" s="575"/>
    </row>
    <row r="30" spans="1:25">
      <c r="A30" s="147"/>
    </row>
  </sheetData>
  <hyperlinks>
    <hyperlink ref="B16" r:id="rId1" xr:uid="{D9341132-E080-453A-B0A2-C8D1361A18B2}"/>
    <hyperlink ref="B8" r:id="rId2" display="Hubieelliott1@gmail.com" xr:uid="{C1C5DFC2-E5CC-41FF-BD50-02D2A77254D5}"/>
    <hyperlink ref="F19" r:id="rId3" xr:uid="{08C93FB9-CB0B-402D-A9BF-D22DB3B962F1}"/>
    <hyperlink ref="E20" r:id="rId4" xr:uid="{003392D8-12EC-483A-97A3-B2DCB1436035}"/>
    <hyperlink ref="E21" r:id="rId5" xr:uid="{FF87F94A-0F12-47B3-8865-6005C9D95AC9}"/>
    <hyperlink ref="E19" r:id="rId6" xr:uid="{2B87BB0A-D074-41BC-9732-58ED9AC7A81C}"/>
    <hyperlink ref="E10" r:id="rId7" xr:uid="{2A4C619A-F5D8-41E3-B78A-F7F843E621DA}"/>
    <hyperlink ref="E24" r:id="rId8" display="mailto:ben.wegas@casalending.com" xr:uid="{DAD8AE08-32ED-4D7D-9FF7-DF981D473522}"/>
    <hyperlink ref="E22" r:id="rId9" xr:uid="{4E9E0B45-BFDA-4394-B508-605ED885157F}"/>
  </hyperlinks>
  <pageMargins left="0.7" right="0.7" top="0.75" bottom="0.75" header="0.3" footer="0.3"/>
  <pageSetup orientation="portrait" r:id="rId1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V192"/>
  <sheetViews>
    <sheetView workbookViewId="0">
      <selection activeCell="Q15" sqref="Q15"/>
    </sheetView>
  </sheetViews>
  <sheetFormatPr defaultRowHeight="15"/>
  <cols>
    <col min="1" max="1" width="10.7109375" bestFit="1" customWidth="1"/>
    <col min="4" max="5" width="10.7109375" bestFit="1" customWidth="1"/>
    <col min="6" max="6" width="10.28515625" customWidth="1"/>
    <col min="7" max="8" width="13.42578125" customWidth="1"/>
    <col min="9" max="9" width="10.140625" bestFit="1" customWidth="1"/>
    <col min="10" max="10" width="10.7109375" bestFit="1" customWidth="1"/>
    <col min="11" max="12" width="10.140625" customWidth="1"/>
    <col min="13" max="13" width="10.7109375" bestFit="1" customWidth="1"/>
    <col min="16" max="16" width="10.42578125" bestFit="1" customWidth="1"/>
    <col min="19" max="19" width="10.7109375" bestFit="1" customWidth="1"/>
    <col min="22" max="22" width="10.7109375" bestFit="1" customWidth="1"/>
    <col min="25" max="25" width="10.7109375" bestFit="1" customWidth="1"/>
    <col min="27" max="27" width="9.85546875" bestFit="1" customWidth="1"/>
    <col min="28" max="28" width="10.7109375" bestFit="1" customWidth="1"/>
    <col min="30" max="30" width="10.140625" bestFit="1" customWidth="1"/>
    <col min="33" max="33" width="5" customWidth="1"/>
    <col min="38" max="38" width="9.7109375" customWidth="1"/>
    <col min="39" max="39" width="11" customWidth="1"/>
    <col min="40" max="40" width="10.7109375" bestFit="1" customWidth="1"/>
    <col min="41" max="41" width="9.7109375" customWidth="1"/>
    <col min="42" max="42" width="13.28515625" customWidth="1"/>
    <col min="43" max="43" width="10.28515625" customWidth="1"/>
    <col min="45" max="45" width="11" customWidth="1"/>
    <col min="46" max="46" width="12.85546875" customWidth="1"/>
  </cols>
  <sheetData>
    <row r="1" spans="1:48" s="3" customFormat="1" ht="36" customHeight="1" thickBot="1">
      <c r="A1" s="601" t="s">
        <v>1523</v>
      </c>
      <c r="B1" s="602"/>
      <c r="C1" s="603"/>
      <c r="D1" s="601" t="s">
        <v>503</v>
      </c>
      <c r="E1" s="602"/>
      <c r="F1" s="603"/>
      <c r="G1" s="601" t="s">
        <v>60</v>
      </c>
      <c r="H1" s="602"/>
      <c r="I1" s="603"/>
      <c r="J1" s="601" t="s">
        <v>1424</v>
      </c>
      <c r="K1" s="602"/>
      <c r="L1" s="603"/>
      <c r="M1" s="601" t="s">
        <v>504</v>
      </c>
      <c r="N1" s="602"/>
      <c r="O1" s="603"/>
      <c r="P1" s="601" t="s">
        <v>1527</v>
      </c>
      <c r="Q1" s="602"/>
      <c r="R1" s="603"/>
      <c r="S1" s="601" t="s">
        <v>1525</v>
      </c>
      <c r="T1" s="602"/>
      <c r="U1" s="603"/>
      <c r="V1" s="601" t="s">
        <v>223</v>
      </c>
      <c r="W1" s="602"/>
      <c r="X1" s="603"/>
      <c r="Y1" s="601" t="s">
        <v>505</v>
      </c>
      <c r="Z1" s="602"/>
      <c r="AA1" s="603"/>
      <c r="AB1" s="601" t="s">
        <v>1394</v>
      </c>
      <c r="AC1" s="602"/>
      <c r="AD1" s="603"/>
      <c r="AE1" s="601" t="s">
        <v>1524</v>
      </c>
      <c r="AF1" s="602"/>
      <c r="AG1" s="603"/>
    </row>
    <row r="2" spans="1:48">
      <c r="C2" s="210"/>
      <c r="D2" s="105"/>
      <c r="F2" s="210"/>
      <c r="G2" s="105"/>
      <c r="I2" s="210"/>
      <c r="L2" s="210"/>
      <c r="O2" s="210"/>
      <c r="R2" s="210"/>
      <c r="U2" s="210"/>
      <c r="X2" s="210"/>
      <c r="AA2" s="606" t="s">
        <v>506</v>
      </c>
      <c r="AD2" s="210"/>
      <c r="AG2" s="210"/>
      <c r="AL2" s="578" t="s">
        <v>1528</v>
      </c>
      <c r="AM2" s="578" t="s">
        <v>1529</v>
      </c>
      <c r="AN2" s="579" t="s">
        <v>108</v>
      </c>
      <c r="AO2" s="578" t="s">
        <v>469</v>
      </c>
      <c r="AP2" s="578" t="s">
        <v>512</v>
      </c>
      <c r="AQ2" s="580" t="s">
        <v>1526</v>
      </c>
      <c r="AR2" s="578" t="s">
        <v>1530</v>
      </c>
      <c r="AS2" s="578" t="s">
        <v>1531</v>
      </c>
      <c r="AT2" s="578" t="s">
        <v>1532</v>
      </c>
      <c r="AU2" s="578" t="s">
        <v>1533</v>
      </c>
      <c r="AV2" s="578" t="s">
        <v>457</v>
      </c>
    </row>
    <row r="3" spans="1:48">
      <c r="A3" s="3" t="s">
        <v>108</v>
      </c>
      <c r="B3" s="13" t="s">
        <v>1526</v>
      </c>
      <c r="C3" s="212"/>
      <c r="D3" s="3" t="s">
        <v>108</v>
      </c>
      <c r="E3" s="13" t="s">
        <v>508</v>
      </c>
      <c r="F3" s="212"/>
      <c r="G3" s="3" t="s">
        <v>108</v>
      </c>
      <c r="H3" s="13" t="s">
        <v>508</v>
      </c>
      <c r="I3" s="212"/>
      <c r="J3" s="3" t="s">
        <v>108</v>
      </c>
      <c r="K3" s="13" t="s">
        <v>508</v>
      </c>
      <c r="L3" s="210"/>
      <c r="M3" s="3" t="s">
        <v>108</v>
      </c>
      <c r="N3" s="13" t="s">
        <v>508</v>
      </c>
      <c r="O3" s="210"/>
      <c r="P3" s="3" t="s">
        <v>108</v>
      </c>
      <c r="Q3" s="13" t="s">
        <v>508</v>
      </c>
      <c r="R3" s="210"/>
      <c r="S3" s="3" t="s">
        <v>108</v>
      </c>
      <c r="T3" s="13" t="s">
        <v>508</v>
      </c>
      <c r="U3" s="210"/>
      <c r="V3" t="s">
        <v>108</v>
      </c>
      <c r="W3" t="s">
        <v>508</v>
      </c>
      <c r="X3" s="210"/>
      <c r="Y3" t="s">
        <v>108</v>
      </c>
      <c r="Z3" t="s">
        <v>508</v>
      </c>
      <c r="AA3" s="607"/>
      <c r="AB3" s="3" t="s">
        <v>108</v>
      </c>
      <c r="AC3" s="13" t="s">
        <v>508</v>
      </c>
      <c r="AD3" s="210"/>
      <c r="AE3" s="3" t="s">
        <v>108</v>
      </c>
      <c r="AF3" s="13" t="s">
        <v>508</v>
      </c>
      <c r="AG3" s="210"/>
      <c r="AL3" t="s">
        <v>458</v>
      </c>
      <c r="AM3" t="s">
        <v>1523</v>
      </c>
      <c r="AN3" s="12">
        <v>45880</v>
      </c>
      <c r="AP3" t="s">
        <v>1534</v>
      </c>
      <c r="AQ3" s="5">
        <v>254.41</v>
      </c>
      <c r="AR3" t="s">
        <v>1535</v>
      </c>
      <c r="AT3" t="s">
        <v>1536</v>
      </c>
      <c r="AU3" t="s">
        <v>1537</v>
      </c>
      <c r="AV3" t="s">
        <v>1538</v>
      </c>
    </row>
    <row r="4" spans="1:48">
      <c r="A4" s="12">
        <v>45880</v>
      </c>
      <c r="B4" s="5" cm="1">
        <f t="array" ref="B4">_xlfn.LET(_xlpm.cat,A$1,_xlpm.n,ROWS(B$4:B4),_xlpm.matches,_xlfn._xlws.FILTER(_xlfn.HSTACK(DATEVALUE(tblCarryingExpenses[Date]),VALUE(tblCarryingExpenses[Amount])),(tblCarryingExpenses[Include]="Yes")*(tblCarryingExpenses[Category]=_xlpm.cat)),_xlpm.sorted,_xlfn.SORTBY(_xlpm.matches,INDEX(_xlpm.matches,,1),1),IFERROR(INDEX(_xlpm.sorted,_xlpm.n,2),""))</f>
        <v>254.41</v>
      </c>
      <c r="C4" s="213"/>
      <c r="D4" s="582" t="str" cm="1">
        <f t="array" ref="D4">_xlfn.LET(_xlpm.cat,IF(D$1="Mortgage Payment paid after Reinstatement","Mortgage Payment",D$1),_xlpm.n,ROWS(D$4:D4),_xlpm.matches,_xlfn._xlws.FILTER(_xlfn.HSTACK(DATEVALUE(tblCarryingExpenses[Date]),VALUE(tblCarryingExpenses[Amount])),(tblCarryingExpenses[Include]="Yes")*(tblCarryingExpenses[Category]=_xlpm.cat)),_xlpm.sorted,_xlfn.SORTBY(_xlpm.matches,INDEX(_xlpm.matches,,1),1),IFERROR(INDEX(_xlpm.sorted,_xlpm.n,1),""))</f>
        <v/>
      </c>
      <c r="E4" s="5" cm="1">
        <f t="array" ref="E4">_xlfn.LET(_xlpm.cat,IF(D$1="Mortgage Payment paid after Reinstatement","Mortgage Payment",D$1),_xlpm.n,ROWS(E$4:E4),_xlpm.matches,_xlfn._xlws.FILTER(_xlfn.HSTACK(DATEVALUE(tblCarryingExpenses[Date]),VALUE(tblCarryingExpenses[Amount])),(tblCarryingExpenses[Include]="Yes")*(tblCarryingExpenses[Category]=_xlpm.cat)),_xlpm.sorted,_xlfn.SORTBY(_xlpm.matches,INDEX(_xlpm.matches,,1),1),IFERROR(INDEX(_xlpm.sorted,_xlpm.n,2),""))</f>
        <v>0</v>
      </c>
      <c r="F4" s="213"/>
      <c r="G4" s="582" t="str" cm="1">
        <f t="array" ref="G4">_xlfn.LET(_xlpm.cat,G$1,_xlpm.n,ROWS(G$4:G4),_xlpm.matches,_xlfn._xlws.FILTER(_xlfn.HSTACK(DATEVALUE(tblCarryingExpenses[Date]),VALUE(tblCarryingExpenses[Amount])),(tblCarryingExpenses[Include]="Yes")*(tblCarryingExpenses[Category]=_xlpm.cat)),_xlpm.sorted,_xlfn.SORTBY(_xlpm.matches,INDEX(_xlpm.matches,,1),1),IFERROR(INDEX(_xlpm.sorted,_xlpm.n,1),""))</f>
        <v/>
      </c>
      <c r="H4" s="5" cm="1">
        <f t="array" ref="H4">_xlfn.LET(_xlpm.cat,G$1,_xlpm.n,ROWS(H$4:H4),_xlpm.matches,_xlfn._xlws.FILTER(_xlfn.HSTACK(DATEVALUE(tblCarryingExpenses[Date]),VALUE(tblCarryingExpenses[Amount])),(tblCarryingExpenses[Include]="Yes")*(tblCarryingExpenses[Category]=_xlpm.cat)),_xlpm.sorted,_xlfn.SORTBY(_xlpm.matches,INDEX(_xlpm.matches,,1),1),IFERROR(INDEX(_xlpm.sorted,_xlpm.n,2),""))</f>
        <v>0</v>
      </c>
      <c r="I4" s="213"/>
      <c r="J4" s="12" t="str" cm="1">
        <f t="array" ref="J4">_xlfn.LET(_xlpm.cat,J$1,_xlpm.n,ROWS(J$4:J4),_xlpm.matches,_xlfn._xlws.FILTER(_xlfn.HSTACK(DATEVALUE(tblCarryingExpenses[Date]),VALUE(tblCarryingExpenses[Amount])),(tblCarryingExpenses[Include]="Yes")*(tblCarryingExpenses[Category]=_xlpm.cat)),_xlpm.sorted,_xlfn.SORTBY(_xlpm.matches,INDEX(_xlpm.matches,,1),1),IFERROR(INDEX(_xlpm.sorted,_xlpm.n,1),""))</f>
        <v/>
      </c>
      <c r="K4" s="5" cm="1">
        <f t="array" ref="K4">_xlfn.LET(_xlpm.cat,J$1,_xlpm.n,ROWS(K$4:K4),_xlpm.matches,_xlfn._xlws.FILTER(_xlfn.HSTACK(DATEVALUE(tblCarryingExpenses[Date]),VALUE(tblCarryingExpenses[Amount])),(tblCarryingExpenses[Include]="Yes")*(tblCarryingExpenses[Category]=_xlpm.cat)),_xlpm.sorted,_xlfn.SORTBY(_xlpm.matches,INDEX(_xlpm.matches,,1),1),IFERROR(INDEX(_xlpm.sorted,_xlpm.n,2),""))</f>
        <v>0</v>
      </c>
      <c r="L4" s="210"/>
      <c r="M4" s="12" t="str" cm="1">
        <f t="array" ref="M4">_xlfn.LET(_xlpm.cat,M$1,_xlpm.n,ROWS(M$4:M4),_xlpm.matches,_xlfn._xlws.FILTER(_xlfn.HSTACK(DATEVALUE(tblCarryingExpenses[Date]),VALUE(tblCarryingExpenses[Amount])),(tblCarryingExpenses[Include]="Yes")*(tblCarryingExpenses[Category]=_xlpm.cat)),_xlpm.sorted,_xlfn.SORTBY(_xlpm.matches,INDEX(_xlpm.matches,,1),1),IFERROR(INDEX(_xlpm.sorted,_xlpm.n,1),""))</f>
        <v/>
      </c>
      <c r="N4" s="5" cm="1">
        <f t="array" ref="N4">_xlfn.LET(_xlpm.cat,M$1,_xlpm.n,ROWS(N$4:N4),_xlpm.matches,_xlfn._xlws.FILTER(_xlfn.HSTACK(DATEVALUE(tblCarryingExpenses[Date]),VALUE(tblCarryingExpenses[Amount])),(tblCarryingExpenses[Include]="Yes")*(tblCarryingExpenses[Category]=_xlpm.cat)),_xlpm.sorted,_xlfn.SORTBY(_xlpm.matches,INDEX(_xlpm.matches,,1),1),IFERROR(INDEX(_xlpm.sorted,_xlpm.n,2),""))</f>
        <v>0</v>
      </c>
      <c r="O4" s="210"/>
      <c r="P4" s="12" t="str" cm="1">
        <f t="array" ref="P4">_xlfn.LET(_xlpm.cat,P$1,_xlpm.n,ROWS(P$4:P4),_xlpm.matches,_xlfn._xlws.FILTER(_xlfn.HSTACK(DATEVALUE(tblCarryingExpenses[Date]),VALUE(tblCarryingExpenses[Amount])),(tblCarryingExpenses[Include]="Yes")*(tblCarryingExpenses[Category]=_xlpm.cat)),_xlpm.sorted,_xlfn.SORTBY(_xlpm.matches,INDEX(_xlpm.matches,,1),1),IFERROR(INDEX(_xlpm.sorted,_xlpm.n,1),""))</f>
        <v/>
      </c>
      <c r="Q4" s="5" cm="1">
        <f t="array" ref="Q4">_xlfn.LET(_xlpm.cat,P$1,_xlpm.n,ROWS(Q$4:Q4),_xlpm.matches,_xlfn._xlws.FILTER(_xlfn.HSTACK(DATEVALUE(tblCarryingExpenses[Date]),VALUE(tblCarryingExpenses[Amount])),(tblCarryingExpenses[Include]="Yes")*(tblCarryingExpenses[Category]=_xlpm.cat)),_xlpm.sorted,_xlfn.SORTBY(_xlpm.matches,INDEX(_xlpm.matches,,1),1),IFERROR(INDEX(_xlpm.sorted,_xlpm.n,2),""))</f>
        <v>43.13</v>
      </c>
      <c r="R4" s="210"/>
      <c r="S4" s="12">
        <v>45996</v>
      </c>
      <c r="T4" s="5">
        <v>12.41</v>
      </c>
      <c r="U4" s="210"/>
      <c r="V4" s="12" t="str" cm="1">
        <f t="array" ref="V4">_xlfn.LET(_xlpm.cat,V$1,_xlpm.n,ROWS(V$4:V4),_xlpm.matches,_xlfn._xlws.FILTER(_xlfn.HSTACK(DATEVALUE(tblCarryingExpenses[Date]),VALUE(tblCarryingExpenses[Amount])),(tblCarryingExpenses[Include]="Yes")*(tblCarryingExpenses[Category]=_xlpm.cat)),_xlpm.sorted,_xlfn.SORTBY(_xlpm.matches,INDEX(_xlpm.matches,,1),1),IFERROR(INDEX(_xlpm.sorted,_xlpm.n,1),""))</f>
        <v/>
      </c>
      <c r="W4" s="5" cm="1">
        <f t="array" ref="W4">_xlfn.LET(_xlpm.cat,V$1,_xlpm.n,ROWS(W$4:W4),_xlpm.matches,_xlfn._xlws.FILTER(_xlfn.HSTACK(DATEVALUE(tblCarryingExpenses[Date]),VALUE(tblCarryingExpenses[Amount])),(tblCarryingExpenses[Include]="Yes")*(tblCarryingExpenses[Category]=_xlpm.cat)),_xlpm.sorted,_xlfn.SORTBY(_xlpm.matches,INDEX(_xlpm.matches,,1),1),IFERROR(INDEX(_xlpm.sorted,_xlpm.n,2),""))</f>
        <v>0</v>
      </c>
      <c r="X4" s="210"/>
      <c r="Y4" s="12" t="str" cm="1">
        <f t="array" ref="Y4">_xlfn.LET(_xlpm.cat,Y$1,_xlpm.n,ROWS(Y$4:Y4),_xlpm.matches,_xlfn._xlws.FILTER(_xlfn.HSTACK(DATEVALUE(tblCarryingExpenses[Date]),VALUE(tblCarryingExpenses[Amount])),(tblCarryingExpenses[Include]="Yes")*(tblCarryingExpenses[Category]=_xlpm.cat)),_xlpm.sorted,_xlfn.SORTBY(_xlpm.matches,INDEX(_xlpm.matches,,1),1),IFERROR(INDEX(_xlpm.sorted,_xlpm.n,1),""))</f>
        <v/>
      </c>
      <c r="Z4" s="5" cm="1">
        <f t="array" ref="Z4">_xlfn.LET(_xlpm.cat,Y$1,_xlpm.n,ROWS(Z$4:Z4),_xlpm.matches,_xlfn._xlws.FILTER(_xlfn.HSTACK(DATEVALUE(tblCarryingExpenses[Date]),VALUE(tblCarryingExpenses[Amount])),(tblCarryingExpenses[Include]="Yes")*(tblCarryingExpenses[Category]=_xlpm.cat)),_xlpm.sorted,_xlfn.SORTBY(_xlpm.matches,INDEX(_xlpm.matches,,1),1),IFERROR(INDEX(_xlpm.sorted,_xlpm.n,2),""))</f>
        <v>893</v>
      </c>
      <c r="AA4" s="583">
        <f t="shared" ref="AA4:AA24" si="0">IF(Z4="","",-Z4)</f>
        <v>-893</v>
      </c>
      <c r="AB4" s="12" t="str" cm="1">
        <f t="array" ref="AB4">_xlfn.LET(_xlpm.cat,AB$1,_xlpm.n,ROWS(AB$4:AB4),_xlpm.matches,_xlfn._xlws.FILTER(_xlfn.HSTACK(DATEVALUE(tblCarryingExpenses[Date]),VALUE(tblCarryingExpenses[Amount])),(tblCarryingExpenses[Include]="Yes")*(tblCarryingExpenses[Category]=_xlpm.cat)),_xlpm.sorted,_xlfn.SORTBY(_xlpm.matches,INDEX(_xlpm.matches,,1),1),IFERROR(INDEX(_xlpm.sorted,_xlpm.n,1),""))</f>
        <v/>
      </c>
      <c r="AC4" s="5" cm="1">
        <f t="array" ref="AC4">_xlfn.LET(_xlpm.cat,AB$1,_xlpm.n,ROWS(AC$4:AC4),_xlpm.matches,_xlfn._xlws.FILTER(_xlfn.HSTACK(DATEVALUE(tblCarryingExpenses[Date]),VALUE(tblCarryingExpenses[Amount])),(tblCarryingExpenses[Include]="Yes")*(tblCarryingExpenses[Category]=_xlpm.cat)),_xlpm.sorted,_xlfn.SORTBY(_xlpm.matches,INDEX(_xlpm.matches,,1),1),IFERROR(INDEX(_xlpm.sorted,_xlpm.n,2),""))</f>
        <v>1000</v>
      </c>
      <c r="AD4" s="210"/>
      <c r="AE4" s="12" t="str" cm="1">
        <f t="array" ref="AE4">_xlfn.LET(_xlpm.cat,AE$1,_xlpm.n,ROWS(AE$4:AE4),_xlpm.matches,_xlfn._xlws.FILTER(_xlfn.HSTACK(DATEVALUE(tblCarryingExpenses[Date]),VALU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DATEVALUE(tblCarryingExpenses[Date]),VALUE(tblCarryingExpenses[Amount])),(tblCarryingExpenses[Include]="Yes")*(tblCarryingExpenses[Category]=_xlpm.cat)),_xlpm.sorted,_xlfn.SORTBY(_xlpm.matches,INDEX(_xlpm.matches,,1),1),IFERROR(INDEX(_xlpm.sorted,_xlpm.n,2),""))</f>
        <v/>
      </c>
      <c r="AG4" s="210"/>
      <c r="AL4" t="s">
        <v>458</v>
      </c>
      <c r="AM4" t="s">
        <v>1523</v>
      </c>
      <c r="AN4" s="12">
        <v>45910</v>
      </c>
      <c r="AP4" t="s">
        <v>1534</v>
      </c>
      <c r="AQ4" s="5">
        <v>105.99</v>
      </c>
      <c r="AR4" t="s">
        <v>1535</v>
      </c>
      <c r="AT4" t="s">
        <v>1536</v>
      </c>
      <c r="AU4" t="s">
        <v>1537</v>
      </c>
      <c r="AV4" t="s">
        <v>1539</v>
      </c>
    </row>
    <row r="5" spans="1:48">
      <c r="A5" s="12">
        <v>45910</v>
      </c>
      <c r="B5" s="5" cm="1">
        <f t="array" ref="B5">_xlfn.LET(_xlpm.cat,A$1,_xlpm.n,ROWS(B$4:B5),_xlpm.matches,_xlfn._xlws.FILTER(_xlfn.HSTACK(DATEVALUE(tblCarryingExpenses[Date]),VALUE(tblCarryingExpenses[Amount])),(tblCarryingExpenses[Include]="Yes")*(tblCarryingExpenses[Category]=_xlpm.cat)),_xlpm.sorted,_xlfn.SORTBY(_xlpm.matches,INDEX(_xlpm.matches,,1),1),IFERROR(INDEX(_xlpm.sorted,_xlpm.n,2),""))</f>
        <v>105.99</v>
      </c>
      <c r="C5" s="213"/>
      <c r="D5" s="12" t="str" cm="1">
        <f t="array" ref="D5">_xlfn.LET(_xlpm.cat,IF(D$1="Mortgage Payment paid after Reinstatement","Mortgage Payment",D$1),_xlpm.n,ROWS(D$4:D5),_xlpm.matches,_xlfn._xlws.FILTER(_xlfn.HSTACK(DATEVALUE(tblCarryingExpenses[Date]),VALUE(tblCarryingExpenses[Amount])),(tblCarryingExpenses[Include]="Yes")*(tblCarryingExpenses[Category]=_xlpm.cat)),_xlpm.sorted,_xlfn.SORTBY(_xlpm.matches,INDEX(_xlpm.matches,,1),1),IFERROR(INDEX(_xlpm.sorted,_xlpm.n,1),""))</f>
        <v/>
      </c>
      <c r="E5" s="5" cm="1">
        <f t="array" ref="E5">_xlfn.LET(_xlpm.cat,IF(D$1="Mortgage Payment paid after Reinstatement","Mortgage Payment",D$1),_xlpm.n,ROWS(E$4:E5),_xlpm.matches,_xlfn._xlws.FILTER(_xlfn.HSTACK(DATEVALUE(tblCarryingExpenses[Date]),VALUE(tblCarryingExpenses[Amount])),(tblCarryingExpenses[Include]="Yes")*(tblCarryingExpenses[Category]=_xlpm.cat)),_xlpm.sorted,_xlfn.SORTBY(_xlpm.matches,INDEX(_xlpm.matches,,1),1),IFERROR(INDEX(_xlpm.sorted,_xlpm.n,2),""))</f>
        <v>2412.6799999999998</v>
      </c>
      <c r="F5" s="213"/>
      <c r="G5" s="12" t="str" cm="1">
        <f t="array" ref="G5">_xlfn.LET(_xlpm.cat,G$1,_xlpm.n,ROWS(G$4:G5),_xlpm.matches,_xlfn._xlws.FILTER(_xlfn.HSTACK(DATEVALUE(tblCarryingExpenses[Date]),VALUE(tblCarryingExpenses[Amount])),(tblCarryingExpenses[Include]="Yes")*(tblCarryingExpenses[Category]=_xlpm.cat)),_xlpm.sorted,_xlfn.SORTBY(_xlpm.matches,INDEX(_xlpm.matches,,1),1),IFERROR(INDEX(_xlpm.sorted,_xlpm.n,1),""))</f>
        <v/>
      </c>
      <c r="H5" s="334" cm="1">
        <f t="array" ref="H5">_xlfn.LET(_xlpm.cat,G$1,_xlpm.n,ROWS(H$4:H5),_xlpm.matches,_xlfn._xlws.FILTER(_xlfn.HSTACK(DATEVALUE(tblCarryingExpenses[Date]),VALUE(tblCarryingExpenses[Amount])),(tblCarryingExpenses[Include]="Yes")*(tblCarryingExpenses[Category]=_xlpm.cat)),_xlpm.sorted,_xlfn.SORTBY(_xlpm.matches,INDEX(_xlpm.matches,,1),1),IFERROR(INDEX(_xlpm.sorted,_xlpm.n,2),""))</f>
        <v>916.66666666666697</v>
      </c>
      <c r="I5" s="213"/>
      <c r="J5" s="12" t="str" cm="1">
        <f t="array" ref="J5">_xlfn.LET(_xlpm.cat,J$1,_xlpm.n,ROWS(J$4:J5),_xlpm.matches,_xlfn._xlws.FILTER(_xlfn.HSTACK(DATEVALUE(tblCarryingExpenses[Date]),VALUE(tblCarryingExpenses[Amount])),(tblCarryingExpenses[Include]="Yes")*(tblCarryingExpenses[Category]=_xlpm.cat)),_xlpm.sorted,_xlfn.SORTBY(_xlpm.matches,INDEX(_xlpm.matches,,1),1),IFERROR(INDEX(_xlpm.sorted,_xlpm.n,1),""))</f>
        <v/>
      </c>
      <c r="K5" s="5" cm="1">
        <f t="array" ref="K5">_xlfn.LET(_xlpm.cat,J$1,_xlpm.n,ROWS(K$4:K5),_xlpm.matches,_xlfn._xlws.FILTER(_xlfn.HSTACK(DATEVALUE(tblCarryingExpenses[Date]),VALUE(tblCarryingExpenses[Amount])),(tblCarryingExpenses[Include]="Yes")*(tblCarryingExpenses[Category]=_xlpm.cat)),_xlpm.sorted,_xlfn.SORTBY(_xlpm.matches,INDEX(_xlpm.matches,,1),1),IFERROR(INDEX(_xlpm.sorted,_xlpm.n,2),""))</f>
        <v>0</v>
      </c>
      <c r="L5" s="210"/>
      <c r="M5" s="12" t="str" cm="1">
        <f t="array" ref="M5">_xlfn.LET(_xlpm.cat,M$1,_xlpm.n,ROWS(M$4:M5),_xlpm.matches,_xlfn._xlws.FILTER(_xlfn.HSTACK(DATEVALUE(tblCarryingExpenses[Date]),VALUE(tblCarryingExpenses[Amount])),(tblCarryingExpenses[Include]="Yes")*(tblCarryingExpenses[Category]=_xlpm.cat)),_xlpm.sorted,_xlfn.SORTBY(_xlpm.matches,INDEX(_xlpm.matches,,1),1),IFERROR(INDEX(_xlpm.sorted,_xlpm.n,1),""))</f>
        <v/>
      </c>
      <c r="N5" s="5" cm="1">
        <f t="array" ref="N5">_xlfn.LET(_xlpm.cat,M$1,_xlpm.n,ROWS(N$4:N5),_xlpm.matches,_xlfn._xlws.FILTER(_xlfn.HSTACK(DATEVALUE(tblCarryingExpenses[Date]),VALUE(tblCarryingExpenses[Amount])),(tblCarryingExpenses[Include]="Yes")*(tblCarryingExpenses[Category]=_xlpm.cat)),_xlpm.sorted,_xlfn.SORTBY(_xlpm.matches,INDEX(_xlpm.matches,,1),1),IFERROR(INDEX(_xlpm.sorted,_xlpm.n,2),""))</f>
        <v>0</v>
      </c>
      <c r="O5" s="210"/>
      <c r="P5" s="12" t="str" cm="1">
        <f t="array" ref="P5">_xlfn.LET(_xlpm.cat,P$1,_xlpm.n,ROWS(P$4:P5),_xlpm.matches,_xlfn._xlws.FILTER(_xlfn.HSTACK(DATEVALUE(tblCarryingExpenses[Date]),VALUE(tblCarryingExpenses[Amount])),(tblCarryingExpenses[Include]="Yes")*(tblCarryingExpenses[Category]=_xlpm.cat)),_xlpm.sorted,_xlfn.SORTBY(_xlpm.matches,INDEX(_xlpm.matches,,1),1),IFERROR(INDEX(_xlpm.sorted,_xlpm.n,1),""))</f>
        <v/>
      </c>
      <c r="Q5" s="5" cm="1">
        <f t="array" ref="Q5">_xlfn.LET(_xlpm.cat,P$1,_xlpm.n,ROWS(Q$4:Q5),_xlpm.matches,_xlfn._xlws.FILTER(_xlfn.HSTACK(DATEVALUE(tblCarryingExpenses[Date]),VALUE(tblCarryingExpenses[Amount])),(tblCarryingExpenses[Include]="Yes")*(tblCarryingExpenses[Category]=_xlpm.cat)),_xlpm.sorted,_xlfn.SORTBY(_xlpm.matches,INDEX(_xlpm.matches,,1),1),IFERROR(INDEX(_xlpm.sorted,_xlpm.n,2),""))</f>
        <v>34.28</v>
      </c>
      <c r="R5" s="210"/>
      <c r="S5" s="12">
        <v>46029</v>
      </c>
      <c r="T5" s="5">
        <v>14.24</v>
      </c>
      <c r="U5" s="210"/>
      <c r="V5" s="12" t="str" cm="1">
        <f t="array" ref="V5">_xlfn.LET(_xlpm.cat,V$1,_xlpm.n,ROWS(V$4:V5),_xlpm.matches,_xlfn._xlws.FILTER(_xlfn.HSTACK(DATEVALUE(tblCarryingExpenses[Date]),VALUE(tblCarryingExpenses[Amount])),(tblCarryingExpenses[Include]="Yes")*(tblCarryingExpenses[Category]=_xlpm.cat)),_xlpm.sorted,_xlfn.SORTBY(_xlpm.matches,INDEX(_xlpm.matches,,1),1),IFERROR(INDEX(_xlpm.sorted,_xlpm.n,1),""))</f>
        <v/>
      </c>
      <c r="W5" s="5" cm="1">
        <f t="array" ref="W5">_xlfn.LET(_xlpm.cat,V$1,_xlpm.n,ROWS(W$4:W5),_xlpm.matches,_xlfn._xlws.FILTER(_xlfn.HSTACK(DATEVALUE(tblCarryingExpenses[Date]),VALUE(tblCarryingExpenses[Amount])),(tblCarryingExpenses[Include]="Yes")*(tblCarryingExpenses[Category]=_xlpm.cat)),_xlpm.sorted,_xlfn.SORTBY(_xlpm.matches,INDEX(_xlpm.matches,,1),1),IFERROR(INDEX(_xlpm.sorted,_xlpm.n,2),""))</f>
        <v>0</v>
      </c>
      <c r="X5" s="210"/>
      <c r="Y5" s="12" t="str" cm="1">
        <f t="array" ref="Y5">_xlfn.LET(_xlpm.cat,Y$1,_xlpm.n,ROWS(Y$4:Y5),_xlpm.matches,_xlfn._xlws.FILTER(_xlfn.HSTACK(DATEVALUE(tblCarryingExpenses[Date]),VALUE(tblCarryingExpenses[Amount])),(tblCarryingExpenses[Include]="Yes")*(tblCarryingExpenses[Category]=_xlpm.cat)),_xlpm.sorted,_xlfn.SORTBY(_xlpm.matches,INDEX(_xlpm.matches,,1),1),IFERROR(INDEX(_xlpm.sorted,_xlpm.n,1),""))</f>
        <v/>
      </c>
      <c r="Z5" s="5" cm="1">
        <f t="array" ref="Z5">_xlfn.LET(_xlpm.cat,Y$1,_xlpm.n,ROWS(Z$4:Z5),_xlpm.matches,_xlfn._xlws.FILTER(_xlfn.HSTACK(DATEVALUE(tblCarryingExpenses[Date]),VALUE(tblCarryingExpenses[Amount])),(tblCarryingExpenses[Include]="Yes")*(tblCarryingExpenses[Category]=_xlpm.cat)),_xlpm.sorted,_xlfn.SORTBY(_xlpm.matches,INDEX(_xlpm.matches,,1),1),IFERROR(INDEX(_xlpm.sorted,_xlpm.n,2),""))</f>
        <v>2453</v>
      </c>
      <c r="AA5" s="583">
        <f t="shared" si="0"/>
        <v>-2453</v>
      </c>
      <c r="AB5" s="12" t="str" cm="1">
        <f t="array" ref="AB5">_xlfn.LET(_xlpm.cat,AB$1,_xlpm.n,ROWS(AB$4:AB5),_xlpm.matches,_xlfn._xlws.FILTER(_xlfn.HSTACK(DATEVALUE(tblCarryingExpenses[Date]),VALUE(tblCarryingExpenses[Amount])),(tblCarryingExpenses[Include]="Yes")*(tblCarryingExpenses[Category]=_xlpm.cat)),_xlpm.sorted,_xlfn.SORTBY(_xlpm.matches,INDEX(_xlpm.matches,,1),1),IFERROR(INDEX(_xlpm.sorted,_xlpm.n,1),""))</f>
        <v/>
      </c>
      <c r="AC5" s="5" cm="1">
        <f t="array" ref="AC5">_xlfn.LET(_xlpm.cat,AB$1,_xlpm.n,ROWS(AC$4:AC5),_xlpm.matches,_xlfn._xlws.FILTER(_xlfn.HSTACK(DATEVALUE(tblCarryingExpenses[Date]),VALUE(tblCarryingExpenses[Amount])),(tblCarryingExpenses[Include]="Yes")*(tblCarryingExpenses[Category]=_xlpm.cat)),_xlpm.sorted,_xlfn.SORTBY(_xlpm.matches,INDEX(_xlpm.matches,,1),1),IFERROR(INDEX(_xlpm.sorted,_xlpm.n,2),""))</f>
        <v>1000</v>
      </c>
      <c r="AD5" s="210"/>
      <c r="AE5" s="12" t="str" cm="1">
        <f t="array" ref="AE5">_xlfn.LET(_xlpm.cat,AE$1,_xlpm.n,ROWS(AE$4:AE5),_xlpm.matches,_xlfn._xlws.FILTER(_xlfn.HSTACK(DATEVALUE(tblCarryingExpenses[Date]),VALU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DATEVALUE(tblCarryingExpenses[Date]),VALUE(tblCarryingExpenses[Amount])),(tblCarryingExpenses[Include]="Yes")*(tblCarryingExpenses[Category]=_xlpm.cat)),_xlpm.sorted,_xlfn.SORTBY(_xlpm.matches,INDEX(_xlpm.matches,,1),1),IFERROR(INDEX(_xlpm.sorted,_xlpm.n,2),""))</f>
        <v/>
      </c>
      <c r="AG5" s="210"/>
      <c r="AL5" t="s">
        <v>458</v>
      </c>
      <c r="AM5" t="s">
        <v>1523</v>
      </c>
      <c r="AN5" s="12">
        <v>45940</v>
      </c>
      <c r="AP5" t="s">
        <v>1534</v>
      </c>
      <c r="AQ5" s="5">
        <v>46.05</v>
      </c>
      <c r="AR5" t="s">
        <v>1535</v>
      </c>
      <c r="AT5" t="s">
        <v>1536</v>
      </c>
      <c r="AU5" t="s">
        <v>1537</v>
      </c>
      <c r="AV5" t="s">
        <v>1540</v>
      </c>
    </row>
    <row r="6" spans="1:48">
      <c r="A6" s="12">
        <v>45940</v>
      </c>
      <c r="B6" s="5" cm="1">
        <f t="array" ref="B6">_xlfn.LET(_xlpm.cat,A$1,_xlpm.n,ROWS(B$4:B6),_xlpm.matches,_xlfn._xlws.FILTER(_xlfn.HSTACK(DATEVALUE(tblCarryingExpenses[Date]),VALUE(tblCarryingExpenses[Amount])),(tblCarryingExpenses[Include]="Yes")*(tblCarryingExpenses[Category]=_xlpm.cat)),_xlpm.sorted,_xlfn.SORTBY(_xlpm.matches,INDEX(_xlpm.matches,,1),1),IFERROR(INDEX(_xlpm.sorted,_xlpm.n,2),""))</f>
        <v>46.05</v>
      </c>
      <c r="C6" s="213"/>
      <c r="D6" s="12" t="str" cm="1">
        <f t="array" ref="D6">_xlfn.LET(_xlpm.cat,IF(D$1="Mortgage Payment paid after Reinstatement","Mortgage Payment",D$1),_xlpm.n,ROWS(D$4:D6),_xlpm.matches,_xlfn._xlws.FILTER(_xlfn.HSTACK(DATEVALUE(tblCarryingExpenses[Date]),VALUE(tblCarryingExpenses[Amount])),(tblCarryingExpenses[Include]="Yes")*(tblCarryingExpenses[Category]=_xlpm.cat)),_xlpm.sorted,_xlfn.SORTBY(_xlpm.matches,INDEX(_xlpm.matches,,1),1),IFERROR(INDEX(_xlpm.sorted,_xlpm.n,1),""))</f>
        <v/>
      </c>
      <c r="E6" s="5" cm="1">
        <f t="array" ref="E6">_xlfn.LET(_xlpm.cat,IF(D$1="Mortgage Payment paid after Reinstatement","Mortgage Payment",D$1),_xlpm.n,ROWS(E$4:E6),_xlpm.matches,_xlfn._xlws.FILTER(_xlfn.HSTACK(DATEVALUE(tblCarryingExpenses[Date]),VALUE(tblCarryingExpenses[Amount])),(tblCarryingExpenses[Include]="Yes")*(tblCarryingExpenses[Category]=_xlpm.cat)),_xlpm.sorted,_xlfn.SORTBY(_xlpm.matches,INDEX(_xlpm.matches,,1),1),IFERROR(INDEX(_xlpm.sorted,_xlpm.n,2),""))</f>
        <v>2412.6799999999998</v>
      </c>
      <c r="F6" s="213"/>
      <c r="G6" s="12" t="str" cm="1">
        <f t="array" ref="G6">_xlfn.LET(_xlpm.cat,G$1,_xlpm.n,ROWS(G$4:G6),_xlpm.matches,_xlfn._xlws.FILTER(_xlfn.HSTACK(DATEVALUE(tblCarryingExpenses[Date]),VALUE(tblCarryingExpenses[Amount])),(tblCarryingExpenses[Include]="Yes")*(tblCarryingExpenses[Category]=_xlpm.cat)),_xlpm.sorted,_xlfn.SORTBY(_xlpm.matches,INDEX(_xlpm.matches,,1),1),IFERROR(INDEX(_xlpm.sorted,_xlpm.n,1),""))</f>
        <v/>
      </c>
      <c r="H6" s="5" cm="1">
        <f t="array" ref="H6">_xlfn.LET(_xlpm.cat,G$1,_xlpm.n,ROWS(H$4:H6),_xlpm.matches,_xlfn._xlws.FILTER(_xlfn.HSTACK(DATEVALUE(tblCarryingExpenses[Date]),VALUE(tblCarryingExpenses[Amount])),(tblCarryingExpenses[Include]="Yes")*(tblCarryingExpenses[Category]=_xlpm.cat)),_xlpm.sorted,_xlfn.SORTBY(_xlpm.matches,INDEX(_xlpm.matches,,1),1),IFERROR(INDEX(_xlpm.sorted,_xlpm.n,2),""))</f>
        <v>916.66666666666697</v>
      </c>
      <c r="I6" s="213"/>
      <c r="J6" s="12" t="str" cm="1">
        <f t="array" ref="J6">_xlfn.LET(_xlpm.cat,J$1,_xlpm.n,ROWS(J$4:J6),_xlpm.matches,_xlfn._xlws.FILTER(_xlfn.HSTACK(DATEVALUE(tblCarryingExpenses[Date]),VALUE(tblCarryingExpenses[Amount])),(tblCarryingExpenses[Include]="Yes")*(tblCarryingExpenses[Category]=_xlpm.cat)),_xlpm.sorted,_xlfn.SORTBY(_xlpm.matches,INDEX(_xlpm.matches,,1),1),IFERROR(INDEX(_xlpm.sorted,_xlpm.n,1),""))</f>
        <v/>
      </c>
      <c r="K6" s="5" cm="1">
        <f t="array" ref="K6">_xlfn.LET(_xlpm.cat,J$1,_xlpm.n,ROWS(K$4:K6),_xlpm.matches,_xlfn._xlws.FILTER(_xlfn.HSTACK(DATEVALUE(tblCarryingExpenses[Date]),VALUE(tblCarryingExpenses[Amount])),(tblCarryingExpenses[Include]="Yes")*(tblCarryingExpenses[Category]=_xlpm.cat)),_xlpm.sorted,_xlfn.SORTBY(_xlpm.matches,INDEX(_xlpm.matches,,1),1),IFERROR(INDEX(_xlpm.sorted,_xlpm.n,2),""))</f>
        <v>0</v>
      </c>
      <c r="L6" s="210"/>
      <c r="M6" s="12" t="str" cm="1">
        <f t="array" ref="M6">_xlfn.LET(_xlpm.cat,M$1,_xlpm.n,ROWS(M$4:M6),_xlpm.matches,_xlfn._xlws.FILTER(_xlfn.HSTACK(DATEVALUE(tblCarryingExpenses[Date]),VALUE(tblCarryingExpenses[Amount])),(tblCarryingExpenses[Include]="Yes")*(tblCarryingExpenses[Category]=_xlpm.cat)),_xlpm.sorted,_xlfn.SORTBY(_xlpm.matches,INDEX(_xlpm.matches,,1),1),IFERROR(INDEX(_xlpm.sorted,_xlpm.n,1),""))</f>
        <v/>
      </c>
      <c r="N6" s="5" cm="1">
        <f t="array" ref="N6">_xlfn.LET(_xlpm.cat,M$1,_xlpm.n,ROWS(N$4:N6),_xlpm.matches,_xlfn._xlws.FILTER(_xlfn.HSTACK(DATEVALUE(tblCarryingExpenses[Date]),VALUE(tblCarryingExpenses[Amount])),(tblCarryingExpenses[Include]="Yes")*(tblCarryingExpenses[Category]=_xlpm.cat)),_xlpm.sorted,_xlfn.SORTBY(_xlpm.matches,INDEX(_xlpm.matches,,1),1),IFERROR(INDEX(_xlpm.sorted,_xlpm.n,2),""))</f>
        <v>0</v>
      </c>
      <c r="O6" s="210"/>
      <c r="P6" s="12" t="str" cm="1">
        <f t="array" ref="P6">_xlfn.LET(_xlpm.cat,P$1,_xlpm.n,ROWS(P$4:P6),_xlpm.matches,_xlfn._xlws.FILTER(_xlfn.HSTACK(DATEVALUE(tblCarryingExpenses[Date]),VALUE(tblCarryingExpenses[Amount])),(tblCarryingExpenses[Include]="Yes")*(tblCarryingExpenses[Category]=_xlpm.cat)),_xlpm.sorted,_xlfn.SORTBY(_xlpm.matches,INDEX(_xlpm.matches,,1),1),IFERROR(INDEX(_xlpm.sorted,_xlpm.n,1),""))</f>
        <v/>
      </c>
      <c r="Q6" s="5" cm="1">
        <f t="array" ref="Q6">_xlfn.LET(_xlpm.cat,P$1,_xlpm.n,ROWS(Q$4:Q6),_xlpm.matches,_xlfn._xlws.FILTER(_xlfn.HSTACK(DATEVALUE(tblCarryingExpenses[Date]),VALUE(tblCarryingExpenses[Amount])),(tblCarryingExpenses[Include]="Yes")*(tblCarryingExpenses[Category]=_xlpm.cat)),_xlpm.sorted,_xlfn.SORTBY(_xlpm.matches,INDEX(_xlpm.matches,,1),1),IFERROR(INDEX(_xlpm.sorted,_xlpm.n,2),""))</f>
        <v>34.18</v>
      </c>
      <c r="R6" s="210"/>
      <c r="S6" s="12">
        <v>46058</v>
      </c>
      <c r="T6" s="5">
        <v>27.62</v>
      </c>
      <c r="U6" s="210"/>
      <c r="V6" s="12" t="str" cm="1">
        <f t="array" ref="V6">_xlfn.LET(_xlpm.cat,V$1,_xlpm.n,ROWS(V$4:V6),_xlpm.matches,_xlfn._xlws.FILTER(_xlfn.HSTACK(DATEVALUE(tblCarryingExpenses[Date]),VALUE(tblCarryingExpenses[Amount])),(tblCarryingExpenses[Include]="Yes")*(tblCarryingExpenses[Category]=_xlpm.cat)),_xlpm.sorted,_xlfn.SORTBY(_xlpm.matches,INDEX(_xlpm.matches,,1),1),IFERROR(INDEX(_xlpm.sorted,_xlpm.n,1),""))</f>
        <v/>
      </c>
      <c r="W6" s="5" cm="1">
        <f t="array" ref="W6">_xlfn.LET(_xlpm.cat,V$1,_xlpm.n,ROWS(W$4:W6),_xlpm.matches,_xlfn._xlws.FILTER(_xlfn.HSTACK(DATEVALUE(tblCarryingExpenses[Date]),VALUE(tblCarryingExpenses[Amount])),(tblCarryingExpenses[Include]="Yes")*(tblCarryingExpenses[Category]=_xlpm.cat)),_xlpm.sorted,_xlfn.SORTBY(_xlpm.matches,INDEX(_xlpm.matches,,1),1),IFERROR(INDEX(_xlpm.sorted,_xlpm.n,2),""))</f>
        <v>0</v>
      </c>
      <c r="X6" s="210"/>
      <c r="Y6" s="12" t="str" cm="1">
        <f t="array" ref="Y6">_xlfn.LET(_xlpm.cat,Y$1,_xlpm.n,ROWS(Y$4:Y6),_xlpm.matches,_xlfn._xlws.FILTER(_xlfn.HSTACK(DATEVALUE(tblCarryingExpenses[Date]),VALUE(tblCarryingExpenses[Amount])),(tblCarryingExpenses[Include]="Yes")*(tblCarryingExpenses[Category]=_xlpm.cat)),_xlpm.sorted,_xlfn.SORTBY(_xlpm.matches,INDEX(_xlpm.matches,,1),1),IFERROR(INDEX(_xlpm.sorted,_xlpm.n,1),""))</f>
        <v/>
      </c>
      <c r="Z6" s="5" cm="1">
        <f t="array" ref="Z6">_xlfn.LET(_xlpm.cat,Y$1,_xlpm.n,ROWS(Z$4:Z6),_xlpm.matches,_xlfn._xlws.FILTER(_xlfn.HSTACK(DATEVALUE(tblCarryingExpenses[Date]),VALUE(tblCarryingExpenses[Amount])),(tblCarryingExpenses[Include]="Yes")*(tblCarryingExpenses[Category]=_xlpm.cat)),_xlpm.sorted,_xlfn.SORTBY(_xlpm.matches,INDEX(_xlpm.matches,,1),1),IFERROR(INDEX(_xlpm.sorted,_xlpm.n,2),""))</f>
        <v>2453</v>
      </c>
      <c r="AA6" s="583">
        <f t="shared" si="0"/>
        <v>-2453</v>
      </c>
      <c r="AB6" s="12" t="str" cm="1">
        <f t="array" ref="AB6">_xlfn.LET(_xlpm.cat,AB$1,_xlpm.n,ROWS(AB$4:AB6),_xlpm.matches,_xlfn._xlws.FILTER(_xlfn.HSTACK(DATEVALUE(tblCarryingExpenses[Date]),VALUE(tblCarryingExpenses[Amount])),(tblCarryingExpenses[Include]="Yes")*(tblCarryingExpenses[Category]=_xlpm.cat)),_xlpm.sorted,_xlfn.SORTBY(_xlpm.matches,INDEX(_xlpm.matches,,1),1),IFERROR(INDEX(_xlpm.sorted,_xlpm.n,1),""))</f>
        <v/>
      </c>
      <c r="AC6" s="5" cm="1">
        <f t="array" ref="AC6">_xlfn.LET(_xlpm.cat,AB$1,_xlpm.n,ROWS(AC$4:AC6),_xlpm.matches,_xlfn._xlws.FILTER(_xlfn.HSTACK(DATEVALUE(tblCarryingExpenses[Date]),VALUE(tblCarryingExpenses[Amount])),(tblCarryingExpenses[Include]="Yes")*(tblCarryingExpenses[Category]=_xlpm.cat)),_xlpm.sorted,_xlfn.SORTBY(_xlpm.matches,INDEX(_xlpm.matches,,1),1),IFERROR(INDEX(_xlpm.sorted,_xlpm.n,2),""))</f>
        <v>1000</v>
      </c>
      <c r="AD6" s="210"/>
      <c r="AE6" s="12" t="str" cm="1">
        <f t="array" ref="AE6">_xlfn.LET(_xlpm.cat,AE$1,_xlpm.n,ROWS(AE$4:AE6),_xlpm.matches,_xlfn._xlws.FILTER(_xlfn.HSTACK(DATEVALUE(tblCarryingExpenses[Date]),VALU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DATEVALUE(tblCarryingExpenses[Date]),VALUE(tblCarryingExpenses[Amount])),(tblCarryingExpenses[Include]="Yes")*(tblCarryingExpenses[Category]=_xlpm.cat)),_xlpm.sorted,_xlfn.SORTBY(_xlpm.matches,INDEX(_xlpm.matches,,1),1),IFERROR(INDEX(_xlpm.sorted,_xlpm.n,2),""))</f>
        <v/>
      </c>
      <c r="AG6" s="210"/>
      <c r="AL6" t="s">
        <v>458</v>
      </c>
      <c r="AM6" t="s">
        <v>1523</v>
      </c>
      <c r="AN6" s="12">
        <v>45971</v>
      </c>
      <c r="AP6" t="s">
        <v>1534</v>
      </c>
      <c r="AQ6" s="5">
        <v>31.84</v>
      </c>
      <c r="AR6" t="s">
        <v>1535</v>
      </c>
      <c r="AT6" t="s">
        <v>1536</v>
      </c>
      <c r="AU6" t="s">
        <v>1537</v>
      </c>
      <c r="AV6" t="s">
        <v>1541</v>
      </c>
    </row>
    <row r="7" spans="1:48">
      <c r="A7" s="12">
        <v>45971</v>
      </c>
      <c r="B7" s="5" cm="1">
        <f t="array" ref="B7">_xlfn.LET(_xlpm.cat,A$1,_xlpm.n,ROWS(B$4:B7),_xlpm.matches,_xlfn._xlws.FILTER(_xlfn.HSTACK(DATEVALUE(tblCarryingExpenses[Date]),VALUE(tblCarryingExpenses[Amount])),(tblCarryingExpenses[Include]="Yes")*(tblCarryingExpenses[Category]=_xlpm.cat)),_xlpm.sorted,_xlfn.SORTBY(_xlpm.matches,INDEX(_xlpm.matches,,1),1),IFERROR(INDEX(_xlpm.sorted,_xlpm.n,2),""))</f>
        <v>31.84</v>
      </c>
      <c r="C7" s="213"/>
      <c r="D7" s="12" t="str" cm="1">
        <f t="array" ref="D7">_xlfn.LET(_xlpm.cat,IF(D$1="Mortgage Payment paid after Reinstatement","Mortgage Payment",D$1),_xlpm.n,ROWS(D$4:D7),_xlpm.matches,_xlfn._xlws.FILTER(_xlfn.HSTACK(DATEVALUE(tblCarryingExpenses[Date]),VALUE(tblCarryingExpenses[Amount])),(tblCarryingExpenses[Include]="Yes")*(tblCarryingExpenses[Category]=_xlpm.cat)),_xlpm.sorted,_xlfn.SORTBY(_xlpm.matches,INDEX(_xlpm.matches,,1),1),IFERROR(INDEX(_xlpm.sorted,_xlpm.n,1),""))</f>
        <v/>
      </c>
      <c r="E7" s="5" cm="1">
        <f t="array" ref="E7">_xlfn.LET(_xlpm.cat,IF(D$1="Mortgage Payment paid after Reinstatement","Mortgage Payment",D$1),_xlpm.n,ROWS(E$4:E7),_xlpm.matches,_xlfn._xlws.FILTER(_xlfn.HSTACK(DATEVALUE(tblCarryingExpenses[Date]),VALUE(tblCarryingExpenses[Amount])),(tblCarryingExpenses[Include]="Yes")*(tblCarryingExpenses[Category]=_xlpm.cat)),_xlpm.sorted,_xlfn.SORTBY(_xlpm.matches,INDEX(_xlpm.matches,,1),1),IFERROR(INDEX(_xlpm.sorted,_xlpm.n,2),""))</f>
        <v>2399.14</v>
      </c>
      <c r="F7" s="213"/>
      <c r="G7" s="12" t="str" cm="1">
        <f t="array" ref="G7">_xlfn.LET(_xlpm.cat,G$1,_xlpm.n,ROWS(G$4:G7),_xlpm.matches,_xlfn._xlws.FILTER(_xlfn.HSTACK(DATEVALUE(tblCarryingExpenses[Date]),VALUE(tblCarryingExpenses[Amount])),(tblCarryingExpenses[Include]="Yes")*(tblCarryingExpenses[Category]=_xlpm.cat)),_xlpm.sorted,_xlfn.SORTBY(_xlpm.matches,INDEX(_xlpm.matches,,1),1),IFERROR(INDEX(_xlpm.sorted,_xlpm.n,1),""))</f>
        <v/>
      </c>
      <c r="H7" s="334" cm="1">
        <f t="array" ref="H7">_xlfn.LET(_xlpm.cat,G$1,_xlpm.n,ROWS(H$4:H7),_xlpm.matches,_xlfn._xlws.FILTER(_xlfn.HSTACK(DATEVALUE(tblCarryingExpenses[Date]),VALUE(tblCarryingExpenses[Amount])),(tblCarryingExpenses[Include]="Yes")*(tblCarryingExpenses[Category]=_xlpm.cat)),_xlpm.sorted,_xlfn.SORTBY(_xlpm.matches,INDEX(_xlpm.matches,,1),1),IFERROR(INDEX(_xlpm.sorted,_xlpm.n,2),""))</f>
        <v>916.66666666666697</v>
      </c>
      <c r="I7" s="213"/>
      <c r="J7" s="12" t="str" cm="1">
        <f t="array" ref="J7">_xlfn.LET(_xlpm.cat,J$1,_xlpm.n,ROWS(J$4:J7),_xlpm.matches,_xlfn._xlws.FILTER(_xlfn.HSTACK(DATEVALUE(tblCarryingExpenses[Date]),VALUE(tblCarryingExpenses[Amount])),(tblCarryingExpenses[Include]="Yes")*(tblCarryingExpenses[Category]=_xlpm.cat)),_xlpm.sorted,_xlfn.SORTBY(_xlpm.matches,INDEX(_xlpm.matches,,1),1),IFERROR(INDEX(_xlpm.sorted,_xlpm.n,1),""))</f>
        <v/>
      </c>
      <c r="K7" s="5" cm="1">
        <f t="array" ref="K7">_xlfn.LET(_xlpm.cat,J$1,_xlpm.n,ROWS(K$4:K7),_xlpm.matches,_xlfn._xlws.FILTER(_xlfn.HSTACK(DATEVALUE(tblCarryingExpenses[Date]),VALUE(tblCarryingExpenses[Amount])),(tblCarryingExpenses[Include]="Yes")*(tblCarryingExpenses[Category]=_xlpm.cat)),_xlpm.sorted,_xlfn.SORTBY(_xlpm.matches,INDEX(_xlpm.matches,,1),1),IFERROR(INDEX(_xlpm.sorted,_xlpm.n,2),""))</f>
        <v>0</v>
      </c>
      <c r="L7" s="210"/>
      <c r="M7" s="12" t="str" cm="1">
        <f t="array" ref="M7">_xlfn.LET(_xlpm.cat,M$1,_xlpm.n,ROWS(M$4:M7),_xlpm.matches,_xlfn._xlws.FILTER(_xlfn.HSTACK(DATEVALUE(tblCarryingExpenses[Date]),VALUE(tblCarryingExpenses[Amount])),(tblCarryingExpenses[Include]="Yes")*(tblCarryingExpenses[Category]=_xlpm.cat)),_xlpm.sorted,_xlfn.SORTBY(_xlpm.matches,INDEX(_xlpm.matches,,1),1),IFERROR(INDEX(_xlpm.sorted,_xlpm.n,1),""))</f>
        <v/>
      </c>
      <c r="N7" s="5" cm="1">
        <f t="array" ref="N7">_xlfn.LET(_xlpm.cat,M$1,_xlpm.n,ROWS(N$4:N7),_xlpm.matches,_xlfn._xlws.FILTER(_xlfn.HSTACK(DATEVALUE(tblCarryingExpenses[Date]),VALUE(tblCarryingExpenses[Amount])),(tblCarryingExpenses[Include]="Yes")*(tblCarryingExpenses[Category]=_xlpm.cat)),_xlpm.sorted,_xlfn.SORTBY(_xlpm.matches,INDEX(_xlpm.matches,,1),1),IFERROR(INDEX(_xlpm.sorted,_xlpm.n,2),""))</f>
        <v>0</v>
      </c>
      <c r="O7" s="210"/>
      <c r="P7" s="12" t="str" cm="1">
        <f t="array" ref="P7">_xlfn.LET(_xlpm.cat,P$1,_xlpm.n,ROWS(P$4:P7),_xlpm.matches,_xlfn._xlws.FILTER(_xlfn.HSTACK(DATEVALUE(tblCarryingExpenses[Date]),VALUE(tblCarryingExpenses[Amount])),(tblCarryingExpenses[Include]="Yes")*(tblCarryingExpenses[Category]=_xlpm.cat)),_xlpm.sorted,_xlfn.SORTBY(_xlpm.matches,INDEX(_xlpm.matches,,1),1),IFERROR(INDEX(_xlpm.sorted,_xlpm.n,1),""))</f>
        <v/>
      </c>
      <c r="Q7" s="5" cm="1">
        <f t="array" ref="Q7">_xlfn.LET(_xlpm.cat,P$1,_xlpm.n,ROWS(Q$4:Q7),_xlpm.matches,_xlfn._xlws.FILTER(_xlfn.HSTACK(DATEVALUE(tblCarryingExpenses[Date]),VALUE(tblCarryingExpenses[Amount])),(tblCarryingExpenses[Include]="Yes")*(tblCarryingExpenses[Category]=_xlpm.cat)),_xlpm.sorted,_xlfn.SORTBY(_xlpm.matches,INDEX(_xlpm.matches,,1),1),IFERROR(INDEX(_xlpm.sorted,_xlpm.n,2),""))</f>
        <v>34.25</v>
      </c>
      <c r="R7" s="210"/>
      <c r="S7" s="12">
        <v>46086</v>
      </c>
      <c r="T7" s="5">
        <v>333.34</v>
      </c>
      <c r="U7" s="210"/>
      <c r="V7" s="12" t="str" cm="1">
        <f t="array" ref="V7">_xlfn.LET(_xlpm.cat,V$1,_xlpm.n,ROWS(V$4:V7),_xlpm.matches,_xlfn._xlws.FILTER(_xlfn.HSTACK(DATEVALUE(tblCarryingExpenses[Date]),VALUE(tblCarryingExpenses[Amount])),(tblCarryingExpenses[Include]="Yes")*(tblCarryingExpenses[Category]=_xlpm.cat)),_xlpm.sorted,_xlfn.SORTBY(_xlpm.matches,INDEX(_xlpm.matches,,1),1),IFERROR(INDEX(_xlpm.sorted,_xlpm.n,1),""))</f>
        <v/>
      </c>
      <c r="W7" s="5" cm="1">
        <f t="array" ref="W7">_xlfn.LET(_xlpm.cat,V$1,_xlpm.n,ROWS(W$4:W7),_xlpm.matches,_xlfn._xlws.FILTER(_xlfn.HSTACK(DATEVALUE(tblCarryingExpenses[Date]),VALUE(tblCarryingExpenses[Amount])),(tblCarryingExpenses[Include]="Yes")*(tblCarryingExpenses[Category]=_xlpm.cat)),_xlpm.sorted,_xlfn.SORTBY(_xlpm.matches,INDEX(_xlpm.matches,,1),1),IFERROR(INDEX(_xlpm.sorted,_xlpm.n,2),""))</f>
        <v>0</v>
      </c>
      <c r="X7" s="210"/>
      <c r="Y7" s="12" t="str" cm="1">
        <f t="array" ref="Y7">_xlfn.LET(_xlpm.cat,Y$1,_xlpm.n,ROWS(Y$4:Y7),_xlpm.matches,_xlfn._xlws.FILTER(_xlfn.HSTACK(DATEVALUE(tblCarryingExpenses[Date]),VALUE(tblCarryingExpenses[Amount])),(tblCarryingExpenses[Include]="Yes")*(tblCarryingExpenses[Category]=_xlpm.cat)),_xlpm.sorted,_xlfn.SORTBY(_xlpm.matches,INDEX(_xlpm.matches,,1),1),IFERROR(INDEX(_xlpm.sorted,_xlpm.n,1),""))</f>
        <v/>
      </c>
      <c r="Z7" s="5" cm="1">
        <f t="array" ref="Z7">_xlfn.LET(_xlpm.cat,Y$1,_xlpm.n,ROWS(Z$4:Z7),_xlpm.matches,_xlfn._xlws.FILTER(_xlfn.HSTACK(DATEVALUE(tblCarryingExpenses[Date]),VALUE(tblCarryingExpenses[Amount])),(tblCarryingExpenses[Include]="Yes")*(tblCarryingExpenses[Category]=_xlpm.cat)),_xlpm.sorted,_xlfn.SORTBY(_xlpm.matches,INDEX(_xlpm.matches,,1),1),IFERROR(INDEX(_xlpm.sorted,_xlpm.n,2),""))</f>
        <v>0</v>
      </c>
      <c r="AA7" s="583">
        <f t="shared" si="0"/>
        <v>0</v>
      </c>
      <c r="AB7" s="12" t="str" cm="1">
        <f t="array" ref="AB7">_xlfn.LET(_xlpm.cat,AB$1,_xlpm.n,ROWS(AB$4:AB7),_xlpm.matches,_xlfn._xlws.FILTER(_xlfn.HSTACK(DATEVALUE(tblCarryingExpenses[Date]),VALUE(tblCarryingExpenses[Amount])),(tblCarryingExpenses[Include]="Yes")*(tblCarryingExpenses[Category]=_xlpm.cat)),_xlpm.sorted,_xlfn.SORTBY(_xlpm.matches,INDEX(_xlpm.matches,,1),1),IFERROR(INDEX(_xlpm.sorted,_xlpm.n,1),""))</f>
        <v/>
      </c>
      <c r="AC7" s="5" cm="1">
        <f t="array" ref="AC7">_xlfn.LET(_xlpm.cat,AB$1,_xlpm.n,ROWS(AC$4:AC7),_xlpm.matches,_xlfn._xlws.FILTER(_xlfn.HSTACK(DATEVALUE(tblCarryingExpenses[Date]),VALUE(tblCarryingExpenses[Amount])),(tblCarryingExpenses[Include]="Yes")*(tblCarryingExpenses[Category]=_xlpm.cat)),_xlpm.sorted,_xlfn.SORTBY(_xlpm.matches,INDEX(_xlpm.matches,,1),1),IFERROR(INDEX(_xlpm.sorted,_xlpm.n,2),""))</f>
        <v>1000</v>
      </c>
      <c r="AD7" s="210"/>
      <c r="AE7" s="12" t="str" cm="1">
        <f t="array" ref="AE7">_xlfn.LET(_xlpm.cat,AE$1,_xlpm.n,ROWS(AE$4:AE7),_xlpm.matches,_xlfn._xlws.FILTER(_xlfn.HSTACK(DATEVALUE(tblCarryingExpenses[Date]),VALU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DATEVALUE(tblCarryingExpenses[Date]),VALUE(tblCarryingExpenses[Amount])),(tblCarryingExpenses[Include]="Yes")*(tblCarryingExpenses[Category]=_xlpm.cat)),_xlpm.sorted,_xlfn.SORTBY(_xlpm.matches,INDEX(_xlpm.matches,,1),1),IFERROR(INDEX(_xlpm.sorted,_xlpm.n,2),""))</f>
        <v/>
      </c>
      <c r="AG7" s="210"/>
      <c r="AL7" t="s">
        <v>458</v>
      </c>
      <c r="AM7" t="s">
        <v>1523</v>
      </c>
      <c r="AN7" s="12">
        <v>46000</v>
      </c>
      <c r="AP7" t="s">
        <v>1534</v>
      </c>
      <c r="AQ7" s="5">
        <v>21.3</v>
      </c>
      <c r="AR7" t="s">
        <v>1535</v>
      </c>
      <c r="AT7" t="s">
        <v>1536</v>
      </c>
      <c r="AU7" t="s">
        <v>1537</v>
      </c>
      <c r="AV7" t="s">
        <v>1542</v>
      </c>
    </row>
    <row r="8" spans="1:48">
      <c r="A8" s="12">
        <v>46000</v>
      </c>
      <c r="B8" s="5" cm="1">
        <f t="array" ref="B8">_xlfn.LET(_xlpm.cat,A$1,_xlpm.n,ROWS(B$4:B8),_xlpm.matches,_xlfn._xlws.FILTER(_xlfn.HSTACK(DATEVALUE(tblCarryingExpenses[Date]),VALUE(tblCarryingExpenses[Amount])),(tblCarryingExpenses[Include]="Yes")*(tblCarryingExpenses[Category]=_xlpm.cat)),_xlpm.sorted,_xlfn.SORTBY(_xlpm.matches,INDEX(_xlpm.matches,,1),1),IFERROR(INDEX(_xlpm.sorted,_xlpm.n,2),""))</f>
        <v>21.3</v>
      </c>
      <c r="C8" s="213"/>
      <c r="D8" s="12" t="str" cm="1">
        <f t="array" ref="D8">_xlfn.LET(_xlpm.cat,IF(D$1="Mortgage Payment paid after Reinstatement","Mortgage Payment",D$1),_xlpm.n,ROWS(D$4:D8),_xlpm.matches,_xlfn._xlws.FILTER(_xlfn.HSTACK(DATEVALUE(tblCarryingExpenses[Date]),VALUE(tblCarryingExpenses[Amount])),(tblCarryingExpenses[Include]="Yes")*(tblCarryingExpenses[Category]=_xlpm.cat)),_xlpm.sorted,_xlfn.SORTBY(_xlpm.matches,INDEX(_xlpm.matches,,1),1),IFERROR(INDEX(_xlpm.sorted,_xlpm.n,1),""))</f>
        <v/>
      </c>
      <c r="E8" s="5" cm="1">
        <f t="array" ref="E8">_xlfn.LET(_xlpm.cat,IF(D$1="Mortgage Payment paid after Reinstatement","Mortgage Payment",D$1),_xlpm.n,ROWS(E$4:E8),_xlpm.matches,_xlfn._xlws.FILTER(_xlfn.HSTACK(DATEVALUE(tblCarryingExpenses[Date]),VALUE(tblCarryingExpenses[Amount])),(tblCarryingExpenses[Include]="Yes")*(tblCarryingExpenses[Category]=_xlpm.cat)),_xlpm.sorted,_xlfn.SORTBY(_xlpm.matches,INDEX(_xlpm.matches,,1),1),IFERROR(INDEX(_xlpm.sorted,_xlpm.n,2),""))</f>
        <v>2399.14</v>
      </c>
      <c r="F8" s="213"/>
      <c r="G8" s="12" t="str" cm="1">
        <f t="array" ref="G8">_xlfn.LET(_xlpm.cat,G$1,_xlpm.n,ROWS(G$4:G8),_xlpm.matches,_xlfn._xlws.FILTER(_xlfn.HSTACK(DATEVALUE(tblCarryingExpenses[Date]),VALUE(tblCarryingExpenses[Amount])),(tblCarryingExpenses[Include]="Yes")*(tblCarryingExpenses[Category]=_xlpm.cat)),_xlpm.sorted,_xlfn.SORTBY(_xlpm.matches,INDEX(_xlpm.matches,,1),1),IFERROR(INDEX(_xlpm.sorted,_xlpm.n,1),""))</f>
        <v/>
      </c>
      <c r="H8" s="334" cm="1">
        <f t="array" ref="H8">_xlfn.LET(_xlpm.cat,G$1,_xlpm.n,ROWS(H$4:H8),_xlpm.matches,_xlfn._xlws.FILTER(_xlfn.HSTACK(DATEVALUE(tblCarryingExpenses[Date]),VALUE(tblCarryingExpenses[Amount])),(tblCarryingExpenses[Include]="Yes")*(tblCarryingExpenses[Category]=_xlpm.cat)),_xlpm.sorted,_xlfn.SORTBY(_xlpm.matches,INDEX(_xlpm.matches,,1),1),IFERROR(INDEX(_xlpm.sorted,_xlpm.n,2),""))</f>
        <v>916.66666666666697</v>
      </c>
      <c r="I8" s="213"/>
      <c r="J8" s="12" t="str" cm="1">
        <f t="array" ref="J8">_xlfn.LET(_xlpm.cat,J$1,_xlpm.n,ROWS(J$4:J8),_xlpm.matches,_xlfn._xlws.FILTER(_xlfn.HSTACK(DATEVALUE(tblCarryingExpenses[Date]),VALUE(tblCarryingExpenses[Amount])),(tblCarryingExpenses[Include]="Yes")*(tblCarryingExpenses[Category]=_xlpm.cat)),_xlpm.sorted,_xlfn.SORTBY(_xlpm.matches,INDEX(_xlpm.matches,,1),1),IFERROR(INDEX(_xlpm.sorted,_xlpm.n,1),""))</f>
        <v/>
      </c>
      <c r="K8" s="5" cm="1">
        <f t="array" ref="K8">_xlfn.LET(_xlpm.cat,J$1,_xlpm.n,ROWS(K$4:K8),_xlpm.matches,_xlfn._xlws.FILTER(_xlfn.HSTACK(DATEVALUE(tblCarryingExpenses[Date]),VALUE(tblCarryingExpenses[Amount])),(tblCarryingExpenses[Include]="Yes")*(tblCarryingExpenses[Category]=_xlpm.cat)),_xlpm.sorted,_xlfn.SORTBY(_xlpm.matches,INDEX(_xlpm.matches,,1),1),IFERROR(INDEX(_xlpm.sorted,_xlpm.n,2),""))</f>
        <v>0</v>
      </c>
      <c r="L8" s="210"/>
      <c r="M8" s="12" t="str" cm="1">
        <f t="array" ref="M8">_xlfn.LET(_xlpm.cat,M$1,_xlpm.n,ROWS(M$4:M8),_xlpm.matches,_xlfn._xlws.FILTER(_xlfn.HSTACK(DATEVALUE(tblCarryingExpenses[Date]),VALUE(tblCarryingExpenses[Amount])),(tblCarryingExpenses[Include]="Yes")*(tblCarryingExpenses[Category]=_xlpm.cat)),_xlpm.sorted,_xlfn.SORTBY(_xlpm.matches,INDEX(_xlpm.matches,,1),1),IFERROR(INDEX(_xlpm.sorted,_xlpm.n,1),""))</f>
        <v/>
      </c>
      <c r="N8" s="5" cm="1">
        <f t="array" ref="N8">_xlfn.LET(_xlpm.cat,M$1,_xlpm.n,ROWS(N$4:N8),_xlpm.matches,_xlfn._xlws.FILTER(_xlfn.HSTACK(DATEVALUE(tblCarryingExpenses[Date]),VALUE(tblCarryingExpenses[Amount])),(tblCarryingExpenses[Include]="Yes")*(tblCarryingExpenses[Category]=_xlpm.cat)),_xlpm.sorted,_xlfn.SORTBY(_xlpm.matches,INDEX(_xlpm.matches,,1),1),IFERROR(INDEX(_xlpm.sorted,_xlpm.n,2),""))</f>
        <v>0</v>
      </c>
      <c r="O8" s="210"/>
      <c r="P8" s="12" t="str" cm="1">
        <f t="array" ref="P8">_xlfn.LET(_xlpm.cat,P$1,_xlpm.n,ROWS(P$4:P8),_xlpm.matches,_xlfn._xlws.FILTER(_xlfn.HSTACK(DATEVALUE(tblCarryingExpenses[Date]),VALUE(tblCarryingExpenses[Amount])),(tblCarryingExpenses[Include]="Yes")*(tblCarryingExpenses[Category]=_xlpm.cat)),_xlpm.sorted,_xlfn.SORTBY(_xlpm.matches,INDEX(_xlpm.matches,,1),1),IFERROR(INDEX(_xlpm.sorted,_xlpm.n,1),""))</f>
        <v/>
      </c>
      <c r="Q8" s="5" cm="1">
        <f t="array" ref="Q8">_xlfn.LET(_xlpm.cat,P$1,_xlpm.n,ROWS(Q$4:Q8),_xlpm.matches,_xlfn._xlws.FILTER(_xlfn.HSTACK(DATEVALUE(tblCarryingExpenses[Date]),VALUE(tblCarryingExpenses[Amount])),(tblCarryingExpenses[Include]="Yes")*(tblCarryingExpenses[Category]=_xlpm.cat)),_xlpm.sorted,_xlfn.SORTBY(_xlpm.matches,INDEX(_xlpm.matches,,1),1),IFERROR(INDEX(_xlpm.sorted,_xlpm.n,2),""))</f>
        <v>34.590000000000003</v>
      </c>
      <c r="R8" s="210"/>
      <c r="S8" s="12">
        <v>46118</v>
      </c>
      <c r="T8" s="5">
        <v>195.04</v>
      </c>
      <c r="U8" s="210"/>
      <c r="V8" s="12" t="str" cm="1">
        <f t="array" ref="V8">_xlfn.LET(_xlpm.cat,V$1,_xlpm.n,ROWS(V$4:V8),_xlpm.matches,_xlfn._xlws.FILTER(_xlfn.HSTACK(DATEVALUE(tblCarryingExpenses[Date]),VALUE(tblCarryingExpenses[Amount])),(tblCarryingExpenses[Include]="Yes")*(tblCarryingExpenses[Category]=_xlpm.cat)),_xlpm.sorted,_xlfn.SORTBY(_xlpm.matches,INDEX(_xlpm.matches,,1),1),IFERROR(INDEX(_xlpm.sorted,_xlpm.n,1),""))</f>
        <v/>
      </c>
      <c r="W8" s="5" cm="1">
        <f t="array" ref="W8">_xlfn.LET(_xlpm.cat,V$1,_xlpm.n,ROWS(W$4:W8),_xlpm.matches,_xlfn._xlws.FILTER(_xlfn.HSTACK(DATEVALUE(tblCarryingExpenses[Date]),VALUE(tblCarryingExpenses[Amount])),(tblCarryingExpenses[Include]="Yes")*(tblCarryingExpenses[Category]=_xlpm.cat)),_xlpm.sorted,_xlfn.SORTBY(_xlpm.matches,INDEX(_xlpm.matches,,1),1),IFERROR(INDEX(_xlpm.sorted,_xlpm.n,2),""))</f>
        <v>0</v>
      </c>
      <c r="X8" s="210"/>
      <c r="Y8" s="12" t="str" cm="1">
        <f t="array" ref="Y8">_xlfn.LET(_xlpm.cat,Y$1,_xlpm.n,ROWS(Y$4:Y8),_xlpm.matches,_xlfn._xlws.FILTER(_xlfn.HSTACK(DATEVALUE(tblCarryingExpenses[Date]),VALUE(tblCarryingExpenses[Amount])),(tblCarryingExpenses[Include]="Yes")*(tblCarryingExpenses[Category]=_xlpm.cat)),_xlpm.sorted,_xlfn.SORTBY(_xlpm.matches,INDEX(_xlpm.matches,,1),1),IFERROR(INDEX(_xlpm.sorted,_xlpm.n,1),""))</f>
        <v/>
      </c>
      <c r="Z8" s="5" cm="1">
        <f t="array" ref="Z8">_xlfn.LET(_xlpm.cat,Y$1,_xlpm.n,ROWS(Z$4:Z8),_xlpm.matches,_xlfn._xlws.FILTER(_xlfn.HSTACK(DATEVALUE(tblCarryingExpenses[Date]),VALUE(tblCarryingExpenses[Amount])),(tblCarryingExpenses[Include]="Yes")*(tblCarryingExpenses[Category]=_xlpm.cat)),_xlpm.sorted,_xlfn.SORTBY(_xlpm.matches,INDEX(_xlpm.matches,,1),1),IFERROR(INDEX(_xlpm.sorted,_xlpm.n,2),""))</f>
        <v>0</v>
      </c>
      <c r="AA8" s="583">
        <f t="shared" si="0"/>
        <v>0</v>
      </c>
      <c r="AB8" s="12" t="str" cm="1">
        <f t="array" ref="AB8">_xlfn.LET(_xlpm.cat,AB$1,_xlpm.n,ROWS(AB$4:AB8),_xlpm.matches,_xlfn._xlws.FILTER(_xlfn.HSTACK(DATEVALUE(tblCarryingExpenses[Date]),VALUE(tblCarryingExpenses[Amount])),(tblCarryingExpenses[Include]="Yes")*(tblCarryingExpenses[Category]=_xlpm.cat)),_xlpm.sorted,_xlfn.SORTBY(_xlpm.matches,INDEX(_xlpm.matches,,1),1),IFERROR(INDEX(_xlpm.sorted,_xlpm.n,1),""))</f>
        <v/>
      </c>
      <c r="AC8" s="5" cm="1">
        <f t="array" ref="AC8">_xlfn.LET(_xlpm.cat,AB$1,_xlpm.n,ROWS(AC$4:AC8),_xlpm.matches,_xlfn._xlws.FILTER(_xlfn.HSTACK(DATEVALUE(tblCarryingExpenses[Date]),VALUE(tblCarryingExpenses[Amount])),(tblCarryingExpenses[Include]="Yes")*(tblCarryingExpenses[Category]=_xlpm.cat)),_xlpm.sorted,_xlfn.SORTBY(_xlpm.matches,INDEX(_xlpm.matches,,1),1),IFERROR(INDEX(_xlpm.sorted,_xlpm.n,2),""))</f>
        <v>1000</v>
      </c>
      <c r="AD8" s="210"/>
      <c r="AE8" s="12" t="str" cm="1">
        <f t="array" ref="AE8">_xlfn.LET(_xlpm.cat,AE$1,_xlpm.n,ROWS(AE$4:AE8),_xlpm.matches,_xlfn._xlws.FILTER(_xlfn.HSTACK(DATEVALUE(tblCarryingExpenses[Date]),VALU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DATEVALUE(tblCarryingExpenses[Date]),VALUE(tblCarryingExpenses[Amount])),(tblCarryingExpenses[Include]="Yes")*(tblCarryingExpenses[Category]=_xlpm.cat)),_xlpm.sorted,_xlfn.SORTBY(_xlpm.matches,INDEX(_xlpm.matches,,1),1),IFERROR(INDEX(_xlpm.sorted,_xlpm.n,2),""))</f>
        <v/>
      </c>
      <c r="AG8" s="210"/>
      <c r="AL8" t="s">
        <v>458</v>
      </c>
      <c r="AM8" t="s">
        <v>1523</v>
      </c>
      <c r="AN8" s="12">
        <v>46034</v>
      </c>
      <c r="AP8" t="s">
        <v>1534</v>
      </c>
      <c r="AQ8" s="5">
        <v>28.34</v>
      </c>
      <c r="AR8" t="s">
        <v>1535</v>
      </c>
      <c r="AT8" t="s">
        <v>1536</v>
      </c>
      <c r="AU8" t="s">
        <v>1537</v>
      </c>
      <c r="AV8" t="s">
        <v>1543</v>
      </c>
    </row>
    <row r="9" spans="1:48">
      <c r="A9" s="12">
        <v>46034</v>
      </c>
      <c r="B9" s="5" cm="1">
        <f t="array" ref="B9">_xlfn.LET(_xlpm.cat,A$1,_xlpm.n,ROWS(B$4:B9),_xlpm.matches,_xlfn._xlws.FILTER(_xlfn.HSTACK(DATEVALUE(tblCarryingExpenses[Date]),VALUE(tblCarryingExpenses[Amount])),(tblCarryingExpenses[Include]="Yes")*(tblCarryingExpenses[Category]=_xlpm.cat)),_xlpm.sorted,_xlfn.SORTBY(_xlpm.matches,INDEX(_xlpm.matches,,1),1),IFERROR(INDEX(_xlpm.sorted,_xlpm.n,2),""))</f>
        <v>28.34</v>
      </c>
      <c r="C9" s="213"/>
      <c r="D9" s="12" t="str" cm="1">
        <f t="array" ref="D9">_xlfn.LET(_xlpm.cat,IF(D$1="Mortgage Payment paid after Reinstatement","Mortgage Payment",D$1),_xlpm.n,ROWS(D$4:D9),_xlpm.matches,_xlfn._xlws.FILTER(_xlfn.HSTACK(DATEVALUE(tblCarryingExpenses[Date]),VALUE(tblCarryingExpenses[Amount])),(tblCarryingExpenses[Include]="Yes")*(tblCarryingExpenses[Category]=_xlpm.cat)),_xlpm.sorted,_xlfn.SORTBY(_xlpm.matches,INDEX(_xlpm.matches,,1),1),IFERROR(INDEX(_xlpm.sorted,_xlpm.n,1),""))</f>
        <v/>
      </c>
      <c r="E9" s="5" cm="1">
        <f t="array" ref="E9">_xlfn.LET(_xlpm.cat,IF(D$1="Mortgage Payment paid after Reinstatement","Mortgage Payment",D$1),_xlpm.n,ROWS(E$4:E9),_xlpm.matches,_xlfn._xlws.FILTER(_xlfn.HSTACK(DATEVALUE(tblCarryingExpenses[Date]),VALUE(tblCarryingExpenses[Amount])),(tblCarryingExpenses[Include]="Yes")*(tblCarryingExpenses[Category]=_xlpm.cat)),_xlpm.sorted,_xlfn.SORTBY(_xlpm.matches,INDEX(_xlpm.matches,,1),1),IFERROR(INDEX(_xlpm.sorted,_xlpm.n,2),""))</f>
        <v>2399.14</v>
      </c>
      <c r="F9" s="213"/>
      <c r="G9" s="12" t="str" cm="1">
        <f t="array" ref="G9">_xlfn.LET(_xlpm.cat,G$1,_xlpm.n,ROWS(G$4:G9),_xlpm.matches,_xlfn._xlws.FILTER(_xlfn.HSTACK(DATEVALUE(tblCarryingExpenses[Date]),VALUE(tblCarryingExpenses[Amount])),(tblCarryingExpenses[Include]="Yes")*(tblCarryingExpenses[Category]=_xlpm.cat)),_xlpm.sorted,_xlfn.SORTBY(_xlpm.matches,INDEX(_xlpm.matches,,1),1),IFERROR(INDEX(_xlpm.sorted,_xlpm.n,1),""))</f>
        <v/>
      </c>
      <c r="H9" s="334" cm="1">
        <f t="array" ref="H9">_xlfn.LET(_xlpm.cat,G$1,_xlpm.n,ROWS(H$4:H9),_xlpm.matches,_xlfn._xlws.FILTER(_xlfn.HSTACK(DATEVALUE(tblCarryingExpenses[Date]),VALUE(tblCarryingExpenses[Amount])),(tblCarryingExpenses[Include]="Yes")*(tblCarryingExpenses[Category]=_xlpm.cat)),_xlpm.sorted,_xlfn.SORTBY(_xlpm.matches,INDEX(_xlpm.matches,,1),1),IFERROR(INDEX(_xlpm.sorted,_xlpm.n,2),""))</f>
        <v>916.66666666666697</v>
      </c>
      <c r="I9" s="213"/>
      <c r="J9" s="12" t="str" cm="1">
        <f t="array" ref="J9">_xlfn.LET(_xlpm.cat,J$1,_xlpm.n,ROWS(J$4:J9),_xlpm.matches,_xlfn._xlws.FILTER(_xlfn.HSTACK(DATEVALUE(tblCarryingExpenses[Date]),VALUE(tblCarryingExpenses[Amount])),(tblCarryingExpenses[Include]="Yes")*(tblCarryingExpenses[Category]=_xlpm.cat)),_xlpm.sorted,_xlfn.SORTBY(_xlpm.matches,INDEX(_xlpm.matches,,1),1),IFERROR(INDEX(_xlpm.sorted,_xlpm.n,1),""))</f>
        <v/>
      </c>
      <c r="K9" s="5" cm="1">
        <f t="array" ref="K9">_xlfn.LET(_xlpm.cat,J$1,_xlpm.n,ROWS(K$4:K9),_xlpm.matches,_xlfn._xlws.FILTER(_xlfn.HSTACK(DATEVALUE(tblCarryingExpenses[Date]),VALUE(tblCarryingExpenses[Amount])),(tblCarryingExpenses[Include]="Yes")*(tblCarryingExpenses[Category]=_xlpm.cat)),_xlpm.sorted,_xlfn.SORTBY(_xlpm.matches,INDEX(_xlpm.matches,,1),1),IFERROR(INDEX(_xlpm.sorted,_xlpm.n,2),""))</f>
        <v>0</v>
      </c>
      <c r="L9" s="210"/>
      <c r="M9" s="12" t="str" cm="1">
        <f t="array" ref="M9">_xlfn.LET(_xlpm.cat,M$1,_xlpm.n,ROWS(M$4:M9),_xlpm.matches,_xlfn._xlws.FILTER(_xlfn.HSTACK(DATEVALUE(tblCarryingExpenses[Date]),VALUE(tblCarryingExpenses[Amount])),(tblCarryingExpenses[Include]="Yes")*(tblCarryingExpenses[Category]=_xlpm.cat)),_xlpm.sorted,_xlfn.SORTBY(_xlpm.matches,INDEX(_xlpm.matches,,1),1),IFERROR(INDEX(_xlpm.sorted,_xlpm.n,1),""))</f>
        <v/>
      </c>
      <c r="N9" s="5" cm="1">
        <f t="array" ref="N9">_xlfn.LET(_xlpm.cat,M$1,_xlpm.n,ROWS(N$4:N9),_xlpm.matches,_xlfn._xlws.FILTER(_xlfn.HSTACK(DATEVALUE(tblCarryingExpenses[Date]),VALUE(tblCarryingExpenses[Amount])),(tblCarryingExpenses[Include]="Yes")*(tblCarryingExpenses[Category]=_xlpm.cat)),_xlpm.sorted,_xlfn.SORTBY(_xlpm.matches,INDEX(_xlpm.matches,,1),1),IFERROR(INDEX(_xlpm.sorted,_xlpm.n,2),""))</f>
        <v>0</v>
      </c>
      <c r="O9" s="210"/>
      <c r="P9" s="12" t="str" cm="1">
        <f t="array" ref="P9">_xlfn.LET(_xlpm.cat,P$1,_xlpm.n,ROWS(P$4:P9),_xlpm.matches,_xlfn._xlws.FILTER(_xlfn.HSTACK(DATEVALUE(tblCarryingExpenses[Date]),VALUE(tblCarryingExpenses[Amount])),(tblCarryingExpenses[Include]="Yes")*(tblCarryingExpenses[Category]=_xlpm.cat)),_xlpm.sorted,_xlfn.SORTBY(_xlpm.matches,INDEX(_xlpm.matches,,1),1),IFERROR(INDEX(_xlpm.sorted,_xlpm.n,1),""))</f>
        <v/>
      </c>
      <c r="Q9" s="5" cm="1">
        <f t="array" ref="Q9">_xlfn.LET(_xlpm.cat,P$1,_xlpm.n,ROWS(Q$4:Q9),_xlpm.matches,_xlfn._xlws.FILTER(_xlfn.HSTACK(DATEVALUE(tblCarryingExpenses[Date]),VALUE(tblCarryingExpenses[Amount])),(tblCarryingExpenses[Include]="Yes")*(tblCarryingExpenses[Category]=_xlpm.cat)),_xlpm.sorted,_xlfn.SORTBY(_xlpm.matches,INDEX(_xlpm.matches,,1),1),IFERROR(INDEX(_xlpm.sorted,_xlpm.n,2),""))</f>
        <v>34.880000000000003</v>
      </c>
      <c r="R9" s="210"/>
      <c r="S9" s="12">
        <v>46147</v>
      </c>
      <c r="T9" s="5">
        <v>64.84</v>
      </c>
      <c r="U9" s="210"/>
      <c r="V9" s="12" t="str" cm="1">
        <f t="array" ref="V9">_xlfn.LET(_xlpm.cat,V$1,_xlpm.n,ROWS(V$4:V9),_xlpm.matches,_xlfn._xlws.FILTER(_xlfn.HSTACK(DATEVALUE(tblCarryingExpenses[Date]),VALUE(tblCarryingExpenses[Amount])),(tblCarryingExpenses[Include]="Yes")*(tblCarryingExpenses[Category]=_xlpm.cat)),_xlpm.sorted,_xlfn.SORTBY(_xlpm.matches,INDEX(_xlpm.matches,,1),1),IFERROR(INDEX(_xlpm.sorted,_xlpm.n,1),""))</f>
        <v/>
      </c>
      <c r="W9" s="5" cm="1">
        <f t="array" ref="W9">_xlfn.LET(_xlpm.cat,V$1,_xlpm.n,ROWS(W$4:W9),_xlpm.matches,_xlfn._xlws.FILTER(_xlfn.HSTACK(DATEVALUE(tblCarryingExpenses[Date]),VALUE(tblCarryingExpenses[Amount])),(tblCarryingExpenses[Include]="Yes")*(tblCarryingExpenses[Category]=_xlpm.cat)),_xlpm.sorted,_xlfn.SORTBY(_xlpm.matches,INDEX(_xlpm.matches,,1),1),IFERROR(INDEX(_xlpm.sorted,_xlpm.n,2),""))</f>
        <v>0</v>
      </c>
      <c r="X9" s="210"/>
      <c r="Y9" s="12" t="str" cm="1">
        <f t="array" ref="Y9">_xlfn.LET(_xlpm.cat,Y$1,_xlpm.n,ROWS(Y$4:Y9),_xlpm.matches,_xlfn._xlws.FILTER(_xlfn.HSTACK(DATEVALUE(tblCarryingExpenses[Date]),VALUE(tblCarryingExpenses[Amount])),(tblCarryingExpenses[Include]="Yes")*(tblCarryingExpenses[Category]=_xlpm.cat)),_xlpm.sorted,_xlfn.SORTBY(_xlpm.matches,INDEX(_xlpm.matches,,1),1),IFERROR(INDEX(_xlpm.sorted,_xlpm.n,1),""))</f>
        <v/>
      </c>
      <c r="Z9" s="5" cm="1">
        <f t="array" ref="Z9">_xlfn.LET(_xlpm.cat,Y$1,_xlpm.n,ROWS(Z$4:Z9),_xlpm.matches,_xlfn._xlws.FILTER(_xlfn.HSTACK(DATEVALUE(tblCarryingExpenses[Date]),VALUE(tblCarryingExpenses[Amount])),(tblCarryingExpenses[Include]="Yes")*(tblCarryingExpenses[Category]=_xlpm.cat)),_xlpm.sorted,_xlfn.SORTBY(_xlpm.matches,INDEX(_xlpm.matches,,1),1),IFERROR(INDEX(_xlpm.sorted,_xlpm.n,2),""))</f>
        <v>0</v>
      </c>
      <c r="AA9" s="583">
        <f t="shared" si="0"/>
        <v>0</v>
      </c>
      <c r="AB9" s="12" t="str" cm="1">
        <f t="array" ref="AB9">_xlfn.LET(_xlpm.cat,AB$1,_xlpm.n,ROWS(AB$4:AB9),_xlpm.matches,_xlfn._xlws.FILTER(_xlfn.HSTACK(DATEVALUE(tblCarryingExpenses[Date]),VALUE(tblCarryingExpenses[Amount])),(tblCarryingExpenses[Include]="Yes")*(tblCarryingExpenses[Category]=_xlpm.cat)),_xlpm.sorted,_xlfn.SORTBY(_xlpm.matches,INDEX(_xlpm.matches,,1),1),IFERROR(INDEX(_xlpm.sorted,_xlpm.n,1),""))</f>
        <v/>
      </c>
      <c r="AC9" s="5" cm="1">
        <f t="array" ref="AC9">_xlfn.LET(_xlpm.cat,AB$1,_xlpm.n,ROWS(AC$4:AC9),_xlpm.matches,_xlfn._xlws.FILTER(_xlfn.HSTACK(DATEVALUE(tblCarryingExpenses[Date]),VALUE(tblCarryingExpenses[Amount])),(tblCarryingExpenses[Include]="Yes")*(tblCarryingExpenses[Category]=_xlpm.cat)),_xlpm.sorted,_xlfn.SORTBY(_xlpm.matches,INDEX(_xlpm.matches,,1),1),IFERROR(INDEX(_xlpm.sorted,_xlpm.n,2),""))</f>
        <v>1000</v>
      </c>
      <c r="AD9" s="210"/>
      <c r="AE9" s="12" t="str" cm="1">
        <f t="array" ref="AE9">_xlfn.LET(_xlpm.cat,AE$1,_xlpm.n,ROWS(AE$4:AE9),_xlpm.matches,_xlfn._xlws.FILTER(_xlfn.HSTACK(DATEVALUE(tblCarryingExpenses[Date]),VALU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DATEVALUE(tblCarryingExpenses[Date]),VALUE(tblCarryingExpenses[Amount])),(tblCarryingExpenses[Include]="Yes")*(tblCarryingExpenses[Category]=_xlpm.cat)),_xlpm.sorted,_xlfn.SORTBY(_xlpm.matches,INDEX(_xlpm.matches,,1),1),IFERROR(INDEX(_xlpm.sorted,_xlpm.n,2),""))</f>
        <v/>
      </c>
      <c r="AG9" s="210"/>
      <c r="AL9" t="s">
        <v>458</v>
      </c>
      <c r="AM9" t="s">
        <v>1523</v>
      </c>
      <c r="AN9" s="12">
        <v>45697</v>
      </c>
      <c r="AP9" t="s">
        <v>1534</v>
      </c>
      <c r="AQ9" s="5">
        <v>46.16</v>
      </c>
      <c r="AR9" t="s">
        <v>1535</v>
      </c>
      <c r="AT9" t="s">
        <v>1536</v>
      </c>
      <c r="AU9" t="s">
        <v>1537</v>
      </c>
      <c r="AV9" t="s">
        <v>1544</v>
      </c>
    </row>
    <row r="10" spans="1:48">
      <c r="A10" s="12">
        <v>46062</v>
      </c>
      <c r="B10" s="5" cm="1">
        <f t="array" ref="B10">_xlfn.LET(_xlpm.cat,A$1,_xlpm.n,ROWS(B$4:B10),_xlpm.matches,_xlfn._xlws.FILTER(_xlfn.HSTACK(DATEVALUE(tblCarryingExpenses[Date]),VALUE(tblCarryingExpenses[Amount])),(tblCarryingExpenses[Include]="Yes")*(tblCarryingExpenses[Category]=_xlpm.cat)),_xlpm.sorted,_xlfn.SORTBY(_xlpm.matches,INDEX(_xlpm.matches,,1),1),IFERROR(INDEX(_xlpm.sorted,_xlpm.n,2),""))</f>
        <v>46.16</v>
      </c>
      <c r="C10" s="213"/>
      <c r="D10" s="12" t="str" cm="1">
        <f t="array" ref="D10">_xlfn.LET(_xlpm.cat,IF(D$1="Mortgage Payment paid after Reinstatement","Mortgage Payment",D$1),_xlpm.n,ROWS(D$4:D10),_xlpm.matches,_xlfn._xlws.FILTER(_xlfn.HSTACK(DATEVALUE(tblCarryingExpenses[Date]),VALUE(tblCarryingExpenses[Amount])),(tblCarryingExpenses[Include]="Yes")*(tblCarryingExpenses[Category]=_xlpm.cat)),_xlpm.sorted,_xlfn.SORTBY(_xlpm.matches,INDEX(_xlpm.matches,,1),1),IFERROR(INDEX(_xlpm.sorted,_xlpm.n,1),""))</f>
        <v/>
      </c>
      <c r="E10" s="5" cm="1">
        <f t="array" ref="E10">_xlfn.LET(_xlpm.cat,IF(D$1="Mortgage Payment paid after Reinstatement","Mortgage Payment",D$1),_xlpm.n,ROWS(E$4:E10),_xlpm.matches,_xlfn._xlws.FILTER(_xlfn.HSTACK(DATEVALUE(tblCarryingExpenses[Date]),VALUE(tblCarryingExpenses[Amount])),(tblCarryingExpenses[Include]="Yes")*(tblCarryingExpenses[Category]=_xlpm.cat)),_xlpm.sorted,_xlfn.SORTBY(_xlpm.matches,INDEX(_xlpm.matches,,1),1),IFERROR(INDEX(_xlpm.sorted,_xlpm.n,2),""))</f>
        <v>2399.14</v>
      </c>
      <c r="F10" s="213"/>
      <c r="G10" s="12" t="str" cm="1">
        <f t="array" ref="G10">_xlfn.LET(_xlpm.cat,G$1,_xlpm.n,ROWS(G$4:G10),_xlpm.matches,_xlfn._xlws.FILTER(_xlfn.HSTACK(DATEVALUE(tblCarryingExpenses[Date]),VALUE(tblCarryingExpenses[Amount])),(tblCarryingExpenses[Include]="Yes")*(tblCarryingExpenses[Category]=_xlpm.cat)),_xlpm.sorted,_xlfn.SORTBY(_xlpm.matches,INDEX(_xlpm.matches,,1),1),IFERROR(INDEX(_xlpm.sorted,_xlpm.n,1),""))</f>
        <v/>
      </c>
      <c r="H10" s="334" cm="1">
        <f t="array" ref="H10">_xlfn.LET(_xlpm.cat,G$1,_xlpm.n,ROWS(H$4:H10),_xlpm.matches,_xlfn._xlws.FILTER(_xlfn.HSTACK(DATEVALUE(tblCarryingExpenses[Date]),VALUE(tblCarryingExpenses[Amount])),(tblCarryingExpenses[Include]="Yes")*(tblCarryingExpenses[Category]=_xlpm.cat)),_xlpm.sorted,_xlfn.SORTBY(_xlpm.matches,INDEX(_xlpm.matches,,1),1),IFERROR(INDEX(_xlpm.sorted,_xlpm.n,2),""))</f>
        <v>916.66666666666697</v>
      </c>
      <c r="I10" s="467"/>
      <c r="J10" s="12" t="str" cm="1">
        <f t="array" ref="J10">_xlfn.LET(_xlpm.cat,J$1,_xlpm.n,ROWS(J$4:J10),_xlpm.matches,_xlfn._xlws.FILTER(_xlfn.HSTACK(DATEVALUE(tblCarryingExpenses[Date]),VALUE(tblCarryingExpenses[Amount])),(tblCarryingExpenses[Include]="Yes")*(tblCarryingExpenses[Category]=_xlpm.cat)),_xlpm.sorted,_xlfn.SORTBY(_xlpm.matches,INDEX(_xlpm.matches,,1),1),IFERROR(INDEX(_xlpm.sorted,_xlpm.n,1),""))</f>
        <v/>
      </c>
      <c r="K10" s="5" cm="1">
        <f t="array" ref="K10">_xlfn.LET(_xlpm.cat,J$1,_xlpm.n,ROWS(K$4:K10),_xlpm.matches,_xlfn._xlws.FILTER(_xlfn.HSTACK(DATEVALUE(tblCarryingExpenses[Date]),VALUE(tblCarryingExpenses[Amount])),(tblCarryingExpenses[Include]="Yes")*(tblCarryingExpenses[Category]=_xlpm.cat)),_xlpm.sorted,_xlfn.SORTBY(_xlpm.matches,INDEX(_xlpm.matches,,1),1),IFERROR(INDEX(_xlpm.sorted,_xlpm.n,2),""))</f>
        <v>63.27</v>
      </c>
      <c r="L10" s="210"/>
      <c r="M10" s="12" t="str" cm="1">
        <f t="array" ref="M10">_xlfn.LET(_xlpm.cat,M$1,_xlpm.n,ROWS(M$4:M10),_xlpm.matches,_xlfn._xlws.FILTER(_xlfn.HSTACK(DATEVALUE(tblCarryingExpenses[Date]),VALUE(tblCarryingExpenses[Amount])),(tblCarryingExpenses[Include]="Yes")*(tblCarryingExpenses[Category]=_xlpm.cat)),_xlpm.sorted,_xlfn.SORTBY(_xlpm.matches,INDEX(_xlpm.matches,,1),1),IFERROR(INDEX(_xlpm.sorted,_xlpm.n,1),""))</f>
        <v/>
      </c>
      <c r="N10" s="5" cm="1">
        <f t="array" ref="N10">_xlfn.LET(_xlpm.cat,M$1,_xlpm.n,ROWS(N$4:N10),_xlpm.matches,_xlfn._xlws.FILTER(_xlfn.HSTACK(DATEVALUE(tblCarryingExpenses[Date]),VALUE(tblCarryingExpenses[Amount])),(tblCarryingExpenses[Include]="Yes")*(tblCarryingExpenses[Category]=_xlpm.cat)),_xlpm.sorted,_xlfn.SORTBY(_xlpm.matches,INDEX(_xlpm.matches,,1),1),IFERROR(INDEX(_xlpm.sorted,_xlpm.n,2),""))</f>
        <v>0</v>
      </c>
      <c r="O10" s="210"/>
      <c r="P10" s="12" t="str" cm="1">
        <f t="array" ref="P10">_xlfn.LET(_xlpm.cat,P$1,_xlpm.n,ROWS(P$4:P10),_xlpm.matches,_xlfn._xlws.FILTER(_xlfn.HSTACK(DATEVALUE(tblCarryingExpenses[Date]),VALUE(tblCarryingExpenses[Amount])),(tblCarryingExpenses[Include]="Yes")*(tblCarryingExpenses[Category]=_xlpm.cat)),_xlpm.sorted,_xlfn.SORTBY(_xlpm.matches,INDEX(_xlpm.matches,,1),1),IFERROR(INDEX(_xlpm.sorted,_xlpm.n,1),""))</f>
        <v/>
      </c>
      <c r="Q10" s="5" cm="1">
        <f t="array" ref="Q10">_xlfn.LET(_xlpm.cat,P$1,_xlpm.n,ROWS(Q$4:Q10),_xlpm.matches,_xlfn._xlws.FILTER(_xlfn.HSTACK(DATEVALUE(tblCarryingExpenses[Date]),VALUE(tblCarryingExpenses[Amount])),(tblCarryingExpenses[Include]="Yes")*(tblCarryingExpenses[Category]=_xlpm.cat)),_xlpm.sorted,_xlfn.SORTBY(_xlpm.matches,INDEX(_xlpm.matches,,1),1),IFERROR(INDEX(_xlpm.sorted,_xlpm.n,2),""))</f>
        <v>34.369999999999997</v>
      </c>
      <c r="R10" s="210"/>
      <c r="S10" s="12">
        <v>46177</v>
      </c>
      <c r="T10" s="5">
        <v>25.05</v>
      </c>
      <c r="U10" s="210"/>
      <c r="V10" s="12" t="str" cm="1">
        <f t="array" ref="V10">_xlfn.LET(_xlpm.cat,V$1,_xlpm.n,ROWS(V$4:V10),_xlpm.matches,_xlfn._xlws.FILTER(_xlfn.HSTACK(DATEVALUE(tblCarryingExpenses[Date]),VALUE(tblCarryingExpenses[Amount])),(tblCarryingExpenses[Include]="Yes")*(tblCarryingExpenses[Category]=_xlpm.cat)),_xlpm.sorted,_xlfn.SORTBY(_xlpm.matches,INDEX(_xlpm.matches,,1),1),IFERROR(INDEX(_xlpm.sorted,_xlpm.n,1),""))</f>
        <v/>
      </c>
      <c r="W10" s="5" cm="1">
        <f t="array" ref="W10">_xlfn.LET(_xlpm.cat,V$1,_xlpm.n,ROWS(W$4:W10),_xlpm.matches,_xlfn._xlws.FILTER(_xlfn.HSTACK(DATEVALUE(tblCarryingExpenses[Date]),VALUE(tblCarryingExpenses[Amount])),(tblCarryingExpenses[Include]="Yes")*(tblCarryingExpenses[Category]=_xlpm.cat)),_xlpm.sorted,_xlfn.SORTBY(_xlpm.matches,INDEX(_xlpm.matches,,1),1),IFERROR(INDEX(_xlpm.sorted,_xlpm.n,2),""))</f>
        <v>0</v>
      </c>
      <c r="X10" s="210"/>
      <c r="Y10" s="12" t="str" cm="1">
        <f t="array" ref="Y10">_xlfn.LET(_xlpm.cat,Y$1,_xlpm.n,ROWS(Y$4:Y10),_xlpm.matches,_xlfn._xlws.FILTER(_xlfn.HSTACK(DATEVALUE(tblCarryingExpenses[Date]),VALUE(tblCarryingExpenses[Amount])),(tblCarryingExpenses[Include]="Yes")*(tblCarryingExpenses[Category]=_xlpm.cat)),_xlpm.sorted,_xlfn.SORTBY(_xlpm.matches,INDEX(_xlpm.matches,,1),1),IFERROR(INDEX(_xlpm.sorted,_xlpm.n,1),""))</f>
        <v/>
      </c>
      <c r="Z10" s="5" cm="1">
        <f t="array" ref="Z10">_xlfn.LET(_xlpm.cat,Y$1,_xlpm.n,ROWS(Z$4:Z10),_xlpm.matches,_xlfn._xlws.FILTER(_xlfn.HSTACK(DATEVALUE(tblCarryingExpenses[Date]),VALUE(tblCarryingExpenses[Amount])),(tblCarryingExpenses[Include]="Yes")*(tblCarryingExpenses[Category]=_xlpm.cat)),_xlpm.sorted,_xlfn.SORTBY(_xlpm.matches,INDEX(_xlpm.matches,,1),1),IFERROR(INDEX(_xlpm.sorted,_xlpm.n,2),""))</f>
        <v>0</v>
      </c>
      <c r="AA10" s="583">
        <f t="shared" si="0"/>
        <v>0</v>
      </c>
      <c r="AB10" s="12" t="str" cm="1">
        <f t="array" ref="AB10">_xlfn.LET(_xlpm.cat,AB$1,_xlpm.n,ROWS(AB$4:AB10),_xlpm.matches,_xlfn._xlws.FILTER(_xlfn.HSTACK(DATEVALUE(tblCarryingExpenses[Date]),VALUE(tblCarryingExpenses[Amount])),(tblCarryingExpenses[Include]="Yes")*(tblCarryingExpenses[Category]=_xlpm.cat)),_xlpm.sorted,_xlfn.SORTBY(_xlpm.matches,INDEX(_xlpm.matches,,1),1),IFERROR(INDEX(_xlpm.sorted,_xlpm.n,1),""))</f>
        <v/>
      </c>
      <c r="AC10" s="5" cm="1">
        <f t="array" ref="AC10">_xlfn.LET(_xlpm.cat,AB$1,_xlpm.n,ROWS(AC$4:AC10),_xlpm.matches,_xlfn._xlws.FILTER(_xlfn.HSTACK(DATEVALUE(tblCarryingExpenses[Date]),VALUE(tblCarryingExpenses[Amount])),(tblCarryingExpenses[Include]="Yes")*(tblCarryingExpenses[Category]=_xlpm.cat)),_xlpm.sorted,_xlfn.SORTBY(_xlpm.matches,INDEX(_xlpm.matches,,1),1),IFERROR(INDEX(_xlpm.sorted,_xlpm.n,2),""))</f>
        <v>0</v>
      </c>
      <c r="AD10" s="210"/>
      <c r="AE10" s="12" t="str" cm="1">
        <f t="array" ref="AE10">_xlfn.LET(_xlpm.cat,AE$1,_xlpm.n,ROWS(AE$4:AE10),_xlpm.matches,_xlfn._xlws.FILTER(_xlfn.HSTACK(DATEVALUE(tblCarryingExpenses[Date]),VALU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DATEVALUE(tblCarryingExpenses[Date]),VALUE(tblCarryingExpenses[Amount])),(tblCarryingExpenses[Include]="Yes")*(tblCarryingExpenses[Category]=_xlpm.cat)),_xlpm.sorted,_xlfn.SORTBY(_xlpm.matches,INDEX(_xlpm.matches,,1),1),IFERROR(INDEX(_xlpm.sorted,_xlpm.n,2),""))</f>
        <v/>
      </c>
      <c r="AG10" s="210"/>
      <c r="AL10" t="s">
        <v>458</v>
      </c>
      <c r="AM10" t="s">
        <v>1523</v>
      </c>
      <c r="AN10" s="12">
        <v>46091</v>
      </c>
      <c r="AP10" t="s">
        <v>1534</v>
      </c>
      <c r="AQ10" s="5">
        <v>30.97</v>
      </c>
      <c r="AR10" t="s">
        <v>1535</v>
      </c>
      <c r="AT10" t="s">
        <v>1536</v>
      </c>
      <c r="AU10" t="s">
        <v>1537</v>
      </c>
      <c r="AV10" t="s">
        <v>1545</v>
      </c>
    </row>
    <row r="11" spans="1:48">
      <c r="A11" s="12">
        <v>46091</v>
      </c>
      <c r="B11" s="5" cm="1">
        <f t="array" ref="B11">_xlfn.LET(_xlpm.cat,A$1,_xlpm.n,ROWS(B$4:B11),_xlpm.matches,_xlfn._xlws.FILTER(_xlfn.HSTACK(DATEVALUE(tblCarryingExpenses[Date]),VALUE(tblCarryingExpenses[Amount])),(tblCarryingExpenses[Include]="Yes")*(tblCarryingExpenses[Category]=_xlpm.cat)),_xlpm.sorted,_xlfn.SORTBY(_xlpm.matches,INDEX(_xlpm.matches,,1),1),IFERROR(INDEX(_xlpm.sorted,_xlpm.n,2),""))</f>
        <v>30.97</v>
      </c>
      <c r="C11" s="213"/>
      <c r="D11" s="12" t="str" cm="1">
        <f t="array" ref="D11">_xlfn.LET(_xlpm.cat,IF(D$1="Mortgage Payment paid after Reinstatement","Mortgage Payment",D$1),_xlpm.n,ROWS(D$4:D11),_xlpm.matches,_xlfn._xlws.FILTER(_xlfn.HSTACK(DATEVALUE(tblCarryingExpenses[Date]),VALUE(tblCarryingExpenses[Amount])),(tblCarryingExpenses[Include]="Yes")*(tblCarryingExpenses[Category]=_xlpm.cat)),_xlpm.sorted,_xlfn.SORTBY(_xlpm.matches,INDEX(_xlpm.matches,,1),1),IFERROR(INDEX(_xlpm.sorted,_xlpm.n,1),""))</f>
        <v/>
      </c>
      <c r="E11" s="5" cm="1">
        <f t="array" ref="E11">_xlfn.LET(_xlpm.cat,IF(D$1="Mortgage Payment paid after Reinstatement","Mortgage Payment",D$1),_xlpm.n,ROWS(E$4:E11),_xlpm.matches,_xlfn._xlws.FILTER(_xlfn.HSTACK(DATEVALUE(tblCarryingExpenses[Date]),VALUE(tblCarryingExpenses[Amount])),(tblCarryingExpenses[Include]="Yes")*(tblCarryingExpenses[Category]=_xlpm.cat)),_xlpm.sorted,_xlfn.SORTBY(_xlpm.matches,INDEX(_xlpm.matches,,1),1),IFERROR(INDEX(_xlpm.sorted,_xlpm.n,2),""))</f>
        <v>0</v>
      </c>
      <c r="F11" s="210"/>
      <c r="G11" s="12" t="str" cm="1">
        <f t="array" ref="G11">_xlfn.LET(_xlpm.cat,G$1,_xlpm.n,ROWS(G$4:G11),_xlpm.matches,_xlfn._xlws.FILTER(_xlfn.HSTACK(DATEVALUE(tblCarryingExpenses[Date]),VALUE(tblCarryingExpenses[Amount])),(tblCarryingExpenses[Include]="Yes")*(tblCarryingExpenses[Category]=_xlpm.cat)),_xlpm.sorted,_xlfn.SORTBY(_xlpm.matches,INDEX(_xlpm.matches,,1),1),IFERROR(INDEX(_xlpm.sorted,_xlpm.n,1),""))</f>
        <v/>
      </c>
      <c r="H11" s="334" cm="1">
        <f t="array" ref="H11">_xlfn.LET(_xlpm.cat,G$1,_xlpm.n,ROWS(H$4:H11),_xlpm.matches,_xlfn._xlws.FILTER(_xlfn.HSTACK(DATEVALUE(tblCarryingExpenses[Date]),VALUE(tblCarryingExpenses[Amount])),(tblCarryingExpenses[Include]="Yes")*(tblCarryingExpenses[Category]=_xlpm.cat)),_xlpm.sorted,_xlfn.SORTBY(_xlpm.matches,INDEX(_xlpm.matches,,1),1),IFERROR(INDEX(_xlpm.sorted,_xlpm.n,2),""))</f>
        <v>0</v>
      </c>
      <c r="I11" s="371"/>
      <c r="J11" s="12" t="str" cm="1">
        <f t="array" ref="J11">_xlfn.LET(_xlpm.cat,J$1,_xlpm.n,ROWS(J$4:J11),_xlpm.matches,_xlfn._xlws.FILTER(_xlfn.HSTACK(DATEVALUE(tblCarryingExpenses[Date]),VALUE(tblCarryingExpenses[Amount])),(tblCarryingExpenses[Include]="Yes")*(tblCarryingExpenses[Category]=_xlpm.cat)),_xlpm.sorted,_xlfn.SORTBY(_xlpm.matches,INDEX(_xlpm.matches,,1),1),IFERROR(INDEX(_xlpm.sorted,_xlpm.n,1),""))</f>
        <v/>
      </c>
      <c r="K11" s="5" cm="1">
        <f t="array" ref="K11">_xlfn.LET(_xlpm.cat,J$1,_xlpm.n,ROWS(K$4:K11),_xlpm.matches,_xlfn._xlws.FILTER(_xlfn.HSTACK(DATEVALUE(tblCarryingExpenses[Date]),VALUE(tblCarryingExpenses[Amount])),(tblCarryingExpenses[Include]="Yes")*(tblCarryingExpenses[Category]=_xlpm.cat)),_xlpm.sorted,_xlfn.SORTBY(_xlpm.matches,INDEX(_xlpm.matches,,1),1),IFERROR(INDEX(_xlpm.sorted,_xlpm.n,2),""))</f>
        <v>980.91</v>
      </c>
      <c r="L11" s="210"/>
      <c r="M11" s="12" t="str" cm="1">
        <f t="array" ref="M11">_xlfn.LET(_xlpm.cat,M$1,_xlpm.n,ROWS(M$4:M11),_xlpm.matches,_xlfn._xlws.FILTER(_xlfn.HSTACK(DATEVALUE(tblCarryingExpenses[Date]),VALUE(tblCarryingExpenses[Amount])),(tblCarryingExpenses[Include]="Yes")*(tblCarryingExpenses[Category]=_xlpm.cat)),_xlpm.sorted,_xlfn.SORTBY(_xlpm.matches,INDEX(_xlpm.matches,,1),1),IFERROR(INDEX(_xlpm.sorted,_xlpm.n,1),""))</f>
        <v/>
      </c>
      <c r="N11" s="5" cm="1">
        <f t="array" ref="N11">_xlfn.LET(_xlpm.cat,M$1,_xlpm.n,ROWS(N$4:N11),_xlpm.matches,_xlfn._xlws.FILTER(_xlfn.HSTACK(DATEVALUE(tblCarryingExpenses[Date]),VALUE(tblCarryingExpenses[Amount])),(tblCarryingExpenses[Include]="Yes")*(tblCarryingExpenses[Category]=_xlpm.cat)),_xlpm.sorted,_xlfn.SORTBY(_xlpm.matches,INDEX(_xlpm.matches,,1),1),IFERROR(INDEX(_xlpm.sorted,_xlpm.n,2),""))</f>
        <v>0</v>
      </c>
      <c r="O11" s="210"/>
      <c r="P11" s="12" t="str" cm="1">
        <f t="array" ref="P11">_xlfn.LET(_xlpm.cat,P$1,_xlpm.n,ROWS(P$4:P11),_xlpm.matches,_xlfn._xlws.FILTER(_xlfn.HSTACK(DATEVALUE(tblCarryingExpenses[Date]),VALUE(tblCarryingExpenses[Amount])),(tblCarryingExpenses[Include]="Yes")*(tblCarryingExpenses[Category]=_xlpm.cat)),_xlpm.sorted,_xlfn.SORTBY(_xlpm.matches,INDEX(_xlpm.matches,,1),1),IFERROR(INDEX(_xlpm.sorted,_xlpm.n,1),""))</f>
        <v/>
      </c>
      <c r="Q11" s="5" cm="1">
        <f t="array" ref="Q11">_xlfn.LET(_xlpm.cat,P$1,_xlpm.n,ROWS(Q$4:Q11),_xlpm.matches,_xlfn._xlws.FILTER(_xlfn.HSTACK(DATEVALUE(tblCarryingExpenses[Date]),VALUE(tblCarryingExpenses[Amount])),(tblCarryingExpenses[Include]="Yes")*(tblCarryingExpenses[Category]=_xlpm.cat)),_xlpm.sorted,_xlfn.SORTBY(_xlpm.matches,INDEX(_xlpm.matches,,1),1),IFERROR(INDEX(_xlpm.sorted,_xlpm.n,2),""))</f>
        <v>83.39</v>
      </c>
      <c r="R11" s="210"/>
      <c r="S11" s="12">
        <v>46210</v>
      </c>
      <c r="T11" s="5">
        <v>12.84</v>
      </c>
      <c r="U11" s="210"/>
      <c r="V11" s="12" t="str" cm="1">
        <f t="array" ref="V11">_xlfn.LET(_xlpm.cat,V$1,_xlpm.n,ROWS(V$4:V11),_xlpm.matches,_xlfn._xlws.FILTER(_xlfn.HSTACK(DATEVALUE(tblCarryingExpenses[Date]),VALUE(tblCarryingExpenses[Amount])),(tblCarryingExpenses[Include]="Yes")*(tblCarryingExpenses[Category]=_xlpm.cat)),_xlpm.sorted,_xlfn.SORTBY(_xlpm.matches,INDEX(_xlpm.matches,,1),1),IFERROR(INDEX(_xlpm.sorted,_xlpm.n,1),""))</f>
        <v/>
      </c>
      <c r="W11" s="5" cm="1">
        <f t="array" ref="W11">_xlfn.LET(_xlpm.cat,V$1,_xlpm.n,ROWS(W$4:W11),_xlpm.matches,_xlfn._xlws.FILTER(_xlfn.HSTACK(DATEVALUE(tblCarryingExpenses[Date]),VALUE(tblCarryingExpenses[Amount])),(tblCarryingExpenses[Include]="Yes")*(tblCarryingExpenses[Category]=_xlpm.cat)),_xlpm.sorted,_xlfn.SORTBY(_xlpm.matches,INDEX(_xlpm.matches,,1),1),IFERROR(INDEX(_xlpm.sorted,_xlpm.n,2),""))</f>
        <v>0</v>
      </c>
      <c r="X11" s="210"/>
      <c r="Y11" s="12" t="str" cm="1">
        <f t="array" ref="Y11">_xlfn.LET(_xlpm.cat,Y$1,_xlpm.n,ROWS(Y$4:Y11),_xlpm.matches,_xlfn._xlws.FILTER(_xlfn.HSTACK(DATEVALUE(tblCarryingExpenses[Date]),VALUE(tblCarryingExpenses[Amount])),(tblCarryingExpenses[Include]="Yes")*(tblCarryingExpenses[Category]=_xlpm.cat)),_xlpm.sorted,_xlfn.SORTBY(_xlpm.matches,INDEX(_xlpm.matches,,1),1),IFERROR(INDEX(_xlpm.sorted,_xlpm.n,1),""))</f>
        <v/>
      </c>
      <c r="Z11" s="5" cm="1">
        <f t="array" ref="Z11">_xlfn.LET(_xlpm.cat,Y$1,_xlpm.n,ROWS(Z$4:Z11),_xlpm.matches,_xlfn._xlws.FILTER(_xlfn.HSTACK(DATEVALUE(tblCarryingExpenses[Date]),VALUE(tblCarryingExpenses[Amount])),(tblCarryingExpenses[Include]="Yes")*(tblCarryingExpenses[Category]=_xlpm.cat)),_xlpm.sorted,_xlfn.SORTBY(_xlpm.matches,INDEX(_xlpm.matches,,1),1),IFERROR(INDEX(_xlpm.sorted,_xlpm.n,2),""))</f>
        <v>0</v>
      </c>
      <c r="AA11" s="583">
        <f t="shared" si="0"/>
        <v>0</v>
      </c>
      <c r="AB11" s="12" t="str" cm="1">
        <f t="array" ref="AB11">_xlfn.LET(_xlpm.cat,AB$1,_xlpm.n,ROWS(AB$4:AB11),_xlpm.matches,_xlfn._xlws.FILTER(_xlfn.HSTACK(DATEVALUE(tblCarryingExpenses[Date]),VALUE(tblCarryingExpenses[Amount])),(tblCarryingExpenses[Include]="Yes")*(tblCarryingExpenses[Category]=_xlpm.cat)),_xlpm.sorted,_xlfn.SORTBY(_xlpm.matches,INDEX(_xlpm.matches,,1),1),IFERROR(INDEX(_xlpm.sorted,_xlpm.n,1),""))</f>
        <v/>
      </c>
      <c r="AC11" s="5" cm="1">
        <f t="array" ref="AC11">_xlfn.LET(_xlpm.cat,AB$1,_xlpm.n,ROWS(AC$4:AC11),_xlpm.matches,_xlfn._xlws.FILTER(_xlfn.HSTACK(DATEVALUE(tblCarryingExpenses[Date]),VALUE(tblCarryingExpenses[Amount])),(tblCarryingExpenses[Include]="Yes")*(tblCarryingExpenses[Category]=_xlpm.cat)),_xlpm.sorted,_xlfn.SORTBY(_xlpm.matches,INDEX(_xlpm.matches,,1),1),IFERROR(INDEX(_xlpm.sorted,_xlpm.n,2),""))</f>
        <v>0</v>
      </c>
      <c r="AD11" s="210"/>
      <c r="AE11" s="12" t="str" cm="1">
        <f t="array" ref="AE11">_xlfn.LET(_xlpm.cat,AE$1,_xlpm.n,ROWS(AE$4:AE11),_xlpm.matches,_xlfn._xlws.FILTER(_xlfn.HSTACK(DATEVALUE(tblCarryingExpenses[Date]),VALU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DATEVALUE(tblCarryingExpenses[Date]),VALUE(tblCarryingExpenses[Amount])),(tblCarryingExpenses[Include]="Yes")*(tblCarryingExpenses[Category]=_xlpm.cat)),_xlpm.sorted,_xlfn.SORTBY(_xlpm.matches,INDEX(_xlpm.matches,,1),1),IFERROR(INDEX(_xlpm.sorted,_xlpm.n,2),""))</f>
        <v/>
      </c>
      <c r="AG11" s="210"/>
      <c r="AL11" t="s">
        <v>458</v>
      </c>
      <c r="AM11" t="s">
        <v>1523</v>
      </c>
      <c r="AN11" s="12">
        <v>46122</v>
      </c>
      <c r="AP11" t="s">
        <v>1534</v>
      </c>
      <c r="AQ11" s="5">
        <v>23.4</v>
      </c>
      <c r="AR11" t="s">
        <v>1535</v>
      </c>
      <c r="AT11" t="s">
        <v>1536</v>
      </c>
      <c r="AU11" t="s">
        <v>1537</v>
      </c>
      <c r="AV11" t="s">
        <v>1546</v>
      </c>
    </row>
    <row r="12" spans="1:48">
      <c r="A12" s="12">
        <v>46122</v>
      </c>
      <c r="B12" s="5" cm="1">
        <f t="array" ref="B12">_xlfn.LET(_xlpm.cat,A$1,_xlpm.n,ROWS(B$4:B12),_xlpm.matches,_xlfn._xlws.FILTER(_xlfn.HSTACK(DATEVALUE(tblCarryingExpenses[Date]),VALUE(tblCarryingExpenses[Amount])),(tblCarryingExpenses[Include]="Yes")*(tblCarryingExpenses[Category]=_xlpm.cat)),_xlpm.sorted,_xlfn.SORTBY(_xlpm.matches,INDEX(_xlpm.matches,,1),1),IFERROR(INDEX(_xlpm.sorted,_xlpm.n,2),""))</f>
        <v>23.4</v>
      </c>
      <c r="C12" s="213"/>
      <c r="D12" s="12" t="str" cm="1">
        <f t="array" ref="D12">_xlfn.LET(_xlpm.cat,IF(D$1="Mortgage Payment paid after Reinstatement","Mortgage Payment",D$1),_xlpm.n,ROWS(D$4:D12),_xlpm.matches,_xlfn._xlws.FILTER(_xlfn.HSTACK(DATEVALUE(tblCarryingExpenses[Date]),VALUE(tblCarryingExpenses[Amount])),(tblCarryingExpenses[Include]="Yes")*(tblCarryingExpenses[Category]=_xlpm.cat)),_xlpm.sorted,_xlfn.SORTBY(_xlpm.matches,INDEX(_xlpm.matches,,1),1),IFERROR(INDEX(_xlpm.sorted,_xlpm.n,1),""))</f>
        <v/>
      </c>
      <c r="E12" s="5" cm="1">
        <f t="array" ref="E12">_xlfn.LET(_xlpm.cat,IF(D$1="Mortgage Payment paid after Reinstatement","Mortgage Payment",D$1),_xlpm.n,ROWS(E$4:E12),_xlpm.matches,_xlfn._xlws.FILTER(_xlfn.HSTACK(DATEVALUE(tblCarryingExpenses[Date]),VALUE(tblCarryingExpenses[Amount])),(tblCarryingExpenses[Include]="Yes")*(tblCarryingExpenses[Category]=_xlpm.cat)),_xlpm.sorted,_xlfn.SORTBY(_xlpm.matches,INDEX(_xlpm.matches,,1),1),IFERROR(INDEX(_xlpm.sorted,_xlpm.n,2),""))</f>
        <v>0</v>
      </c>
      <c r="F12" s="210"/>
      <c r="G12" s="12" t="str" cm="1">
        <f t="array" ref="G12">_xlfn.LET(_xlpm.cat,G$1,_xlpm.n,ROWS(G$4:G12),_xlpm.matches,_xlfn._xlws.FILTER(_xlfn.HSTACK(DATEVALUE(tblCarryingExpenses[Date]),VALUE(tblCarryingExpenses[Amount])),(tblCarryingExpenses[Include]="Yes")*(tblCarryingExpenses[Category]=_xlpm.cat)),_xlpm.sorted,_xlfn.SORTBY(_xlpm.matches,INDEX(_xlpm.matches,,1),1),IFERROR(INDEX(_xlpm.sorted,_xlpm.n,1),""))</f>
        <v/>
      </c>
      <c r="H12" s="334" cm="1">
        <f t="array" ref="H12">_xlfn.LET(_xlpm.cat,G$1,_xlpm.n,ROWS(H$4:H12),_xlpm.matches,_xlfn._xlws.FILTER(_xlfn.HSTACK(DATEVALUE(tblCarryingExpenses[Date]),VALUE(tblCarryingExpenses[Amount])),(tblCarryingExpenses[Include]="Yes")*(tblCarryingExpenses[Category]=_xlpm.cat)),_xlpm.sorted,_xlfn.SORTBY(_xlpm.matches,INDEX(_xlpm.matches,,1),1),IFERROR(INDEX(_xlpm.sorted,_xlpm.n,2),""))</f>
        <v>0</v>
      </c>
      <c r="I12" s="210"/>
      <c r="J12" s="12" t="str" cm="1">
        <f t="array" ref="J12">_xlfn.LET(_xlpm.cat,J$1,_xlpm.n,ROWS(J$4:J12),_xlpm.matches,_xlfn._xlws.FILTER(_xlfn.HSTACK(DATEVALUE(tblCarryingExpenses[Date]),VALUE(tblCarryingExpenses[Amount])),(tblCarryingExpenses[Include]="Yes")*(tblCarryingExpenses[Category]=_xlpm.cat)),_xlpm.sorted,_xlfn.SORTBY(_xlpm.matches,INDEX(_xlpm.matches,,1),1),IFERROR(INDEX(_xlpm.sorted,_xlpm.n,1),""))</f>
        <v/>
      </c>
      <c r="K12" s="5" cm="1">
        <f t="array" ref="K12">_xlfn.LET(_xlpm.cat,J$1,_xlpm.n,ROWS(K$4:K12),_xlpm.matches,_xlfn._xlws.FILTER(_xlfn.HSTACK(DATEVALUE(tblCarryingExpenses[Date]),VALUE(tblCarryingExpenses[Amount])),(tblCarryingExpenses[Include]="Yes")*(tblCarryingExpenses[Category]=_xlpm.cat)),_xlpm.sorted,_xlfn.SORTBY(_xlpm.matches,INDEX(_xlpm.matches,,1),1),IFERROR(INDEX(_xlpm.sorted,_xlpm.n,2),""))</f>
        <v>950.42</v>
      </c>
      <c r="L12" s="210"/>
      <c r="M12" s="12" t="str" cm="1">
        <f t="array" ref="M12">_xlfn.LET(_xlpm.cat,M$1,_xlpm.n,ROWS(M$4:M12),_xlpm.matches,_xlfn._xlws.FILTER(_xlfn.HSTACK(DATEVALUE(tblCarryingExpenses[Date]),VALUE(tblCarryingExpenses[Amount])),(tblCarryingExpenses[Include]="Yes")*(tblCarryingExpenses[Category]=_xlpm.cat)),_xlpm.sorted,_xlfn.SORTBY(_xlpm.matches,INDEX(_xlpm.matches,,1),1),IFERROR(INDEX(_xlpm.sorted,_xlpm.n,1),""))</f>
        <v/>
      </c>
      <c r="N12" s="5" cm="1">
        <f t="array" ref="N12">_xlfn.LET(_xlpm.cat,M$1,_xlpm.n,ROWS(N$4:N12),_xlpm.matches,_xlfn._xlws.FILTER(_xlfn.HSTACK(DATEVALUE(tblCarryingExpenses[Date]),VALUE(tblCarryingExpenses[Amount])),(tblCarryingExpenses[Include]="Yes")*(tblCarryingExpenses[Category]=_xlpm.cat)),_xlpm.sorted,_xlfn.SORTBY(_xlpm.matches,INDEX(_xlpm.matches,,1),1),IFERROR(INDEX(_xlpm.sorted,_xlpm.n,2),""))</f>
        <v>0</v>
      </c>
      <c r="O12" s="210"/>
      <c r="P12" s="12" t="str" cm="1">
        <f t="array" ref="P12">_xlfn.LET(_xlpm.cat,P$1,_xlpm.n,ROWS(P$4:P12),_xlpm.matches,_xlfn._xlws.FILTER(_xlfn.HSTACK(DATEVALUE(tblCarryingExpenses[Date]),VALUE(tblCarryingExpenses[Amount])),(tblCarryingExpenses[Include]="Yes")*(tblCarryingExpenses[Category]=_xlpm.cat)),_xlpm.sorted,_xlfn.SORTBY(_xlpm.matches,INDEX(_xlpm.matches,,1),1),IFERROR(INDEX(_xlpm.sorted,_xlpm.n,1),""))</f>
        <v/>
      </c>
      <c r="Q12" s="5" cm="1">
        <f t="array" ref="Q12">_xlfn.LET(_xlpm.cat,P$1,_xlpm.n,ROWS(Q$4:Q12),_xlpm.matches,_xlfn._xlws.FILTER(_xlfn.HSTACK(DATEVALUE(tblCarryingExpenses[Date]),VALUE(tblCarryingExpenses[Amount])),(tblCarryingExpenses[Include]="Yes")*(tblCarryingExpenses[Category]=_xlpm.cat)),_xlpm.sorted,_xlfn.SORTBY(_xlpm.matches,INDEX(_xlpm.matches,,1),1),IFERROR(INDEX(_xlpm.sorted,_xlpm.n,2),""))</f>
        <v>45.42</v>
      </c>
      <c r="R12" s="210"/>
      <c r="S12" s="12" t="str" cm="1">
        <f t="array" ref="S12">_xlfn.LET(_xlpm.cat,S$1,_xlpm.n,ROWS(S$4:S12),_xlpm.matches,_xlfn._xlws.FILTER(_xlfn.HSTACK(DATEVALUE(tblCarryingExpenses[Date]),VALUE(tblCarryingExpenses[Amount])),(tblCarryingExpenses[Include]="Yes")*(tblCarryingExpenses[Category]=_xlpm.cat)),_xlpm.sorted,_xlfn.SORTBY(_xlpm.matches,INDEX(_xlpm.matches,,1),1),IFERROR(INDEX(_xlpm.sorted,_xlpm.n,1),""))</f>
        <v/>
      </c>
      <c r="T12" s="5" cm="1">
        <f t="array" ref="T12">_xlfn.LET(_xlpm.cat,S$1,_xlpm.n,ROWS(T$4:T12),_xlpm.matches,_xlfn._xlws.FILTER(_xlfn.HSTACK(DATEVALUE(tblCarryingExpenses[Date]),VALUE(tblCarryingExpenses[Amount])),(tblCarryingExpenses[Include]="Yes")*(tblCarryingExpenses[Category]=_xlpm.cat)),_xlpm.sorted,_xlfn.SORTBY(_xlpm.matches,INDEX(_xlpm.matches,,1),1),IFERROR(INDEX(_xlpm.sorted,_xlpm.n,2),""))</f>
        <v>1</v>
      </c>
      <c r="U12" s="210"/>
      <c r="V12" s="12" t="str" cm="1">
        <f t="array" ref="V12">_xlfn.LET(_xlpm.cat,V$1,_xlpm.n,ROWS(V$4:V12),_xlpm.matches,_xlfn._xlws.FILTER(_xlfn.HSTACK(DATEVALUE(tblCarryingExpenses[Date]),VALUE(tblCarryingExpenses[Amount])),(tblCarryingExpenses[Include]="Yes")*(tblCarryingExpenses[Category]=_xlpm.cat)),_xlpm.sorted,_xlfn.SORTBY(_xlpm.matches,INDEX(_xlpm.matches,,1),1),IFERROR(INDEX(_xlpm.sorted,_xlpm.n,1),""))</f>
        <v/>
      </c>
      <c r="W12" s="5" cm="1">
        <f t="array" ref="W12">_xlfn.LET(_xlpm.cat,V$1,_xlpm.n,ROWS(W$4:W12),_xlpm.matches,_xlfn._xlws.FILTER(_xlfn.HSTACK(DATEVALUE(tblCarryingExpenses[Date]),VALUE(tblCarryingExpenses[Amount])),(tblCarryingExpenses[Include]="Yes")*(tblCarryingExpenses[Category]=_xlpm.cat)),_xlpm.sorted,_xlfn.SORTBY(_xlpm.matches,INDEX(_xlpm.matches,,1),1),IFERROR(INDEX(_xlpm.sorted,_xlpm.n,2),""))</f>
        <v>0</v>
      </c>
      <c r="X12" s="210"/>
      <c r="Y12" s="12" t="str" cm="1">
        <f t="array" ref="Y12">_xlfn.LET(_xlpm.cat,Y$1,_xlpm.n,ROWS(Y$4:Y12),_xlpm.matches,_xlfn._xlws.FILTER(_xlfn.HSTACK(DATEVALUE(tblCarryingExpenses[Date]),VALUE(tblCarryingExpenses[Amount])),(tblCarryingExpenses[Include]="Yes")*(tblCarryingExpenses[Category]=_xlpm.cat)),_xlpm.sorted,_xlfn.SORTBY(_xlpm.matches,INDEX(_xlpm.matches,,1),1),IFERROR(INDEX(_xlpm.sorted,_xlpm.n,1),""))</f>
        <v/>
      </c>
      <c r="Z12" s="5" cm="1">
        <f t="array" ref="Z12">_xlfn.LET(_xlpm.cat,Y$1,_xlpm.n,ROWS(Z$4:Z12),_xlpm.matches,_xlfn._xlws.FILTER(_xlfn.HSTACK(DATEVALUE(tblCarryingExpenses[Date]),VALUE(tblCarryingExpenses[Amount])),(tblCarryingExpenses[Include]="Yes")*(tblCarryingExpenses[Category]=_xlpm.cat)),_xlpm.sorted,_xlfn.SORTBY(_xlpm.matches,INDEX(_xlpm.matches,,1),1),IFERROR(INDEX(_xlpm.sorted,_xlpm.n,2),""))</f>
        <v>0</v>
      </c>
      <c r="AA12" s="583">
        <f t="shared" si="0"/>
        <v>0</v>
      </c>
      <c r="AB12" s="12" t="str" cm="1">
        <f t="array" ref="AB12">_xlfn.LET(_xlpm.cat,AB$1,_xlpm.n,ROWS(AB$4:AB12),_xlpm.matches,_xlfn._xlws.FILTER(_xlfn.HSTACK(DATEVALUE(tblCarryingExpenses[Date]),VALUE(tblCarryingExpenses[Amount])),(tblCarryingExpenses[Include]="Yes")*(tblCarryingExpenses[Category]=_xlpm.cat)),_xlpm.sorted,_xlfn.SORTBY(_xlpm.matches,INDEX(_xlpm.matches,,1),1),IFERROR(INDEX(_xlpm.sorted,_xlpm.n,1),""))</f>
        <v/>
      </c>
      <c r="AC12" s="5" cm="1">
        <f t="array" ref="AC12">_xlfn.LET(_xlpm.cat,AB$1,_xlpm.n,ROWS(AC$4:AC12),_xlpm.matches,_xlfn._xlws.FILTER(_xlfn.HSTACK(DATEVALUE(tblCarryingExpenses[Date]),VALUE(tblCarryingExpenses[Amount])),(tblCarryingExpenses[Include]="Yes")*(tblCarryingExpenses[Category]=_xlpm.cat)),_xlpm.sorted,_xlfn.SORTBY(_xlpm.matches,INDEX(_xlpm.matches,,1),1),IFERROR(INDEX(_xlpm.sorted,_xlpm.n,2),""))</f>
        <v>0</v>
      </c>
      <c r="AD12" s="210"/>
      <c r="AE12" s="12" t="str" cm="1">
        <f t="array" ref="AE12">_xlfn.LET(_xlpm.cat,AE$1,_xlpm.n,ROWS(AE$4:AE12),_xlpm.matches,_xlfn._xlws.FILTER(_xlfn.HSTACK(DATEVALUE(tblCarryingExpenses[Date]),VALU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DATEVALUE(tblCarryingExpenses[Date]),VALUE(tblCarryingExpenses[Amount])),(tblCarryingExpenses[Include]="Yes")*(tblCarryingExpenses[Category]=_xlpm.cat)),_xlpm.sorted,_xlfn.SORTBY(_xlpm.matches,INDEX(_xlpm.matches,,1),1),IFERROR(INDEX(_xlpm.sorted,_xlpm.n,2),""))</f>
        <v/>
      </c>
      <c r="AG12" s="210"/>
      <c r="AL12" t="s">
        <v>458</v>
      </c>
      <c r="AM12" t="s">
        <v>1523</v>
      </c>
      <c r="AN12" s="12">
        <v>46153</v>
      </c>
      <c r="AP12" t="s">
        <v>1534</v>
      </c>
      <c r="AQ12" s="5">
        <v>19.84</v>
      </c>
      <c r="AR12" t="s">
        <v>1535</v>
      </c>
      <c r="AT12" t="s">
        <v>1536</v>
      </c>
      <c r="AU12" t="s">
        <v>1537</v>
      </c>
      <c r="AV12" t="s">
        <v>1547</v>
      </c>
    </row>
    <row r="13" spans="1:48">
      <c r="A13" s="12">
        <v>46153</v>
      </c>
      <c r="B13" s="5" cm="1">
        <f t="array" ref="B13">_xlfn.LET(_xlpm.cat,A$1,_xlpm.n,ROWS(B$4:B13),_xlpm.matches,_xlfn._xlws.FILTER(_xlfn.HSTACK(DATEVALUE(tblCarryingExpenses[Date]),VALUE(tblCarryingExpenses[Amount])),(tblCarryingExpenses[Include]="Yes")*(tblCarryingExpenses[Category]=_xlpm.cat)),_xlpm.sorted,_xlfn.SORTBY(_xlpm.matches,INDEX(_xlpm.matches,,1),1),IFERROR(INDEX(_xlpm.sorted,_xlpm.n,2),""))</f>
        <v>19.84</v>
      </c>
      <c r="C13" s="213"/>
      <c r="D13" s="12" t="str" cm="1">
        <f t="array" ref="D13">_xlfn.LET(_xlpm.cat,IF(D$1="Mortgage Payment paid after Reinstatement","Mortgage Payment",D$1),_xlpm.n,ROWS(D$4:D13),_xlpm.matches,_xlfn._xlws.FILTER(_xlfn.HSTACK(DATEVALUE(tblCarryingExpenses[Date]),VALUE(tblCarryingExpenses[Amount])),(tblCarryingExpenses[Include]="Yes")*(tblCarryingExpenses[Category]=_xlpm.cat)),_xlpm.sorted,_xlfn.SORTBY(_xlpm.matches,INDEX(_xlpm.matches,,1),1),IFERROR(INDEX(_xlpm.sorted,_xlpm.n,1),""))</f>
        <v/>
      </c>
      <c r="E13" s="5" cm="1">
        <f t="array" ref="E13">_xlfn.LET(_xlpm.cat,IF(D$1="Mortgage Payment paid after Reinstatement","Mortgage Payment",D$1),_xlpm.n,ROWS(E$4:E13),_xlpm.matches,_xlfn._xlws.FILTER(_xlfn.HSTACK(DATEVALUE(tblCarryingExpenses[Date]),VALUE(tblCarryingExpenses[Amount])),(tblCarryingExpenses[Include]="Yes")*(tblCarryingExpenses[Category]=_xlpm.cat)),_xlpm.sorted,_xlfn.SORTBY(_xlpm.matches,INDEX(_xlpm.matches,,1),1),IFERROR(INDEX(_xlpm.sorted,_xlpm.n,2),""))</f>
        <v>0</v>
      </c>
      <c r="F13" s="210"/>
      <c r="G13" s="12" t="str" cm="1">
        <f t="array" ref="G13">_xlfn.LET(_xlpm.cat,G$1,_xlpm.n,ROWS(G$4:G13),_xlpm.matches,_xlfn._xlws.FILTER(_xlfn.HSTACK(DATEVALUE(tblCarryingExpenses[Date]),VALUE(tblCarryingExpenses[Amount])),(tblCarryingExpenses[Include]="Yes")*(tblCarryingExpenses[Category]=_xlpm.cat)),_xlpm.sorted,_xlfn.SORTBY(_xlpm.matches,INDEX(_xlpm.matches,,1),1),IFERROR(INDEX(_xlpm.sorted,_xlpm.n,1),""))</f>
        <v/>
      </c>
      <c r="H13" s="334" cm="1">
        <f t="array" ref="H13">_xlfn.LET(_xlpm.cat,G$1,_xlpm.n,ROWS(H$4:H13),_xlpm.matches,_xlfn._xlws.FILTER(_xlfn.HSTACK(DATEVALUE(tblCarryingExpenses[Date]),VALUE(tblCarryingExpenses[Amount])),(tblCarryingExpenses[Include]="Yes")*(tblCarryingExpenses[Category]=_xlpm.cat)),_xlpm.sorted,_xlfn.SORTBY(_xlpm.matches,INDEX(_xlpm.matches,,1),1),IFERROR(INDEX(_xlpm.sorted,_xlpm.n,2),""))</f>
        <v>0</v>
      </c>
      <c r="I13" s="210"/>
      <c r="J13" s="12" t="str" cm="1">
        <f t="array" ref="J13">_xlfn.LET(_xlpm.cat,J$1,_xlpm.n,ROWS(J$4:J13),_xlpm.matches,_xlfn._xlws.FILTER(_xlfn.HSTACK(DATEVALUE(tblCarryingExpenses[Date]),VALUE(tblCarryingExpenses[Amount])),(tblCarryingExpenses[Include]="Yes")*(tblCarryingExpenses[Category]=_xlpm.cat)),_xlpm.sorted,_xlfn.SORTBY(_xlpm.matches,INDEX(_xlpm.matches,,1),1),IFERROR(INDEX(_xlpm.sorted,_xlpm.n,1),""))</f>
        <v/>
      </c>
      <c r="K13" s="5" cm="1">
        <f t="array" ref="K13">_xlfn.LET(_xlpm.cat,J$1,_xlpm.n,ROWS(K$4:K13),_xlpm.matches,_xlfn._xlws.FILTER(_xlfn.HSTACK(DATEVALUE(tblCarryingExpenses[Date]),VALUE(tblCarryingExpenses[Amount])),(tblCarryingExpenses[Include]="Yes")*(tblCarryingExpenses[Category]=_xlpm.cat)),_xlpm.sorted,_xlfn.SORTBY(_xlpm.matches,INDEX(_xlpm.matches,,1),1),IFERROR(INDEX(_xlpm.sorted,_xlpm.n,2),""))</f>
        <v>981.74</v>
      </c>
      <c r="L13" s="210"/>
      <c r="M13" s="12" t="str" cm="1">
        <f t="array" ref="M13">_xlfn.LET(_xlpm.cat,M$1,_xlpm.n,ROWS(M$4:M13),_xlpm.matches,_xlfn._xlws.FILTER(_xlfn.HSTACK(DATEVALUE(tblCarryingExpenses[Date]),VALUE(tblCarryingExpenses[Amount])),(tblCarryingExpenses[Include]="Yes")*(tblCarryingExpenses[Category]=_xlpm.cat)),_xlpm.sorted,_xlfn.SORTBY(_xlpm.matches,INDEX(_xlpm.matches,,1),1),IFERROR(INDEX(_xlpm.sorted,_xlpm.n,1),""))</f>
        <v/>
      </c>
      <c r="N13" s="5" cm="1">
        <f t="array" ref="N13">_xlfn.LET(_xlpm.cat,M$1,_xlpm.n,ROWS(N$4:N13),_xlpm.matches,_xlfn._xlws.FILTER(_xlfn.HSTACK(DATEVALUE(tblCarryingExpenses[Date]),VALUE(tblCarryingExpenses[Amount])),(tblCarryingExpenses[Include]="Yes")*(tblCarryingExpenses[Category]=_xlpm.cat)),_xlpm.sorted,_xlfn.SORTBY(_xlpm.matches,INDEX(_xlpm.matches,,1),1),IFERROR(INDEX(_xlpm.sorted,_xlpm.n,2),""))</f>
        <v>0</v>
      </c>
      <c r="O13" s="210"/>
      <c r="P13" s="12" t="str" cm="1">
        <f t="array" ref="P13">_xlfn.LET(_xlpm.cat,P$1,_xlpm.n,ROWS(P$4:P13),_xlpm.matches,_xlfn._xlws.FILTER(_xlfn.HSTACK(DATEVALUE(tblCarryingExpenses[Date]),VALUE(tblCarryingExpenses[Amount])),(tblCarryingExpenses[Include]="Yes")*(tblCarryingExpenses[Category]=_xlpm.cat)),_xlpm.sorted,_xlfn.SORTBY(_xlpm.matches,INDEX(_xlpm.matches,,1),1),IFERROR(INDEX(_xlpm.sorted,_xlpm.n,1),""))</f>
        <v/>
      </c>
      <c r="Q13" s="5" cm="1">
        <f t="array" ref="Q13">_xlfn.LET(_xlpm.cat,P$1,_xlpm.n,ROWS(Q$4:Q13),_xlpm.matches,_xlfn._xlws.FILTER(_xlfn.HSTACK(DATEVALUE(tblCarryingExpenses[Date]),VALUE(tblCarryingExpenses[Amount])),(tblCarryingExpenses[Include]="Yes")*(tblCarryingExpenses[Category]=_xlpm.cat)),_xlpm.sorted,_xlfn.SORTBY(_xlpm.matches,INDEX(_xlpm.matches,,1),1),IFERROR(INDEX(_xlpm.sorted,_xlpm.n,2),""))</f>
        <v>35.03</v>
      </c>
      <c r="R13" s="210"/>
      <c r="S13" s="12" t="str" cm="1">
        <f t="array" ref="S13">_xlfn.LET(_xlpm.cat,S$1,_xlpm.n,ROWS(S$4:S13),_xlpm.matches,_xlfn._xlws.FILTER(_xlfn.HSTACK(DATEVALUE(tblCarryingExpenses[Date]),VALUE(tblCarryingExpenses[Amount])),(tblCarryingExpenses[Include]="Yes")*(tblCarryingExpenses[Category]=_xlpm.cat)),_xlpm.sorted,_xlfn.SORTBY(_xlpm.matches,INDEX(_xlpm.matches,,1),1),IFERROR(INDEX(_xlpm.sorted,_xlpm.n,1),""))</f>
        <v/>
      </c>
      <c r="T13" s="5" cm="1">
        <f t="array" ref="T13">_xlfn.LET(_xlpm.cat,S$1,_xlpm.n,ROWS(T$4:T13),_xlpm.matches,_xlfn._xlws.FILTER(_xlfn.HSTACK(DATEVALUE(tblCarryingExpenses[Date]),VALUE(tblCarryingExpenses[Amount])),(tblCarryingExpenses[Include]="Yes")*(tblCarryingExpenses[Category]=_xlpm.cat)),_xlpm.sorted,_xlfn.SORTBY(_xlpm.matches,INDEX(_xlpm.matches,,1),1),IFERROR(INDEX(_xlpm.sorted,_xlpm.n,2),""))</f>
        <v>1</v>
      </c>
      <c r="U13" s="210"/>
      <c r="V13" s="12" t="str" cm="1">
        <f t="array" ref="V13">_xlfn.LET(_xlpm.cat,V$1,_xlpm.n,ROWS(V$4:V13),_xlpm.matches,_xlfn._xlws.FILTER(_xlfn.HSTACK(DATEVALUE(tblCarryingExpenses[Date]),VALUE(tblCarryingExpenses[Amount])),(tblCarryingExpenses[Include]="Yes")*(tblCarryingExpenses[Category]=_xlpm.cat)),_xlpm.sorted,_xlfn.SORTBY(_xlpm.matches,INDEX(_xlpm.matches,,1),1),IFERROR(INDEX(_xlpm.sorted,_xlpm.n,1),""))</f>
        <v/>
      </c>
      <c r="W13" s="5" cm="1">
        <f t="array" ref="W13">_xlfn.LET(_xlpm.cat,V$1,_xlpm.n,ROWS(W$4:W13),_xlpm.matches,_xlfn._xlws.FILTER(_xlfn.HSTACK(DATEVALUE(tblCarryingExpenses[Date]),VALUE(tblCarryingExpenses[Amount])),(tblCarryingExpenses[Include]="Yes")*(tblCarryingExpenses[Category]=_xlpm.cat)),_xlpm.sorted,_xlfn.SORTBY(_xlpm.matches,INDEX(_xlpm.matches,,1),1),IFERROR(INDEX(_xlpm.sorted,_xlpm.n,2),""))</f>
        <v>0</v>
      </c>
      <c r="X13" s="210"/>
      <c r="Y13" s="12" t="str" cm="1">
        <f t="array" ref="Y13">_xlfn.LET(_xlpm.cat,Y$1,_xlpm.n,ROWS(Y$4:Y13),_xlpm.matches,_xlfn._xlws.FILTER(_xlfn.HSTACK(DATEVALUE(tblCarryingExpenses[Date]),VALUE(tblCarryingExpenses[Amount])),(tblCarryingExpenses[Include]="Yes")*(tblCarryingExpenses[Category]=_xlpm.cat)),_xlpm.sorted,_xlfn.SORTBY(_xlpm.matches,INDEX(_xlpm.matches,,1),1),IFERROR(INDEX(_xlpm.sorted,_xlpm.n,1),""))</f>
        <v/>
      </c>
      <c r="Z13" s="5" cm="1">
        <f t="array" ref="Z13">_xlfn.LET(_xlpm.cat,Y$1,_xlpm.n,ROWS(Z$4:Z13),_xlpm.matches,_xlfn._xlws.FILTER(_xlfn.HSTACK(DATEVALUE(tblCarryingExpenses[Date]),VALUE(tblCarryingExpenses[Amount])),(tblCarryingExpenses[Include]="Yes")*(tblCarryingExpenses[Category]=_xlpm.cat)),_xlpm.sorted,_xlfn.SORTBY(_xlpm.matches,INDEX(_xlpm.matches,,1),1),IFERROR(INDEX(_xlpm.sorted,_xlpm.n,2),""))</f>
        <v>0</v>
      </c>
      <c r="AA13" s="583">
        <f t="shared" si="0"/>
        <v>0</v>
      </c>
      <c r="AB13" s="12" t="str" cm="1">
        <f t="array" ref="AB13">_xlfn.LET(_xlpm.cat,AB$1,_xlpm.n,ROWS(AB$4:AB13),_xlpm.matches,_xlfn._xlws.FILTER(_xlfn.HSTACK(DATEVALUE(tblCarryingExpenses[Date]),VALUE(tblCarryingExpenses[Amount])),(tblCarryingExpenses[Include]="Yes")*(tblCarryingExpenses[Category]=_xlpm.cat)),_xlpm.sorted,_xlfn.SORTBY(_xlpm.matches,INDEX(_xlpm.matches,,1),1),IFERROR(INDEX(_xlpm.sorted,_xlpm.n,1),""))</f>
        <v/>
      </c>
      <c r="AC13" s="5" cm="1">
        <f t="array" ref="AC13">_xlfn.LET(_xlpm.cat,AB$1,_xlpm.n,ROWS(AC$4:AC13),_xlpm.matches,_xlfn._xlws.FILTER(_xlfn.HSTACK(DATEVALUE(tblCarryingExpenses[Date]),VALUE(tblCarryingExpenses[Amount])),(tblCarryingExpenses[Include]="Yes")*(tblCarryingExpenses[Category]=_xlpm.cat)),_xlpm.sorted,_xlfn.SORTBY(_xlpm.matches,INDEX(_xlpm.matches,,1),1),IFERROR(INDEX(_xlpm.sorted,_xlpm.n,2),""))</f>
        <v>0</v>
      </c>
      <c r="AD13" s="210"/>
      <c r="AE13" s="12" t="str" cm="1">
        <f t="array" ref="AE13">_xlfn.LET(_xlpm.cat,AE$1,_xlpm.n,ROWS(AE$4:AE13),_xlpm.matches,_xlfn._xlws.FILTER(_xlfn.HSTACK(DATEVALUE(tblCarryingExpenses[Date]),VALU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DATEVALUE(tblCarryingExpenses[Date]),VALUE(tblCarryingExpenses[Amount])),(tblCarryingExpenses[Include]="Yes")*(tblCarryingExpenses[Category]=_xlpm.cat)),_xlpm.sorted,_xlfn.SORTBY(_xlpm.matches,INDEX(_xlpm.matches,,1),1),IFERROR(INDEX(_xlpm.sorted,_xlpm.n,2),""))</f>
        <v/>
      </c>
      <c r="AG13" s="210"/>
      <c r="AL13" t="s">
        <v>458</v>
      </c>
      <c r="AM13" t="s">
        <v>1523</v>
      </c>
      <c r="AN13" s="12">
        <v>46183</v>
      </c>
      <c r="AP13" t="s">
        <v>1534</v>
      </c>
      <c r="AQ13" s="5">
        <v>0</v>
      </c>
      <c r="AR13" t="s">
        <v>1535</v>
      </c>
      <c r="AT13" t="s">
        <v>1536</v>
      </c>
      <c r="AU13" t="s">
        <v>1537</v>
      </c>
      <c r="AV13" t="s">
        <v>1548</v>
      </c>
    </row>
    <row r="14" spans="1:48">
      <c r="A14" s="12">
        <v>46182</v>
      </c>
      <c r="B14" s="5">
        <v>20.68</v>
      </c>
      <c r="C14" s="213"/>
      <c r="D14" s="12" t="str" cm="1">
        <f t="array" ref="D14">_xlfn.LET(_xlpm.cat,IF(D$1="Mortgage Payment paid after Reinstatement","Mortgage Payment",D$1),_xlpm.n,ROWS(D$4:D14),_xlpm.matches,_xlfn._xlws.FILTER(_xlfn.HSTACK(DATEVALUE(tblCarryingExpenses[Date]),VALUE(tblCarryingExpenses[Amount])),(tblCarryingExpenses[Include]="Yes")*(tblCarryingExpenses[Category]=_xlpm.cat)),_xlpm.sorted,_xlfn.SORTBY(_xlpm.matches,INDEX(_xlpm.matches,,1),1),IFERROR(INDEX(_xlpm.sorted,_xlpm.n,1),""))</f>
        <v/>
      </c>
      <c r="E14" s="5" cm="1">
        <f t="array" ref="E14">_xlfn.LET(_xlpm.cat,IF(D$1="Mortgage Payment paid after Reinstatement","Mortgage Payment",D$1),_xlpm.n,ROWS(E$4:E14),_xlpm.matches,_xlfn._xlws.FILTER(_xlfn.HSTACK(DATEVALUE(tblCarryingExpenses[Date]),VALUE(tblCarryingExpenses[Amount])),(tblCarryingExpenses[Include]="Yes")*(tblCarryingExpenses[Category]=_xlpm.cat)),_xlpm.sorted,_xlfn.SORTBY(_xlpm.matches,INDEX(_xlpm.matches,,1),1),IFERROR(INDEX(_xlpm.sorted,_xlpm.n,2),""))</f>
        <v>0</v>
      </c>
      <c r="F14" s="210"/>
      <c r="G14" s="12" t="str" cm="1">
        <f t="array" ref="G14">_xlfn.LET(_xlpm.cat,G$1,_xlpm.n,ROWS(G$4:G14),_xlpm.matches,_xlfn._xlws.FILTER(_xlfn.HSTACK(DATEVALUE(tblCarryingExpenses[Date]),VALUE(tblCarryingExpenses[Amount])),(tblCarryingExpenses[Include]="Yes")*(tblCarryingExpenses[Category]=_xlpm.cat)),_xlpm.sorted,_xlfn.SORTBY(_xlpm.matches,INDEX(_xlpm.matches,,1),1),IFERROR(INDEX(_xlpm.sorted,_xlpm.n,1),""))</f>
        <v/>
      </c>
      <c r="H14" s="334" cm="1">
        <f t="array" ref="H14">_xlfn.LET(_xlpm.cat,G$1,_xlpm.n,ROWS(H$4:H14),_xlpm.matches,_xlfn._xlws.FILTER(_xlfn.HSTACK(DATEVALUE(tblCarryingExpenses[Date]),VALUE(tblCarryingExpenses[Amount])),(tblCarryingExpenses[Include]="Yes")*(tblCarryingExpenses[Category]=_xlpm.cat)),_xlpm.sorted,_xlfn.SORTBY(_xlpm.matches,INDEX(_xlpm.matches,,1),1),IFERROR(INDEX(_xlpm.sorted,_xlpm.n,2),""))</f>
        <v>0</v>
      </c>
      <c r="I14" s="210"/>
      <c r="J14" s="12" t="str" cm="1">
        <f t="array" ref="J14">_xlfn.LET(_xlpm.cat,J$1,_xlpm.n,ROWS(J$4:J14),_xlpm.matches,_xlfn._xlws.FILTER(_xlfn.HSTACK(DATEVALUE(tblCarryingExpenses[Date]),VALUE(tblCarryingExpenses[Amount])),(tblCarryingExpenses[Include]="Yes")*(tblCarryingExpenses[Category]=_xlpm.cat)),_xlpm.sorted,_xlfn.SORTBY(_xlpm.matches,INDEX(_xlpm.matches,,1),1),IFERROR(INDEX(_xlpm.sorted,_xlpm.n,1),""))</f>
        <v/>
      </c>
      <c r="K14" s="5" cm="1">
        <f t="array" ref="K14">_xlfn.LET(_xlpm.cat,J$1,_xlpm.n,ROWS(K$4:K14),_xlpm.matches,_xlfn._xlws.FILTER(_xlfn.HSTACK(DATEVALUE(tblCarryingExpenses[Date]),VALUE(tblCarryingExpenses[Amount])),(tblCarryingExpenses[Include]="Yes")*(tblCarryingExpenses[Category]=_xlpm.cat)),_xlpm.sorted,_xlfn.SORTBY(_xlpm.matches,INDEX(_xlpm.matches,,1),1),IFERROR(INDEX(_xlpm.sorted,_xlpm.n,2),""))</f>
        <v>981.74</v>
      </c>
      <c r="L14" s="210"/>
      <c r="M14" s="12" t="str" cm="1">
        <f t="array" ref="M14">_xlfn.LET(_xlpm.cat,M$1,_xlpm.n,ROWS(M$4:M14),_xlpm.matches,_xlfn._xlws.FILTER(_xlfn.HSTACK(DATEVALUE(tblCarryingExpenses[Date]),VALUE(tblCarryingExpenses[Amount])),(tblCarryingExpenses[Include]="Yes")*(tblCarryingExpenses[Category]=_xlpm.cat)),_xlpm.sorted,_xlfn.SORTBY(_xlpm.matches,INDEX(_xlpm.matches,,1),1),IFERROR(INDEX(_xlpm.sorted,_xlpm.n,1),""))</f>
        <v/>
      </c>
      <c r="N14" s="5" cm="1">
        <f t="array" ref="N14">_xlfn.LET(_xlpm.cat,M$1,_xlpm.n,ROWS(N$4:N14),_xlpm.matches,_xlfn._xlws.FILTER(_xlfn.HSTACK(DATEVALUE(tblCarryingExpenses[Date]),VALUE(tblCarryingExpenses[Amount])),(tblCarryingExpenses[Include]="Yes")*(tblCarryingExpenses[Category]=_xlpm.cat)),_xlpm.sorted,_xlfn.SORTBY(_xlpm.matches,INDEX(_xlpm.matches,,1),1),IFERROR(INDEX(_xlpm.sorted,_xlpm.n,2),""))</f>
        <v>0</v>
      </c>
      <c r="O14" s="210"/>
      <c r="P14" s="12" t="str" cm="1">
        <f t="array" ref="P14">_xlfn.LET(_xlpm.cat,P$1,_xlpm.n,ROWS(P$4:P14),_xlpm.matches,_xlfn._xlws.FILTER(_xlfn.HSTACK(DATEVALUE(tblCarryingExpenses[Date]),VALUE(tblCarryingExpenses[Amount])),(tblCarryingExpenses[Include]="Yes")*(tblCarryingExpenses[Category]=_xlpm.cat)),_xlpm.sorted,_xlfn.SORTBY(_xlpm.matches,INDEX(_xlpm.matches,,1),1),IFERROR(INDEX(_xlpm.sorted,_xlpm.n,1),""))</f>
        <v/>
      </c>
      <c r="Q14" s="5" cm="1">
        <f t="array" ref="Q14">_xlfn.LET(_xlpm.cat,P$1,_xlpm.n,ROWS(Q$4:Q14),_xlpm.matches,_xlfn._xlws.FILTER(_xlfn.HSTACK(DATEVALUE(tblCarryingExpenses[Date]),VALUE(tblCarryingExpenses[Amount])),(tblCarryingExpenses[Include]="Yes")*(tblCarryingExpenses[Category]=_xlpm.cat)),_xlpm.sorted,_xlfn.SORTBY(_xlpm.matches,INDEX(_xlpm.matches,,1),1),IFERROR(INDEX(_xlpm.sorted,_xlpm.n,2),""))</f>
        <v>-11.73</v>
      </c>
      <c r="R14" s="210"/>
      <c r="S14" s="12" t="str" cm="1">
        <f t="array" ref="S14">_xlfn.LET(_xlpm.cat,S$1,_xlpm.n,ROWS(S$4:S14),_xlpm.matches,_xlfn._xlws.FILTER(_xlfn.HSTACK(DATEVALUE(tblCarryingExpenses[Date]),VALUE(tblCarryingExpenses[Amount])),(tblCarryingExpenses[Include]="Yes")*(tblCarryingExpenses[Category]=_xlpm.cat)),_xlpm.sorted,_xlfn.SORTBY(_xlpm.matches,INDEX(_xlpm.matches,,1),1),IFERROR(INDEX(_xlpm.sorted,_xlpm.n,1),""))</f>
        <v/>
      </c>
      <c r="T14" s="5">
        <v>1</v>
      </c>
      <c r="U14" s="210"/>
      <c r="V14" s="12" t="str" cm="1">
        <f t="array" ref="V14">_xlfn.LET(_xlpm.cat,V$1,_xlpm.n,ROWS(V$4:V14),_xlpm.matches,_xlfn._xlws.FILTER(_xlfn.HSTACK(DATEVALUE(tblCarryingExpenses[Date]),VALUE(tblCarryingExpenses[Amount])),(tblCarryingExpenses[Include]="Yes")*(tblCarryingExpenses[Category]=_xlpm.cat)),_xlpm.sorted,_xlfn.SORTBY(_xlpm.matches,INDEX(_xlpm.matches,,1),1),IFERROR(INDEX(_xlpm.sorted,_xlpm.n,1),""))</f>
        <v/>
      </c>
      <c r="W14" s="5" cm="1">
        <f t="array" ref="W14">_xlfn.LET(_xlpm.cat,V$1,_xlpm.n,ROWS(W$4:W14),_xlpm.matches,_xlfn._xlws.FILTER(_xlfn.HSTACK(DATEVALUE(tblCarryingExpenses[Date]),VALUE(tblCarryingExpenses[Amount])),(tblCarryingExpenses[Include]="Yes")*(tblCarryingExpenses[Category]=_xlpm.cat)),_xlpm.sorted,_xlfn.SORTBY(_xlpm.matches,INDEX(_xlpm.matches,,1),1),IFERROR(INDEX(_xlpm.sorted,_xlpm.n,2),""))</f>
        <v>0</v>
      </c>
      <c r="X14" s="210"/>
      <c r="Y14" s="12" t="str" cm="1">
        <f t="array" ref="Y14">_xlfn.LET(_xlpm.cat,Y$1,_xlpm.n,ROWS(Y$4:Y14),_xlpm.matches,_xlfn._xlws.FILTER(_xlfn.HSTACK(DATEVALUE(tblCarryingExpenses[Date]),VALUE(tblCarryingExpenses[Amount])),(tblCarryingExpenses[Include]="Yes")*(tblCarryingExpenses[Category]=_xlpm.cat)),_xlpm.sorted,_xlfn.SORTBY(_xlpm.matches,INDEX(_xlpm.matches,,1),1),IFERROR(INDEX(_xlpm.sorted,_xlpm.n,1),""))</f>
        <v/>
      </c>
      <c r="Z14" s="5" cm="1">
        <f t="array" ref="Z14">_xlfn.LET(_xlpm.cat,Y$1,_xlpm.n,ROWS(Z$4:Z14),_xlpm.matches,_xlfn._xlws.FILTER(_xlfn.HSTACK(DATEVALUE(tblCarryingExpenses[Date]),VALUE(tblCarryingExpenses[Amount])),(tblCarryingExpenses[Include]="Yes")*(tblCarryingExpenses[Category]=_xlpm.cat)),_xlpm.sorted,_xlfn.SORTBY(_xlpm.matches,INDEX(_xlpm.matches,,1),1),IFERROR(INDEX(_xlpm.sorted,_xlpm.n,2),""))</f>
        <v>0</v>
      </c>
      <c r="AA14" s="583">
        <f t="shared" si="0"/>
        <v>0</v>
      </c>
      <c r="AB14" s="12" t="str" cm="1">
        <f t="array" ref="AB14">_xlfn.LET(_xlpm.cat,AB$1,_xlpm.n,ROWS(AB$4:AB14),_xlpm.matches,_xlfn._xlws.FILTER(_xlfn.HSTACK(DATEVALUE(tblCarryingExpenses[Date]),VALUE(tblCarryingExpenses[Amount])),(tblCarryingExpenses[Include]="Yes")*(tblCarryingExpenses[Category]=_xlpm.cat)),_xlpm.sorted,_xlfn.SORTBY(_xlpm.matches,INDEX(_xlpm.matches,,1),1),IFERROR(INDEX(_xlpm.sorted,_xlpm.n,1),""))</f>
        <v/>
      </c>
      <c r="AC14" s="5" cm="1">
        <f t="array" ref="AC14">_xlfn.LET(_xlpm.cat,AB$1,_xlpm.n,ROWS(AC$4:AC14),_xlpm.matches,_xlfn._xlws.FILTER(_xlfn.HSTACK(DATEVALUE(tblCarryingExpenses[Date]),VALUE(tblCarryingExpenses[Amount])),(tblCarryingExpenses[Include]="Yes")*(tblCarryingExpenses[Category]=_xlpm.cat)),_xlpm.sorted,_xlfn.SORTBY(_xlpm.matches,INDEX(_xlpm.matches,,1),1),IFERROR(INDEX(_xlpm.sorted,_xlpm.n,2),""))</f>
        <v>0</v>
      </c>
      <c r="AD14" s="210"/>
      <c r="AE14" s="12" t="str" cm="1">
        <f t="array" ref="AE14">_xlfn.LET(_xlpm.cat,AE$1,_xlpm.n,ROWS(AE$4:AE14),_xlpm.matches,_xlfn._xlws.FILTER(_xlfn.HSTACK(DATEVALUE(tblCarryingExpenses[Date]),VALU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DATEVALUE(tblCarryingExpenses[Date]),VALUE(tblCarryingExpenses[Amount])),(tblCarryingExpenses[Include]="Yes")*(tblCarryingExpenses[Category]=_xlpm.cat)),_xlpm.sorted,_xlfn.SORTBY(_xlpm.matches,INDEX(_xlpm.matches,,1),1),IFERROR(INDEX(_xlpm.sorted,_xlpm.n,2),""))</f>
        <v/>
      </c>
      <c r="AG14" s="210"/>
      <c r="AL14" t="s">
        <v>458</v>
      </c>
      <c r="AM14" t="s">
        <v>1523</v>
      </c>
      <c r="AN14" s="12">
        <v>46213</v>
      </c>
      <c r="AP14" t="s">
        <v>1534</v>
      </c>
      <c r="AQ14" s="5">
        <v>0</v>
      </c>
      <c r="AR14" t="s">
        <v>1535</v>
      </c>
      <c r="AT14" t="s">
        <v>1536</v>
      </c>
      <c r="AU14" t="s">
        <v>1537</v>
      </c>
      <c r="AV14" t="s">
        <v>1549</v>
      </c>
    </row>
    <row r="15" spans="1:48">
      <c r="A15" s="12" t="str" cm="1">
        <f t="array" ref="A15">_xlfn.LET(_xlpm.cat,A$1,_xlpm.n,ROWS(A$4:A15),_xlpm.matches,_xlfn._xlws.FILTER(_xlfn.HSTACK(DATEVALUE(tblCarryingExpenses[Date]),VALUE(tblCarryingExpenses[Amount])),(tblCarryingExpenses[Include]="Yes")*(tblCarryingExpenses[Category]=_xlpm.cat)),_xlpm.sorted,_xlfn.SORTBY(_xlpm.matches,INDEX(_xlpm.matches,,1),1),IFERROR(INDEX(_xlpm.sorted,_xlpm.n,1),""))</f>
        <v/>
      </c>
      <c r="B15" s="5" cm="1">
        <f t="array" ref="B15">_xlfn.LET(_xlpm.cat,A$1,_xlpm.n,ROWS(B$4:B15),_xlpm.matches,_xlfn._xlws.FILTER(_xlfn.HSTACK(DATEVALUE(tblCarryingExpenses[Date]),VALUE(tblCarryingExpenses[Amount])),(tblCarryingExpenses[Include]="Yes")*(tblCarryingExpenses[Category]=_xlpm.cat)),_xlpm.sorted,_xlfn.SORTBY(_xlpm.matches,INDEX(_xlpm.matches,,1),1),IFERROR(INDEX(_xlpm.sorted,_xlpm.n,2),""))</f>
        <v>0</v>
      </c>
      <c r="C15" s="210"/>
      <c r="D15" s="12" t="str" cm="1">
        <f t="array" ref="D15">_xlfn.LET(_xlpm.cat,IF(D$1="Mortgage Payment paid after Reinstatement","Mortgage Payment",D$1),_xlpm.n,ROWS(D$4:D15),_xlpm.matches,_xlfn._xlws.FILTER(_xlfn.HSTACK(DATEVALUE(tblCarryingExpenses[Date]),VALUE(tblCarryingExpenses[Amount])),(tblCarryingExpenses[Include]="Yes")*(tblCarryingExpenses[Category]=_xlpm.cat)),_xlpm.sorted,_xlfn.SORTBY(_xlpm.matches,INDEX(_xlpm.matches,,1),1),IFERROR(INDEX(_xlpm.sorted,_xlpm.n,1),""))</f>
        <v/>
      </c>
      <c r="E15" s="5" cm="1">
        <f t="array" ref="E15">_xlfn.LET(_xlpm.cat,IF(D$1="Mortgage Payment paid after Reinstatement","Mortgage Payment",D$1),_xlpm.n,ROWS(E$4:E15),_xlpm.matches,_xlfn._xlws.FILTER(_xlfn.HSTACK(DATEVALUE(tblCarryingExpenses[Date]),VALUE(tblCarryingExpenses[Amount])),(tblCarryingExpenses[Include]="Yes")*(tblCarryingExpenses[Category]=_xlpm.cat)),_xlpm.sorted,_xlfn.SORTBY(_xlpm.matches,INDEX(_xlpm.matches,,1),1),IFERROR(INDEX(_xlpm.sorted,_xlpm.n,2),""))</f>
        <v>0</v>
      </c>
      <c r="F15" s="210"/>
      <c r="G15" s="12" t="str" cm="1">
        <f t="array" ref="G15">_xlfn.LET(_xlpm.cat,G$1,_xlpm.n,ROWS(G$4:G15),_xlpm.matches,_xlfn._xlws.FILTER(_xlfn.HSTACK(DATEVALUE(tblCarryingExpenses[Date]),VALUE(tblCarryingExpenses[Amount])),(tblCarryingExpenses[Include]="Yes")*(tblCarryingExpenses[Category]=_xlpm.cat)),_xlpm.sorted,_xlfn.SORTBY(_xlpm.matches,INDEX(_xlpm.matches,,1),1),IFERROR(INDEX(_xlpm.sorted,_xlpm.n,1),""))</f>
        <v/>
      </c>
      <c r="H15" s="334" cm="1">
        <f t="array" ref="H15">_xlfn.LET(_xlpm.cat,G$1,_xlpm.n,ROWS(H$4:H15),_xlpm.matches,_xlfn._xlws.FILTER(_xlfn.HSTACK(DATEVALUE(tblCarryingExpenses[Date]),VALUE(tblCarryingExpenses[Amount])),(tblCarryingExpenses[Include]="Yes")*(tblCarryingExpenses[Category]=_xlpm.cat)),_xlpm.sorted,_xlfn.SORTBY(_xlpm.matches,INDEX(_xlpm.matches,,1),1),IFERROR(INDEX(_xlpm.sorted,_xlpm.n,2),""))</f>
        <v>0</v>
      </c>
      <c r="I15" s="210"/>
      <c r="J15" s="12" t="str" cm="1">
        <f t="array" ref="J15">_xlfn.LET(_xlpm.cat,J$1,_xlpm.n,ROWS(J$4:J15),_xlpm.matches,_xlfn._xlws.FILTER(_xlfn.HSTACK(DATEVALUE(tblCarryingExpenses[Date]),VALUE(tblCarryingExpenses[Amount])),(tblCarryingExpenses[Include]="Yes")*(tblCarryingExpenses[Category]=_xlpm.cat)),_xlpm.sorted,_xlfn.SORTBY(_xlpm.matches,INDEX(_xlpm.matches,,1),1),IFERROR(INDEX(_xlpm.sorted,_xlpm.n,1),""))</f>
        <v/>
      </c>
      <c r="K15" s="5" cm="1">
        <f t="array" ref="K15">_xlfn.LET(_xlpm.cat,J$1,_xlpm.n,ROWS(K$4:K15),_xlpm.matches,_xlfn._xlws.FILTER(_xlfn.HSTACK(DATEVALUE(tblCarryingExpenses[Date]),VALUE(tblCarryingExpenses[Amount])),(tblCarryingExpenses[Include]="Yes")*(tblCarryingExpenses[Category]=_xlpm.cat)),_xlpm.sorted,_xlfn.SORTBY(_xlpm.matches,INDEX(_xlpm.matches,,1),1),IFERROR(INDEX(_xlpm.sorted,_xlpm.n,2),""))</f>
        <v>981.74</v>
      </c>
      <c r="L15" s="210"/>
      <c r="M15" s="12" t="str" cm="1">
        <f t="array" ref="M15">_xlfn.LET(_xlpm.cat,M$1,_xlpm.n,ROWS(M$4:M15),_xlpm.matches,_xlfn._xlws.FILTER(_xlfn.HSTACK(DATEVALUE(tblCarryingExpenses[Date]),VALUE(tblCarryingExpenses[Amount])),(tblCarryingExpenses[Include]="Yes")*(tblCarryingExpenses[Category]=_xlpm.cat)),_xlpm.sorted,_xlfn.SORTBY(_xlpm.matches,INDEX(_xlpm.matches,,1),1),IFERROR(INDEX(_xlpm.sorted,_xlpm.n,1),""))</f>
        <v/>
      </c>
      <c r="N15" s="5" cm="1">
        <f t="array" ref="N15">_xlfn.LET(_xlpm.cat,M$1,_xlpm.n,ROWS(N$4:N15),_xlpm.matches,_xlfn._xlws.FILTER(_xlfn.HSTACK(DATEVALUE(tblCarryingExpenses[Date]),VALUE(tblCarryingExpenses[Amount])),(tblCarryingExpenses[Include]="Yes")*(tblCarryingExpenses[Category]=_xlpm.cat)),_xlpm.sorted,_xlfn.SORTBY(_xlpm.matches,INDEX(_xlpm.matches,,1),1),IFERROR(INDEX(_xlpm.sorted,_xlpm.n,2),""))</f>
        <v>0</v>
      </c>
      <c r="O15" s="210"/>
      <c r="P15" s="12">
        <v>46188</v>
      </c>
      <c r="Q15" s="5">
        <v>22.52</v>
      </c>
      <c r="R15" s="210"/>
      <c r="S15" s="12" t="str" cm="1">
        <f t="array" ref="S15">_xlfn.LET(_xlpm.cat,S$1,_xlpm.n,ROWS(S$4:S15),_xlpm.matches,_xlfn._xlws.FILTER(_xlfn.HSTACK(DATEVALUE(tblCarryingExpenses[Date]),VALUE(tblCarryingExpenses[Amount])),(tblCarryingExpenses[Include]="Yes")*(tblCarryingExpenses[Category]=_xlpm.cat)),_xlpm.sorted,_xlfn.SORTBY(_xlpm.matches,INDEX(_xlpm.matches,,1),1),IFERROR(INDEX(_xlpm.sorted,_xlpm.n,1),""))</f>
        <v/>
      </c>
      <c r="T15" s="5" cm="1">
        <f t="array" ref="T15">_xlfn.LET(_xlpm.cat,S$1,_xlpm.n,ROWS(T$4:T15),_xlpm.matches,_xlfn._xlws.FILTER(_xlfn.HSTACK(DATEVALUE(tblCarryingExpenses[Date]),VALUE(tblCarryingExpenses[Amount])),(tblCarryingExpenses[Include]="Yes")*(tblCarryingExpenses[Category]=_xlpm.cat)),_xlpm.sorted,_xlfn.SORTBY(_xlpm.matches,INDEX(_xlpm.matches,,1),1),IFERROR(INDEX(_xlpm.sorted,_xlpm.n,2),""))</f>
        <v>0</v>
      </c>
      <c r="U15" s="210"/>
      <c r="V15" s="12" t="str" cm="1">
        <f t="array" ref="V15">_xlfn.LET(_xlpm.cat,V$1,_xlpm.n,ROWS(V$4:V15),_xlpm.matches,_xlfn._xlws.FILTER(_xlfn.HSTACK(DATEVALUE(tblCarryingExpenses[Date]),VALUE(tblCarryingExpenses[Amount])),(tblCarryingExpenses[Include]="Yes")*(tblCarryingExpenses[Category]=_xlpm.cat)),_xlpm.sorted,_xlfn.SORTBY(_xlpm.matches,INDEX(_xlpm.matches,,1),1),IFERROR(INDEX(_xlpm.sorted,_xlpm.n,1),""))</f>
        <v/>
      </c>
      <c r="W15" s="5" cm="1">
        <f t="array" ref="W15">_xlfn.LET(_xlpm.cat,V$1,_xlpm.n,ROWS(W$4:W15),_xlpm.matches,_xlfn._xlws.FILTER(_xlfn.HSTACK(DATEVALUE(tblCarryingExpenses[Date]),VALUE(tblCarryingExpenses[Amount])),(tblCarryingExpenses[Include]="Yes")*(tblCarryingExpenses[Category]=_xlpm.cat)),_xlpm.sorted,_xlfn.SORTBY(_xlpm.matches,INDEX(_xlpm.matches,,1),1),IFERROR(INDEX(_xlpm.sorted,_xlpm.n,2),""))</f>
        <v>0</v>
      </c>
      <c r="X15" s="210"/>
      <c r="Y15" s="12" t="str" cm="1">
        <f t="array" ref="Y15">_xlfn.LET(_xlpm.cat,Y$1,_xlpm.n,ROWS(Y$4:Y15),_xlpm.matches,_xlfn._xlws.FILTER(_xlfn.HSTACK(DATEVALUE(tblCarryingExpenses[Date]),VALUE(tblCarryingExpenses[Amount])),(tblCarryingExpenses[Include]="Yes")*(tblCarryingExpenses[Category]=_xlpm.cat)),_xlpm.sorted,_xlfn.SORTBY(_xlpm.matches,INDEX(_xlpm.matches,,1),1),IFERROR(INDEX(_xlpm.sorted,_xlpm.n,1),""))</f>
        <v/>
      </c>
      <c r="Z15" s="5" cm="1">
        <f t="array" ref="Z15">_xlfn.LET(_xlpm.cat,Y$1,_xlpm.n,ROWS(Z$4:Z15),_xlpm.matches,_xlfn._xlws.FILTER(_xlfn.HSTACK(DATEVALUE(tblCarryingExpenses[Date]),VALUE(tblCarryingExpenses[Amount])),(tblCarryingExpenses[Include]="Yes")*(tblCarryingExpenses[Category]=_xlpm.cat)),_xlpm.sorted,_xlfn.SORTBY(_xlpm.matches,INDEX(_xlpm.matches,,1),1),IFERROR(INDEX(_xlpm.sorted,_xlpm.n,2),""))</f>
        <v>0</v>
      </c>
      <c r="AA15" s="583">
        <f t="shared" si="0"/>
        <v>0</v>
      </c>
      <c r="AB15" s="12" t="str" cm="1">
        <f t="array" ref="AB15">_xlfn.LET(_xlpm.cat,AB$1,_xlpm.n,ROWS(AB$4:AB15),_xlpm.matches,_xlfn._xlws.FILTER(_xlfn.HSTACK(DATEVALUE(tblCarryingExpenses[Date]),VALUE(tblCarryingExpenses[Amount])),(tblCarryingExpenses[Include]="Yes")*(tblCarryingExpenses[Category]=_xlpm.cat)),_xlpm.sorted,_xlfn.SORTBY(_xlpm.matches,INDEX(_xlpm.matches,,1),1),IFERROR(INDEX(_xlpm.sorted,_xlpm.n,1),""))</f>
        <v/>
      </c>
      <c r="AC15" s="5" cm="1">
        <f t="array" ref="AC15">_xlfn.LET(_xlpm.cat,AB$1,_xlpm.n,ROWS(AC$4:AC15),_xlpm.matches,_xlfn._xlws.FILTER(_xlfn.HSTACK(DATEVALUE(tblCarryingExpenses[Date]),VALUE(tblCarryingExpenses[Amount])),(tblCarryingExpenses[Include]="Yes")*(tblCarryingExpenses[Category]=_xlpm.cat)),_xlpm.sorted,_xlfn.SORTBY(_xlpm.matches,INDEX(_xlpm.matches,,1),1),IFERROR(INDEX(_xlpm.sorted,_xlpm.n,2),""))</f>
        <v>0</v>
      </c>
      <c r="AD15" s="210"/>
      <c r="AE15" s="12" t="str" cm="1">
        <f t="array" ref="AE15">_xlfn.LET(_xlpm.cat,AE$1,_xlpm.n,ROWS(AE$4:AE15),_xlpm.matches,_xlfn._xlws.FILTER(_xlfn.HSTACK(DATEVALUE(tblCarryingExpenses[Date]),VALU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DATEVALUE(tblCarryingExpenses[Date]),VALUE(tblCarryingExpenses[Amount])),(tblCarryingExpenses[Include]="Yes")*(tblCarryingExpenses[Category]=_xlpm.cat)),_xlpm.sorted,_xlfn.SORTBY(_xlpm.matches,INDEX(_xlpm.matches,,1),1),IFERROR(INDEX(_xlpm.sorted,_xlpm.n,2),""))</f>
        <v/>
      </c>
      <c r="AG15" s="210"/>
      <c r="AL15" t="s">
        <v>458</v>
      </c>
      <c r="AM15" t="s">
        <v>1523</v>
      </c>
      <c r="AN15" s="12">
        <v>46244</v>
      </c>
      <c r="AP15" t="s">
        <v>1534</v>
      </c>
      <c r="AQ15" s="5">
        <v>0</v>
      </c>
      <c r="AR15" t="s">
        <v>1535</v>
      </c>
      <c r="AT15" t="s">
        <v>1536</v>
      </c>
      <c r="AU15" t="s">
        <v>1537</v>
      </c>
      <c r="AV15" t="s">
        <v>1550</v>
      </c>
    </row>
    <row r="16" spans="1:48">
      <c r="A16" s="12" t="str" cm="1">
        <f t="array" ref="A16">_xlfn.LET(_xlpm.cat,A$1,_xlpm.n,ROWS(A$4:A16),_xlpm.matches,_xlfn._xlws.FILTER(_xlfn.HSTACK(DATEVALUE(tblCarryingExpenses[Date]),VALUE(tblCarryingExpenses[Amount])),(tblCarryingExpenses[Include]="Yes")*(tblCarryingExpenses[Category]=_xlpm.cat)),_xlpm.sorted,_xlfn.SORTBY(_xlpm.matches,INDEX(_xlpm.matches,,1),1),IFERROR(INDEX(_xlpm.sorted,_xlpm.n,1),""))</f>
        <v/>
      </c>
      <c r="B16" s="5" cm="1">
        <f t="array" ref="B16">_xlfn.LET(_xlpm.cat,A$1,_xlpm.n,ROWS(B$4:B16),_xlpm.matches,_xlfn._xlws.FILTER(_xlfn.HSTACK(DATEVALUE(tblCarryingExpenses[Date]),VALUE(tblCarryingExpenses[Amount])),(tblCarryingExpenses[Include]="Yes")*(tblCarryingExpenses[Category]=_xlpm.cat)),_xlpm.sorted,_xlfn.SORTBY(_xlpm.matches,INDEX(_xlpm.matches,,1),1),IFERROR(INDEX(_xlpm.sorted,_xlpm.n,2),""))</f>
        <v>0</v>
      </c>
      <c r="C16" s="210"/>
      <c r="D16" s="12" t="str" cm="1">
        <f t="array" ref="D16">_xlfn.LET(_xlpm.cat,IF(D$1="Mortgage Payment paid after Reinstatement","Mortgage Payment",D$1),_xlpm.n,ROWS(D$4:D16),_xlpm.matches,_xlfn._xlws.FILTER(_xlfn.HSTACK(DATEVALUE(tblCarryingExpenses[Date]),VALUE(tblCarryingExpenses[Amount])),(tblCarryingExpenses[Include]="Yes")*(tblCarryingExpenses[Category]=_xlpm.cat)),_xlpm.sorted,_xlfn.SORTBY(_xlpm.matches,INDEX(_xlpm.matches,,1),1),IFERROR(INDEX(_xlpm.sorted,_xlpm.n,1),""))</f>
        <v/>
      </c>
      <c r="E16" s="5" cm="1">
        <f t="array" ref="E16">_xlfn.LET(_xlpm.cat,IF(D$1="Mortgage Payment paid after Reinstatement","Mortgage Payment",D$1),_xlpm.n,ROWS(E$4:E16),_xlpm.matches,_xlfn._xlws.FILTER(_xlfn.HSTACK(DATEVALUE(tblCarryingExpenses[Date]),VALUE(tblCarryingExpenses[Amount])),(tblCarryingExpenses[Include]="Yes")*(tblCarryingExpenses[Category]=_xlpm.cat)),_xlpm.sorted,_xlfn.SORTBY(_xlpm.matches,INDEX(_xlpm.matches,,1),1),IFERROR(INDEX(_xlpm.sorted,_xlpm.n,2),""))</f>
        <v>0</v>
      </c>
      <c r="F16" s="210"/>
      <c r="G16" s="12" t="str" cm="1">
        <f t="array" ref="G16">_xlfn.LET(_xlpm.cat,G$1,_xlpm.n,ROWS(G$4:G16),_xlpm.matches,_xlfn._xlws.FILTER(_xlfn.HSTACK(DATEVALUE(tblCarryingExpenses[Date]),VALUE(tblCarryingExpenses[Amount])),(tblCarryingExpenses[Include]="Yes")*(tblCarryingExpenses[Category]=_xlpm.cat)),_xlpm.sorted,_xlfn.SORTBY(_xlpm.matches,INDEX(_xlpm.matches,,1),1),IFERROR(INDEX(_xlpm.sorted,_xlpm.n,1),""))</f>
        <v/>
      </c>
      <c r="H16" s="334" cm="1">
        <f t="array" ref="H16">_xlfn.LET(_xlpm.cat,G$1,_xlpm.n,ROWS(H$4:H16),_xlpm.matches,_xlfn._xlws.FILTER(_xlfn.HSTACK(DATEVALUE(tblCarryingExpenses[Date]),VALUE(tblCarryingExpenses[Amount])),(tblCarryingExpenses[Include]="Yes")*(tblCarryingExpenses[Category]=_xlpm.cat)),_xlpm.sorted,_xlfn.SORTBY(_xlpm.matches,INDEX(_xlpm.matches,,1),1),IFERROR(INDEX(_xlpm.sorted,_xlpm.n,2),""))</f>
        <v>0</v>
      </c>
      <c r="I16" s="210"/>
      <c r="J16" s="12" t="str" cm="1">
        <f t="array" ref="J16">_xlfn.LET(_xlpm.cat,J$1,_xlpm.n,ROWS(J$4:J16),_xlpm.matches,_xlfn._xlws.FILTER(_xlfn.HSTACK(DATEVALUE(tblCarryingExpenses[Date]),VALUE(tblCarryingExpenses[Amount])),(tblCarryingExpenses[Include]="Yes")*(tblCarryingExpenses[Category]=_xlpm.cat)),_xlpm.sorted,_xlfn.SORTBY(_xlpm.matches,INDEX(_xlpm.matches,,1),1),IFERROR(INDEX(_xlpm.sorted,_xlpm.n,1),""))</f>
        <v/>
      </c>
      <c r="K16" s="5" cm="1">
        <f t="array" ref="K16">_xlfn.LET(_xlpm.cat,J$1,_xlpm.n,ROWS(K$4:K16),_xlpm.matches,_xlfn._xlws.FILTER(_xlfn.HSTACK(DATEVALUE(tblCarryingExpenses[Date]),VALUE(tblCarryingExpenses[Amount])),(tblCarryingExpenses[Include]="Yes")*(tblCarryingExpenses[Category]=_xlpm.cat)),_xlpm.sorted,_xlfn.SORTBY(_xlpm.matches,INDEX(_xlpm.matches,,1),1),IFERROR(INDEX(_xlpm.sorted,_xlpm.n,2),""))</f>
        <v>981.74</v>
      </c>
      <c r="L16" s="210"/>
      <c r="M16" s="12" t="str" cm="1">
        <f t="array" ref="M16">_xlfn.LET(_xlpm.cat,M$1,_xlpm.n,ROWS(M$4:M16),_xlpm.matches,_xlfn._xlws.FILTER(_xlfn.HSTACK(DATEVALUE(tblCarryingExpenses[Date]),VALUE(tblCarryingExpenses[Amount])),(tblCarryingExpenses[Include]="Yes")*(tblCarryingExpenses[Category]=_xlpm.cat)),_xlpm.sorted,_xlfn.SORTBY(_xlpm.matches,INDEX(_xlpm.matches,,1),1),IFERROR(INDEX(_xlpm.sorted,_xlpm.n,1),""))</f>
        <v/>
      </c>
      <c r="N16" s="5" cm="1">
        <f t="array" ref="N16">_xlfn.LET(_xlpm.cat,M$1,_xlpm.n,ROWS(N$4:N16),_xlpm.matches,_xlfn._xlws.FILTER(_xlfn.HSTACK(DATEVALUE(tblCarryingExpenses[Date]),VALUE(tblCarryingExpenses[Amount])),(tblCarryingExpenses[Include]="Yes")*(tblCarryingExpenses[Category]=_xlpm.cat)),_xlpm.sorted,_xlfn.SORTBY(_xlpm.matches,INDEX(_xlpm.matches,,1),1),IFERROR(INDEX(_xlpm.sorted,_xlpm.n,2),""))</f>
        <v>0</v>
      </c>
      <c r="O16" s="210"/>
      <c r="P16" s="12" t="str" cm="1">
        <f t="array" ref="P16">_xlfn.LET(_xlpm.cat,P$1,_xlpm.n,ROWS(P$4:P16),_xlpm.matches,_xlfn._xlws.FILTER(_xlfn.HSTACK(DATEVALUE(tblCarryingExpenses[Date]),VALUE(tblCarryingExpenses[Amount])),(tblCarryingExpenses[Include]="Yes")*(tblCarryingExpenses[Category]=_xlpm.cat)),_xlpm.sorted,_xlfn.SORTBY(_xlpm.matches,INDEX(_xlpm.matches,,1),1),IFERROR(INDEX(_xlpm.sorted,_xlpm.n,1),""))</f>
        <v/>
      </c>
      <c r="Q16" s="5" cm="1">
        <f t="array" ref="Q16">_xlfn.LET(_xlpm.cat,P$1,_xlpm.n,ROWS(Q$4:Q16),_xlpm.matches,_xlfn._xlws.FILTER(_xlfn.HSTACK(DATEVALUE(tblCarryingExpenses[Date]),VALUE(tblCarryingExpenses[Amount])),(tblCarryingExpenses[Include]="Yes")*(tblCarryingExpenses[Category]=_xlpm.cat)),_xlpm.sorted,_xlfn.SORTBY(_xlpm.matches,INDEX(_xlpm.matches,,1),1),IFERROR(INDEX(_xlpm.sorted,_xlpm.n,2),""))</f>
        <v>0</v>
      </c>
      <c r="R16" s="210"/>
      <c r="S16" s="12" t="str" cm="1">
        <f t="array" ref="S16">_xlfn.LET(_xlpm.cat,S$1,_xlpm.n,ROWS(S$4:S16),_xlpm.matches,_xlfn._xlws.FILTER(_xlfn.HSTACK(DATEVALUE(tblCarryingExpenses[Date]),VALUE(tblCarryingExpenses[Amount])),(tblCarryingExpenses[Include]="Yes")*(tblCarryingExpenses[Category]=_xlpm.cat)),_xlpm.sorted,_xlfn.SORTBY(_xlpm.matches,INDEX(_xlpm.matches,,1),1),IFERROR(INDEX(_xlpm.sorted,_xlpm.n,1),""))</f>
        <v/>
      </c>
      <c r="T16" s="5" cm="1">
        <f t="array" ref="T16">_xlfn.LET(_xlpm.cat,S$1,_xlpm.n,ROWS(T$4:T16),_xlpm.matches,_xlfn._xlws.FILTER(_xlfn.HSTACK(DATEVALUE(tblCarryingExpenses[Date]),VALUE(tblCarryingExpenses[Amount])),(tblCarryingExpenses[Include]="Yes")*(tblCarryingExpenses[Category]=_xlpm.cat)),_xlpm.sorted,_xlfn.SORTBY(_xlpm.matches,INDEX(_xlpm.matches,,1),1),IFERROR(INDEX(_xlpm.sorted,_xlpm.n,2),""))</f>
        <v>0</v>
      </c>
      <c r="U16" s="210"/>
      <c r="V16" s="12" t="str" cm="1">
        <f t="array" ref="V16">_xlfn.LET(_xlpm.cat,V$1,_xlpm.n,ROWS(V$4:V16),_xlpm.matches,_xlfn._xlws.FILTER(_xlfn.HSTACK(DATEVALUE(tblCarryingExpenses[Date]),VALUE(tblCarryingExpenses[Amount])),(tblCarryingExpenses[Include]="Yes")*(tblCarryingExpenses[Category]=_xlpm.cat)),_xlpm.sorted,_xlfn.SORTBY(_xlpm.matches,INDEX(_xlpm.matches,,1),1),IFERROR(INDEX(_xlpm.sorted,_xlpm.n,1),""))</f>
        <v/>
      </c>
      <c r="W16" s="5" cm="1">
        <f t="array" ref="W16">_xlfn.LET(_xlpm.cat,V$1,_xlpm.n,ROWS(W$4:W16),_xlpm.matches,_xlfn._xlws.FILTER(_xlfn.HSTACK(DATEVALUE(tblCarryingExpenses[Date]),VALUE(tblCarryingExpenses[Amount])),(tblCarryingExpenses[Include]="Yes")*(tblCarryingExpenses[Category]=_xlpm.cat)),_xlpm.sorted,_xlfn.SORTBY(_xlpm.matches,INDEX(_xlpm.matches,,1),1),IFERROR(INDEX(_xlpm.sorted,_xlpm.n,2),""))</f>
        <v>0</v>
      </c>
      <c r="X16" s="210"/>
      <c r="Y16" s="12" t="str" cm="1">
        <f t="array" ref="Y16">_xlfn.LET(_xlpm.cat,Y$1,_xlpm.n,ROWS(Y$4:Y16),_xlpm.matches,_xlfn._xlws.FILTER(_xlfn.HSTACK(DATEVALUE(tblCarryingExpenses[Date]),VALUE(tblCarryingExpenses[Amount])),(tblCarryingExpenses[Include]="Yes")*(tblCarryingExpenses[Category]=_xlpm.cat)),_xlpm.sorted,_xlfn.SORTBY(_xlpm.matches,INDEX(_xlpm.matches,,1),1),IFERROR(INDEX(_xlpm.sorted,_xlpm.n,1),""))</f>
        <v/>
      </c>
      <c r="Z16" s="5" cm="1">
        <f t="array" ref="Z16">_xlfn.LET(_xlpm.cat,Y$1,_xlpm.n,ROWS(Z$4:Z16),_xlpm.matches,_xlfn._xlws.FILTER(_xlfn.HSTACK(DATEVALUE(tblCarryingExpenses[Date]),VALUE(tblCarryingExpenses[Amount])),(tblCarryingExpenses[Include]="Yes")*(tblCarryingExpenses[Category]=_xlpm.cat)),_xlpm.sorted,_xlfn.SORTBY(_xlpm.matches,INDEX(_xlpm.matches,,1),1),IFERROR(INDEX(_xlpm.sorted,_xlpm.n,2),""))</f>
        <v>0</v>
      </c>
      <c r="AA16" s="583">
        <f t="shared" si="0"/>
        <v>0</v>
      </c>
      <c r="AB16" s="12" t="str" cm="1">
        <f t="array" ref="AB16">_xlfn.LET(_xlpm.cat,AB$1,_xlpm.n,ROWS(AB$4:AB16),_xlpm.matches,_xlfn._xlws.FILTER(_xlfn.HSTACK(DATEVALUE(tblCarryingExpenses[Date]),VALUE(tblCarryingExpenses[Amount])),(tblCarryingExpenses[Include]="Yes")*(tblCarryingExpenses[Category]=_xlpm.cat)),_xlpm.sorted,_xlfn.SORTBY(_xlpm.matches,INDEX(_xlpm.matches,,1),1),IFERROR(INDEX(_xlpm.sorted,_xlpm.n,1),""))</f>
        <v/>
      </c>
      <c r="AC16" s="5" cm="1">
        <f t="array" ref="AC16">_xlfn.LET(_xlpm.cat,AB$1,_xlpm.n,ROWS(AC$4:AC16),_xlpm.matches,_xlfn._xlws.FILTER(_xlfn.HSTACK(DATEVALUE(tblCarryingExpenses[Date]),VALUE(tblCarryingExpenses[Amount])),(tblCarryingExpenses[Include]="Yes")*(tblCarryingExpenses[Category]=_xlpm.cat)),_xlpm.sorted,_xlfn.SORTBY(_xlpm.matches,INDEX(_xlpm.matches,,1),1),IFERROR(INDEX(_xlpm.sorted,_xlpm.n,2),""))</f>
        <v>0</v>
      </c>
      <c r="AD16" s="210"/>
      <c r="AE16" s="12" t="str" cm="1">
        <f t="array" ref="AE16">_xlfn.LET(_xlpm.cat,AE$1,_xlpm.n,ROWS(AE$4:AE16),_xlpm.matches,_xlfn._xlws.FILTER(_xlfn.HSTACK(DATEVALUE(tblCarryingExpenses[Date]),VALU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DATEVALUE(tblCarryingExpenses[Date]),VALUE(tblCarryingExpenses[Amount])),(tblCarryingExpenses[Include]="Yes")*(tblCarryingExpenses[Category]=_xlpm.cat)),_xlpm.sorted,_xlfn.SORTBY(_xlpm.matches,INDEX(_xlpm.matches,,1),1),IFERROR(INDEX(_xlpm.sorted,_xlpm.n,2),""))</f>
        <v/>
      </c>
      <c r="AG16" s="210"/>
      <c r="AL16" t="s">
        <v>458</v>
      </c>
      <c r="AM16" t="s">
        <v>1523</v>
      </c>
      <c r="AN16" s="12">
        <v>46274</v>
      </c>
      <c r="AP16" t="s">
        <v>1534</v>
      </c>
      <c r="AQ16" s="5">
        <v>0</v>
      </c>
      <c r="AR16" t="s">
        <v>1535</v>
      </c>
      <c r="AT16" t="s">
        <v>1536</v>
      </c>
      <c r="AU16" t="s">
        <v>1537</v>
      </c>
      <c r="AV16" t="s">
        <v>1551</v>
      </c>
    </row>
    <row r="17" spans="1:48">
      <c r="A17" s="12" t="str" cm="1">
        <f t="array" ref="A17">_xlfn.LET(_xlpm.cat,A$1,_xlpm.n,ROWS(A$4:A17),_xlpm.matches,_xlfn._xlws.FILTER(_xlfn.HSTACK(DATEVALUE(tblCarryingExpenses[Date]),VALUE(tblCarryingExpenses[Amount])),(tblCarryingExpenses[Include]="Yes")*(tblCarryingExpenses[Category]=_xlpm.cat)),_xlpm.sorted,_xlfn.SORTBY(_xlpm.matches,INDEX(_xlpm.matches,,1),1),IFERROR(INDEX(_xlpm.sorted,_xlpm.n,1),""))</f>
        <v/>
      </c>
      <c r="B17" s="5" cm="1">
        <f t="array" ref="B17">_xlfn.LET(_xlpm.cat,A$1,_xlpm.n,ROWS(B$4:B17),_xlpm.matches,_xlfn._xlws.FILTER(_xlfn.HSTACK(DATEVALUE(tblCarryingExpenses[Date]),VALUE(tblCarryingExpenses[Amount])),(tblCarryingExpenses[Include]="Yes")*(tblCarryingExpenses[Category]=_xlpm.cat)),_xlpm.sorted,_xlfn.SORTBY(_xlpm.matches,INDEX(_xlpm.matches,,1),1),IFERROR(INDEX(_xlpm.sorted,_xlpm.n,2),""))</f>
        <v>0</v>
      </c>
      <c r="C17" s="210"/>
      <c r="D17" s="12" t="str" cm="1">
        <f t="array" ref="D17">_xlfn.LET(_xlpm.cat,IF(D$1="Mortgage Payment paid after Reinstatement","Mortgage Payment",D$1),_xlpm.n,ROWS(D$4:D17),_xlpm.matches,_xlfn._xlws.FILTER(_xlfn.HSTACK(DATEVALUE(tblCarryingExpenses[Date]),VALUE(tblCarryingExpenses[Amount])),(tblCarryingExpenses[Include]="Yes")*(tblCarryingExpenses[Category]=_xlpm.cat)),_xlpm.sorted,_xlfn.SORTBY(_xlpm.matches,INDEX(_xlpm.matches,,1),1),IFERROR(INDEX(_xlpm.sorted,_xlpm.n,1),""))</f>
        <v/>
      </c>
      <c r="E17" s="5" cm="1">
        <f t="array" ref="E17">_xlfn.LET(_xlpm.cat,IF(D$1="Mortgage Payment paid after Reinstatement","Mortgage Payment",D$1),_xlpm.n,ROWS(E$4:E17),_xlpm.matches,_xlfn._xlws.FILTER(_xlfn.HSTACK(DATEVALUE(tblCarryingExpenses[Date]),VALUE(tblCarryingExpenses[Amount])),(tblCarryingExpenses[Include]="Yes")*(tblCarryingExpenses[Category]=_xlpm.cat)),_xlpm.sorted,_xlfn.SORTBY(_xlpm.matches,INDEX(_xlpm.matches,,1),1),IFERROR(INDEX(_xlpm.sorted,_xlpm.n,2),""))</f>
        <v>0</v>
      </c>
      <c r="F17" s="210"/>
      <c r="G17" s="12" t="str" cm="1">
        <f t="array" ref="G17">_xlfn.LET(_xlpm.cat,G$1,_xlpm.n,ROWS(G$4:G17),_xlpm.matches,_xlfn._xlws.FILTER(_xlfn.HSTACK(DATEVALUE(tblCarryingExpenses[Date]),VALUE(tblCarryingExpenses[Amount])),(tblCarryingExpenses[Include]="Yes")*(tblCarryingExpenses[Category]=_xlpm.cat)),_xlpm.sorted,_xlfn.SORTBY(_xlpm.matches,INDEX(_xlpm.matches,,1),1),IFERROR(INDEX(_xlpm.sorted,_xlpm.n,1),""))</f>
        <v/>
      </c>
      <c r="H17" s="334" cm="1">
        <f t="array" ref="H17">_xlfn.LET(_xlpm.cat,G$1,_xlpm.n,ROWS(H$4:H17),_xlpm.matches,_xlfn._xlws.FILTER(_xlfn.HSTACK(DATEVALUE(tblCarryingExpenses[Date]),VALUE(tblCarryingExpenses[Amount])),(tblCarryingExpenses[Include]="Yes")*(tblCarryingExpenses[Category]=_xlpm.cat)),_xlpm.sorted,_xlfn.SORTBY(_xlpm.matches,INDEX(_xlpm.matches,,1),1),IFERROR(INDEX(_xlpm.sorted,_xlpm.n,2),""))</f>
        <v>0</v>
      </c>
      <c r="I17" s="210"/>
      <c r="J17" s="12" t="str" cm="1">
        <f t="array" ref="J17">_xlfn.LET(_xlpm.cat,J$1,_xlpm.n,ROWS(J$4:J17),_xlpm.matches,_xlfn._xlws.FILTER(_xlfn.HSTACK(DATEVALUE(tblCarryingExpenses[Date]),VALUE(tblCarryingExpenses[Amount])),(tblCarryingExpenses[Include]="Yes")*(tblCarryingExpenses[Category]=_xlpm.cat)),_xlpm.sorted,_xlfn.SORTBY(_xlpm.matches,INDEX(_xlpm.matches,,1),1),IFERROR(INDEX(_xlpm.sorted,_xlpm.n,1),""))</f>
        <v/>
      </c>
      <c r="K17" s="5" cm="1">
        <f t="array" ref="K17">_xlfn.LET(_xlpm.cat,J$1,_xlpm.n,ROWS(K$4:K17),_xlpm.matches,_xlfn._xlws.FILTER(_xlfn.HSTACK(DATEVALUE(tblCarryingExpenses[Date]),VALUE(tblCarryingExpenses[Amount])),(tblCarryingExpenses[Include]="Yes")*(tblCarryingExpenses[Category]=_xlpm.cat)),_xlpm.sorted,_xlfn.SORTBY(_xlpm.matches,INDEX(_xlpm.matches,,1),1),IFERROR(INDEX(_xlpm.sorted,_xlpm.n,2),""))</f>
        <v>0</v>
      </c>
      <c r="L17" s="210"/>
      <c r="M17" s="12" t="str" cm="1">
        <f t="array" ref="M17">_xlfn.LET(_xlpm.cat,M$1,_xlpm.n,ROWS(M$4:M17),_xlpm.matches,_xlfn._xlws.FILTER(_xlfn.HSTACK(DATEVALUE(tblCarryingExpenses[Date]),VALUE(tblCarryingExpenses[Amount])),(tblCarryingExpenses[Include]="Yes")*(tblCarryingExpenses[Category]=_xlpm.cat)),_xlpm.sorted,_xlfn.SORTBY(_xlpm.matches,INDEX(_xlpm.matches,,1),1),IFERROR(INDEX(_xlpm.sorted,_xlpm.n,1),""))</f>
        <v/>
      </c>
      <c r="N17" s="5" cm="1">
        <f t="array" ref="N17">_xlfn.LET(_xlpm.cat,M$1,_xlpm.n,ROWS(N$4:N17),_xlpm.matches,_xlfn._xlws.FILTER(_xlfn.HSTACK(DATEVALUE(tblCarryingExpenses[Date]),VALUE(tblCarryingExpenses[Amount])),(tblCarryingExpenses[Include]="Yes")*(tblCarryingExpenses[Category]=_xlpm.cat)),_xlpm.sorted,_xlfn.SORTBY(_xlpm.matches,INDEX(_xlpm.matches,,1),1),IFERROR(INDEX(_xlpm.sorted,_xlpm.n,2),""))</f>
        <v>0</v>
      </c>
      <c r="O17" s="210"/>
      <c r="P17" s="12" t="str" cm="1">
        <f t="array" ref="P17">_xlfn.LET(_xlpm.cat,P$1,_xlpm.n,ROWS(P$4:P17),_xlpm.matches,_xlfn._xlws.FILTER(_xlfn.HSTACK(DATEVALUE(tblCarryingExpenses[Date]),VALUE(tblCarryingExpenses[Amount])),(tblCarryingExpenses[Include]="Yes")*(tblCarryingExpenses[Category]=_xlpm.cat)),_xlpm.sorted,_xlfn.SORTBY(_xlpm.matches,INDEX(_xlpm.matches,,1),1),IFERROR(INDEX(_xlpm.sorted,_xlpm.n,1),""))</f>
        <v/>
      </c>
      <c r="Q17" s="5" cm="1">
        <f t="array" ref="Q17">_xlfn.LET(_xlpm.cat,P$1,_xlpm.n,ROWS(Q$4:Q17),_xlpm.matches,_xlfn._xlws.FILTER(_xlfn.HSTACK(DATEVALUE(tblCarryingExpenses[Date]),VALUE(tblCarryingExpenses[Amount])),(tblCarryingExpenses[Include]="Yes")*(tblCarryingExpenses[Category]=_xlpm.cat)),_xlpm.sorted,_xlfn.SORTBY(_xlpm.matches,INDEX(_xlpm.matches,,1),1),IFERROR(INDEX(_xlpm.sorted,_xlpm.n,2),""))</f>
        <v>0</v>
      </c>
      <c r="R17" s="210"/>
      <c r="S17" s="12" t="str" cm="1">
        <f t="array" ref="S17">_xlfn.LET(_xlpm.cat,S$1,_xlpm.n,ROWS(S$4:S17),_xlpm.matches,_xlfn._xlws.FILTER(_xlfn.HSTACK(DATEVALUE(tblCarryingExpenses[Date]),VALUE(tblCarryingExpenses[Amount])),(tblCarryingExpenses[Include]="Yes")*(tblCarryingExpenses[Category]=_xlpm.cat)),_xlpm.sorted,_xlfn.SORTBY(_xlpm.matches,INDEX(_xlpm.matches,,1),1),IFERROR(INDEX(_xlpm.sorted,_xlpm.n,1),""))</f>
        <v/>
      </c>
      <c r="T17" s="5" cm="1">
        <f t="array" ref="T17">_xlfn.LET(_xlpm.cat,S$1,_xlpm.n,ROWS(T$4:T17),_xlpm.matches,_xlfn._xlws.FILTER(_xlfn.HSTACK(DATEVALUE(tblCarryingExpenses[Date]),VALUE(tblCarryingExpenses[Amount])),(tblCarryingExpenses[Include]="Yes")*(tblCarryingExpenses[Category]=_xlpm.cat)),_xlpm.sorted,_xlfn.SORTBY(_xlpm.matches,INDEX(_xlpm.matches,,1),1),IFERROR(INDEX(_xlpm.sorted,_xlpm.n,2),""))</f>
        <v>0</v>
      </c>
      <c r="U17" s="210"/>
      <c r="V17" s="12" t="str" cm="1">
        <f t="array" ref="V17">_xlfn.LET(_xlpm.cat,V$1,_xlpm.n,ROWS(V$4:V17),_xlpm.matches,_xlfn._xlws.FILTER(_xlfn.HSTACK(DATEVALUE(tblCarryingExpenses[Date]),VALUE(tblCarryingExpenses[Amount])),(tblCarryingExpenses[Include]="Yes")*(tblCarryingExpenses[Category]=_xlpm.cat)),_xlpm.sorted,_xlfn.SORTBY(_xlpm.matches,INDEX(_xlpm.matches,,1),1),IFERROR(INDEX(_xlpm.sorted,_xlpm.n,1),""))</f>
        <v/>
      </c>
      <c r="W17" s="5" cm="1">
        <f t="array" ref="W17">_xlfn.LET(_xlpm.cat,V$1,_xlpm.n,ROWS(W$4:W17),_xlpm.matches,_xlfn._xlws.FILTER(_xlfn.HSTACK(DATEVALUE(tblCarryingExpenses[Date]),VALUE(tblCarryingExpenses[Amount])),(tblCarryingExpenses[Include]="Yes")*(tblCarryingExpenses[Category]=_xlpm.cat)),_xlpm.sorted,_xlfn.SORTBY(_xlpm.matches,INDEX(_xlpm.matches,,1),1),IFERROR(INDEX(_xlpm.sorted,_xlpm.n,2),""))</f>
        <v>0</v>
      </c>
      <c r="X17" s="210"/>
      <c r="Y17" s="12" t="str" cm="1">
        <f t="array" ref="Y17">_xlfn.LET(_xlpm.cat,Y$1,_xlpm.n,ROWS(Y$4:Y17),_xlpm.matches,_xlfn._xlws.FILTER(_xlfn.HSTACK(DATEVALUE(tblCarryingExpenses[Date]),VALUE(tblCarryingExpenses[Amount])),(tblCarryingExpenses[Include]="Yes")*(tblCarryingExpenses[Category]=_xlpm.cat)),_xlpm.sorted,_xlfn.SORTBY(_xlpm.matches,INDEX(_xlpm.matches,,1),1),IFERROR(INDEX(_xlpm.sorted,_xlpm.n,1),""))</f>
        <v/>
      </c>
      <c r="Z17" s="5" cm="1">
        <f t="array" ref="Z17">_xlfn.LET(_xlpm.cat,Y$1,_xlpm.n,ROWS(Z$4:Z17),_xlpm.matches,_xlfn._xlws.FILTER(_xlfn.HSTACK(DATEVALUE(tblCarryingExpenses[Date]),VALUE(tblCarryingExpenses[Amount])),(tblCarryingExpenses[Include]="Yes")*(tblCarryingExpenses[Category]=_xlpm.cat)),_xlpm.sorted,_xlfn.SORTBY(_xlpm.matches,INDEX(_xlpm.matches,,1),1),IFERROR(INDEX(_xlpm.sorted,_xlpm.n,2),""))</f>
        <v>0</v>
      </c>
      <c r="AA17" s="583">
        <f t="shared" si="0"/>
        <v>0</v>
      </c>
      <c r="AB17" s="12" t="str" cm="1">
        <f t="array" ref="AB17">_xlfn.LET(_xlpm.cat,AB$1,_xlpm.n,ROWS(AB$4:AB17),_xlpm.matches,_xlfn._xlws.FILTER(_xlfn.HSTACK(DATEVALUE(tblCarryingExpenses[Date]),VALUE(tblCarryingExpenses[Amount])),(tblCarryingExpenses[Include]="Yes")*(tblCarryingExpenses[Category]=_xlpm.cat)),_xlpm.sorted,_xlfn.SORTBY(_xlpm.matches,INDEX(_xlpm.matches,,1),1),IFERROR(INDEX(_xlpm.sorted,_xlpm.n,1),""))</f>
        <v/>
      </c>
      <c r="AC17" s="5" cm="1">
        <f t="array" ref="AC17">_xlfn.LET(_xlpm.cat,AB$1,_xlpm.n,ROWS(AC$4:AC17),_xlpm.matches,_xlfn._xlws.FILTER(_xlfn.HSTACK(DATEVALUE(tblCarryingExpenses[Date]),VALUE(tblCarryingExpenses[Amount])),(tblCarryingExpenses[Include]="Yes")*(tblCarryingExpenses[Category]=_xlpm.cat)),_xlpm.sorted,_xlfn.SORTBY(_xlpm.matches,INDEX(_xlpm.matches,,1),1),IFERROR(INDEX(_xlpm.sorted,_xlpm.n,2),""))</f>
        <v>0</v>
      </c>
      <c r="AD17" s="210"/>
      <c r="AE17" s="12" t="str" cm="1">
        <f t="array" ref="AE17">_xlfn.LET(_xlpm.cat,AE$1,_xlpm.n,ROWS(AE$4:AE17),_xlpm.matches,_xlfn._xlws.FILTER(_xlfn.HSTACK(DATEVALUE(tblCarryingExpenses[Date]),VALU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DATEVALUE(tblCarryingExpenses[Date]),VALUE(tblCarryingExpenses[Amount])),(tblCarryingExpenses[Include]="Yes")*(tblCarryingExpenses[Category]=_xlpm.cat)),_xlpm.sorted,_xlfn.SORTBY(_xlpm.matches,INDEX(_xlpm.matches,,1),1),IFERROR(INDEX(_xlpm.sorted,_xlpm.n,2),""))</f>
        <v/>
      </c>
      <c r="AG17" s="210"/>
      <c r="AL17" t="s">
        <v>458</v>
      </c>
      <c r="AM17" t="s">
        <v>1523</v>
      </c>
      <c r="AN17" s="12">
        <v>46305</v>
      </c>
      <c r="AP17" t="s">
        <v>1534</v>
      </c>
      <c r="AQ17" s="5">
        <v>0</v>
      </c>
      <c r="AR17" t="s">
        <v>1535</v>
      </c>
      <c r="AT17" t="s">
        <v>1536</v>
      </c>
      <c r="AU17" t="s">
        <v>1537</v>
      </c>
      <c r="AV17" t="s">
        <v>1552</v>
      </c>
    </row>
    <row r="18" spans="1:48">
      <c r="A18" s="12" t="str" cm="1">
        <f t="array" ref="A18">_xlfn.LET(_xlpm.cat,A$1,_xlpm.n,ROWS(A$4:A18),_xlpm.matches,_xlfn._xlws.FILTER(_xlfn.HSTACK(DATEVALUE(tblCarryingExpenses[Date]),VALUE(tblCarryingExpenses[Amount])),(tblCarryingExpenses[Include]="Yes")*(tblCarryingExpenses[Category]=_xlpm.cat)),_xlpm.sorted,_xlfn.SORTBY(_xlpm.matches,INDEX(_xlpm.matches,,1),1),IFERROR(INDEX(_xlpm.sorted,_xlpm.n,1),""))</f>
        <v/>
      </c>
      <c r="B18" s="5" cm="1">
        <f t="array" ref="B18">_xlfn.LET(_xlpm.cat,A$1,_xlpm.n,ROWS(B$4:B18),_xlpm.matches,_xlfn._xlws.FILTER(_xlfn.HSTACK(DATEVALUE(tblCarryingExpenses[Date]),VALUE(tblCarryingExpenses[Amount])),(tblCarryingExpenses[Include]="Yes")*(tblCarryingExpenses[Category]=_xlpm.cat)),_xlpm.sorted,_xlfn.SORTBY(_xlpm.matches,INDEX(_xlpm.matches,,1),1),IFERROR(INDEX(_xlpm.sorted,_xlpm.n,2),""))</f>
        <v>0</v>
      </c>
      <c r="C18" s="210"/>
      <c r="D18" s="12" t="str" cm="1">
        <f t="array" ref="D18">_xlfn.LET(_xlpm.cat,IF(D$1="Mortgage Payment paid after Reinstatement","Mortgage Payment",D$1),_xlpm.n,ROWS(D$4:D18),_xlpm.matches,_xlfn._xlws.FILTER(_xlfn.HSTACK(DATEVALUE(tblCarryingExpenses[Date]),VALUE(tblCarryingExpenses[Amount])),(tblCarryingExpenses[Include]="Yes")*(tblCarryingExpenses[Category]=_xlpm.cat)),_xlpm.sorted,_xlfn.SORTBY(_xlpm.matches,INDEX(_xlpm.matches,,1),1),IFERROR(INDEX(_xlpm.sorted,_xlpm.n,1),""))</f>
        <v/>
      </c>
      <c r="E18" s="5" cm="1">
        <f t="array" ref="E18">_xlfn.LET(_xlpm.cat,IF(D$1="Mortgage Payment paid after Reinstatement","Mortgage Payment",D$1),_xlpm.n,ROWS(E$4:E18),_xlpm.matches,_xlfn._xlws.FILTER(_xlfn.HSTACK(DATEVALUE(tblCarryingExpenses[Date]),VALUE(tblCarryingExpenses[Amount])),(tblCarryingExpenses[Include]="Yes")*(tblCarryingExpenses[Category]=_xlpm.cat)),_xlpm.sorted,_xlfn.SORTBY(_xlpm.matches,INDEX(_xlpm.matches,,1),1),IFERROR(INDEX(_xlpm.sorted,_xlpm.n,2),""))</f>
        <v>0</v>
      </c>
      <c r="F18" s="210"/>
      <c r="G18" s="12" t="str" cm="1">
        <f t="array" ref="G18">_xlfn.LET(_xlpm.cat,G$1,_xlpm.n,ROWS(G$4:G18),_xlpm.matches,_xlfn._xlws.FILTER(_xlfn.HSTACK(DATEVALUE(tblCarryingExpenses[Date]),VALUE(tblCarryingExpenses[Amount])),(tblCarryingExpenses[Include]="Yes")*(tblCarryingExpenses[Category]=_xlpm.cat)),_xlpm.sorted,_xlfn.SORTBY(_xlpm.matches,INDEX(_xlpm.matches,,1),1),IFERROR(INDEX(_xlpm.sorted,_xlpm.n,1),""))</f>
        <v/>
      </c>
      <c r="H18" s="334" cm="1">
        <f t="array" ref="H18">_xlfn.LET(_xlpm.cat,G$1,_xlpm.n,ROWS(H$4:H18),_xlpm.matches,_xlfn._xlws.FILTER(_xlfn.HSTACK(DATEVALUE(tblCarryingExpenses[Date]),VALUE(tblCarryingExpenses[Amount])),(tblCarryingExpenses[Include]="Yes")*(tblCarryingExpenses[Category]=_xlpm.cat)),_xlpm.sorted,_xlfn.SORTBY(_xlpm.matches,INDEX(_xlpm.matches,,1),1),IFERROR(INDEX(_xlpm.sorted,_xlpm.n,2),""))</f>
        <v>0</v>
      </c>
      <c r="I18" s="210"/>
      <c r="J18" s="12" t="str" cm="1">
        <f t="array" ref="J18">_xlfn.LET(_xlpm.cat,J$1,_xlpm.n,ROWS(J$4:J18),_xlpm.matches,_xlfn._xlws.FILTER(_xlfn.HSTACK(DATEVALUE(tblCarryingExpenses[Date]),VALUE(tblCarryingExpenses[Amount])),(tblCarryingExpenses[Include]="Yes")*(tblCarryingExpenses[Category]=_xlpm.cat)),_xlpm.sorted,_xlfn.SORTBY(_xlpm.matches,INDEX(_xlpm.matches,,1),1),IFERROR(INDEX(_xlpm.sorted,_xlpm.n,1),""))</f>
        <v/>
      </c>
      <c r="K18" s="5" cm="1">
        <f t="array" ref="K18">_xlfn.LET(_xlpm.cat,J$1,_xlpm.n,ROWS(K$4:K18),_xlpm.matches,_xlfn._xlws.FILTER(_xlfn.HSTACK(DATEVALUE(tblCarryingExpenses[Date]),VALUE(tblCarryingExpenses[Amount])),(tblCarryingExpenses[Include]="Yes")*(tblCarryingExpenses[Category]=_xlpm.cat)),_xlpm.sorted,_xlfn.SORTBY(_xlpm.matches,INDEX(_xlpm.matches,,1),1),IFERROR(INDEX(_xlpm.sorted,_xlpm.n,2),""))</f>
        <v>0</v>
      </c>
      <c r="L18" s="210"/>
      <c r="M18" s="12" t="str" cm="1">
        <f t="array" ref="M18">_xlfn.LET(_xlpm.cat,M$1,_xlpm.n,ROWS(M$4:M18),_xlpm.matches,_xlfn._xlws.FILTER(_xlfn.HSTACK(DATEVALUE(tblCarryingExpenses[Date]),VALUE(tblCarryingExpenses[Amount])),(tblCarryingExpenses[Include]="Yes")*(tblCarryingExpenses[Category]=_xlpm.cat)),_xlpm.sorted,_xlfn.SORTBY(_xlpm.matches,INDEX(_xlpm.matches,,1),1),IFERROR(INDEX(_xlpm.sorted,_xlpm.n,1),""))</f>
        <v/>
      </c>
      <c r="N18" s="5" cm="1">
        <f t="array" ref="N18">_xlfn.LET(_xlpm.cat,M$1,_xlpm.n,ROWS(N$4:N18),_xlpm.matches,_xlfn._xlws.FILTER(_xlfn.HSTACK(DATEVALUE(tblCarryingExpenses[Date]),VALUE(tblCarryingExpenses[Amount])),(tblCarryingExpenses[Include]="Yes")*(tblCarryingExpenses[Category]=_xlpm.cat)),_xlpm.sorted,_xlfn.SORTBY(_xlpm.matches,INDEX(_xlpm.matches,,1),1),IFERROR(INDEX(_xlpm.sorted,_xlpm.n,2),""))</f>
        <v>0</v>
      </c>
      <c r="O18" s="210"/>
      <c r="P18" s="12" t="str" cm="1">
        <f t="array" ref="P18">_xlfn.LET(_xlpm.cat,P$1,_xlpm.n,ROWS(P$4:P18),_xlpm.matches,_xlfn._xlws.FILTER(_xlfn.HSTACK(DATEVALUE(tblCarryingExpenses[Date]),VALUE(tblCarryingExpenses[Amount])),(tblCarryingExpenses[Include]="Yes")*(tblCarryingExpenses[Category]=_xlpm.cat)),_xlpm.sorted,_xlfn.SORTBY(_xlpm.matches,INDEX(_xlpm.matches,,1),1),IFERROR(INDEX(_xlpm.sorted,_xlpm.n,1),""))</f>
        <v/>
      </c>
      <c r="Q18" s="5" cm="1">
        <f t="array" ref="Q18">_xlfn.LET(_xlpm.cat,P$1,_xlpm.n,ROWS(Q$4:Q18),_xlpm.matches,_xlfn._xlws.FILTER(_xlfn.HSTACK(DATEVALUE(tblCarryingExpenses[Date]),VALUE(tblCarryingExpenses[Amount])),(tblCarryingExpenses[Include]="Yes")*(tblCarryingExpenses[Category]=_xlpm.cat)),_xlpm.sorted,_xlfn.SORTBY(_xlpm.matches,INDEX(_xlpm.matches,,1),1),IFERROR(INDEX(_xlpm.sorted,_xlpm.n,2),""))</f>
        <v>0</v>
      </c>
      <c r="R18" s="210"/>
      <c r="S18" s="12" t="str" cm="1">
        <f t="array" ref="S18">_xlfn.LET(_xlpm.cat,S$1,_xlpm.n,ROWS(S$4:S18),_xlpm.matches,_xlfn._xlws.FILTER(_xlfn.HSTACK(DATEVALUE(tblCarryingExpenses[Date]),VALUE(tblCarryingExpenses[Amount])),(tblCarryingExpenses[Include]="Yes")*(tblCarryingExpenses[Category]=_xlpm.cat)),_xlpm.sorted,_xlfn.SORTBY(_xlpm.matches,INDEX(_xlpm.matches,,1),1),IFERROR(INDEX(_xlpm.sorted,_xlpm.n,1),""))</f>
        <v/>
      </c>
      <c r="T18" s="5" cm="1">
        <f t="array" ref="T18">_xlfn.LET(_xlpm.cat,S$1,_xlpm.n,ROWS(T$4:T18),_xlpm.matches,_xlfn._xlws.FILTER(_xlfn.HSTACK(DATEVALUE(tblCarryingExpenses[Date]),VALUE(tblCarryingExpenses[Amount])),(tblCarryingExpenses[Include]="Yes")*(tblCarryingExpenses[Category]=_xlpm.cat)),_xlpm.sorted,_xlfn.SORTBY(_xlpm.matches,INDEX(_xlpm.matches,,1),1),IFERROR(INDEX(_xlpm.sorted,_xlpm.n,2),""))</f>
        <v>0</v>
      </c>
      <c r="U18" s="210"/>
      <c r="V18" s="12" t="str" cm="1">
        <f t="array" ref="V18">_xlfn.LET(_xlpm.cat,V$1,_xlpm.n,ROWS(V$4:V18),_xlpm.matches,_xlfn._xlws.FILTER(_xlfn.HSTACK(DATEVALUE(tblCarryingExpenses[Date]),VALUE(tblCarryingExpenses[Amount])),(tblCarryingExpenses[Include]="Yes")*(tblCarryingExpenses[Category]=_xlpm.cat)),_xlpm.sorted,_xlfn.SORTBY(_xlpm.matches,INDEX(_xlpm.matches,,1),1),IFERROR(INDEX(_xlpm.sorted,_xlpm.n,1),""))</f>
        <v/>
      </c>
      <c r="W18" s="5" cm="1">
        <f t="array" ref="W18">_xlfn.LET(_xlpm.cat,V$1,_xlpm.n,ROWS(W$4:W18),_xlpm.matches,_xlfn._xlws.FILTER(_xlfn.HSTACK(DATEVALUE(tblCarryingExpenses[Date]),VALUE(tblCarryingExpenses[Amount])),(tblCarryingExpenses[Include]="Yes")*(tblCarryingExpenses[Category]=_xlpm.cat)),_xlpm.sorted,_xlfn.SORTBY(_xlpm.matches,INDEX(_xlpm.matches,,1),1),IFERROR(INDEX(_xlpm.sorted,_xlpm.n,2),""))</f>
        <v>0</v>
      </c>
      <c r="X18" s="210"/>
      <c r="Y18" s="12" t="str" cm="1">
        <f t="array" ref="Y18">_xlfn.LET(_xlpm.cat,Y$1,_xlpm.n,ROWS(Y$4:Y18),_xlpm.matches,_xlfn._xlws.FILTER(_xlfn.HSTACK(DATEVALUE(tblCarryingExpenses[Date]),VALUE(tblCarryingExpenses[Amount])),(tblCarryingExpenses[Include]="Yes")*(tblCarryingExpenses[Category]=_xlpm.cat)),_xlpm.sorted,_xlfn.SORTBY(_xlpm.matches,INDEX(_xlpm.matches,,1),1),IFERROR(INDEX(_xlpm.sorted,_xlpm.n,1),""))</f>
        <v/>
      </c>
      <c r="Z18" s="5" cm="1">
        <f t="array" ref="Z18">_xlfn.LET(_xlpm.cat,Y$1,_xlpm.n,ROWS(Z$4:Z18),_xlpm.matches,_xlfn._xlws.FILTER(_xlfn.HSTACK(DATEVALUE(tblCarryingExpenses[Date]),VALUE(tblCarryingExpenses[Amount])),(tblCarryingExpenses[Include]="Yes")*(tblCarryingExpenses[Category]=_xlpm.cat)),_xlpm.sorted,_xlfn.SORTBY(_xlpm.matches,INDEX(_xlpm.matches,,1),1),IFERROR(INDEX(_xlpm.sorted,_xlpm.n,2),""))</f>
        <v>0</v>
      </c>
      <c r="AA18" s="583">
        <f t="shared" si="0"/>
        <v>0</v>
      </c>
      <c r="AB18" s="12" t="str" cm="1">
        <f t="array" ref="AB18">_xlfn.LET(_xlpm.cat,AB$1,_xlpm.n,ROWS(AB$4:AB18),_xlpm.matches,_xlfn._xlws.FILTER(_xlfn.HSTACK(DATEVALUE(tblCarryingExpenses[Date]),VALUE(tblCarryingExpenses[Amount])),(tblCarryingExpenses[Include]="Yes")*(tblCarryingExpenses[Category]=_xlpm.cat)),_xlpm.sorted,_xlfn.SORTBY(_xlpm.matches,INDEX(_xlpm.matches,,1),1),IFERROR(INDEX(_xlpm.sorted,_xlpm.n,1),""))</f>
        <v/>
      </c>
      <c r="AC18" s="5" cm="1">
        <f t="array" ref="AC18">_xlfn.LET(_xlpm.cat,AB$1,_xlpm.n,ROWS(AC$4:AC18),_xlpm.matches,_xlfn._xlws.FILTER(_xlfn.HSTACK(DATEVALUE(tblCarryingExpenses[Date]),VALUE(tblCarryingExpenses[Amount])),(tblCarryingExpenses[Include]="Yes")*(tblCarryingExpenses[Category]=_xlpm.cat)),_xlpm.sorted,_xlfn.SORTBY(_xlpm.matches,INDEX(_xlpm.matches,,1),1),IFERROR(INDEX(_xlpm.sorted,_xlpm.n,2),""))</f>
        <v>0</v>
      </c>
      <c r="AD18" s="210"/>
      <c r="AE18" s="12" t="str" cm="1">
        <f t="array" ref="AE18">_xlfn.LET(_xlpm.cat,AE$1,_xlpm.n,ROWS(AE$4:AE18),_xlpm.matches,_xlfn._xlws.FILTER(_xlfn.HSTACK(DATEVALUE(tblCarryingExpenses[Date]),VALU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DATEVALUE(tblCarryingExpenses[Date]),VALUE(tblCarryingExpenses[Amount])),(tblCarryingExpenses[Include]="Yes")*(tblCarryingExpenses[Category]=_xlpm.cat)),_xlpm.sorted,_xlfn.SORTBY(_xlpm.matches,INDEX(_xlpm.matches,,1),1),IFERROR(INDEX(_xlpm.sorted,_xlpm.n,2),""))</f>
        <v/>
      </c>
      <c r="AG18" s="210"/>
      <c r="AL18" t="s">
        <v>458</v>
      </c>
      <c r="AM18" t="s">
        <v>1523</v>
      </c>
      <c r="AN18" s="12">
        <v>46335</v>
      </c>
      <c r="AP18" t="s">
        <v>1534</v>
      </c>
      <c r="AQ18" s="5">
        <v>0</v>
      </c>
      <c r="AR18" t="s">
        <v>1535</v>
      </c>
      <c r="AT18" t="s">
        <v>1536</v>
      </c>
      <c r="AU18" t="s">
        <v>1537</v>
      </c>
      <c r="AV18" t="s">
        <v>1553</v>
      </c>
    </row>
    <row r="19" spans="1:48">
      <c r="A19" s="12" t="str" cm="1">
        <f t="array" ref="A19">_xlfn.LET(_xlpm.cat,A$1,_xlpm.n,ROWS(A$4:A19),_xlpm.matches,_xlfn._xlws.FILTER(_xlfn.HSTACK(DATEVALUE(tblCarryingExpenses[Date]),VALUE(tblCarryingExpenses[Amount])),(tblCarryingExpenses[Include]="Yes")*(tblCarryingExpenses[Category]=_xlpm.cat)),_xlpm.sorted,_xlfn.SORTBY(_xlpm.matches,INDEX(_xlpm.matches,,1),1),IFERROR(INDEX(_xlpm.sorted,_xlpm.n,1),""))</f>
        <v/>
      </c>
      <c r="B19" s="5" cm="1">
        <f t="array" ref="B19">_xlfn.LET(_xlpm.cat,A$1,_xlpm.n,ROWS(B$4:B19),_xlpm.matches,_xlfn._xlws.FILTER(_xlfn.HSTACK(DATEVALUE(tblCarryingExpenses[Date]),VALUE(tblCarryingExpenses[Amount])),(tblCarryingExpenses[Include]="Yes")*(tblCarryingExpenses[Category]=_xlpm.cat)),_xlpm.sorted,_xlfn.SORTBY(_xlpm.matches,INDEX(_xlpm.matches,,1),1),IFERROR(INDEX(_xlpm.sorted,_xlpm.n,2),""))</f>
        <v>0</v>
      </c>
      <c r="C19" s="210"/>
      <c r="D19" s="12" t="str" cm="1">
        <f t="array" ref="D19">_xlfn.LET(_xlpm.cat,IF(D$1="Mortgage Payment paid after Reinstatement","Mortgage Payment",D$1),_xlpm.n,ROWS(D$4:D19),_xlpm.matches,_xlfn._xlws.FILTER(_xlfn.HSTACK(DATEVALUE(tblCarryingExpenses[Date]),VALUE(tblCarryingExpenses[Amount])),(tblCarryingExpenses[Include]="Yes")*(tblCarryingExpenses[Category]=_xlpm.cat)),_xlpm.sorted,_xlfn.SORTBY(_xlpm.matches,INDEX(_xlpm.matches,,1),1),IFERROR(INDEX(_xlpm.sorted,_xlpm.n,1),""))</f>
        <v/>
      </c>
      <c r="E19" s="5" cm="1">
        <f t="array" ref="E19">_xlfn.LET(_xlpm.cat,IF(D$1="Mortgage Payment paid after Reinstatement","Mortgage Payment",D$1),_xlpm.n,ROWS(E$4:E19),_xlpm.matches,_xlfn._xlws.FILTER(_xlfn.HSTACK(DATEVALUE(tblCarryingExpenses[Date]),VALUE(tblCarryingExpenses[Amount])),(tblCarryingExpenses[Include]="Yes")*(tblCarryingExpenses[Category]=_xlpm.cat)),_xlpm.sorted,_xlfn.SORTBY(_xlpm.matches,INDEX(_xlpm.matches,,1),1),IFERROR(INDEX(_xlpm.sorted,_xlpm.n,2),""))</f>
        <v>0</v>
      </c>
      <c r="F19" s="210"/>
      <c r="G19" s="12" t="str" cm="1">
        <f t="array" ref="G19">_xlfn.LET(_xlpm.cat,G$1,_xlpm.n,ROWS(G$4:G19),_xlpm.matches,_xlfn._xlws.FILTER(_xlfn.HSTACK(DATEVALUE(tblCarryingExpenses[Date]),VALUE(tblCarryingExpenses[Amount])),(tblCarryingExpenses[Include]="Yes")*(tblCarryingExpenses[Category]=_xlpm.cat)),_xlpm.sorted,_xlfn.SORTBY(_xlpm.matches,INDEX(_xlpm.matches,,1),1),IFERROR(INDEX(_xlpm.sorted,_xlpm.n,1),""))</f>
        <v/>
      </c>
      <c r="H19" s="334" cm="1">
        <f t="array" ref="H19">_xlfn.LET(_xlpm.cat,G$1,_xlpm.n,ROWS(H$4:H19),_xlpm.matches,_xlfn._xlws.FILTER(_xlfn.HSTACK(DATEVALUE(tblCarryingExpenses[Date]),VALUE(tblCarryingExpenses[Amount])),(tblCarryingExpenses[Include]="Yes")*(tblCarryingExpenses[Category]=_xlpm.cat)),_xlpm.sorted,_xlfn.SORTBY(_xlpm.matches,INDEX(_xlpm.matches,,1),1),IFERROR(INDEX(_xlpm.sorted,_xlpm.n,2),""))</f>
        <v>0</v>
      </c>
      <c r="I19" s="210"/>
      <c r="J19" s="12" t="str" cm="1">
        <f t="array" ref="J19">_xlfn.LET(_xlpm.cat,J$1,_xlpm.n,ROWS(J$4:J19),_xlpm.matches,_xlfn._xlws.FILTER(_xlfn.HSTACK(DATEVALUE(tblCarryingExpenses[Date]),VALUE(tblCarryingExpenses[Amount])),(tblCarryingExpenses[Include]="Yes")*(tblCarryingExpenses[Category]=_xlpm.cat)),_xlpm.sorted,_xlfn.SORTBY(_xlpm.matches,INDEX(_xlpm.matches,,1),1),IFERROR(INDEX(_xlpm.sorted,_xlpm.n,1),""))</f>
        <v/>
      </c>
      <c r="K19" s="5" cm="1">
        <f t="array" ref="K19">_xlfn.LET(_xlpm.cat,J$1,_xlpm.n,ROWS(K$4:K19),_xlpm.matches,_xlfn._xlws.FILTER(_xlfn.HSTACK(DATEVALUE(tblCarryingExpenses[Date]),VALUE(tblCarryingExpenses[Amount])),(tblCarryingExpenses[Include]="Yes")*(tblCarryingExpenses[Category]=_xlpm.cat)),_xlpm.sorted,_xlfn.SORTBY(_xlpm.matches,INDEX(_xlpm.matches,,1),1),IFERROR(INDEX(_xlpm.sorted,_xlpm.n,2),""))</f>
        <v>0</v>
      </c>
      <c r="L19" s="210"/>
      <c r="M19" s="12" t="str" cm="1">
        <f t="array" ref="M19">_xlfn.LET(_xlpm.cat,M$1,_xlpm.n,ROWS(M$4:M19),_xlpm.matches,_xlfn._xlws.FILTER(_xlfn.HSTACK(DATEVALUE(tblCarryingExpenses[Date]),VALUE(tblCarryingExpenses[Amount])),(tblCarryingExpenses[Include]="Yes")*(tblCarryingExpenses[Category]=_xlpm.cat)),_xlpm.sorted,_xlfn.SORTBY(_xlpm.matches,INDEX(_xlpm.matches,,1),1),IFERROR(INDEX(_xlpm.sorted,_xlpm.n,1),""))</f>
        <v/>
      </c>
      <c r="N19" s="5" cm="1">
        <f t="array" ref="N19">_xlfn.LET(_xlpm.cat,M$1,_xlpm.n,ROWS(N$4:N19),_xlpm.matches,_xlfn._xlws.FILTER(_xlfn.HSTACK(DATEVALUE(tblCarryingExpenses[Date]),VALUE(tblCarryingExpenses[Amount])),(tblCarryingExpenses[Include]="Yes")*(tblCarryingExpenses[Category]=_xlpm.cat)),_xlpm.sorted,_xlfn.SORTBY(_xlpm.matches,INDEX(_xlpm.matches,,1),1),IFERROR(INDEX(_xlpm.sorted,_xlpm.n,2),""))</f>
        <v>0</v>
      </c>
      <c r="O19" s="210"/>
      <c r="P19" s="12" t="str" cm="1">
        <f t="array" ref="P19">_xlfn.LET(_xlpm.cat,P$1,_xlpm.n,ROWS(P$4:P19),_xlpm.matches,_xlfn._xlws.FILTER(_xlfn.HSTACK(DATEVALUE(tblCarryingExpenses[Date]),VALUE(tblCarryingExpenses[Amount])),(tblCarryingExpenses[Include]="Yes")*(tblCarryingExpenses[Category]=_xlpm.cat)),_xlpm.sorted,_xlfn.SORTBY(_xlpm.matches,INDEX(_xlpm.matches,,1),1),IFERROR(INDEX(_xlpm.sorted,_xlpm.n,1),""))</f>
        <v/>
      </c>
      <c r="Q19" s="5" cm="1">
        <f t="array" ref="Q19">_xlfn.LET(_xlpm.cat,P$1,_xlpm.n,ROWS(Q$4:Q19),_xlpm.matches,_xlfn._xlws.FILTER(_xlfn.HSTACK(DATEVALUE(tblCarryingExpenses[Date]),VALUE(tblCarryingExpenses[Amount])),(tblCarryingExpenses[Include]="Yes")*(tblCarryingExpenses[Category]=_xlpm.cat)),_xlpm.sorted,_xlfn.SORTBY(_xlpm.matches,INDEX(_xlpm.matches,,1),1),IFERROR(INDEX(_xlpm.sorted,_xlpm.n,2),""))</f>
        <v>0</v>
      </c>
      <c r="R19" s="210"/>
      <c r="S19" s="12" t="str" cm="1">
        <f t="array" ref="S19">_xlfn.LET(_xlpm.cat,S$1,_xlpm.n,ROWS(S$4:S19),_xlpm.matches,_xlfn._xlws.FILTER(_xlfn.HSTACK(DATEVALUE(tblCarryingExpenses[Date]),VALUE(tblCarryingExpenses[Amount])),(tblCarryingExpenses[Include]="Yes")*(tblCarryingExpenses[Category]=_xlpm.cat)),_xlpm.sorted,_xlfn.SORTBY(_xlpm.matches,INDEX(_xlpm.matches,,1),1),IFERROR(INDEX(_xlpm.sorted,_xlpm.n,1),""))</f>
        <v/>
      </c>
      <c r="T19" s="5" cm="1">
        <f t="array" ref="T19">_xlfn.LET(_xlpm.cat,S$1,_xlpm.n,ROWS(T$4:T19),_xlpm.matches,_xlfn._xlws.FILTER(_xlfn.HSTACK(DATEVALUE(tblCarryingExpenses[Date]),VALUE(tblCarryingExpenses[Amount])),(tblCarryingExpenses[Include]="Yes")*(tblCarryingExpenses[Category]=_xlpm.cat)),_xlpm.sorted,_xlfn.SORTBY(_xlpm.matches,INDEX(_xlpm.matches,,1),1),IFERROR(INDEX(_xlpm.sorted,_xlpm.n,2),""))</f>
        <v>0</v>
      </c>
      <c r="U19" s="210"/>
      <c r="V19" s="12" t="str" cm="1">
        <f t="array" ref="V19">_xlfn.LET(_xlpm.cat,V$1,_xlpm.n,ROWS(V$4:V19),_xlpm.matches,_xlfn._xlws.FILTER(_xlfn.HSTACK(DATEVALUE(tblCarryingExpenses[Date]),VALUE(tblCarryingExpenses[Amount])),(tblCarryingExpenses[Include]="Yes")*(tblCarryingExpenses[Category]=_xlpm.cat)),_xlpm.sorted,_xlfn.SORTBY(_xlpm.matches,INDEX(_xlpm.matches,,1),1),IFERROR(INDEX(_xlpm.sorted,_xlpm.n,1),""))</f>
        <v/>
      </c>
      <c r="W19" s="5" cm="1">
        <f t="array" ref="W19">_xlfn.LET(_xlpm.cat,V$1,_xlpm.n,ROWS(W$4:W19),_xlpm.matches,_xlfn._xlws.FILTER(_xlfn.HSTACK(DATEVALUE(tblCarryingExpenses[Date]),VALUE(tblCarryingExpenses[Amount])),(tblCarryingExpenses[Include]="Yes")*(tblCarryingExpenses[Category]=_xlpm.cat)),_xlpm.sorted,_xlfn.SORTBY(_xlpm.matches,INDEX(_xlpm.matches,,1),1),IFERROR(INDEX(_xlpm.sorted,_xlpm.n,2),""))</f>
        <v>0</v>
      </c>
      <c r="X19" s="210"/>
      <c r="Y19" s="12" t="str" cm="1">
        <f t="array" ref="Y19">_xlfn.LET(_xlpm.cat,Y$1,_xlpm.n,ROWS(Y$4:Y19),_xlpm.matches,_xlfn._xlws.FILTER(_xlfn.HSTACK(DATEVALUE(tblCarryingExpenses[Date]),VALUE(tblCarryingExpenses[Amount])),(tblCarryingExpenses[Include]="Yes")*(tblCarryingExpenses[Category]=_xlpm.cat)),_xlpm.sorted,_xlfn.SORTBY(_xlpm.matches,INDEX(_xlpm.matches,,1),1),IFERROR(INDEX(_xlpm.sorted,_xlpm.n,1),""))</f>
        <v/>
      </c>
      <c r="Z19" s="5" cm="1">
        <f t="array" ref="Z19">_xlfn.LET(_xlpm.cat,Y$1,_xlpm.n,ROWS(Z$4:Z19),_xlpm.matches,_xlfn._xlws.FILTER(_xlfn.HSTACK(DATEVALUE(tblCarryingExpenses[Date]),VALUE(tblCarryingExpenses[Amount])),(tblCarryingExpenses[Include]="Yes")*(tblCarryingExpenses[Category]=_xlpm.cat)),_xlpm.sorted,_xlfn.SORTBY(_xlpm.matches,INDEX(_xlpm.matches,,1),1),IFERROR(INDEX(_xlpm.sorted,_xlpm.n,2),""))</f>
        <v>0</v>
      </c>
      <c r="AA19" s="583">
        <f t="shared" si="0"/>
        <v>0</v>
      </c>
      <c r="AB19" s="12" t="str" cm="1">
        <f t="array" ref="AB19">_xlfn.LET(_xlpm.cat,AB$1,_xlpm.n,ROWS(AB$4:AB19),_xlpm.matches,_xlfn._xlws.FILTER(_xlfn.HSTACK(DATEVALUE(tblCarryingExpenses[Date]),VALUE(tblCarryingExpenses[Amount])),(tblCarryingExpenses[Include]="Yes")*(tblCarryingExpenses[Category]=_xlpm.cat)),_xlpm.sorted,_xlfn.SORTBY(_xlpm.matches,INDEX(_xlpm.matches,,1),1),IFERROR(INDEX(_xlpm.sorted,_xlpm.n,1),""))</f>
        <v/>
      </c>
      <c r="AC19" s="5" cm="1">
        <f t="array" ref="AC19">_xlfn.LET(_xlpm.cat,AB$1,_xlpm.n,ROWS(AC$4:AC19),_xlpm.matches,_xlfn._xlws.FILTER(_xlfn.HSTACK(DATEVALUE(tblCarryingExpenses[Date]),VALUE(tblCarryingExpenses[Amount])),(tblCarryingExpenses[Include]="Yes")*(tblCarryingExpenses[Category]=_xlpm.cat)),_xlpm.sorted,_xlfn.SORTBY(_xlpm.matches,INDEX(_xlpm.matches,,1),1),IFERROR(INDEX(_xlpm.sorted,_xlpm.n,2),""))</f>
        <v>0</v>
      </c>
      <c r="AD19" s="210"/>
      <c r="AE19" s="12" t="str" cm="1">
        <f t="array" ref="AE19">_xlfn.LET(_xlpm.cat,AE$1,_xlpm.n,ROWS(AE$4:AE19),_xlpm.matches,_xlfn._xlws.FILTER(_xlfn.HSTACK(DATEVALUE(tblCarryingExpenses[Date]),VALU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DATEVALUE(tblCarryingExpenses[Date]),VALUE(tblCarryingExpenses[Amount])),(tblCarryingExpenses[Include]="Yes")*(tblCarryingExpenses[Category]=_xlpm.cat)),_xlpm.sorted,_xlfn.SORTBY(_xlpm.matches,INDEX(_xlpm.matches,,1),1),IFERROR(INDEX(_xlpm.sorted,_xlpm.n,2),""))</f>
        <v/>
      </c>
      <c r="AG19" s="210"/>
      <c r="AL19" t="s">
        <v>458</v>
      </c>
      <c r="AM19" t="s">
        <v>1523</v>
      </c>
      <c r="AN19" s="12">
        <v>46365</v>
      </c>
      <c r="AP19" t="s">
        <v>1534</v>
      </c>
      <c r="AQ19" s="5">
        <v>0</v>
      </c>
      <c r="AR19" t="s">
        <v>1535</v>
      </c>
      <c r="AT19" t="s">
        <v>1536</v>
      </c>
      <c r="AU19" t="s">
        <v>1537</v>
      </c>
      <c r="AV19" t="s">
        <v>1554</v>
      </c>
    </row>
    <row r="20" spans="1:48">
      <c r="A20" s="12" t="str" cm="1">
        <f t="array" ref="A20">_xlfn.LET(_xlpm.cat,A$1,_xlpm.n,ROWS(A$4:A20),_xlpm.matches,_xlfn._xlws.FILTER(_xlfn.HSTACK(DATEVALUE(tblCarryingExpenses[Date]),VALUE(tblCarryingExpenses[Amount])),(tblCarryingExpenses[Include]="Yes")*(tblCarryingExpenses[Category]=_xlpm.cat)),_xlpm.sorted,_xlfn.SORTBY(_xlpm.matches,INDEX(_xlpm.matches,,1),1),IFERROR(INDEX(_xlpm.sorted,_xlpm.n,1),""))</f>
        <v/>
      </c>
      <c r="B20" s="5" cm="1">
        <f t="array" ref="B20">_xlfn.LET(_xlpm.cat,A$1,_xlpm.n,ROWS(B$4:B20),_xlpm.matches,_xlfn._xlws.FILTER(_xlfn.HSTACK(DATEVALUE(tblCarryingExpenses[Date]),VALUE(tblCarryingExpenses[Amount])),(tblCarryingExpenses[Include]="Yes")*(tblCarryingExpenses[Category]=_xlpm.cat)),_xlpm.sorted,_xlfn.SORTBY(_xlpm.matches,INDEX(_xlpm.matches,,1),1),IFERROR(INDEX(_xlpm.sorted,_xlpm.n,2),""))</f>
        <v>0</v>
      </c>
      <c r="C20" s="210"/>
      <c r="D20" s="12" t="str" cm="1">
        <f t="array" ref="D20">_xlfn.LET(_xlpm.cat,IF(D$1="Mortgage Payment paid after Reinstatement","Mortgage Payment",D$1),_xlpm.n,ROWS(D$4:D20),_xlpm.matches,_xlfn._xlws.FILTER(_xlfn.HSTACK(DATEVALUE(tblCarryingExpenses[Date]),VALUE(tblCarryingExpenses[Amount])),(tblCarryingExpenses[Include]="Yes")*(tblCarryingExpenses[Category]=_xlpm.cat)),_xlpm.sorted,_xlfn.SORTBY(_xlpm.matches,INDEX(_xlpm.matches,,1),1),IFERROR(INDEX(_xlpm.sorted,_xlpm.n,1),""))</f>
        <v/>
      </c>
      <c r="E20" s="5" cm="1">
        <f t="array" ref="E20">_xlfn.LET(_xlpm.cat,IF(D$1="Mortgage Payment paid after Reinstatement","Mortgage Payment",D$1),_xlpm.n,ROWS(E$4:E20),_xlpm.matches,_xlfn._xlws.FILTER(_xlfn.HSTACK(DATEVALUE(tblCarryingExpenses[Date]),VALUE(tblCarryingExpenses[Amount])),(tblCarryingExpenses[Include]="Yes")*(tblCarryingExpenses[Category]=_xlpm.cat)),_xlpm.sorted,_xlfn.SORTBY(_xlpm.matches,INDEX(_xlpm.matches,,1),1),IFERROR(INDEX(_xlpm.sorted,_xlpm.n,2),""))</f>
        <v>0</v>
      </c>
      <c r="F20" s="210"/>
      <c r="G20" s="12" t="str" cm="1">
        <f t="array" ref="G20">_xlfn.LET(_xlpm.cat,G$1,_xlpm.n,ROWS(G$4:G20),_xlpm.matches,_xlfn._xlws.FILTER(_xlfn.HSTACK(DATEVALUE(tblCarryingExpenses[Date]),VALUE(tblCarryingExpenses[Amount])),(tblCarryingExpenses[Include]="Yes")*(tblCarryingExpenses[Category]=_xlpm.cat)),_xlpm.sorted,_xlfn.SORTBY(_xlpm.matches,INDEX(_xlpm.matches,,1),1),IFERROR(INDEX(_xlpm.sorted,_xlpm.n,1),""))</f>
        <v/>
      </c>
      <c r="H20" s="334" cm="1">
        <f t="array" ref="H20">_xlfn.LET(_xlpm.cat,G$1,_xlpm.n,ROWS(H$4:H20),_xlpm.matches,_xlfn._xlws.FILTER(_xlfn.HSTACK(DATEVALUE(tblCarryingExpenses[Date]),VALUE(tblCarryingExpenses[Amount])),(tblCarryingExpenses[Include]="Yes")*(tblCarryingExpenses[Category]=_xlpm.cat)),_xlpm.sorted,_xlfn.SORTBY(_xlpm.matches,INDEX(_xlpm.matches,,1),1),IFERROR(INDEX(_xlpm.sorted,_xlpm.n,2),""))</f>
        <v>0</v>
      </c>
      <c r="I20" s="210"/>
      <c r="J20" s="12" t="str" cm="1">
        <f t="array" ref="J20">_xlfn.LET(_xlpm.cat,J$1,_xlpm.n,ROWS(J$4:J20),_xlpm.matches,_xlfn._xlws.FILTER(_xlfn.HSTACK(DATEVALUE(tblCarryingExpenses[Date]),VALUE(tblCarryingExpenses[Amount])),(tblCarryingExpenses[Include]="Yes")*(tblCarryingExpenses[Category]=_xlpm.cat)),_xlpm.sorted,_xlfn.SORTBY(_xlpm.matches,INDEX(_xlpm.matches,,1),1),IFERROR(INDEX(_xlpm.sorted,_xlpm.n,1),""))</f>
        <v/>
      </c>
      <c r="K20" s="5" cm="1">
        <f t="array" ref="K20">_xlfn.LET(_xlpm.cat,J$1,_xlpm.n,ROWS(K$4:K20),_xlpm.matches,_xlfn._xlws.FILTER(_xlfn.HSTACK(DATEVALUE(tblCarryingExpenses[Date]),VALUE(tblCarryingExpenses[Amount])),(tblCarryingExpenses[Include]="Yes")*(tblCarryingExpenses[Category]=_xlpm.cat)),_xlpm.sorted,_xlfn.SORTBY(_xlpm.matches,INDEX(_xlpm.matches,,1),1),IFERROR(INDEX(_xlpm.sorted,_xlpm.n,2),""))</f>
        <v>0</v>
      </c>
      <c r="L20" s="210"/>
      <c r="M20" s="12" t="str" cm="1">
        <f t="array" ref="M20">_xlfn.LET(_xlpm.cat,M$1,_xlpm.n,ROWS(M$4:M20),_xlpm.matches,_xlfn._xlws.FILTER(_xlfn.HSTACK(DATEVALUE(tblCarryingExpenses[Date]),VALUE(tblCarryingExpenses[Amount])),(tblCarryingExpenses[Include]="Yes")*(tblCarryingExpenses[Category]=_xlpm.cat)),_xlpm.sorted,_xlfn.SORTBY(_xlpm.matches,INDEX(_xlpm.matches,,1),1),IFERROR(INDEX(_xlpm.sorted,_xlpm.n,1),""))</f>
        <v/>
      </c>
      <c r="N20" s="5" cm="1">
        <f t="array" ref="N20">_xlfn.LET(_xlpm.cat,M$1,_xlpm.n,ROWS(N$4:N20),_xlpm.matches,_xlfn._xlws.FILTER(_xlfn.HSTACK(DATEVALUE(tblCarryingExpenses[Date]),VALUE(tblCarryingExpenses[Amount])),(tblCarryingExpenses[Include]="Yes")*(tblCarryingExpenses[Category]=_xlpm.cat)),_xlpm.sorted,_xlfn.SORTBY(_xlpm.matches,INDEX(_xlpm.matches,,1),1),IFERROR(INDEX(_xlpm.sorted,_xlpm.n,2),""))</f>
        <v>0</v>
      </c>
      <c r="O20" s="210"/>
      <c r="P20" s="12" t="str" cm="1">
        <f t="array" ref="P20">_xlfn.LET(_xlpm.cat,P$1,_xlpm.n,ROWS(P$4:P20),_xlpm.matches,_xlfn._xlws.FILTER(_xlfn.HSTACK(DATEVALUE(tblCarryingExpenses[Date]),VALUE(tblCarryingExpenses[Amount])),(tblCarryingExpenses[Include]="Yes")*(tblCarryingExpenses[Category]=_xlpm.cat)),_xlpm.sorted,_xlfn.SORTBY(_xlpm.matches,INDEX(_xlpm.matches,,1),1),IFERROR(INDEX(_xlpm.sorted,_xlpm.n,1),""))</f>
        <v/>
      </c>
      <c r="Q20" s="5" cm="1">
        <f t="array" ref="Q20">_xlfn.LET(_xlpm.cat,P$1,_xlpm.n,ROWS(Q$4:Q20),_xlpm.matches,_xlfn._xlws.FILTER(_xlfn.HSTACK(DATEVALUE(tblCarryingExpenses[Date]),VALUE(tblCarryingExpenses[Amount])),(tblCarryingExpenses[Include]="Yes")*(tblCarryingExpenses[Category]=_xlpm.cat)),_xlpm.sorted,_xlfn.SORTBY(_xlpm.matches,INDEX(_xlpm.matches,,1),1),IFERROR(INDEX(_xlpm.sorted,_xlpm.n,2),""))</f>
        <v>0</v>
      </c>
      <c r="R20" s="210"/>
      <c r="S20" s="12" t="str" cm="1">
        <f t="array" ref="S20">_xlfn.LET(_xlpm.cat,S$1,_xlpm.n,ROWS(S$4:S20),_xlpm.matches,_xlfn._xlws.FILTER(_xlfn.HSTACK(DATEVALUE(tblCarryingExpenses[Date]),VALUE(tblCarryingExpenses[Amount])),(tblCarryingExpenses[Include]="Yes")*(tblCarryingExpenses[Category]=_xlpm.cat)),_xlpm.sorted,_xlfn.SORTBY(_xlpm.matches,INDEX(_xlpm.matches,,1),1),IFERROR(INDEX(_xlpm.sorted,_xlpm.n,1),""))</f>
        <v/>
      </c>
      <c r="T20" s="5" cm="1">
        <f t="array" ref="T20">_xlfn.LET(_xlpm.cat,S$1,_xlpm.n,ROWS(T$4:T20),_xlpm.matches,_xlfn._xlws.FILTER(_xlfn.HSTACK(DATEVALUE(tblCarryingExpenses[Date]),VALUE(tblCarryingExpenses[Amount])),(tblCarryingExpenses[Include]="Yes")*(tblCarryingExpenses[Category]=_xlpm.cat)),_xlpm.sorted,_xlfn.SORTBY(_xlpm.matches,INDEX(_xlpm.matches,,1),1),IFERROR(INDEX(_xlpm.sorted,_xlpm.n,2),""))</f>
        <v>0</v>
      </c>
      <c r="U20" s="210"/>
      <c r="V20" s="12" t="str" cm="1">
        <f t="array" ref="V20">_xlfn.LET(_xlpm.cat,V$1,_xlpm.n,ROWS(V$4:V20),_xlpm.matches,_xlfn._xlws.FILTER(_xlfn.HSTACK(DATEVALUE(tblCarryingExpenses[Date]),VALUE(tblCarryingExpenses[Amount])),(tblCarryingExpenses[Include]="Yes")*(tblCarryingExpenses[Category]=_xlpm.cat)),_xlpm.sorted,_xlfn.SORTBY(_xlpm.matches,INDEX(_xlpm.matches,,1),1),IFERROR(INDEX(_xlpm.sorted,_xlpm.n,1),""))</f>
        <v/>
      </c>
      <c r="W20" s="5" cm="1">
        <f t="array" ref="W20">_xlfn.LET(_xlpm.cat,V$1,_xlpm.n,ROWS(W$4:W20),_xlpm.matches,_xlfn._xlws.FILTER(_xlfn.HSTACK(DATEVALUE(tblCarryingExpenses[Date]),VALUE(tblCarryingExpenses[Amount])),(tblCarryingExpenses[Include]="Yes")*(tblCarryingExpenses[Category]=_xlpm.cat)),_xlpm.sorted,_xlfn.SORTBY(_xlpm.matches,INDEX(_xlpm.matches,,1),1),IFERROR(INDEX(_xlpm.sorted,_xlpm.n,2),""))</f>
        <v>0</v>
      </c>
      <c r="X20" s="210"/>
      <c r="Y20" s="12" t="str" cm="1">
        <f t="array" ref="Y20">_xlfn.LET(_xlpm.cat,Y$1,_xlpm.n,ROWS(Y$4:Y20),_xlpm.matches,_xlfn._xlws.FILTER(_xlfn.HSTACK(DATEVALUE(tblCarryingExpenses[Date]),VALUE(tblCarryingExpenses[Amount])),(tblCarryingExpenses[Include]="Yes")*(tblCarryingExpenses[Category]=_xlpm.cat)),_xlpm.sorted,_xlfn.SORTBY(_xlpm.matches,INDEX(_xlpm.matches,,1),1),IFERROR(INDEX(_xlpm.sorted,_xlpm.n,1),""))</f>
        <v/>
      </c>
      <c r="Z20" s="5" cm="1">
        <f t="array" ref="Z20">_xlfn.LET(_xlpm.cat,Y$1,_xlpm.n,ROWS(Z$4:Z20),_xlpm.matches,_xlfn._xlws.FILTER(_xlfn.HSTACK(DATEVALUE(tblCarryingExpenses[Date]),VALUE(tblCarryingExpenses[Amount])),(tblCarryingExpenses[Include]="Yes")*(tblCarryingExpenses[Category]=_xlpm.cat)),_xlpm.sorted,_xlfn.SORTBY(_xlpm.matches,INDEX(_xlpm.matches,,1),1),IFERROR(INDEX(_xlpm.sorted,_xlpm.n,2),""))</f>
        <v>0</v>
      </c>
      <c r="AA20" s="583">
        <f t="shared" si="0"/>
        <v>0</v>
      </c>
      <c r="AB20" s="12" t="str" cm="1">
        <f t="array" ref="AB20">_xlfn.LET(_xlpm.cat,AB$1,_xlpm.n,ROWS(AB$4:AB20),_xlpm.matches,_xlfn._xlws.FILTER(_xlfn.HSTACK(DATEVALUE(tblCarryingExpenses[Date]),VALUE(tblCarryingExpenses[Amount])),(tblCarryingExpenses[Include]="Yes")*(tblCarryingExpenses[Category]=_xlpm.cat)),_xlpm.sorted,_xlfn.SORTBY(_xlpm.matches,INDEX(_xlpm.matches,,1),1),IFERROR(INDEX(_xlpm.sorted,_xlpm.n,1),""))</f>
        <v/>
      </c>
      <c r="AC20" s="5" cm="1">
        <f t="array" ref="AC20">_xlfn.LET(_xlpm.cat,AB$1,_xlpm.n,ROWS(AC$4:AC20),_xlpm.matches,_xlfn._xlws.FILTER(_xlfn.HSTACK(DATEVALUE(tblCarryingExpenses[Date]),VALUE(tblCarryingExpenses[Amount])),(tblCarryingExpenses[Include]="Yes")*(tblCarryingExpenses[Category]=_xlpm.cat)),_xlpm.sorted,_xlfn.SORTBY(_xlpm.matches,INDEX(_xlpm.matches,,1),1),IFERROR(INDEX(_xlpm.sorted,_xlpm.n,2),""))</f>
        <v>0</v>
      </c>
      <c r="AD20" s="210"/>
      <c r="AE20" s="12" t="str" cm="1">
        <f t="array" ref="AE20">_xlfn.LET(_xlpm.cat,AE$1,_xlpm.n,ROWS(AE$4:AE20),_xlpm.matches,_xlfn._xlws.FILTER(_xlfn.HSTACK(DATEVALUE(tblCarryingExpenses[Date]),VALU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DATEVALUE(tblCarryingExpenses[Date]),VALUE(tblCarryingExpenses[Amount])),(tblCarryingExpenses[Include]="Yes")*(tblCarryingExpenses[Category]=_xlpm.cat)),_xlpm.sorted,_xlfn.SORTBY(_xlpm.matches,INDEX(_xlpm.matches,,1),1),IFERROR(INDEX(_xlpm.sorted,_xlpm.n,2),""))</f>
        <v/>
      </c>
      <c r="AG20" s="210"/>
      <c r="AL20" t="s">
        <v>458</v>
      </c>
      <c r="AM20" t="s">
        <v>1523</v>
      </c>
      <c r="AN20" s="12">
        <v>46396</v>
      </c>
      <c r="AP20" t="s">
        <v>1534</v>
      </c>
      <c r="AQ20" s="5">
        <v>0</v>
      </c>
      <c r="AR20" t="s">
        <v>1535</v>
      </c>
      <c r="AT20" t="s">
        <v>1536</v>
      </c>
      <c r="AU20" t="s">
        <v>1537</v>
      </c>
      <c r="AV20" t="s">
        <v>1555</v>
      </c>
    </row>
    <row r="21" spans="1:48">
      <c r="A21" s="12" t="str" cm="1">
        <f t="array" ref="A21">_xlfn.LET(_xlpm.cat,A$1,_xlpm.n,ROWS(A$4:A21),_xlpm.matches,_xlfn._xlws.FILTER(_xlfn.HSTACK(DATEVALUE(tblCarryingExpenses[Date]),VALUE(tblCarryingExpenses[Amount])),(tblCarryingExpenses[Include]="Yes")*(tblCarryingExpenses[Category]=_xlpm.cat)),_xlpm.sorted,_xlfn.SORTBY(_xlpm.matches,INDEX(_xlpm.matches,,1),1),IFERROR(INDEX(_xlpm.sorted,_xlpm.n,1),""))</f>
        <v/>
      </c>
      <c r="B21" s="5" cm="1">
        <f t="array" ref="B21">_xlfn.LET(_xlpm.cat,A$1,_xlpm.n,ROWS(B$4:B21),_xlpm.matches,_xlfn._xlws.FILTER(_xlfn.HSTACK(DATEVALUE(tblCarryingExpenses[Date]),VALUE(tblCarryingExpenses[Amount])),(tblCarryingExpenses[Include]="Yes")*(tblCarryingExpenses[Category]=_xlpm.cat)),_xlpm.sorted,_xlfn.SORTBY(_xlpm.matches,INDEX(_xlpm.matches,,1),1),IFERROR(INDEX(_xlpm.sorted,_xlpm.n,2),""))</f>
        <v>0</v>
      </c>
      <c r="C21" s="210"/>
      <c r="D21" s="12" t="str" cm="1">
        <f t="array" ref="D21">_xlfn.LET(_xlpm.cat,IF(D$1="Mortgage Payment paid after Reinstatement","Mortgage Payment",D$1),_xlpm.n,ROWS(D$4:D21),_xlpm.matches,_xlfn._xlws.FILTER(_xlfn.HSTACK(DATEVALUE(tblCarryingExpenses[Date]),VALUE(tblCarryingExpenses[Amount])),(tblCarryingExpenses[Include]="Yes")*(tblCarryingExpenses[Category]=_xlpm.cat)),_xlpm.sorted,_xlfn.SORTBY(_xlpm.matches,INDEX(_xlpm.matches,,1),1),IFERROR(INDEX(_xlpm.sorted,_xlpm.n,1),""))</f>
        <v/>
      </c>
      <c r="E21" s="5" cm="1">
        <f t="array" ref="E21">_xlfn.LET(_xlpm.cat,IF(D$1="Mortgage Payment paid after Reinstatement","Mortgage Payment",D$1),_xlpm.n,ROWS(E$4:E21),_xlpm.matches,_xlfn._xlws.FILTER(_xlfn.HSTACK(DATEVALUE(tblCarryingExpenses[Date]),VALUE(tblCarryingExpenses[Amount])),(tblCarryingExpenses[Include]="Yes")*(tblCarryingExpenses[Category]=_xlpm.cat)),_xlpm.sorted,_xlfn.SORTBY(_xlpm.matches,INDEX(_xlpm.matches,,1),1),IFERROR(INDEX(_xlpm.sorted,_xlpm.n,2),""))</f>
        <v>0</v>
      </c>
      <c r="F21" s="210"/>
      <c r="G21" s="12" t="str" cm="1">
        <f t="array" ref="G21">_xlfn.LET(_xlpm.cat,G$1,_xlpm.n,ROWS(G$4:G21),_xlpm.matches,_xlfn._xlws.FILTER(_xlfn.HSTACK(DATEVALUE(tblCarryingExpenses[Date]),VALUE(tblCarryingExpenses[Amount])),(tblCarryingExpenses[Include]="Yes")*(tblCarryingExpenses[Category]=_xlpm.cat)),_xlpm.sorted,_xlfn.SORTBY(_xlpm.matches,INDEX(_xlpm.matches,,1),1),IFERROR(INDEX(_xlpm.sorted,_xlpm.n,1),""))</f>
        <v/>
      </c>
      <c r="H21" s="334" cm="1">
        <f t="array" ref="H21">_xlfn.LET(_xlpm.cat,G$1,_xlpm.n,ROWS(H$4:H21),_xlpm.matches,_xlfn._xlws.FILTER(_xlfn.HSTACK(DATEVALUE(tblCarryingExpenses[Date]),VALUE(tblCarryingExpenses[Amount])),(tblCarryingExpenses[Include]="Yes")*(tblCarryingExpenses[Category]=_xlpm.cat)),_xlpm.sorted,_xlfn.SORTBY(_xlpm.matches,INDEX(_xlpm.matches,,1),1),IFERROR(INDEX(_xlpm.sorted,_xlpm.n,2),""))</f>
        <v>0</v>
      </c>
      <c r="I21" s="210"/>
      <c r="J21" s="12" t="str" cm="1">
        <f t="array" ref="J21">_xlfn.LET(_xlpm.cat,J$1,_xlpm.n,ROWS(J$4:J21),_xlpm.matches,_xlfn._xlws.FILTER(_xlfn.HSTACK(DATEVALUE(tblCarryingExpenses[Date]),VALUE(tblCarryingExpenses[Amount])),(tblCarryingExpenses[Include]="Yes")*(tblCarryingExpenses[Category]=_xlpm.cat)),_xlpm.sorted,_xlfn.SORTBY(_xlpm.matches,INDEX(_xlpm.matches,,1),1),IFERROR(INDEX(_xlpm.sorted,_xlpm.n,1),""))</f>
        <v/>
      </c>
      <c r="K21" s="5" cm="1">
        <f t="array" ref="K21">_xlfn.LET(_xlpm.cat,J$1,_xlpm.n,ROWS(K$4:K21),_xlpm.matches,_xlfn._xlws.FILTER(_xlfn.HSTACK(DATEVALUE(tblCarryingExpenses[Date]),VALUE(tblCarryingExpenses[Amount])),(tblCarryingExpenses[Include]="Yes")*(tblCarryingExpenses[Category]=_xlpm.cat)),_xlpm.sorted,_xlfn.SORTBY(_xlpm.matches,INDEX(_xlpm.matches,,1),1),IFERROR(INDEX(_xlpm.sorted,_xlpm.n,2),""))</f>
        <v>0</v>
      </c>
      <c r="L21" s="210"/>
      <c r="M21" s="12" t="str" cm="1">
        <f t="array" ref="M21">_xlfn.LET(_xlpm.cat,M$1,_xlpm.n,ROWS(M$4:M21),_xlpm.matches,_xlfn._xlws.FILTER(_xlfn.HSTACK(DATEVALUE(tblCarryingExpenses[Date]),VALUE(tblCarryingExpenses[Amount])),(tblCarryingExpenses[Include]="Yes")*(tblCarryingExpenses[Category]=_xlpm.cat)),_xlpm.sorted,_xlfn.SORTBY(_xlpm.matches,INDEX(_xlpm.matches,,1),1),IFERROR(INDEX(_xlpm.sorted,_xlpm.n,1),""))</f>
        <v/>
      </c>
      <c r="N21" s="5" cm="1">
        <f t="array" ref="N21">_xlfn.LET(_xlpm.cat,M$1,_xlpm.n,ROWS(N$4:N21),_xlpm.matches,_xlfn._xlws.FILTER(_xlfn.HSTACK(DATEVALUE(tblCarryingExpenses[Date]),VALUE(tblCarryingExpenses[Amount])),(tblCarryingExpenses[Include]="Yes")*(tblCarryingExpenses[Category]=_xlpm.cat)),_xlpm.sorted,_xlfn.SORTBY(_xlpm.matches,INDEX(_xlpm.matches,,1),1),IFERROR(INDEX(_xlpm.sorted,_xlpm.n,2),""))</f>
        <v>0</v>
      </c>
      <c r="O21" s="210"/>
      <c r="P21" s="12" t="str" cm="1">
        <f t="array" ref="P21">_xlfn.LET(_xlpm.cat,P$1,_xlpm.n,ROWS(P$4:P21),_xlpm.matches,_xlfn._xlws.FILTER(_xlfn.HSTACK(DATEVALUE(tblCarryingExpenses[Date]),VALUE(tblCarryingExpenses[Amount])),(tblCarryingExpenses[Include]="Yes")*(tblCarryingExpenses[Category]=_xlpm.cat)),_xlpm.sorted,_xlfn.SORTBY(_xlpm.matches,INDEX(_xlpm.matches,,1),1),IFERROR(INDEX(_xlpm.sorted,_xlpm.n,1),""))</f>
        <v/>
      </c>
      <c r="Q21" s="5" cm="1">
        <f t="array" ref="Q21">_xlfn.LET(_xlpm.cat,P$1,_xlpm.n,ROWS(Q$4:Q21),_xlpm.matches,_xlfn._xlws.FILTER(_xlfn.HSTACK(DATEVALUE(tblCarryingExpenses[Date]),VALUE(tblCarryingExpenses[Amount])),(tblCarryingExpenses[Include]="Yes")*(tblCarryingExpenses[Category]=_xlpm.cat)),_xlpm.sorted,_xlfn.SORTBY(_xlpm.matches,INDEX(_xlpm.matches,,1),1),IFERROR(INDEX(_xlpm.sorted,_xlpm.n,2),""))</f>
        <v>0</v>
      </c>
      <c r="R21" s="210"/>
      <c r="S21" s="12" t="str" cm="1">
        <f t="array" ref="S21">_xlfn.LET(_xlpm.cat,S$1,_xlpm.n,ROWS(S$4:S21),_xlpm.matches,_xlfn._xlws.FILTER(_xlfn.HSTACK(DATEVALUE(tblCarryingExpenses[Date]),VALUE(tblCarryingExpenses[Amount])),(tblCarryingExpenses[Include]="Yes")*(tblCarryingExpenses[Category]=_xlpm.cat)),_xlpm.sorted,_xlfn.SORTBY(_xlpm.matches,INDEX(_xlpm.matches,,1),1),IFERROR(INDEX(_xlpm.sorted,_xlpm.n,1),""))</f>
        <v/>
      </c>
      <c r="T21" s="5" cm="1">
        <f t="array" ref="T21">_xlfn.LET(_xlpm.cat,S$1,_xlpm.n,ROWS(T$4:T21),_xlpm.matches,_xlfn._xlws.FILTER(_xlfn.HSTACK(DATEVALUE(tblCarryingExpenses[Date]),VALUE(tblCarryingExpenses[Amount])),(tblCarryingExpenses[Include]="Yes")*(tblCarryingExpenses[Category]=_xlpm.cat)),_xlpm.sorted,_xlfn.SORTBY(_xlpm.matches,INDEX(_xlpm.matches,,1),1),IFERROR(INDEX(_xlpm.sorted,_xlpm.n,2),""))</f>
        <v>0</v>
      </c>
      <c r="U21" s="210"/>
      <c r="V21" s="12" t="str" cm="1">
        <f t="array" ref="V21">_xlfn.LET(_xlpm.cat,V$1,_xlpm.n,ROWS(V$4:V21),_xlpm.matches,_xlfn._xlws.FILTER(_xlfn.HSTACK(DATEVALUE(tblCarryingExpenses[Date]),VALUE(tblCarryingExpenses[Amount])),(tblCarryingExpenses[Include]="Yes")*(tblCarryingExpenses[Category]=_xlpm.cat)),_xlpm.sorted,_xlfn.SORTBY(_xlpm.matches,INDEX(_xlpm.matches,,1),1),IFERROR(INDEX(_xlpm.sorted,_xlpm.n,1),""))</f>
        <v/>
      </c>
      <c r="W21" s="5" cm="1">
        <f t="array" ref="W21">_xlfn.LET(_xlpm.cat,V$1,_xlpm.n,ROWS(W$4:W21),_xlpm.matches,_xlfn._xlws.FILTER(_xlfn.HSTACK(DATEVALUE(tblCarryingExpenses[Date]),VALUE(tblCarryingExpenses[Amount])),(tblCarryingExpenses[Include]="Yes")*(tblCarryingExpenses[Category]=_xlpm.cat)),_xlpm.sorted,_xlfn.SORTBY(_xlpm.matches,INDEX(_xlpm.matches,,1),1),IFERROR(INDEX(_xlpm.sorted,_xlpm.n,2),""))</f>
        <v>0</v>
      </c>
      <c r="X21" s="210"/>
      <c r="Y21" s="12" t="str" cm="1">
        <f t="array" ref="Y21">_xlfn.LET(_xlpm.cat,Y$1,_xlpm.n,ROWS(Y$4:Y21),_xlpm.matches,_xlfn._xlws.FILTER(_xlfn.HSTACK(DATEVALUE(tblCarryingExpenses[Date]),VALUE(tblCarryingExpenses[Amount])),(tblCarryingExpenses[Include]="Yes")*(tblCarryingExpenses[Category]=_xlpm.cat)),_xlpm.sorted,_xlfn.SORTBY(_xlpm.matches,INDEX(_xlpm.matches,,1),1),IFERROR(INDEX(_xlpm.sorted,_xlpm.n,1),""))</f>
        <v/>
      </c>
      <c r="Z21" s="5" cm="1">
        <f t="array" ref="Z21">_xlfn.LET(_xlpm.cat,Y$1,_xlpm.n,ROWS(Z$4:Z21),_xlpm.matches,_xlfn._xlws.FILTER(_xlfn.HSTACK(DATEVALUE(tblCarryingExpenses[Date]),VALUE(tblCarryingExpenses[Amount])),(tblCarryingExpenses[Include]="Yes")*(tblCarryingExpenses[Category]=_xlpm.cat)),_xlpm.sorted,_xlfn.SORTBY(_xlpm.matches,INDEX(_xlpm.matches,,1),1),IFERROR(INDEX(_xlpm.sorted,_xlpm.n,2),""))</f>
        <v>0</v>
      </c>
      <c r="AA21" s="583">
        <f t="shared" si="0"/>
        <v>0</v>
      </c>
      <c r="AB21" s="12" t="str" cm="1">
        <f t="array" ref="AB21">_xlfn.LET(_xlpm.cat,AB$1,_xlpm.n,ROWS(AB$4:AB21),_xlpm.matches,_xlfn._xlws.FILTER(_xlfn.HSTACK(DATEVALUE(tblCarryingExpenses[Date]),VALUE(tblCarryingExpenses[Amount])),(tblCarryingExpenses[Include]="Yes")*(tblCarryingExpenses[Category]=_xlpm.cat)),_xlpm.sorted,_xlfn.SORTBY(_xlpm.matches,INDEX(_xlpm.matches,,1),1),IFERROR(INDEX(_xlpm.sorted,_xlpm.n,1),""))</f>
        <v/>
      </c>
      <c r="AC21" s="5" cm="1">
        <f t="array" ref="AC21">_xlfn.LET(_xlpm.cat,AB$1,_xlpm.n,ROWS(AC$4:AC21),_xlpm.matches,_xlfn._xlws.FILTER(_xlfn.HSTACK(DATEVALUE(tblCarryingExpenses[Date]),VALUE(tblCarryingExpenses[Amount])),(tblCarryingExpenses[Include]="Yes")*(tblCarryingExpenses[Category]=_xlpm.cat)),_xlpm.sorted,_xlfn.SORTBY(_xlpm.matches,INDEX(_xlpm.matches,,1),1),IFERROR(INDEX(_xlpm.sorted,_xlpm.n,2),""))</f>
        <v>0</v>
      </c>
      <c r="AD21" s="210"/>
      <c r="AE21" s="12" t="str" cm="1">
        <f t="array" ref="AE21">_xlfn.LET(_xlpm.cat,AE$1,_xlpm.n,ROWS(AE$4:AE21),_xlpm.matches,_xlfn._xlws.FILTER(_xlfn.HSTACK(DATEVALUE(tblCarryingExpenses[Date]),VALU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DATEVALUE(tblCarryingExpenses[Date]),VALUE(tblCarryingExpenses[Amount])),(tblCarryingExpenses[Include]="Yes")*(tblCarryingExpenses[Category]=_xlpm.cat)),_xlpm.sorted,_xlfn.SORTBY(_xlpm.matches,INDEX(_xlpm.matches,,1),1),IFERROR(INDEX(_xlpm.sorted,_xlpm.n,2),""))</f>
        <v/>
      </c>
      <c r="AG21" s="210"/>
      <c r="AL21" t="s">
        <v>458</v>
      </c>
      <c r="AM21" t="s">
        <v>1523</v>
      </c>
      <c r="AN21" s="12">
        <v>46426</v>
      </c>
      <c r="AP21" t="s">
        <v>1534</v>
      </c>
      <c r="AQ21" s="5">
        <v>0</v>
      </c>
      <c r="AR21" t="s">
        <v>1535</v>
      </c>
      <c r="AT21" t="s">
        <v>1536</v>
      </c>
      <c r="AU21" t="s">
        <v>1537</v>
      </c>
      <c r="AV21" t="s">
        <v>1556</v>
      </c>
    </row>
    <row r="22" spans="1:48">
      <c r="A22" s="12" t="str" cm="1">
        <f t="array" ref="A22">_xlfn.LET(_xlpm.cat,A$1,_xlpm.n,ROWS(A$4:A22),_xlpm.matches,_xlfn._xlws.FILTER(_xlfn.HSTACK(DATEVALUE(tblCarryingExpenses[Date]),VALUE(tblCarryingExpenses[Amount])),(tblCarryingExpenses[Include]="Yes")*(tblCarryingExpenses[Category]=_xlpm.cat)),_xlpm.sorted,_xlfn.SORTBY(_xlpm.matches,INDEX(_xlpm.matches,,1),1),IFERROR(INDEX(_xlpm.sorted,_xlpm.n,1),""))</f>
        <v/>
      </c>
      <c r="B22" s="5" cm="1">
        <f t="array" ref="B22">_xlfn.LET(_xlpm.cat,A$1,_xlpm.n,ROWS(B$4:B22),_xlpm.matches,_xlfn._xlws.FILTER(_xlfn.HSTACK(DATEVALUE(tblCarryingExpenses[Date]),VALUE(tblCarryingExpenses[Amount])),(tblCarryingExpenses[Include]="Yes")*(tblCarryingExpenses[Category]=_xlpm.cat)),_xlpm.sorted,_xlfn.SORTBY(_xlpm.matches,INDEX(_xlpm.matches,,1),1),IFERROR(INDEX(_xlpm.sorted,_xlpm.n,2),""))</f>
        <v>0</v>
      </c>
      <c r="C22" s="210"/>
      <c r="D22" s="12" t="str" cm="1">
        <f t="array" ref="D22">_xlfn.LET(_xlpm.cat,IF(D$1="Mortgage Payment paid after Reinstatement","Mortgage Payment",D$1),_xlpm.n,ROWS(D$4:D22),_xlpm.matches,_xlfn._xlws.FILTER(_xlfn.HSTACK(DATEVALUE(tblCarryingExpenses[Date]),VALUE(tblCarryingExpenses[Amount])),(tblCarryingExpenses[Include]="Yes")*(tblCarryingExpenses[Category]=_xlpm.cat)),_xlpm.sorted,_xlfn.SORTBY(_xlpm.matches,INDEX(_xlpm.matches,,1),1),IFERROR(INDEX(_xlpm.sorted,_xlpm.n,1),""))</f>
        <v/>
      </c>
      <c r="E22" s="5" cm="1">
        <f t="array" ref="E22">_xlfn.LET(_xlpm.cat,IF(D$1="Mortgage Payment paid after Reinstatement","Mortgage Payment",D$1),_xlpm.n,ROWS(E$4:E22),_xlpm.matches,_xlfn._xlws.FILTER(_xlfn.HSTACK(DATEVALUE(tblCarryingExpenses[Date]),VALUE(tblCarryingExpenses[Amount])),(tblCarryingExpenses[Include]="Yes")*(tblCarryingExpenses[Category]=_xlpm.cat)),_xlpm.sorted,_xlfn.SORTBY(_xlpm.matches,INDEX(_xlpm.matches,,1),1),IFERROR(INDEX(_xlpm.sorted,_xlpm.n,2),""))</f>
        <v>0</v>
      </c>
      <c r="F22" s="210"/>
      <c r="G22" s="12" t="str" cm="1">
        <f t="array" ref="G22">_xlfn.LET(_xlpm.cat,G$1,_xlpm.n,ROWS(G$4:G22),_xlpm.matches,_xlfn._xlws.FILTER(_xlfn.HSTACK(DATEVALUE(tblCarryingExpenses[Date]),VALUE(tblCarryingExpenses[Amount])),(tblCarryingExpenses[Include]="Yes")*(tblCarryingExpenses[Category]=_xlpm.cat)),_xlpm.sorted,_xlfn.SORTBY(_xlpm.matches,INDEX(_xlpm.matches,,1),1),IFERROR(INDEX(_xlpm.sorted,_xlpm.n,1),""))</f>
        <v/>
      </c>
      <c r="H22" s="334" cm="1">
        <f t="array" ref="H22">_xlfn.LET(_xlpm.cat,G$1,_xlpm.n,ROWS(H$4:H22),_xlpm.matches,_xlfn._xlws.FILTER(_xlfn.HSTACK(DATEVALUE(tblCarryingExpenses[Date]),VALUE(tblCarryingExpenses[Amount])),(tblCarryingExpenses[Include]="Yes")*(tblCarryingExpenses[Category]=_xlpm.cat)),_xlpm.sorted,_xlfn.SORTBY(_xlpm.matches,INDEX(_xlpm.matches,,1),1),IFERROR(INDEX(_xlpm.sorted,_xlpm.n,2),""))</f>
        <v>0</v>
      </c>
      <c r="I22" s="210"/>
      <c r="J22" s="12" t="str" cm="1">
        <f t="array" ref="J22">_xlfn.LET(_xlpm.cat,J$1,_xlpm.n,ROWS(J$4:J22),_xlpm.matches,_xlfn._xlws.FILTER(_xlfn.HSTACK(DATEVALUE(tblCarryingExpenses[Date]),VALUE(tblCarryingExpenses[Amount])),(tblCarryingExpenses[Include]="Yes")*(tblCarryingExpenses[Category]=_xlpm.cat)),_xlpm.sorted,_xlfn.SORTBY(_xlpm.matches,INDEX(_xlpm.matches,,1),1),IFERROR(INDEX(_xlpm.sorted,_xlpm.n,1),""))</f>
        <v/>
      </c>
      <c r="K22" s="5" cm="1">
        <f t="array" ref="K22">_xlfn.LET(_xlpm.cat,J$1,_xlpm.n,ROWS(K$4:K22),_xlpm.matches,_xlfn._xlws.FILTER(_xlfn.HSTACK(DATEVALUE(tblCarryingExpenses[Date]),VALUE(tblCarryingExpenses[Amount])),(tblCarryingExpenses[Include]="Yes")*(tblCarryingExpenses[Category]=_xlpm.cat)),_xlpm.sorted,_xlfn.SORTBY(_xlpm.matches,INDEX(_xlpm.matches,,1),1),IFERROR(INDEX(_xlpm.sorted,_xlpm.n,2),""))</f>
        <v>0</v>
      </c>
      <c r="L22" s="210"/>
      <c r="M22" s="12" t="str" cm="1">
        <f t="array" ref="M22">_xlfn.LET(_xlpm.cat,M$1,_xlpm.n,ROWS(M$4:M22),_xlpm.matches,_xlfn._xlws.FILTER(_xlfn.HSTACK(DATEVALUE(tblCarryingExpenses[Date]),VALUE(tblCarryingExpenses[Amount])),(tblCarryingExpenses[Include]="Yes")*(tblCarryingExpenses[Category]=_xlpm.cat)),_xlpm.sorted,_xlfn.SORTBY(_xlpm.matches,INDEX(_xlpm.matches,,1),1),IFERROR(INDEX(_xlpm.sorted,_xlpm.n,1),""))</f>
        <v/>
      </c>
      <c r="N22" s="5" cm="1">
        <f t="array" ref="N22">_xlfn.LET(_xlpm.cat,M$1,_xlpm.n,ROWS(N$4:N22),_xlpm.matches,_xlfn._xlws.FILTER(_xlfn.HSTACK(DATEVALUE(tblCarryingExpenses[Date]),VALUE(tblCarryingExpenses[Amount])),(tblCarryingExpenses[Include]="Yes")*(tblCarryingExpenses[Category]=_xlpm.cat)),_xlpm.sorted,_xlfn.SORTBY(_xlpm.matches,INDEX(_xlpm.matches,,1),1),IFERROR(INDEX(_xlpm.sorted,_xlpm.n,2),""))</f>
        <v>0</v>
      </c>
      <c r="O22" s="210"/>
      <c r="P22" s="12" t="str" cm="1">
        <f t="array" ref="P22">_xlfn.LET(_xlpm.cat,P$1,_xlpm.n,ROWS(P$4:P22),_xlpm.matches,_xlfn._xlws.FILTER(_xlfn.HSTACK(DATEVALUE(tblCarryingExpenses[Date]),VALUE(tblCarryingExpenses[Amount])),(tblCarryingExpenses[Include]="Yes")*(tblCarryingExpenses[Category]=_xlpm.cat)),_xlpm.sorted,_xlfn.SORTBY(_xlpm.matches,INDEX(_xlpm.matches,,1),1),IFERROR(INDEX(_xlpm.sorted,_xlpm.n,1),""))</f>
        <v/>
      </c>
      <c r="Q22" s="5" cm="1">
        <f t="array" ref="Q22">_xlfn.LET(_xlpm.cat,P$1,_xlpm.n,ROWS(Q$4:Q22),_xlpm.matches,_xlfn._xlws.FILTER(_xlfn.HSTACK(DATEVALUE(tblCarryingExpenses[Date]),VALUE(tblCarryingExpenses[Amount])),(tblCarryingExpenses[Include]="Yes")*(tblCarryingExpenses[Category]=_xlpm.cat)),_xlpm.sorted,_xlfn.SORTBY(_xlpm.matches,INDEX(_xlpm.matches,,1),1),IFERROR(INDEX(_xlpm.sorted,_xlpm.n,2),""))</f>
        <v>0</v>
      </c>
      <c r="R22" s="210"/>
      <c r="S22" s="12" t="str" cm="1">
        <f t="array" ref="S22">_xlfn.LET(_xlpm.cat,S$1,_xlpm.n,ROWS(S$4:S22),_xlpm.matches,_xlfn._xlws.FILTER(_xlfn.HSTACK(DATEVALUE(tblCarryingExpenses[Date]),VALUE(tblCarryingExpenses[Amount])),(tblCarryingExpenses[Include]="Yes")*(tblCarryingExpenses[Category]=_xlpm.cat)),_xlpm.sorted,_xlfn.SORTBY(_xlpm.matches,INDEX(_xlpm.matches,,1),1),IFERROR(INDEX(_xlpm.sorted,_xlpm.n,1),""))</f>
        <v/>
      </c>
      <c r="T22" s="5" cm="1">
        <f t="array" ref="T22">_xlfn.LET(_xlpm.cat,S$1,_xlpm.n,ROWS(T$4:T22),_xlpm.matches,_xlfn._xlws.FILTER(_xlfn.HSTACK(DATEVALUE(tblCarryingExpenses[Date]),VALUE(tblCarryingExpenses[Amount])),(tblCarryingExpenses[Include]="Yes")*(tblCarryingExpenses[Category]=_xlpm.cat)),_xlpm.sorted,_xlfn.SORTBY(_xlpm.matches,INDEX(_xlpm.matches,,1),1),IFERROR(INDEX(_xlpm.sorted,_xlpm.n,2),""))</f>
        <v>0</v>
      </c>
      <c r="U22" s="210"/>
      <c r="V22" s="12" t="str" cm="1">
        <f t="array" ref="V22">_xlfn.LET(_xlpm.cat,V$1,_xlpm.n,ROWS(V$4:V22),_xlpm.matches,_xlfn._xlws.FILTER(_xlfn.HSTACK(DATEVALUE(tblCarryingExpenses[Date]),VALUE(tblCarryingExpenses[Amount])),(tblCarryingExpenses[Include]="Yes")*(tblCarryingExpenses[Category]=_xlpm.cat)),_xlpm.sorted,_xlfn.SORTBY(_xlpm.matches,INDEX(_xlpm.matches,,1),1),IFERROR(INDEX(_xlpm.sorted,_xlpm.n,1),""))</f>
        <v/>
      </c>
      <c r="W22" s="5" cm="1">
        <f t="array" ref="W22">_xlfn.LET(_xlpm.cat,V$1,_xlpm.n,ROWS(W$4:W22),_xlpm.matches,_xlfn._xlws.FILTER(_xlfn.HSTACK(DATEVALUE(tblCarryingExpenses[Date]),VALUE(tblCarryingExpenses[Amount])),(tblCarryingExpenses[Include]="Yes")*(tblCarryingExpenses[Category]=_xlpm.cat)),_xlpm.sorted,_xlfn.SORTBY(_xlpm.matches,INDEX(_xlpm.matches,,1),1),IFERROR(INDEX(_xlpm.sorted,_xlpm.n,2),""))</f>
        <v>0</v>
      </c>
      <c r="X22" s="210"/>
      <c r="Y22" s="12" t="str" cm="1">
        <f t="array" ref="Y22">_xlfn.LET(_xlpm.cat,Y$1,_xlpm.n,ROWS(Y$4:Y22),_xlpm.matches,_xlfn._xlws.FILTER(_xlfn.HSTACK(DATEVALUE(tblCarryingExpenses[Date]),VALUE(tblCarryingExpenses[Amount])),(tblCarryingExpenses[Include]="Yes")*(tblCarryingExpenses[Category]=_xlpm.cat)),_xlpm.sorted,_xlfn.SORTBY(_xlpm.matches,INDEX(_xlpm.matches,,1),1),IFERROR(INDEX(_xlpm.sorted,_xlpm.n,1),""))</f>
        <v/>
      </c>
      <c r="Z22" s="5" cm="1">
        <f t="array" ref="Z22">_xlfn.LET(_xlpm.cat,Y$1,_xlpm.n,ROWS(Z$4:Z22),_xlpm.matches,_xlfn._xlws.FILTER(_xlfn.HSTACK(DATEVALUE(tblCarryingExpenses[Date]),VALUE(tblCarryingExpenses[Amount])),(tblCarryingExpenses[Include]="Yes")*(tblCarryingExpenses[Category]=_xlpm.cat)),_xlpm.sorted,_xlfn.SORTBY(_xlpm.matches,INDEX(_xlpm.matches,,1),1),IFERROR(INDEX(_xlpm.sorted,_xlpm.n,2),""))</f>
        <v>0</v>
      </c>
      <c r="AA22" s="583">
        <f t="shared" si="0"/>
        <v>0</v>
      </c>
      <c r="AB22" s="12" t="str" cm="1">
        <f t="array" ref="AB22">_xlfn.LET(_xlpm.cat,AB$1,_xlpm.n,ROWS(AB$4:AB22),_xlpm.matches,_xlfn._xlws.FILTER(_xlfn.HSTACK(DATEVALUE(tblCarryingExpenses[Date]),VALUE(tblCarryingExpenses[Amount])),(tblCarryingExpenses[Include]="Yes")*(tblCarryingExpenses[Category]=_xlpm.cat)),_xlpm.sorted,_xlfn.SORTBY(_xlpm.matches,INDEX(_xlpm.matches,,1),1),IFERROR(INDEX(_xlpm.sorted,_xlpm.n,1),""))</f>
        <v/>
      </c>
      <c r="AC22" s="5" cm="1">
        <f t="array" ref="AC22">_xlfn.LET(_xlpm.cat,AB$1,_xlpm.n,ROWS(AC$4:AC22),_xlpm.matches,_xlfn._xlws.FILTER(_xlfn.HSTACK(DATEVALUE(tblCarryingExpenses[Date]),VALUE(tblCarryingExpenses[Amount])),(tblCarryingExpenses[Include]="Yes")*(tblCarryingExpenses[Category]=_xlpm.cat)),_xlpm.sorted,_xlfn.SORTBY(_xlpm.matches,INDEX(_xlpm.matches,,1),1),IFERROR(INDEX(_xlpm.sorted,_xlpm.n,2),""))</f>
        <v>0</v>
      </c>
      <c r="AD22" s="210"/>
      <c r="AE22" s="12" t="str" cm="1">
        <f t="array" ref="AE22">_xlfn.LET(_xlpm.cat,AE$1,_xlpm.n,ROWS(AE$4:AE22),_xlpm.matches,_xlfn._xlws.FILTER(_xlfn.HSTACK(DATEVALUE(tblCarryingExpenses[Date]),VALU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DATEVALUE(tblCarryingExpenses[Date]),VALUE(tblCarryingExpenses[Amount])),(tblCarryingExpenses[Include]="Yes")*(tblCarryingExpenses[Category]=_xlpm.cat)),_xlpm.sorted,_xlfn.SORTBY(_xlpm.matches,INDEX(_xlpm.matches,,1),1),IFERROR(INDEX(_xlpm.sorted,_xlpm.n,2),""))</f>
        <v/>
      </c>
      <c r="AG22" s="210"/>
      <c r="AL22" t="s">
        <v>458</v>
      </c>
      <c r="AM22" t="s">
        <v>1557</v>
      </c>
      <c r="AN22" s="12">
        <v>45880</v>
      </c>
      <c r="AP22" t="s">
        <v>1534</v>
      </c>
      <c r="AQ22" s="5">
        <v>0</v>
      </c>
      <c r="AR22" t="s">
        <v>1535</v>
      </c>
      <c r="AT22" t="s">
        <v>1536</v>
      </c>
      <c r="AU22" t="s">
        <v>1537</v>
      </c>
      <c r="AV22" t="s">
        <v>1558</v>
      </c>
    </row>
    <row r="23" spans="1:48">
      <c r="A23" s="12" t="str" cm="1">
        <f t="array" ref="A23">_xlfn.LET(_xlpm.cat,A$1,_xlpm.n,ROWS(A$4:A23),_xlpm.matches,_xlfn._xlws.FILTER(_xlfn.HSTACK(DATEVALUE(tblCarryingExpenses[Date]),VALU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DATEVALUE(tblCarryingExpenses[Date]),VALUE(tblCarryingExpenses[Amount])),(tblCarryingExpenses[Include]="Yes")*(tblCarryingExpenses[Category]=_xlpm.cat)),_xlpm.sorted,_xlfn.SORTBY(_xlpm.matches,INDEX(_xlpm.matches,,1),1),IFERROR(INDEX(_xlpm.sorted,_xlpm.n,2),""))</f>
        <v/>
      </c>
      <c r="C23" s="210"/>
      <c r="D23" s="12" t="str" cm="1">
        <f t="array" ref="D23">_xlfn.LET(_xlpm.cat,IF(D$1="Mortgage Payment paid after Reinstatement","Mortgage Payment",D$1),_xlpm.n,ROWS(D$4:D23),_xlpm.matches,_xlfn._xlws.FILTER(_xlfn.HSTACK(DATEVALUE(tblCarryingExpenses[Date]),VALU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DATEVALUE(tblCarryingExpenses[Date]),VALUE(tblCarryingExpenses[Amount])),(tblCarryingExpenses[Include]="Yes")*(tblCarryingExpenses[Category]=_xlpm.cat)),_xlpm.sorted,_xlfn.SORTBY(_xlpm.matches,INDEX(_xlpm.matches,,1),1),IFERROR(INDEX(_xlpm.sorted,_xlpm.n,2),""))</f>
        <v/>
      </c>
      <c r="F23" s="210"/>
      <c r="G23" s="12" t="str" cm="1">
        <f t="array" ref="G23">_xlfn.LET(_xlpm.cat,G$1,_xlpm.n,ROWS(G$4:G23),_xlpm.matches,_xlfn._xlws.FILTER(_xlfn.HSTACK(DATEVALUE(tblCarryingExpenses[Date]),VALUE(tblCarryingExpenses[Amount])),(tblCarryingExpenses[Include]="Yes")*(tblCarryingExpenses[Category]=_xlpm.cat)),_xlpm.sorted,_xlfn.SORTBY(_xlpm.matches,INDEX(_xlpm.matches,,1),1),IFERROR(INDEX(_xlpm.sorted,_xlpm.n,1),""))</f>
        <v/>
      </c>
      <c r="H23" s="334" t="str" cm="1">
        <f t="array" ref="H23">_xlfn.LET(_xlpm.cat,G$1,_xlpm.n,ROWS(H$4:H23),_xlpm.matches,_xlfn._xlws.FILTER(_xlfn.HSTACK(DATEVALUE(tblCarryingExpenses[Date]),VALUE(tblCarryingExpenses[Amount])),(tblCarryingExpenses[Include]="Yes")*(tblCarryingExpenses[Category]=_xlpm.cat)),_xlpm.sorted,_xlfn.SORTBY(_xlpm.matches,INDEX(_xlpm.matches,,1),1),IFERROR(INDEX(_xlpm.sorted,_xlpm.n,2),""))</f>
        <v/>
      </c>
      <c r="I23" s="210"/>
      <c r="J23" s="12" t="str" cm="1">
        <f t="array" ref="J23">_xlfn.LET(_xlpm.cat,J$1,_xlpm.n,ROWS(J$4:J23),_xlpm.matches,_xlfn._xlws.FILTER(_xlfn.HSTACK(DATEVALUE(tblCarryingExpenses[Date]),VALU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DATEVALUE(tblCarryingExpenses[Date]),VALUE(tblCarryingExpenses[Amount])),(tblCarryingExpenses[Include]="Yes")*(tblCarryingExpenses[Category]=_xlpm.cat)),_xlpm.sorted,_xlfn.SORTBY(_xlpm.matches,INDEX(_xlpm.matches,,1),1),IFERROR(INDEX(_xlpm.sorted,_xlpm.n,2),""))</f>
        <v/>
      </c>
      <c r="L23" s="210"/>
      <c r="M23" s="12" t="str" cm="1">
        <f t="array" ref="M23">_xlfn.LET(_xlpm.cat,M$1,_xlpm.n,ROWS(M$4:M23),_xlpm.matches,_xlfn._xlws.FILTER(_xlfn.HSTACK(DATEVALUE(tblCarryingExpenses[Date]),VALU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DATEVALUE(tblCarryingExpenses[Date]),VALUE(tblCarryingExpenses[Amount])),(tblCarryingExpenses[Include]="Yes")*(tblCarryingExpenses[Category]=_xlpm.cat)),_xlpm.sorted,_xlfn.SORTBY(_xlpm.matches,INDEX(_xlpm.matches,,1),1),IFERROR(INDEX(_xlpm.sorted,_xlpm.n,2),""))</f>
        <v/>
      </c>
      <c r="O23" s="210"/>
      <c r="P23" s="12" t="str" cm="1">
        <f t="array" ref="P23">_xlfn.LET(_xlpm.cat,P$1,_xlpm.n,ROWS(P$4:P23),_xlpm.matches,_xlfn._xlws.FILTER(_xlfn.HSTACK(DATEVALUE(tblCarryingExpenses[Date]),VALUE(tblCarryingExpenses[Amount])),(tblCarryingExpenses[Include]="Yes")*(tblCarryingExpenses[Category]=_xlpm.cat)),_xlpm.sorted,_xlfn.SORTBY(_xlpm.matches,INDEX(_xlpm.matches,,1),1),IFERROR(INDEX(_xlpm.sorted,_xlpm.n,1),""))</f>
        <v/>
      </c>
      <c r="Q23" s="5" t="str" cm="1">
        <f t="array" ref="Q23">_xlfn.LET(_xlpm.cat,P$1,_xlpm.n,ROWS(Q$4:Q23),_xlpm.matches,_xlfn._xlws.FILTER(_xlfn.HSTACK(DATEVALUE(tblCarryingExpenses[Date]),VALUE(tblCarryingExpenses[Amount])),(tblCarryingExpenses[Include]="Yes")*(tblCarryingExpenses[Category]=_xlpm.cat)),_xlpm.sorted,_xlfn.SORTBY(_xlpm.matches,INDEX(_xlpm.matches,,1),1),IFERROR(INDEX(_xlpm.sorted,_xlpm.n,2),""))</f>
        <v/>
      </c>
      <c r="R23" s="210"/>
      <c r="S23" s="12" t="str" cm="1">
        <f t="array" ref="S23">_xlfn.LET(_xlpm.cat,S$1,_xlpm.n,ROWS(S$4:S23),_xlpm.matches,_xlfn._xlws.FILTER(_xlfn.HSTACK(DATEVALUE(tblCarryingExpenses[Date]),VALU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DATEVALUE(tblCarryingExpenses[Date]),VALUE(tblCarryingExpenses[Amount])),(tblCarryingExpenses[Include]="Yes")*(tblCarryingExpenses[Category]=_xlpm.cat)),_xlpm.sorted,_xlfn.SORTBY(_xlpm.matches,INDEX(_xlpm.matches,,1),1),IFERROR(INDEX(_xlpm.sorted,_xlpm.n,2),""))</f>
        <v/>
      </c>
      <c r="U23" s="210"/>
      <c r="V23" s="12" t="str" cm="1">
        <f t="array" ref="V23">_xlfn.LET(_xlpm.cat,V$1,_xlpm.n,ROWS(V$4:V23),_xlpm.matches,_xlfn._xlws.FILTER(_xlfn.HSTACK(DATEVALUE(tblCarryingExpenses[Date]),VALU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DATEVALUE(tblCarryingExpenses[Date]),VALUE(tblCarryingExpenses[Amount])),(tblCarryingExpenses[Include]="Yes")*(tblCarryingExpenses[Category]=_xlpm.cat)),_xlpm.sorted,_xlfn.SORTBY(_xlpm.matches,INDEX(_xlpm.matches,,1),1),IFERROR(INDEX(_xlpm.sorted,_xlpm.n,2),""))</f>
        <v/>
      </c>
      <c r="X23" s="210"/>
      <c r="Y23" s="12" t="str" cm="1">
        <f t="array" ref="Y23">_xlfn.LET(_xlpm.cat,Y$1,_xlpm.n,ROWS(Y$4:Y23),_xlpm.matches,_xlfn._xlws.FILTER(_xlfn.HSTACK(DATEVALUE(tblCarryingExpenses[Date]),VALUE(tblCarryingExpenses[Amount])),(tblCarryingExpenses[Include]="Yes")*(tblCarryingExpenses[Category]=_xlpm.cat)),_xlpm.sorted,_xlfn.SORTBY(_xlpm.matches,INDEX(_xlpm.matches,,1),1),IFERROR(INDEX(_xlpm.sorted,_xlpm.n,1),""))</f>
        <v/>
      </c>
      <c r="Z23" s="5" t="str" cm="1">
        <f t="array" ref="Z23">_xlfn.LET(_xlpm.cat,Y$1,_xlpm.n,ROWS(Z$4:Z23),_xlpm.matches,_xlfn._xlws.FILTER(_xlfn.HSTACK(DATEVALUE(tblCarryingExpenses[Date]),VALUE(tblCarryingExpenses[Amount])),(tblCarryingExpenses[Include]="Yes")*(tblCarryingExpenses[Category]=_xlpm.cat)),_xlpm.sorted,_xlfn.SORTBY(_xlpm.matches,INDEX(_xlpm.matches,,1),1),IFERROR(INDEX(_xlpm.sorted,_xlpm.n,2),""))</f>
        <v/>
      </c>
      <c r="AA23" s="583" t="str">
        <f t="shared" si="0"/>
        <v/>
      </c>
      <c r="AB23" s="12" t="str" cm="1">
        <f t="array" ref="AB23">_xlfn.LET(_xlpm.cat,AB$1,_xlpm.n,ROWS(AB$4:AB23),_xlpm.matches,_xlfn._xlws.FILTER(_xlfn.HSTACK(DATEVALUE(tblCarryingExpenses[Date]),VALU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DATEVALUE(tblCarryingExpenses[Date]),VALUE(tblCarryingExpenses[Amount])),(tblCarryingExpenses[Include]="Yes")*(tblCarryingExpenses[Category]=_xlpm.cat)),_xlpm.sorted,_xlfn.SORTBY(_xlpm.matches,INDEX(_xlpm.matches,,1),1),IFERROR(INDEX(_xlpm.sorted,_xlpm.n,2),""))</f>
        <v/>
      </c>
      <c r="AD23" s="210"/>
      <c r="AE23" s="12" t="str" cm="1">
        <f t="array" ref="AE23">_xlfn.LET(_xlpm.cat,AE$1,_xlpm.n,ROWS(AE$4:AE23),_xlpm.matches,_xlfn._xlws.FILTER(_xlfn.HSTACK(DATEVALUE(tblCarryingExpenses[Date]),VALU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DATEVALUE(tblCarryingExpenses[Date]),VALUE(tblCarryingExpenses[Amount])),(tblCarryingExpenses[Include]="Yes")*(tblCarryingExpenses[Category]=_xlpm.cat)),_xlpm.sorted,_xlfn.SORTBY(_xlpm.matches,INDEX(_xlpm.matches,,1),1),IFERROR(INDEX(_xlpm.sorted,_xlpm.n,2),""))</f>
        <v/>
      </c>
      <c r="AG23" s="210"/>
      <c r="AL23" t="s">
        <v>458</v>
      </c>
      <c r="AM23" t="s">
        <v>1557</v>
      </c>
      <c r="AN23" s="12">
        <v>45910</v>
      </c>
      <c r="AP23" t="s">
        <v>1534</v>
      </c>
      <c r="AQ23" s="5">
        <v>2412.6799999999998</v>
      </c>
      <c r="AR23" t="s">
        <v>1535</v>
      </c>
      <c r="AT23" t="s">
        <v>1536</v>
      </c>
      <c r="AU23" t="s">
        <v>1537</v>
      </c>
      <c r="AV23" t="s">
        <v>1559</v>
      </c>
    </row>
    <row r="24" spans="1:48" ht="15.75" thickBot="1">
      <c r="A24" s="12" t="str" cm="1">
        <f t="array" ref="A24">_xlfn.LET(_xlpm.cat,A$1,_xlpm.n,ROWS(A$4:A24),_xlpm.matches,_xlfn._xlws.FILTER(_xlfn.HSTACK(DATEVALUE(tblCarryingExpenses[Date]),VALUE(tblCarryingExpenses[Amount])),(tblCarryingExpenses[Include]="Yes")*(tblCarryingExpenses[Category]=_xlpm.cat)),_xlpm.sorted,_xlfn.SORTBY(_xlpm.matches,INDEX(_xlpm.matches,,1),1),IFERROR(INDEX(_xlpm.sorted,_xlpm.n,1),""))</f>
        <v/>
      </c>
      <c r="B24" s="209" t="str" cm="1">
        <f t="array" ref="B24">_xlfn.LET(_xlpm.cat,A$1,_xlpm.n,ROWS(B$4:B24),_xlpm.matches,_xlfn._xlws.FILTER(_xlfn.HSTACK(DATEVALUE(tblCarryingExpenses[Date]),VALUE(tblCarryingExpenses[Amount])),(tblCarryingExpenses[Include]="Yes")*(tblCarryingExpenses[Category]=_xlpm.cat)),_xlpm.sorted,_xlfn.SORTBY(_xlpm.matches,INDEX(_xlpm.matches,,1),1),IFERROR(INDEX(_xlpm.sorted,_xlpm.n,2),""))</f>
        <v/>
      </c>
      <c r="C24" s="211"/>
      <c r="D24" s="582" t="str" cm="1">
        <f t="array" ref="D24">_xlfn.LET(_xlpm.cat,IF(D$1="Mortgage Payment paid after Reinstatement","Mortgage Payment",D$1),_xlpm.n,ROWS(D$4:D24),_xlpm.matches,_xlfn._xlws.FILTER(_xlfn.HSTACK(DATEVALUE(tblCarryingExpenses[Date]),VALU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DATEVALUE(tblCarryingExpenses[Date]),VALUE(tblCarryingExpenses[Amount])),(tblCarryingExpenses[Include]="Yes")*(tblCarryingExpenses[Category]=_xlpm.cat)),_xlpm.sorted,_xlfn.SORTBY(_xlpm.matches,INDEX(_xlpm.matches,,1),1),IFERROR(INDEX(_xlpm.sorted,_xlpm.n,2),""))</f>
        <v/>
      </c>
      <c r="F24" s="211"/>
      <c r="G24" s="582" t="str" cm="1">
        <f t="array" ref="G24">_xlfn.LET(_xlpm.cat,G$1,_xlpm.n,ROWS(G$4:G24),_xlpm.matches,_xlfn._xlws.FILTER(_xlfn.HSTACK(DATEVALUE(tblCarryingExpenses[Date]),VALU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DATEVALUE(tblCarryingExpenses[Date]),VALUE(tblCarryingExpenses[Amount])),(tblCarryingExpenses[Include]="Yes")*(tblCarryingExpenses[Category]=_xlpm.cat)),_xlpm.sorted,_xlfn.SORTBY(_xlpm.matches,INDEX(_xlpm.matches,,1),1),IFERROR(INDEX(_xlpm.sorted,_xlpm.n,2),""))</f>
        <v/>
      </c>
      <c r="I24" s="211"/>
      <c r="J24" s="12" t="str" cm="1">
        <f t="array" ref="J24">_xlfn.LET(_xlpm.cat,J$1,_xlpm.n,ROWS(J$4:J24),_xlpm.matches,_xlfn._xlws.FILTER(_xlfn.HSTACK(DATEVALUE(tblCarryingExpenses[Date]),VALUE(tblCarryingExpenses[Amount])),(tblCarryingExpenses[Include]="Yes")*(tblCarryingExpenses[Category]=_xlpm.cat)),_xlpm.sorted,_xlfn.SORTBY(_xlpm.matches,INDEX(_xlpm.matches,,1),1),IFERROR(INDEX(_xlpm.sorted,_xlpm.n,1),""))</f>
        <v/>
      </c>
      <c r="K24" s="209" t="str" cm="1">
        <f t="array" ref="K24">_xlfn.LET(_xlpm.cat,J$1,_xlpm.n,ROWS(K$4:K24),_xlpm.matches,_xlfn._xlws.FILTER(_xlfn.HSTACK(DATEVALUE(tblCarryingExpenses[Date]),VALUE(tblCarryingExpenses[Amount])),(tblCarryingExpenses[Include]="Yes")*(tblCarryingExpenses[Category]=_xlpm.cat)),_xlpm.sorted,_xlfn.SORTBY(_xlpm.matches,INDEX(_xlpm.matches,,1),1),IFERROR(INDEX(_xlpm.sorted,_xlpm.n,2),""))</f>
        <v/>
      </c>
      <c r="L24" s="211"/>
      <c r="M24" s="12" t="str" cm="1">
        <f t="array" ref="M24">_xlfn.LET(_xlpm.cat,M$1,_xlpm.n,ROWS(M$4:M24),_xlpm.matches,_xlfn._xlws.FILTER(_xlfn.HSTACK(DATEVALUE(tblCarryingExpenses[Date]),VALUE(tblCarryingExpenses[Amount])),(tblCarryingExpenses[Include]="Yes")*(tblCarryingExpenses[Category]=_xlpm.cat)),_xlpm.sorted,_xlfn.SORTBY(_xlpm.matches,INDEX(_xlpm.matches,,1),1),IFERROR(INDEX(_xlpm.sorted,_xlpm.n,1),""))</f>
        <v/>
      </c>
      <c r="N24" s="209" t="str" cm="1">
        <f t="array" ref="N24">_xlfn.LET(_xlpm.cat,M$1,_xlpm.n,ROWS(N$4:N24),_xlpm.matches,_xlfn._xlws.FILTER(_xlfn.HSTACK(DATEVALUE(tblCarryingExpenses[Date]),VALUE(tblCarryingExpenses[Amount])),(tblCarryingExpenses[Include]="Yes")*(tblCarryingExpenses[Category]=_xlpm.cat)),_xlpm.sorted,_xlfn.SORTBY(_xlpm.matches,INDEX(_xlpm.matches,,1),1),IFERROR(INDEX(_xlpm.sorted,_xlpm.n,2),""))</f>
        <v/>
      </c>
      <c r="O24" s="211"/>
      <c r="P24" s="12" t="str" cm="1">
        <f t="array" ref="P24">_xlfn.LET(_xlpm.cat,P$1,_xlpm.n,ROWS(P$4:P24),_xlpm.matches,_xlfn._xlws.FILTER(_xlfn.HSTACK(DATEVALUE(tblCarryingExpenses[Date]),VALUE(tblCarryingExpenses[Amount])),(tblCarryingExpenses[Include]="Yes")*(tblCarryingExpenses[Category]=_xlpm.cat)),_xlpm.sorted,_xlfn.SORTBY(_xlpm.matches,INDEX(_xlpm.matches,,1),1),IFERROR(INDEX(_xlpm.sorted,_xlpm.n,1),""))</f>
        <v/>
      </c>
      <c r="Q24" s="209" t="str" cm="1">
        <f t="array" ref="Q24">_xlfn.LET(_xlpm.cat,P$1,_xlpm.n,ROWS(Q$4:Q24),_xlpm.matches,_xlfn._xlws.FILTER(_xlfn.HSTACK(DATEVALUE(tblCarryingExpenses[Date]),VALUE(tblCarryingExpenses[Amount])),(tblCarryingExpenses[Include]="Yes")*(tblCarryingExpenses[Category]=_xlpm.cat)),_xlpm.sorted,_xlfn.SORTBY(_xlpm.matches,INDEX(_xlpm.matches,,1),1),IFERROR(INDEX(_xlpm.sorted,_xlpm.n,2),""))</f>
        <v/>
      </c>
      <c r="R24" s="211"/>
      <c r="S24" s="12" t="str" cm="1">
        <f t="array" ref="S24">_xlfn.LET(_xlpm.cat,S$1,_xlpm.n,ROWS(S$4:S24),_xlpm.matches,_xlfn._xlws.FILTER(_xlfn.HSTACK(DATEVALUE(tblCarryingExpenses[Date]),VALUE(tblCarryingExpenses[Amount])),(tblCarryingExpenses[Include]="Yes")*(tblCarryingExpenses[Category]=_xlpm.cat)),_xlpm.sorted,_xlfn.SORTBY(_xlpm.matches,INDEX(_xlpm.matches,,1),1),IFERROR(INDEX(_xlpm.sorted,_xlpm.n,1),""))</f>
        <v/>
      </c>
      <c r="T24" s="209" t="str" cm="1">
        <f t="array" ref="T24">_xlfn.LET(_xlpm.cat,S$1,_xlpm.n,ROWS(T$4:T24),_xlpm.matches,_xlfn._xlws.FILTER(_xlfn.HSTACK(DATEVALUE(tblCarryingExpenses[Date]),VALUE(tblCarryingExpenses[Amount])),(tblCarryingExpenses[Include]="Yes")*(tblCarryingExpenses[Category]=_xlpm.cat)),_xlpm.sorted,_xlfn.SORTBY(_xlpm.matches,INDEX(_xlpm.matches,,1),1),IFERROR(INDEX(_xlpm.sorted,_xlpm.n,2),""))</f>
        <v/>
      </c>
      <c r="U24" s="211"/>
      <c r="V24" s="12" t="str" cm="1">
        <f t="array" ref="V24">_xlfn.LET(_xlpm.cat,V$1,_xlpm.n,ROWS(V$4:V24),_xlpm.matches,_xlfn._xlws.FILTER(_xlfn.HSTACK(DATEVALUE(tblCarryingExpenses[Date]),VALUE(tblCarryingExpenses[Amount])),(tblCarryingExpenses[Include]="Yes")*(tblCarryingExpenses[Category]=_xlpm.cat)),_xlpm.sorted,_xlfn.SORTBY(_xlpm.matches,INDEX(_xlpm.matches,,1),1),IFERROR(INDEX(_xlpm.sorted,_xlpm.n,1),""))</f>
        <v/>
      </c>
      <c r="W24" s="209" t="str" cm="1">
        <f t="array" ref="W24">_xlfn.LET(_xlpm.cat,V$1,_xlpm.n,ROWS(W$4:W24),_xlpm.matches,_xlfn._xlws.FILTER(_xlfn.HSTACK(DATEVALUE(tblCarryingExpenses[Date]),VALUE(tblCarryingExpenses[Amount])),(tblCarryingExpenses[Include]="Yes")*(tblCarryingExpenses[Category]=_xlpm.cat)),_xlpm.sorted,_xlfn.SORTBY(_xlpm.matches,INDEX(_xlpm.matches,,1),1),IFERROR(INDEX(_xlpm.sorted,_xlpm.n,2),""))</f>
        <v/>
      </c>
      <c r="X24" s="211"/>
      <c r="Y24" s="12" t="str" cm="1">
        <f t="array" ref="Y24">_xlfn.LET(_xlpm.cat,Y$1,_xlpm.n,ROWS(Y$4:Y24),_xlpm.matches,_xlfn._xlws.FILTER(_xlfn.HSTACK(DATEVALUE(tblCarryingExpenses[Date]),VALUE(tblCarryingExpenses[Amount])),(tblCarryingExpenses[Include]="Yes")*(tblCarryingExpenses[Category]=_xlpm.cat)),_xlpm.sorted,_xlfn.SORTBY(_xlpm.matches,INDEX(_xlpm.matches,,1),1),IFERROR(INDEX(_xlpm.sorted,_xlpm.n,1),""))</f>
        <v/>
      </c>
      <c r="Z24" s="209" t="str" cm="1">
        <f t="array" ref="Z24">_xlfn.LET(_xlpm.cat,Y$1,_xlpm.n,ROWS(Z$4:Z24),_xlpm.matches,_xlfn._xlws.FILTER(_xlfn.HSTACK(DATEVALUE(tblCarryingExpenses[Date]),VALUE(tblCarryingExpenses[Amount])),(tblCarryingExpenses[Include]="Yes")*(tblCarryingExpenses[Category]=_xlpm.cat)),_xlpm.sorted,_xlfn.SORTBY(_xlpm.matches,INDEX(_xlpm.matches,,1),1),IFERROR(INDEX(_xlpm.sorted,_xlpm.n,2),""))</f>
        <v/>
      </c>
      <c r="AA24" s="215" t="str">
        <f t="shared" si="0"/>
        <v/>
      </c>
      <c r="AB24" s="12" t="str" cm="1">
        <f t="array" ref="AB24">_xlfn.LET(_xlpm.cat,AB$1,_xlpm.n,ROWS(AB$4:AB24),_xlpm.matches,_xlfn._xlws.FILTER(_xlfn.HSTACK(DATEVALUE(tblCarryingExpenses[Date]),VALUE(tblCarryingExpenses[Amount])),(tblCarryingExpenses[Include]="Yes")*(tblCarryingExpenses[Category]=_xlpm.cat)),_xlpm.sorted,_xlfn.SORTBY(_xlpm.matches,INDEX(_xlpm.matches,,1),1),IFERROR(INDEX(_xlpm.sorted,_xlpm.n,1),""))</f>
        <v/>
      </c>
      <c r="AC24" s="209" t="str" cm="1">
        <f t="array" ref="AC24">_xlfn.LET(_xlpm.cat,AB$1,_xlpm.n,ROWS(AC$4:AC24),_xlpm.matches,_xlfn._xlws.FILTER(_xlfn.HSTACK(DATEVALUE(tblCarryingExpenses[Date]),VALUE(tblCarryingExpenses[Amount])),(tblCarryingExpenses[Include]="Yes")*(tblCarryingExpenses[Category]=_xlpm.cat)),_xlpm.sorted,_xlfn.SORTBY(_xlpm.matches,INDEX(_xlpm.matches,,1),1),IFERROR(INDEX(_xlpm.sorted,_xlpm.n,2),""))</f>
        <v/>
      </c>
      <c r="AD24" s="211"/>
      <c r="AE24" s="12" t="str" cm="1">
        <f t="array" ref="AE24">_xlfn.LET(_xlpm.cat,AE$1,_xlpm.n,ROWS(AE$4:AE24),_xlpm.matches,_xlfn._xlws.FILTER(_xlfn.HSTACK(DATEVALUE(tblCarryingExpenses[Date]),VALUE(tblCarryingExpenses[Amount])),(tblCarryingExpenses[Include]="Yes")*(tblCarryingExpenses[Category]=_xlpm.cat)),_xlpm.sorted,_xlfn.SORTBY(_xlpm.matches,INDEX(_xlpm.matches,,1),1),IFERROR(INDEX(_xlpm.sorted,_xlpm.n,1),""))</f>
        <v/>
      </c>
      <c r="AF24" s="209" t="str" cm="1">
        <f t="array" ref="AF24">_xlfn.LET(_xlpm.cat,AE$1,_xlpm.n,ROWS(AF$4:AF24),_xlpm.matches,_xlfn._xlws.FILTER(_xlfn.HSTACK(DATEVALUE(tblCarryingExpenses[Date]),VALUE(tblCarryingExpenses[Amount])),(tblCarryingExpenses[Include]="Yes")*(tblCarryingExpenses[Category]=_xlpm.cat)),_xlpm.sorted,_xlfn.SORTBY(_xlpm.matches,INDEX(_xlpm.matches,,1),1),IFERROR(INDEX(_xlpm.sorted,_xlpm.n,2),""))</f>
        <v/>
      </c>
      <c r="AG24" s="211"/>
      <c r="AL24" t="s">
        <v>458</v>
      </c>
      <c r="AM24" t="s">
        <v>1557</v>
      </c>
      <c r="AN24" s="12">
        <v>45940</v>
      </c>
      <c r="AP24" t="s">
        <v>1534</v>
      </c>
      <c r="AQ24" s="5">
        <v>2412.6799999999998</v>
      </c>
      <c r="AR24" t="s">
        <v>1535</v>
      </c>
      <c r="AT24" t="s">
        <v>1536</v>
      </c>
      <c r="AU24" t="s">
        <v>1537</v>
      </c>
      <c r="AV24" t="s">
        <v>1560</v>
      </c>
    </row>
    <row r="25" spans="1:48" ht="15.75" thickBot="1">
      <c r="A25" s="23"/>
      <c r="B25" s="604" cm="1">
        <f t="array" ref="B25">SUMPRODUCT((tblCarryingExpenses[Include]="Yes")*(tblCarryingExpenses[Category]=A$1)*VALUE(tblCarryingExpenses[Amount]))</f>
        <v>608.29999999999995</v>
      </c>
      <c r="C25" s="605">
        <f>SUM(B4:B24)</f>
        <v>628.9799999999999</v>
      </c>
      <c r="D25" s="214"/>
      <c r="E25" s="604" cm="1">
        <f t="array" ref="E25">SUMPRODUCT((tblCarryingExpenses[Include]="Yes")*(tblCarryingExpenses[Category]="Mortgage Payment")*VALUE(tblCarryingExpenses[Amount]))</f>
        <v>14421.919999999998</v>
      </c>
      <c r="F25" s="605">
        <f>SUM(E4:E24)</f>
        <v>14421.919999999998</v>
      </c>
      <c r="G25" s="214"/>
      <c r="H25" s="604" cm="1">
        <f t="array" ref="H25">SUMPRODUCT((tblCarryingExpenses[Include]="Yes")*(tblCarryingExpenses[Category]=G$1)*VALUE(tblCarryingExpenses[Amount]))</f>
        <v>5500.0000000000018</v>
      </c>
      <c r="I25" s="605"/>
      <c r="J25" s="23"/>
      <c r="K25" s="604" cm="1">
        <f t="array" ref="K25">SUMPRODUCT((tblCarryingExpenses[Include]="Yes")*(tblCarryingExpenses[Category]=J$1)*VALUE(tblCarryingExpenses[Amount]))</f>
        <v>5921.5599999999995</v>
      </c>
      <c r="L25" s="605">
        <f>SUM(K4:K27)</f>
        <v>11843.119999999999</v>
      </c>
      <c r="M25" s="23"/>
      <c r="N25" s="604" cm="1">
        <f t="array" ref="N25">SUMPRODUCT((tblCarryingExpenses[Include]="Yes")*(tblCarryingExpenses[Category]=M$1)*VALUE(tblCarryingExpenses[Amount]))</f>
        <v>0</v>
      </c>
      <c r="O25" s="605">
        <f>SUM(N4:N27)</f>
        <v>0</v>
      </c>
      <c r="P25" s="23"/>
      <c r="Q25" s="604" cm="1">
        <f t="array" ref="Q25">SUMPRODUCT((tblCarryingExpenses[Include]="Yes")*(tblCarryingExpenses[Category]=P$1)*VALUE(tblCarryingExpenses[Amount]))</f>
        <v>401.78999999999996</v>
      </c>
      <c r="R25" s="605">
        <f>SUM(Q4:Q23)</f>
        <v>424.30999999999995</v>
      </c>
      <c r="S25" s="23"/>
      <c r="T25" s="604" cm="1">
        <f t="array" ref="T25">SUMPRODUCT((tblCarryingExpenses[Include]="Yes")*(tblCarryingExpenses[Category]=S$1)*VALUE(tblCarryingExpenses[Amount]))</f>
        <v>10</v>
      </c>
      <c r="U25" s="605">
        <f>SUM(T4:T23)</f>
        <v>688.38</v>
      </c>
      <c r="V25" s="23"/>
      <c r="W25" s="604" cm="1">
        <f t="array" ref="W25">SUMPRODUCT((tblCarryingExpenses[Include]="Yes")*(tblCarryingExpenses[Category]=V$1)*VALUE(tblCarryingExpenses[Amount]))</f>
        <v>0</v>
      </c>
      <c r="X25" s="605">
        <f>SUM(W4:W23)</f>
        <v>0</v>
      </c>
      <c r="Y25" s="23"/>
      <c r="Z25" s="604">
        <f>SUM(Z4:AA23)</f>
        <v>0</v>
      </c>
      <c r="AA25" s="605">
        <f>SUM(Z4:AA23)</f>
        <v>0</v>
      </c>
      <c r="AB25" s="23"/>
      <c r="AC25" s="604" cm="1">
        <f t="array" ref="AC25">SUMPRODUCT((tblCarryingExpenses[Include]="Yes")*(tblCarryingExpenses[Category]=AB$1)*VALUE(tblCarryingExpenses[Amount]))</f>
        <v>6000</v>
      </c>
      <c r="AD25" s="605">
        <f>SUM(AC4:AC27)</f>
        <v>12000</v>
      </c>
      <c r="AE25" s="23"/>
      <c r="AF25" s="604" cm="1">
        <f t="array" ref="AF25">SUMPRODUCT((tblCarryingExpenses[Include]="Yes")*(tblCarryingExpenses[Category]=AE$1)*VALUE(tblCarryingExpenses[Amount]))</f>
        <v>0</v>
      </c>
      <c r="AG25" s="605"/>
      <c r="AL25" t="s">
        <v>458</v>
      </c>
      <c r="AM25" t="s">
        <v>1557</v>
      </c>
      <c r="AN25" s="12">
        <v>45826</v>
      </c>
      <c r="AP25" t="s">
        <v>1534</v>
      </c>
      <c r="AQ25" s="5">
        <v>2399.14</v>
      </c>
      <c r="AR25" t="s">
        <v>1535</v>
      </c>
      <c r="AT25" t="s">
        <v>1536</v>
      </c>
      <c r="AU25" t="s">
        <v>1537</v>
      </c>
      <c r="AV25" t="s">
        <v>1561</v>
      </c>
    </row>
    <row r="26" spans="1:48">
      <c r="AL26" t="s">
        <v>458</v>
      </c>
      <c r="AM26" t="s">
        <v>1557</v>
      </c>
      <c r="AN26" s="12">
        <v>45856</v>
      </c>
      <c r="AP26" t="s">
        <v>1534</v>
      </c>
      <c r="AQ26" s="5">
        <v>2399.14</v>
      </c>
      <c r="AR26" t="s">
        <v>1535</v>
      </c>
      <c r="AT26" t="s">
        <v>1536</v>
      </c>
      <c r="AU26" t="s">
        <v>1537</v>
      </c>
      <c r="AV26" t="s">
        <v>1562</v>
      </c>
    </row>
    <row r="27" spans="1:48">
      <c r="AL27" t="s">
        <v>458</v>
      </c>
      <c r="AM27" t="s">
        <v>1557</v>
      </c>
      <c r="AN27" s="12">
        <v>45886</v>
      </c>
      <c r="AP27" t="s">
        <v>1534</v>
      </c>
      <c r="AQ27" s="5">
        <v>2399.14</v>
      </c>
      <c r="AR27" t="s">
        <v>1535</v>
      </c>
      <c r="AT27" t="s">
        <v>1536</v>
      </c>
      <c r="AU27" t="s">
        <v>1537</v>
      </c>
      <c r="AV27" t="s">
        <v>1563</v>
      </c>
    </row>
    <row r="28" spans="1:48">
      <c r="AL28" t="s">
        <v>458</v>
      </c>
      <c r="AM28" t="s">
        <v>1557</v>
      </c>
      <c r="AN28" s="12">
        <v>45917</v>
      </c>
      <c r="AP28" t="s">
        <v>1534</v>
      </c>
      <c r="AQ28" s="5">
        <v>2399.14</v>
      </c>
      <c r="AR28" t="s">
        <v>1535</v>
      </c>
      <c r="AT28" t="s">
        <v>1536</v>
      </c>
      <c r="AU28" t="s">
        <v>1537</v>
      </c>
      <c r="AV28" t="s">
        <v>1564</v>
      </c>
    </row>
    <row r="29" spans="1:48">
      <c r="AL29" t="s">
        <v>458</v>
      </c>
      <c r="AM29" t="s">
        <v>1557</v>
      </c>
      <c r="AN29" s="12">
        <v>45940</v>
      </c>
      <c r="AP29" t="s">
        <v>1534</v>
      </c>
      <c r="AQ29" s="5"/>
      <c r="AR29" t="s">
        <v>1535</v>
      </c>
      <c r="AT29" t="s">
        <v>1536</v>
      </c>
      <c r="AU29" t="s">
        <v>1537</v>
      </c>
      <c r="AV29" t="s">
        <v>1565</v>
      </c>
    </row>
    <row r="30" spans="1:48">
      <c r="AL30" t="s">
        <v>458</v>
      </c>
      <c r="AM30" t="s">
        <v>1557</v>
      </c>
      <c r="AN30" s="12">
        <v>45970</v>
      </c>
      <c r="AP30" t="s">
        <v>1534</v>
      </c>
      <c r="AQ30" s="5"/>
      <c r="AR30" t="s">
        <v>1535</v>
      </c>
      <c r="AT30" t="s">
        <v>1536</v>
      </c>
      <c r="AU30" t="s">
        <v>1537</v>
      </c>
      <c r="AV30" t="s">
        <v>1566</v>
      </c>
    </row>
    <row r="31" spans="1:48">
      <c r="AL31" t="s">
        <v>458</v>
      </c>
      <c r="AM31" t="s">
        <v>1557</v>
      </c>
      <c r="AN31" s="12">
        <v>46000</v>
      </c>
      <c r="AP31" t="s">
        <v>1534</v>
      </c>
      <c r="AQ31" s="5"/>
      <c r="AR31" t="s">
        <v>1535</v>
      </c>
      <c r="AT31" t="s">
        <v>1536</v>
      </c>
      <c r="AU31" t="s">
        <v>1537</v>
      </c>
      <c r="AV31" t="s">
        <v>1567</v>
      </c>
    </row>
    <row r="32" spans="1:48">
      <c r="AL32" t="s">
        <v>458</v>
      </c>
      <c r="AM32" t="s">
        <v>1557</v>
      </c>
      <c r="AN32" s="12">
        <v>46031</v>
      </c>
      <c r="AP32" t="s">
        <v>1534</v>
      </c>
      <c r="AQ32" s="5">
        <v>0</v>
      </c>
      <c r="AR32" t="s">
        <v>1535</v>
      </c>
      <c r="AT32" t="s">
        <v>1536</v>
      </c>
      <c r="AU32" t="s">
        <v>1537</v>
      </c>
      <c r="AV32" t="s">
        <v>1568</v>
      </c>
    </row>
    <row r="33" spans="38:48">
      <c r="AL33" t="s">
        <v>458</v>
      </c>
      <c r="AM33" t="s">
        <v>1557</v>
      </c>
      <c r="AN33" s="12">
        <v>46061</v>
      </c>
      <c r="AP33" t="s">
        <v>1534</v>
      </c>
      <c r="AQ33" s="5">
        <v>0</v>
      </c>
      <c r="AR33" t="s">
        <v>1535</v>
      </c>
      <c r="AT33" t="s">
        <v>1536</v>
      </c>
      <c r="AU33" t="s">
        <v>1537</v>
      </c>
      <c r="AV33" t="s">
        <v>1569</v>
      </c>
    </row>
    <row r="34" spans="38:48">
      <c r="AL34" t="s">
        <v>458</v>
      </c>
      <c r="AM34" t="s">
        <v>1557</v>
      </c>
      <c r="AN34" s="12">
        <v>46092</v>
      </c>
      <c r="AP34" t="s">
        <v>1534</v>
      </c>
      <c r="AQ34" s="5">
        <v>0</v>
      </c>
      <c r="AR34" t="s">
        <v>1535</v>
      </c>
      <c r="AT34" t="s">
        <v>1536</v>
      </c>
      <c r="AU34" t="s">
        <v>1537</v>
      </c>
      <c r="AV34" t="s">
        <v>1570</v>
      </c>
    </row>
    <row r="35" spans="38:48">
      <c r="AL35" t="s">
        <v>458</v>
      </c>
      <c r="AM35" t="s">
        <v>1557</v>
      </c>
      <c r="AN35" s="12">
        <v>46122</v>
      </c>
      <c r="AP35" t="s">
        <v>1534</v>
      </c>
      <c r="AQ35" s="5">
        <v>0</v>
      </c>
      <c r="AR35" t="s">
        <v>1535</v>
      </c>
      <c r="AT35" t="s">
        <v>1536</v>
      </c>
      <c r="AU35" t="s">
        <v>1537</v>
      </c>
      <c r="AV35" t="s">
        <v>1571</v>
      </c>
    </row>
    <row r="36" spans="38:48">
      <c r="AL36" t="s">
        <v>458</v>
      </c>
      <c r="AM36" t="s">
        <v>1557</v>
      </c>
      <c r="AN36" s="12">
        <v>46152</v>
      </c>
      <c r="AP36" t="s">
        <v>1534</v>
      </c>
      <c r="AQ36" s="5">
        <v>0</v>
      </c>
      <c r="AR36" t="s">
        <v>1535</v>
      </c>
      <c r="AT36" t="s">
        <v>1536</v>
      </c>
      <c r="AU36" t="s">
        <v>1537</v>
      </c>
      <c r="AV36" t="s">
        <v>1572</v>
      </c>
    </row>
    <row r="37" spans="38:48">
      <c r="AL37" t="s">
        <v>458</v>
      </c>
      <c r="AM37" t="s">
        <v>1557</v>
      </c>
      <c r="AN37" s="12">
        <v>46183</v>
      </c>
      <c r="AP37" t="s">
        <v>1534</v>
      </c>
      <c r="AQ37" s="5">
        <v>0</v>
      </c>
      <c r="AR37" t="s">
        <v>1535</v>
      </c>
      <c r="AT37" t="s">
        <v>1536</v>
      </c>
      <c r="AU37" t="s">
        <v>1537</v>
      </c>
      <c r="AV37" t="s">
        <v>1573</v>
      </c>
    </row>
    <row r="38" spans="38:48">
      <c r="AL38" t="s">
        <v>458</v>
      </c>
      <c r="AM38" t="s">
        <v>1557</v>
      </c>
      <c r="AN38" s="12">
        <v>46213</v>
      </c>
      <c r="AP38" t="s">
        <v>1534</v>
      </c>
      <c r="AQ38" s="5">
        <v>0</v>
      </c>
      <c r="AR38" t="s">
        <v>1535</v>
      </c>
      <c r="AT38" t="s">
        <v>1536</v>
      </c>
      <c r="AU38" t="s">
        <v>1537</v>
      </c>
      <c r="AV38" t="s">
        <v>1574</v>
      </c>
    </row>
    <row r="39" spans="38:48">
      <c r="AL39" t="s">
        <v>458</v>
      </c>
      <c r="AM39" t="s">
        <v>1557</v>
      </c>
      <c r="AN39" s="12">
        <v>46244</v>
      </c>
      <c r="AP39" t="s">
        <v>1534</v>
      </c>
      <c r="AQ39" s="5">
        <v>0</v>
      </c>
      <c r="AR39" t="s">
        <v>1535</v>
      </c>
      <c r="AT39" t="s">
        <v>1536</v>
      </c>
      <c r="AU39" t="s">
        <v>1537</v>
      </c>
      <c r="AV39" t="s">
        <v>1575</v>
      </c>
    </row>
    <row r="40" spans="38:48">
      <c r="AL40" t="s">
        <v>458</v>
      </c>
      <c r="AM40" t="s">
        <v>1557</v>
      </c>
      <c r="AN40" s="12">
        <v>46274</v>
      </c>
      <c r="AP40" t="s">
        <v>1534</v>
      </c>
      <c r="AQ40" s="5">
        <v>0</v>
      </c>
      <c r="AR40" t="s">
        <v>1535</v>
      </c>
      <c r="AT40" t="s">
        <v>1536</v>
      </c>
      <c r="AU40" t="s">
        <v>1537</v>
      </c>
      <c r="AV40" t="s">
        <v>1576</v>
      </c>
    </row>
    <row r="41" spans="38:48">
      <c r="AL41" t="s">
        <v>458</v>
      </c>
      <c r="AM41" t="s">
        <v>60</v>
      </c>
      <c r="AN41" s="12">
        <v>45748</v>
      </c>
      <c r="AP41" t="s">
        <v>1534</v>
      </c>
      <c r="AQ41" s="5">
        <v>0</v>
      </c>
      <c r="AR41" t="s">
        <v>1535</v>
      </c>
      <c r="AT41" t="s">
        <v>1536</v>
      </c>
      <c r="AU41" t="s">
        <v>1537</v>
      </c>
      <c r="AV41" t="s">
        <v>1577</v>
      </c>
    </row>
    <row r="42" spans="38:48">
      <c r="AL42" t="s">
        <v>458</v>
      </c>
      <c r="AM42" t="s">
        <v>60</v>
      </c>
      <c r="AN42" s="12">
        <v>45778</v>
      </c>
      <c r="AP42" t="s">
        <v>1534</v>
      </c>
      <c r="AQ42" s="5">
        <v>916.66666666666697</v>
      </c>
      <c r="AR42" t="s">
        <v>1535</v>
      </c>
      <c r="AT42" t="s">
        <v>1536</v>
      </c>
      <c r="AU42" t="s">
        <v>1537</v>
      </c>
      <c r="AV42" t="s">
        <v>1578</v>
      </c>
    </row>
    <row r="43" spans="38:48">
      <c r="AL43" t="s">
        <v>458</v>
      </c>
      <c r="AM43" t="s">
        <v>60</v>
      </c>
      <c r="AN43" s="12">
        <v>45808</v>
      </c>
      <c r="AP43" t="s">
        <v>1534</v>
      </c>
      <c r="AQ43" s="5">
        <v>916.66666666666697</v>
      </c>
      <c r="AR43" t="s">
        <v>1535</v>
      </c>
      <c r="AT43" t="s">
        <v>1536</v>
      </c>
      <c r="AU43" t="s">
        <v>1537</v>
      </c>
      <c r="AV43" t="s">
        <v>1579</v>
      </c>
    </row>
    <row r="44" spans="38:48">
      <c r="AL44" t="s">
        <v>458</v>
      </c>
      <c r="AM44" t="s">
        <v>60</v>
      </c>
      <c r="AN44" s="12">
        <v>45839</v>
      </c>
      <c r="AP44" t="s">
        <v>1534</v>
      </c>
      <c r="AQ44" s="5">
        <v>916.66666666666697</v>
      </c>
      <c r="AR44" t="s">
        <v>1535</v>
      </c>
      <c r="AT44" t="s">
        <v>1536</v>
      </c>
      <c r="AU44" t="s">
        <v>1537</v>
      </c>
      <c r="AV44" t="s">
        <v>1580</v>
      </c>
    </row>
    <row r="45" spans="38:48">
      <c r="AL45" t="s">
        <v>458</v>
      </c>
      <c r="AM45" t="s">
        <v>60</v>
      </c>
      <c r="AN45" s="12">
        <v>45869</v>
      </c>
      <c r="AP45" t="s">
        <v>1534</v>
      </c>
      <c r="AQ45" s="5">
        <v>916.66666666666697</v>
      </c>
      <c r="AR45" t="s">
        <v>1535</v>
      </c>
      <c r="AT45" t="s">
        <v>1536</v>
      </c>
      <c r="AU45" t="s">
        <v>1537</v>
      </c>
      <c r="AV45" t="s">
        <v>1581</v>
      </c>
    </row>
    <row r="46" spans="38:48">
      <c r="AL46" t="s">
        <v>458</v>
      </c>
      <c r="AM46" t="s">
        <v>60</v>
      </c>
      <c r="AN46" s="12">
        <v>45900</v>
      </c>
      <c r="AP46" t="s">
        <v>1534</v>
      </c>
      <c r="AQ46" s="5">
        <v>916.66666666666697</v>
      </c>
      <c r="AR46" t="s">
        <v>1535</v>
      </c>
      <c r="AT46" t="s">
        <v>1536</v>
      </c>
      <c r="AU46" t="s">
        <v>1537</v>
      </c>
      <c r="AV46" t="s">
        <v>1582</v>
      </c>
    </row>
    <row r="47" spans="38:48">
      <c r="AL47" t="s">
        <v>458</v>
      </c>
      <c r="AM47" t="s">
        <v>60</v>
      </c>
      <c r="AN47" s="12">
        <v>45930</v>
      </c>
      <c r="AP47" t="s">
        <v>1534</v>
      </c>
      <c r="AQ47" s="5">
        <v>916.66666666666697</v>
      </c>
      <c r="AR47" t="s">
        <v>1535</v>
      </c>
      <c r="AT47" t="s">
        <v>1536</v>
      </c>
      <c r="AU47" t="s">
        <v>1537</v>
      </c>
      <c r="AV47" t="s">
        <v>1583</v>
      </c>
    </row>
    <row r="48" spans="38:48">
      <c r="AL48" t="s">
        <v>458</v>
      </c>
      <c r="AM48" t="s">
        <v>60</v>
      </c>
      <c r="AN48" s="12">
        <v>45960</v>
      </c>
      <c r="AP48" t="s">
        <v>1534</v>
      </c>
      <c r="AQ48" s="5"/>
      <c r="AR48" t="s">
        <v>1535</v>
      </c>
      <c r="AT48" t="s">
        <v>1536</v>
      </c>
      <c r="AU48" t="s">
        <v>1537</v>
      </c>
      <c r="AV48" t="s">
        <v>1584</v>
      </c>
    </row>
    <row r="49" spans="38:48">
      <c r="AL49" t="s">
        <v>458</v>
      </c>
      <c r="AM49" t="s">
        <v>60</v>
      </c>
      <c r="AN49" s="12">
        <v>45991</v>
      </c>
      <c r="AP49" t="s">
        <v>1534</v>
      </c>
      <c r="AQ49" s="5">
        <v>0</v>
      </c>
      <c r="AR49" t="s">
        <v>1535</v>
      </c>
      <c r="AT49" t="s">
        <v>1536</v>
      </c>
      <c r="AU49" t="s">
        <v>1537</v>
      </c>
      <c r="AV49" t="s">
        <v>1585</v>
      </c>
    </row>
    <row r="50" spans="38:48">
      <c r="AL50" t="s">
        <v>458</v>
      </c>
      <c r="AM50" t="s">
        <v>60</v>
      </c>
      <c r="AN50" s="12">
        <v>46021</v>
      </c>
      <c r="AP50" t="s">
        <v>1534</v>
      </c>
      <c r="AQ50" s="5">
        <v>0</v>
      </c>
      <c r="AR50" t="s">
        <v>1535</v>
      </c>
      <c r="AT50" t="s">
        <v>1536</v>
      </c>
      <c r="AU50" t="s">
        <v>1537</v>
      </c>
      <c r="AV50" t="s">
        <v>1586</v>
      </c>
    </row>
    <row r="51" spans="38:48">
      <c r="AL51" t="s">
        <v>458</v>
      </c>
      <c r="AM51" t="s">
        <v>60</v>
      </c>
      <c r="AN51" s="12">
        <v>46052</v>
      </c>
      <c r="AP51" t="s">
        <v>1534</v>
      </c>
      <c r="AQ51" s="5">
        <v>0</v>
      </c>
      <c r="AR51" t="s">
        <v>1535</v>
      </c>
      <c r="AT51" t="s">
        <v>1536</v>
      </c>
      <c r="AU51" t="s">
        <v>1537</v>
      </c>
      <c r="AV51" t="s">
        <v>1587</v>
      </c>
    </row>
    <row r="52" spans="38:48">
      <c r="AL52" t="s">
        <v>458</v>
      </c>
      <c r="AM52" t="s">
        <v>60</v>
      </c>
      <c r="AN52" s="12">
        <v>46082</v>
      </c>
      <c r="AP52" t="s">
        <v>1534</v>
      </c>
      <c r="AQ52" s="5"/>
      <c r="AR52" t="s">
        <v>1535</v>
      </c>
      <c r="AT52" t="s">
        <v>1536</v>
      </c>
      <c r="AU52" t="s">
        <v>1537</v>
      </c>
      <c r="AV52" t="s">
        <v>1588</v>
      </c>
    </row>
    <row r="53" spans="38:48">
      <c r="AL53" t="s">
        <v>458</v>
      </c>
      <c r="AM53" t="s">
        <v>60</v>
      </c>
      <c r="AN53" s="12">
        <v>46113</v>
      </c>
      <c r="AP53" t="s">
        <v>1534</v>
      </c>
      <c r="AQ53" s="5"/>
      <c r="AR53" t="s">
        <v>1535</v>
      </c>
      <c r="AT53" t="s">
        <v>1536</v>
      </c>
      <c r="AU53" t="s">
        <v>1537</v>
      </c>
      <c r="AV53" t="s">
        <v>1589</v>
      </c>
    </row>
    <row r="54" spans="38:48">
      <c r="AL54" t="s">
        <v>458</v>
      </c>
      <c r="AM54" t="s">
        <v>60</v>
      </c>
      <c r="AN54" s="12">
        <v>46143</v>
      </c>
      <c r="AP54" t="s">
        <v>1534</v>
      </c>
      <c r="AQ54" s="5"/>
      <c r="AR54" t="s">
        <v>1535</v>
      </c>
      <c r="AT54" t="s">
        <v>1536</v>
      </c>
      <c r="AU54" t="s">
        <v>1537</v>
      </c>
      <c r="AV54" t="s">
        <v>1590</v>
      </c>
    </row>
    <row r="55" spans="38:48">
      <c r="AL55" t="s">
        <v>458</v>
      </c>
      <c r="AM55" t="s">
        <v>60</v>
      </c>
      <c r="AN55" s="12">
        <v>46173</v>
      </c>
      <c r="AP55" t="s">
        <v>1534</v>
      </c>
      <c r="AQ55" s="5"/>
      <c r="AR55" t="s">
        <v>1535</v>
      </c>
      <c r="AT55" t="s">
        <v>1536</v>
      </c>
      <c r="AU55" t="s">
        <v>1537</v>
      </c>
      <c r="AV55" t="s">
        <v>1591</v>
      </c>
    </row>
    <row r="56" spans="38:48">
      <c r="AL56" t="s">
        <v>458</v>
      </c>
      <c r="AM56" t="s">
        <v>60</v>
      </c>
      <c r="AN56" s="12">
        <v>46204</v>
      </c>
      <c r="AP56" t="s">
        <v>1534</v>
      </c>
      <c r="AQ56" s="5"/>
      <c r="AR56" t="s">
        <v>1535</v>
      </c>
      <c r="AT56" t="s">
        <v>1536</v>
      </c>
      <c r="AU56" t="s">
        <v>1537</v>
      </c>
      <c r="AV56" t="s">
        <v>1592</v>
      </c>
    </row>
    <row r="57" spans="38:48">
      <c r="AL57" t="s">
        <v>458</v>
      </c>
      <c r="AM57" t="s">
        <v>60</v>
      </c>
      <c r="AN57" s="12">
        <v>46234</v>
      </c>
      <c r="AP57" t="s">
        <v>1534</v>
      </c>
      <c r="AQ57" s="5"/>
      <c r="AR57" t="s">
        <v>1535</v>
      </c>
      <c r="AT57" t="s">
        <v>1536</v>
      </c>
      <c r="AU57" t="s">
        <v>1537</v>
      </c>
      <c r="AV57" t="s">
        <v>1593</v>
      </c>
    </row>
    <row r="58" spans="38:48">
      <c r="AL58" t="s">
        <v>458</v>
      </c>
      <c r="AM58" t="s">
        <v>60</v>
      </c>
      <c r="AN58" s="12">
        <v>46265</v>
      </c>
      <c r="AP58" t="s">
        <v>1534</v>
      </c>
      <c r="AQ58" s="5"/>
      <c r="AR58" t="s">
        <v>1535</v>
      </c>
      <c r="AT58" t="s">
        <v>1536</v>
      </c>
      <c r="AU58" t="s">
        <v>1537</v>
      </c>
      <c r="AV58" t="s">
        <v>1594</v>
      </c>
    </row>
    <row r="59" spans="38:48">
      <c r="AL59" t="s">
        <v>458</v>
      </c>
      <c r="AM59" t="s">
        <v>60</v>
      </c>
      <c r="AN59" s="12">
        <v>46295</v>
      </c>
      <c r="AP59" t="s">
        <v>1534</v>
      </c>
      <c r="AQ59" s="5"/>
      <c r="AR59" t="s">
        <v>1535</v>
      </c>
      <c r="AT59" t="s">
        <v>1536</v>
      </c>
      <c r="AU59" t="s">
        <v>1537</v>
      </c>
      <c r="AV59" t="s">
        <v>1595</v>
      </c>
    </row>
    <row r="60" spans="38:48">
      <c r="AL60" t="s">
        <v>458</v>
      </c>
      <c r="AM60" t="s">
        <v>1424</v>
      </c>
      <c r="AN60" s="12">
        <v>45880</v>
      </c>
      <c r="AP60" t="s">
        <v>1534</v>
      </c>
      <c r="AQ60" s="5">
        <v>0</v>
      </c>
      <c r="AR60" t="s">
        <v>1535</v>
      </c>
      <c r="AT60" t="s">
        <v>1536</v>
      </c>
      <c r="AU60" t="s">
        <v>1537</v>
      </c>
      <c r="AV60" t="s">
        <v>1596</v>
      </c>
    </row>
    <row r="61" spans="38:48">
      <c r="AL61" t="s">
        <v>458</v>
      </c>
      <c r="AM61" t="s">
        <v>1424</v>
      </c>
      <c r="AN61" s="12">
        <v>45910</v>
      </c>
      <c r="AP61" t="s">
        <v>1534</v>
      </c>
      <c r="AQ61" s="5">
        <v>0</v>
      </c>
      <c r="AR61" t="s">
        <v>1535</v>
      </c>
      <c r="AT61" t="s">
        <v>1536</v>
      </c>
      <c r="AU61" t="s">
        <v>1537</v>
      </c>
      <c r="AV61" t="s">
        <v>1597</v>
      </c>
    </row>
    <row r="62" spans="38:48">
      <c r="AL62" t="s">
        <v>458</v>
      </c>
      <c r="AM62" t="s">
        <v>1424</v>
      </c>
      <c r="AN62" s="12">
        <v>45940</v>
      </c>
      <c r="AP62" t="s">
        <v>1534</v>
      </c>
      <c r="AQ62" s="5">
        <v>0</v>
      </c>
      <c r="AR62" t="s">
        <v>1535</v>
      </c>
      <c r="AT62" t="s">
        <v>1536</v>
      </c>
      <c r="AU62" t="s">
        <v>1537</v>
      </c>
      <c r="AV62" t="s">
        <v>1598</v>
      </c>
    </row>
    <row r="63" spans="38:48">
      <c r="AL63" t="s">
        <v>458</v>
      </c>
      <c r="AM63" t="s">
        <v>1424</v>
      </c>
      <c r="AN63" s="12">
        <v>45971</v>
      </c>
      <c r="AP63" t="s">
        <v>1534</v>
      </c>
      <c r="AQ63" s="5">
        <v>0</v>
      </c>
      <c r="AR63" t="s">
        <v>1535</v>
      </c>
      <c r="AT63" t="s">
        <v>1536</v>
      </c>
      <c r="AU63" t="s">
        <v>1537</v>
      </c>
      <c r="AV63" t="s">
        <v>1599</v>
      </c>
    </row>
    <row r="64" spans="38:48">
      <c r="AL64" t="s">
        <v>458</v>
      </c>
      <c r="AM64" t="s">
        <v>1424</v>
      </c>
      <c r="AN64" s="12">
        <v>46001</v>
      </c>
      <c r="AP64" t="s">
        <v>1534</v>
      </c>
      <c r="AQ64" s="5">
        <v>0</v>
      </c>
      <c r="AR64" t="s">
        <v>1535</v>
      </c>
      <c r="AT64" t="s">
        <v>1536</v>
      </c>
      <c r="AU64" t="s">
        <v>1537</v>
      </c>
      <c r="AV64" t="s">
        <v>1600</v>
      </c>
    </row>
    <row r="65" spans="38:48">
      <c r="AL65" t="s">
        <v>458</v>
      </c>
      <c r="AM65" t="s">
        <v>1424</v>
      </c>
      <c r="AN65" s="12">
        <v>46032</v>
      </c>
      <c r="AP65" t="s">
        <v>1534</v>
      </c>
      <c r="AQ65" s="5">
        <v>0</v>
      </c>
      <c r="AR65" t="s">
        <v>1535</v>
      </c>
      <c r="AT65" t="s">
        <v>1536</v>
      </c>
      <c r="AU65" t="s">
        <v>1537</v>
      </c>
      <c r="AV65" t="s">
        <v>1601</v>
      </c>
    </row>
    <row r="66" spans="38:48">
      <c r="AL66" t="s">
        <v>458</v>
      </c>
      <c r="AM66" t="s">
        <v>1424</v>
      </c>
      <c r="AN66" s="12">
        <v>45945</v>
      </c>
      <c r="AP66" t="s">
        <v>1534</v>
      </c>
      <c r="AQ66" s="5">
        <v>63.27</v>
      </c>
      <c r="AR66" t="s">
        <v>1535</v>
      </c>
      <c r="AT66" t="s">
        <v>1536</v>
      </c>
      <c r="AU66" t="s">
        <v>1537</v>
      </c>
      <c r="AV66" t="s">
        <v>1602</v>
      </c>
    </row>
    <row r="67" spans="38:48">
      <c r="AL67" t="s">
        <v>458</v>
      </c>
      <c r="AM67" t="s">
        <v>1424</v>
      </c>
      <c r="AN67" s="12">
        <v>45967</v>
      </c>
      <c r="AP67" t="s">
        <v>1534</v>
      </c>
      <c r="AQ67" s="5">
        <v>980.91</v>
      </c>
      <c r="AR67" t="s">
        <v>1535</v>
      </c>
      <c r="AT67" t="s">
        <v>1536</v>
      </c>
      <c r="AU67" t="s">
        <v>1537</v>
      </c>
      <c r="AV67" t="s">
        <v>1603</v>
      </c>
    </row>
    <row r="68" spans="38:48">
      <c r="AL68" t="s">
        <v>458</v>
      </c>
      <c r="AM68" t="s">
        <v>1424</v>
      </c>
      <c r="AN68" s="12">
        <v>45996</v>
      </c>
      <c r="AP68" t="s">
        <v>1534</v>
      </c>
      <c r="AQ68" s="5">
        <v>950.42</v>
      </c>
      <c r="AR68" t="s">
        <v>1535</v>
      </c>
      <c r="AT68" t="s">
        <v>1536</v>
      </c>
      <c r="AU68" t="s">
        <v>1537</v>
      </c>
      <c r="AV68" t="s">
        <v>1604</v>
      </c>
    </row>
    <row r="69" spans="38:48">
      <c r="AL69" t="s">
        <v>458</v>
      </c>
      <c r="AM69" t="s">
        <v>1424</v>
      </c>
      <c r="AN69" s="12">
        <v>46026</v>
      </c>
      <c r="AP69" t="s">
        <v>1534</v>
      </c>
      <c r="AQ69" s="5">
        <v>981.74</v>
      </c>
      <c r="AR69" t="s">
        <v>1535</v>
      </c>
      <c r="AT69" t="s">
        <v>1536</v>
      </c>
      <c r="AU69" t="s">
        <v>1537</v>
      </c>
      <c r="AV69" t="s">
        <v>1605</v>
      </c>
    </row>
    <row r="70" spans="38:48">
      <c r="AL70" t="s">
        <v>458</v>
      </c>
      <c r="AM70" t="s">
        <v>1424</v>
      </c>
      <c r="AN70" s="12">
        <v>46056</v>
      </c>
      <c r="AP70" t="s">
        <v>1534</v>
      </c>
      <c r="AQ70" s="5">
        <v>981.74</v>
      </c>
      <c r="AR70" t="s">
        <v>1535</v>
      </c>
      <c r="AT70" t="s">
        <v>1536</v>
      </c>
      <c r="AU70" t="s">
        <v>1537</v>
      </c>
      <c r="AV70" t="s">
        <v>1606</v>
      </c>
    </row>
    <row r="71" spans="38:48">
      <c r="AL71" t="s">
        <v>458</v>
      </c>
      <c r="AM71" t="s">
        <v>1424</v>
      </c>
      <c r="AN71" s="12">
        <v>46087</v>
      </c>
      <c r="AP71" t="s">
        <v>1534</v>
      </c>
      <c r="AQ71" s="5">
        <v>981.74</v>
      </c>
      <c r="AR71" t="s">
        <v>1535</v>
      </c>
      <c r="AT71" t="s">
        <v>1536</v>
      </c>
      <c r="AU71" t="s">
        <v>1537</v>
      </c>
      <c r="AV71" t="s">
        <v>1607</v>
      </c>
    </row>
    <row r="72" spans="38:48">
      <c r="AL72" t="s">
        <v>458</v>
      </c>
      <c r="AM72" t="s">
        <v>1424</v>
      </c>
      <c r="AN72" s="12">
        <v>46117</v>
      </c>
      <c r="AP72" t="s">
        <v>1534</v>
      </c>
      <c r="AQ72" s="5">
        <v>981.74</v>
      </c>
      <c r="AR72" t="s">
        <v>1535</v>
      </c>
      <c r="AT72" t="s">
        <v>1536</v>
      </c>
      <c r="AU72" t="s">
        <v>1537</v>
      </c>
      <c r="AV72" t="s">
        <v>1608</v>
      </c>
    </row>
    <row r="73" spans="38:48">
      <c r="AL73" t="s">
        <v>458</v>
      </c>
      <c r="AM73" t="s">
        <v>1424</v>
      </c>
      <c r="AN73" s="12">
        <v>46148</v>
      </c>
      <c r="AP73" t="s">
        <v>1534</v>
      </c>
      <c r="AQ73" s="5">
        <v>0</v>
      </c>
      <c r="AR73" t="s">
        <v>1535</v>
      </c>
      <c r="AT73" t="s">
        <v>1536</v>
      </c>
      <c r="AU73" t="s">
        <v>1537</v>
      </c>
      <c r="AV73" t="s">
        <v>1609</v>
      </c>
    </row>
    <row r="74" spans="38:48">
      <c r="AL74" t="s">
        <v>458</v>
      </c>
      <c r="AM74" t="s">
        <v>1424</v>
      </c>
      <c r="AN74" s="12">
        <v>46178</v>
      </c>
      <c r="AP74" t="s">
        <v>1534</v>
      </c>
      <c r="AQ74" s="5">
        <v>0</v>
      </c>
      <c r="AR74" t="s">
        <v>1535</v>
      </c>
      <c r="AT74" t="s">
        <v>1536</v>
      </c>
      <c r="AU74" t="s">
        <v>1537</v>
      </c>
      <c r="AV74" t="s">
        <v>1610</v>
      </c>
    </row>
    <row r="75" spans="38:48">
      <c r="AL75" t="s">
        <v>458</v>
      </c>
      <c r="AM75" t="s">
        <v>1424</v>
      </c>
      <c r="AN75" s="12">
        <v>46208</v>
      </c>
      <c r="AP75" t="s">
        <v>1534</v>
      </c>
      <c r="AQ75" s="5">
        <v>0</v>
      </c>
      <c r="AR75" t="s">
        <v>1535</v>
      </c>
      <c r="AT75" t="s">
        <v>1536</v>
      </c>
      <c r="AU75" t="s">
        <v>1537</v>
      </c>
      <c r="AV75" t="s">
        <v>1611</v>
      </c>
    </row>
    <row r="76" spans="38:48">
      <c r="AL76" t="s">
        <v>458</v>
      </c>
      <c r="AM76" t="s">
        <v>1424</v>
      </c>
      <c r="AN76" s="12">
        <v>46239</v>
      </c>
      <c r="AP76" t="s">
        <v>1534</v>
      </c>
      <c r="AQ76" s="5">
        <v>0</v>
      </c>
      <c r="AR76" t="s">
        <v>1535</v>
      </c>
      <c r="AT76" t="s">
        <v>1536</v>
      </c>
      <c r="AU76" t="s">
        <v>1537</v>
      </c>
      <c r="AV76" t="s">
        <v>1612</v>
      </c>
    </row>
    <row r="77" spans="38:48">
      <c r="AL77" t="s">
        <v>458</v>
      </c>
      <c r="AM77" t="s">
        <v>1424</v>
      </c>
      <c r="AN77" s="12">
        <v>46269</v>
      </c>
      <c r="AP77" t="s">
        <v>1534</v>
      </c>
      <c r="AQ77" s="5">
        <v>0</v>
      </c>
      <c r="AR77" t="s">
        <v>1535</v>
      </c>
      <c r="AT77" t="s">
        <v>1536</v>
      </c>
      <c r="AU77" t="s">
        <v>1537</v>
      </c>
      <c r="AV77" t="s">
        <v>1613</v>
      </c>
    </row>
    <row r="78" spans="38:48">
      <c r="AL78" t="s">
        <v>458</v>
      </c>
      <c r="AM78" t="s">
        <v>1424</v>
      </c>
      <c r="AN78" s="12">
        <v>46300</v>
      </c>
      <c r="AP78" t="s">
        <v>1534</v>
      </c>
      <c r="AQ78" s="5">
        <v>0</v>
      </c>
      <c r="AR78" t="s">
        <v>1535</v>
      </c>
      <c r="AT78" t="s">
        <v>1536</v>
      </c>
      <c r="AU78" t="s">
        <v>1537</v>
      </c>
      <c r="AV78" t="s">
        <v>1614</v>
      </c>
    </row>
    <row r="79" spans="38:48">
      <c r="AL79" t="s">
        <v>458</v>
      </c>
      <c r="AM79" t="s">
        <v>504</v>
      </c>
      <c r="AN79" s="12">
        <v>45748</v>
      </c>
      <c r="AP79" t="s">
        <v>1534</v>
      </c>
      <c r="AQ79" s="5">
        <v>0</v>
      </c>
      <c r="AR79" t="s">
        <v>1535</v>
      </c>
      <c r="AT79" t="s">
        <v>1536</v>
      </c>
      <c r="AU79" t="s">
        <v>1537</v>
      </c>
      <c r="AV79" t="s">
        <v>1615</v>
      </c>
    </row>
    <row r="80" spans="38:48">
      <c r="AL80" t="s">
        <v>458</v>
      </c>
      <c r="AM80" t="s">
        <v>504</v>
      </c>
      <c r="AN80" s="12">
        <v>45778</v>
      </c>
      <c r="AP80" t="s">
        <v>1534</v>
      </c>
      <c r="AQ80" s="5">
        <v>0</v>
      </c>
      <c r="AR80" t="s">
        <v>1535</v>
      </c>
      <c r="AT80" t="s">
        <v>1536</v>
      </c>
      <c r="AU80" t="s">
        <v>1537</v>
      </c>
      <c r="AV80" t="s">
        <v>1616</v>
      </c>
    </row>
    <row r="81" spans="38:48">
      <c r="AL81" t="s">
        <v>458</v>
      </c>
      <c r="AM81" t="s">
        <v>504</v>
      </c>
      <c r="AN81" s="12">
        <v>45808</v>
      </c>
      <c r="AP81" t="s">
        <v>1534</v>
      </c>
      <c r="AQ81" s="5">
        <v>0</v>
      </c>
      <c r="AR81" t="s">
        <v>1535</v>
      </c>
      <c r="AT81" t="s">
        <v>1536</v>
      </c>
      <c r="AU81" t="s">
        <v>1537</v>
      </c>
      <c r="AV81" t="s">
        <v>1617</v>
      </c>
    </row>
    <row r="82" spans="38:48">
      <c r="AL82" t="s">
        <v>458</v>
      </c>
      <c r="AM82" t="s">
        <v>504</v>
      </c>
      <c r="AN82" s="12">
        <v>45839</v>
      </c>
      <c r="AP82" t="s">
        <v>1534</v>
      </c>
      <c r="AQ82" s="5">
        <v>0</v>
      </c>
      <c r="AR82" t="s">
        <v>1535</v>
      </c>
      <c r="AT82" t="s">
        <v>1536</v>
      </c>
      <c r="AU82" t="s">
        <v>1537</v>
      </c>
      <c r="AV82" t="s">
        <v>1618</v>
      </c>
    </row>
    <row r="83" spans="38:48">
      <c r="AL83" t="s">
        <v>458</v>
      </c>
      <c r="AM83" t="s">
        <v>504</v>
      </c>
      <c r="AN83" s="12">
        <v>45869</v>
      </c>
      <c r="AP83" t="s">
        <v>1534</v>
      </c>
      <c r="AQ83" s="5">
        <v>0</v>
      </c>
      <c r="AR83" t="s">
        <v>1535</v>
      </c>
      <c r="AT83" t="s">
        <v>1536</v>
      </c>
      <c r="AU83" t="s">
        <v>1537</v>
      </c>
      <c r="AV83" t="s">
        <v>1619</v>
      </c>
    </row>
    <row r="84" spans="38:48">
      <c r="AL84" t="s">
        <v>458</v>
      </c>
      <c r="AM84" t="s">
        <v>504</v>
      </c>
      <c r="AN84" s="12">
        <v>45900</v>
      </c>
      <c r="AP84" t="s">
        <v>1534</v>
      </c>
      <c r="AQ84" s="5">
        <v>0</v>
      </c>
      <c r="AR84" t="s">
        <v>1535</v>
      </c>
      <c r="AT84" t="s">
        <v>1536</v>
      </c>
      <c r="AU84" t="s">
        <v>1537</v>
      </c>
      <c r="AV84" t="s">
        <v>1620</v>
      </c>
    </row>
    <row r="85" spans="38:48">
      <c r="AL85" t="s">
        <v>458</v>
      </c>
      <c r="AM85" t="s">
        <v>504</v>
      </c>
      <c r="AN85" s="12">
        <v>45930</v>
      </c>
      <c r="AP85" t="s">
        <v>1534</v>
      </c>
      <c r="AQ85" s="5">
        <v>0</v>
      </c>
      <c r="AR85" t="s">
        <v>1535</v>
      </c>
      <c r="AT85" t="s">
        <v>1536</v>
      </c>
      <c r="AU85" t="s">
        <v>1537</v>
      </c>
      <c r="AV85" t="s">
        <v>1621</v>
      </c>
    </row>
    <row r="86" spans="38:48">
      <c r="AL86" t="s">
        <v>458</v>
      </c>
      <c r="AM86" t="s">
        <v>504</v>
      </c>
      <c r="AN86" s="12">
        <v>45960</v>
      </c>
      <c r="AP86" t="s">
        <v>1534</v>
      </c>
      <c r="AQ86" s="5">
        <v>0</v>
      </c>
      <c r="AR86" t="s">
        <v>1535</v>
      </c>
      <c r="AT86" t="s">
        <v>1536</v>
      </c>
      <c r="AU86" t="s">
        <v>1537</v>
      </c>
      <c r="AV86" t="s">
        <v>1622</v>
      </c>
    </row>
    <row r="87" spans="38:48">
      <c r="AL87" t="s">
        <v>458</v>
      </c>
      <c r="AM87" t="s">
        <v>504</v>
      </c>
      <c r="AN87" s="12">
        <v>45991</v>
      </c>
      <c r="AP87" t="s">
        <v>1534</v>
      </c>
      <c r="AQ87" s="5">
        <v>0</v>
      </c>
      <c r="AR87" t="s">
        <v>1535</v>
      </c>
      <c r="AT87" t="s">
        <v>1536</v>
      </c>
      <c r="AU87" t="s">
        <v>1537</v>
      </c>
      <c r="AV87" t="s">
        <v>1623</v>
      </c>
    </row>
    <row r="88" spans="38:48">
      <c r="AL88" t="s">
        <v>458</v>
      </c>
      <c r="AM88" t="s">
        <v>504</v>
      </c>
      <c r="AN88" s="12">
        <v>46021</v>
      </c>
      <c r="AP88" t="s">
        <v>1534</v>
      </c>
      <c r="AQ88" s="5">
        <v>0</v>
      </c>
      <c r="AR88" t="s">
        <v>1535</v>
      </c>
      <c r="AT88" t="s">
        <v>1536</v>
      </c>
      <c r="AU88" t="s">
        <v>1537</v>
      </c>
      <c r="AV88" t="s">
        <v>1624</v>
      </c>
    </row>
    <row r="89" spans="38:48">
      <c r="AL89" t="s">
        <v>458</v>
      </c>
      <c r="AM89" t="s">
        <v>504</v>
      </c>
      <c r="AN89" s="12">
        <v>46052</v>
      </c>
      <c r="AP89" t="s">
        <v>1534</v>
      </c>
      <c r="AQ89" s="5">
        <v>0</v>
      </c>
      <c r="AR89" t="s">
        <v>1535</v>
      </c>
      <c r="AT89" t="s">
        <v>1536</v>
      </c>
      <c r="AU89" t="s">
        <v>1537</v>
      </c>
      <c r="AV89" t="s">
        <v>1625</v>
      </c>
    </row>
    <row r="90" spans="38:48">
      <c r="AL90" t="s">
        <v>458</v>
      </c>
      <c r="AM90" t="s">
        <v>504</v>
      </c>
      <c r="AN90" s="12">
        <v>46082</v>
      </c>
      <c r="AP90" t="s">
        <v>1534</v>
      </c>
      <c r="AQ90" s="5">
        <v>0</v>
      </c>
      <c r="AR90" t="s">
        <v>1535</v>
      </c>
      <c r="AT90" t="s">
        <v>1536</v>
      </c>
      <c r="AU90" t="s">
        <v>1537</v>
      </c>
      <c r="AV90" t="s">
        <v>1626</v>
      </c>
    </row>
    <row r="91" spans="38:48">
      <c r="AL91" t="s">
        <v>458</v>
      </c>
      <c r="AM91" t="s">
        <v>504</v>
      </c>
      <c r="AN91" s="12">
        <v>46113</v>
      </c>
      <c r="AP91" t="s">
        <v>1534</v>
      </c>
      <c r="AQ91" s="5">
        <v>0</v>
      </c>
      <c r="AR91" t="s">
        <v>1535</v>
      </c>
      <c r="AT91" t="s">
        <v>1536</v>
      </c>
      <c r="AU91" t="s">
        <v>1537</v>
      </c>
      <c r="AV91" t="s">
        <v>1627</v>
      </c>
    </row>
    <row r="92" spans="38:48">
      <c r="AL92" t="s">
        <v>458</v>
      </c>
      <c r="AM92" t="s">
        <v>504</v>
      </c>
      <c r="AN92" s="12">
        <v>46143</v>
      </c>
      <c r="AP92" t="s">
        <v>1534</v>
      </c>
      <c r="AQ92" s="5">
        <v>0</v>
      </c>
      <c r="AR92" t="s">
        <v>1535</v>
      </c>
      <c r="AT92" t="s">
        <v>1536</v>
      </c>
      <c r="AU92" t="s">
        <v>1537</v>
      </c>
      <c r="AV92" t="s">
        <v>1628</v>
      </c>
    </row>
    <row r="93" spans="38:48">
      <c r="AL93" t="s">
        <v>458</v>
      </c>
      <c r="AM93" t="s">
        <v>504</v>
      </c>
      <c r="AN93" s="12">
        <v>46173</v>
      </c>
      <c r="AP93" t="s">
        <v>1534</v>
      </c>
      <c r="AQ93" s="5">
        <v>0</v>
      </c>
      <c r="AR93" t="s">
        <v>1535</v>
      </c>
      <c r="AT93" t="s">
        <v>1536</v>
      </c>
      <c r="AU93" t="s">
        <v>1537</v>
      </c>
      <c r="AV93" t="s">
        <v>1629</v>
      </c>
    </row>
    <row r="94" spans="38:48">
      <c r="AL94" t="s">
        <v>458</v>
      </c>
      <c r="AM94" t="s">
        <v>504</v>
      </c>
      <c r="AN94" s="12">
        <v>46204</v>
      </c>
      <c r="AP94" t="s">
        <v>1534</v>
      </c>
      <c r="AQ94" s="5">
        <v>0</v>
      </c>
      <c r="AR94" t="s">
        <v>1535</v>
      </c>
      <c r="AT94" t="s">
        <v>1536</v>
      </c>
      <c r="AU94" t="s">
        <v>1537</v>
      </c>
      <c r="AV94" t="s">
        <v>1630</v>
      </c>
    </row>
    <row r="95" spans="38:48">
      <c r="AL95" t="s">
        <v>458</v>
      </c>
      <c r="AM95" t="s">
        <v>504</v>
      </c>
      <c r="AN95" s="12">
        <v>46234</v>
      </c>
      <c r="AP95" t="s">
        <v>1534</v>
      </c>
      <c r="AQ95" s="5">
        <v>0</v>
      </c>
      <c r="AR95" t="s">
        <v>1535</v>
      </c>
      <c r="AT95" t="s">
        <v>1536</v>
      </c>
      <c r="AU95" t="s">
        <v>1537</v>
      </c>
      <c r="AV95" t="s">
        <v>1631</v>
      </c>
    </row>
    <row r="96" spans="38:48">
      <c r="AL96" t="s">
        <v>458</v>
      </c>
      <c r="AM96" t="s">
        <v>504</v>
      </c>
      <c r="AN96" s="12">
        <v>46265</v>
      </c>
      <c r="AP96" t="s">
        <v>1534</v>
      </c>
      <c r="AQ96" s="5">
        <v>0</v>
      </c>
      <c r="AR96" t="s">
        <v>1535</v>
      </c>
      <c r="AT96" t="s">
        <v>1536</v>
      </c>
      <c r="AU96" t="s">
        <v>1537</v>
      </c>
      <c r="AV96" t="s">
        <v>1632</v>
      </c>
    </row>
    <row r="97" spans="38:48">
      <c r="AL97" t="s">
        <v>458</v>
      </c>
      <c r="AM97" t="s">
        <v>504</v>
      </c>
      <c r="AN97" s="12">
        <v>46295</v>
      </c>
      <c r="AP97" t="s">
        <v>1534</v>
      </c>
      <c r="AQ97" s="5">
        <v>0</v>
      </c>
      <c r="AR97" t="s">
        <v>1535</v>
      </c>
      <c r="AT97" t="s">
        <v>1536</v>
      </c>
      <c r="AU97" t="s">
        <v>1537</v>
      </c>
      <c r="AV97" t="s">
        <v>1633</v>
      </c>
    </row>
    <row r="98" spans="38:48">
      <c r="AL98" t="s">
        <v>458</v>
      </c>
      <c r="AM98" t="s">
        <v>1527</v>
      </c>
      <c r="AN98" s="12">
        <v>45852</v>
      </c>
      <c r="AP98" t="s">
        <v>1534</v>
      </c>
      <c r="AQ98" s="5">
        <v>43.13</v>
      </c>
      <c r="AR98" t="s">
        <v>1535</v>
      </c>
      <c r="AT98" t="s">
        <v>1536</v>
      </c>
      <c r="AU98" t="s">
        <v>1537</v>
      </c>
      <c r="AV98" t="s">
        <v>1634</v>
      </c>
    </row>
    <row r="99" spans="38:48">
      <c r="AL99" t="s">
        <v>458</v>
      </c>
      <c r="AM99" t="s">
        <v>1527</v>
      </c>
      <c r="AN99" s="12">
        <v>45883</v>
      </c>
      <c r="AP99" t="s">
        <v>1534</v>
      </c>
      <c r="AQ99" s="5">
        <v>34.28</v>
      </c>
      <c r="AR99" t="s">
        <v>1535</v>
      </c>
      <c r="AT99" t="s">
        <v>1536</v>
      </c>
      <c r="AU99" t="s">
        <v>1537</v>
      </c>
      <c r="AV99" t="s">
        <v>1635</v>
      </c>
    </row>
    <row r="100" spans="38:48">
      <c r="AL100" t="s">
        <v>458</v>
      </c>
      <c r="AM100" t="s">
        <v>1527</v>
      </c>
      <c r="AN100" s="12">
        <v>45915</v>
      </c>
      <c r="AP100" t="s">
        <v>1534</v>
      </c>
      <c r="AQ100" s="5">
        <v>34.18</v>
      </c>
      <c r="AR100" t="s">
        <v>1535</v>
      </c>
      <c r="AT100" t="s">
        <v>1536</v>
      </c>
      <c r="AU100" t="s">
        <v>1537</v>
      </c>
      <c r="AV100" t="s">
        <v>1636</v>
      </c>
    </row>
    <row r="101" spans="38:48">
      <c r="AL101" t="s">
        <v>458</v>
      </c>
      <c r="AM101" t="s">
        <v>1527</v>
      </c>
      <c r="AN101" s="12">
        <v>45944</v>
      </c>
      <c r="AP101" t="s">
        <v>1534</v>
      </c>
      <c r="AQ101" s="5">
        <v>34.25</v>
      </c>
      <c r="AR101" t="s">
        <v>1535</v>
      </c>
      <c r="AT101" t="s">
        <v>1536</v>
      </c>
      <c r="AU101" t="s">
        <v>1537</v>
      </c>
      <c r="AV101" t="s">
        <v>1637</v>
      </c>
    </row>
    <row r="102" spans="38:48">
      <c r="AL102" t="s">
        <v>458</v>
      </c>
      <c r="AM102" t="s">
        <v>1527</v>
      </c>
      <c r="AN102" s="12">
        <v>45975</v>
      </c>
      <c r="AP102" t="s">
        <v>1534</v>
      </c>
      <c r="AQ102" s="5">
        <v>34.590000000000003</v>
      </c>
      <c r="AR102" t="s">
        <v>1535</v>
      </c>
      <c r="AT102" t="s">
        <v>1536</v>
      </c>
      <c r="AU102" t="s">
        <v>1537</v>
      </c>
      <c r="AV102" t="s">
        <v>1638</v>
      </c>
    </row>
    <row r="103" spans="38:48">
      <c r="AL103" t="s">
        <v>458</v>
      </c>
      <c r="AM103" t="s">
        <v>1527</v>
      </c>
      <c r="AN103" s="12">
        <v>46006</v>
      </c>
      <c r="AP103" t="s">
        <v>1534</v>
      </c>
      <c r="AQ103" s="5">
        <v>34.880000000000003</v>
      </c>
      <c r="AR103" t="s">
        <v>1535</v>
      </c>
      <c r="AT103" t="s">
        <v>1536</v>
      </c>
      <c r="AU103" t="s">
        <v>1537</v>
      </c>
      <c r="AV103" t="s">
        <v>1639</v>
      </c>
    </row>
    <row r="104" spans="38:48">
      <c r="AL104" t="s">
        <v>458</v>
      </c>
      <c r="AM104" t="s">
        <v>1527</v>
      </c>
      <c r="AN104" s="12">
        <v>46036</v>
      </c>
      <c r="AP104" t="s">
        <v>1534</v>
      </c>
      <c r="AQ104" s="5">
        <v>34.369999999999997</v>
      </c>
      <c r="AR104" t="s">
        <v>1535</v>
      </c>
      <c r="AT104" t="s">
        <v>1536</v>
      </c>
      <c r="AU104" t="s">
        <v>1537</v>
      </c>
      <c r="AV104" t="s">
        <v>1640</v>
      </c>
    </row>
    <row r="105" spans="38:48">
      <c r="AL105" t="s">
        <v>458</v>
      </c>
      <c r="AM105" t="s">
        <v>1527</v>
      </c>
      <c r="AN105" s="12">
        <v>46066</v>
      </c>
      <c r="AP105" t="s">
        <v>1534</v>
      </c>
      <c r="AQ105" s="5">
        <v>83.39</v>
      </c>
      <c r="AR105" t="s">
        <v>1535</v>
      </c>
      <c r="AT105" t="s">
        <v>1536</v>
      </c>
      <c r="AU105" t="s">
        <v>1537</v>
      </c>
      <c r="AV105" t="s">
        <v>1641</v>
      </c>
    </row>
    <row r="106" spans="38:48">
      <c r="AL106" t="s">
        <v>458</v>
      </c>
      <c r="AM106" t="s">
        <v>1527</v>
      </c>
      <c r="AN106" s="12">
        <v>46097</v>
      </c>
      <c r="AP106" t="s">
        <v>1534</v>
      </c>
      <c r="AQ106" s="5">
        <v>45.42</v>
      </c>
      <c r="AR106" t="s">
        <v>1535</v>
      </c>
      <c r="AT106" t="s">
        <v>1536</v>
      </c>
      <c r="AU106" t="s">
        <v>1537</v>
      </c>
      <c r="AV106" t="s">
        <v>1642</v>
      </c>
    </row>
    <row r="107" spans="38:48">
      <c r="AL107" t="s">
        <v>458</v>
      </c>
      <c r="AM107" t="s">
        <v>1527</v>
      </c>
      <c r="AN107" s="12">
        <v>46126</v>
      </c>
      <c r="AP107" t="s">
        <v>1534</v>
      </c>
      <c r="AQ107" s="5">
        <v>35.03</v>
      </c>
      <c r="AR107" t="s">
        <v>1535</v>
      </c>
      <c r="AT107" t="s">
        <v>1536</v>
      </c>
      <c r="AU107" t="s">
        <v>1537</v>
      </c>
      <c r="AV107" t="s">
        <v>1643</v>
      </c>
    </row>
    <row r="108" spans="38:48">
      <c r="AL108" t="s">
        <v>458</v>
      </c>
      <c r="AM108" t="s">
        <v>1527</v>
      </c>
      <c r="AN108" s="12">
        <v>46156</v>
      </c>
      <c r="AP108" t="s">
        <v>1534</v>
      </c>
      <c r="AQ108" s="5">
        <v>-11.73</v>
      </c>
      <c r="AR108" t="s">
        <v>1535</v>
      </c>
      <c r="AT108" t="s">
        <v>1536</v>
      </c>
      <c r="AU108" t="s">
        <v>1537</v>
      </c>
      <c r="AV108" t="s">
        <v>1644</v>
      </c>
    </row>
    <row r="109" spans="38:48">
      <c r="AL109" t="s">
        <v>458</v>
      </c>
      <c r="AM109" t="s">
        <v>1527</v>
      </c>
      <c r="AN109" s="12">
        <v>46186</v>
      </c>
      <c r="AP109" t="s">
        <v>1534</v>
      </c>
      <c r="AQ109" s="5">
        <v>0</v>
      </c>
      <c r="AR109" t="s">
        <v>1535</v>
      </c>
      <c r="AT109" t="s">
        <v>1536</v>
      </c>
      <c r="AU109" t="s">
        <v>1537</v>
      </c>
      <c r="AV109" t="s">
        <v>1645</v>
      </c>
    </row>
    <row r="110" spans="38:48">
      <c r="AL110" t="s">
        <v>458</v>
      </c>
      <c r="AM110" t="s">
        <v>1527</v>
      </c>
      <c r="AN110" s="12">
        <v>46217</v>
      </c>
      <c r="AP110" t="s">
        <v>1534</v>
      </c>
      <c r="AQ110" s="5">
        <v>0</v>
      </c>
      <c r="AR110" t="s">
        <v>1535</v>
      </c>
      <c r="AT110" t="s">
        <v>1536</v>
      </c>
      <c r="AU110" t="s">
        <v>1537</v>
      </c>
      <c r="AV110" t="s">
        <v>1646</v>
      </c>
    </row>
    <row r="111" spans="38:48">
      <c r="AL111" t="s">
        <v>458</v>
      </c>
      <c r="AM111" t="s">
        <v>1527</v>
      </c>
      <c r="AN111" s="12">
        <v>46247</v>
      </c>
      <c r="AP111" t="s">
        <v>1534</v>
      </c>
      <c r="AQ111" s="5">
        <v>0</v>
      </c>
      <c r="AR111" t="s">
        <v>1535</v>
      </c>
      <c r="AT111" t="s">
        <v>1536</v>
      </c>
      <c r="AU111" t="s">
        <v>1537</v>
      </c>
      <c r="AV111" t="s">
        <v>1647</v>
      </c>
    </row>
    <row r="112" spans="38:48">
      <c r="AL112" t="s">
        <v>458</v>
      </c>
      <c r="AM112" t="s">
        <v>1527</v>
      </c>
      <c r="AN112" s="12">
        <v>46278</v>
      </c>
      <c r="AP112" t="s">
        <v>1534</v>
      </c>
      <c r="AQ112" s="5">
        <v>0</v>
      </c>
      <c r="AR112" t="s">
        <v>1535</v>
      </c>
      <c r="AT112" t="s">
        <v>1536</v>
      </c>
      <c r="AU112" t="s">
        <v>1537</v>
      </c>
      <c r="AV112" t="s">
        <v>1648</v>
      </c>
    </row>
    <row r="113" spans="38:48">
      <c r="AL113" t="s">
        <v>458</v>
      </c>
      <c r="AM113" t="s">
        <v>1527</v>
      </c>
      <c r="AN113" s="12">
        <v>46308</v>
      </c>
      <c r="AP113" t="s">
        <v>1534</v>
      </c>
      <c r="AQ113" s="5">
        <v>0</v>
      </c>
      <c r="AR113" t="s">
        <v>1535</v>
      </c>
      <c r="AT113" t="s">
        <v>1536</v>
      </c>
      <c r="AU113" t="s">
        <v>1537</v>
      </c>
      <c r="AV113" t="s">
        <v>1649</v>
      </c>
    </row>
    <row r="114" spans="38:48">
      <c r="AL114" t="s">
        <v>458</v>
      </c>
      <c r="AM114" t="s">
        <v>1527</v>
      </c>
      <c r="AN114" s="12">
        <v>46338</v>
      </c>
      <c r="AP114" t="s">
        <v>1534</v>
      </c>
      <c r="AQ114" s="5">
        <v>0</v>
      </c>
      <c r="AR114" t="s">
        <v>1535</v>
      </c>
      <c r="AT114" t="s">
        <v>1536</v>
      </c>
      <c r="AU114" t="s">
        <v>1537</v>
      </c>
      <c r="AV114" t="s">
        <v>1650</v>
      </c>
    </row>
    <row r="115" spans="38:48">
      <c r="AL115" t="s">
        <v>458</v>
      </c>
      <c r="AM115" t="s">
        <v>1527</v>
      </c>
      <c r="AN115" s="12">
        <v>46369</v>
      </c>
      <c r="AP115" t="s">
        <v>1534</v>
      </c>
      <c r="AQ115" s="5">
        <v>0</v>
      </c>
      <c r="AR115" t="s">
        <v>1535</v>
      </c>
      <c r="AT115" t="s">
        <v>1536</v>
      </c>
      <c r="AU115" t="s">
        <v>1537</v>
      </c>
      <c r="AV115" t="s">
        <v>1651</v>
      </c>
    </row>
    <row r="116" spans="38:48">
      <c r="AL116" t="s">
        <v>458</v>
      </c>
      <c r="AM116" t="s">
        <v>1527</v>
      </c>
      <c r="AN116" s="12">
        <v>46399</v>
      </c>
      <c r="AP116" t="s">
        <v>1534</v>
      </c>
      <c r="AQ116" s="5">
        <v>0</v>
      </c>
      <c r="AR116" t="s">
        <v>1535</v>
      </c>
      <c r="AT116" t="s">
        <v>1536</v>
      </c>
      <c r="AU116" t="s">
        <v>1537</v>
      </c>
      <c r="AV116" t="s">
        <v>1652</v>
      </c>
    </row>
    <row r="117" spans="38:48">
      <c r="AL117" t="s">
        <v>458</v>
      </c>
      <c r="AM117" t="s">
        <v>1525</v>
      </c>
      <c r="AN117" s="12">
        <v>45852</v>
      </c>
      <c r="AP117" t="s">
        <v>1534</v>
      </c>
      <c r="AQ117" s="5">
        <v>1</v>
      </c>
      <c r="AR117" t="s">
        <v>1535</v>
      </c>
      <c r="AT117" t="s">
        <v>1536</v>
      </c>
      <c r="AU117" t="s">
        <v>1537</v>
      </c>
      <c r="AV117" t="s">
        <v>1653</v>
      </c>
    </row>
    <row r="118" spans="38:48">
      <c r="AL118" t="s">
        <v>458</v>
      </c>
      <c r="AM118" t="s">
        <v>1525</v>
      </c>
      <c r="AN118" s="12">
        <v>45883</v>
      </c>
      <c r="AP118" t="s">
        <v>1534</v>
      </c>
      <c r="AQ118" s="5">
        <v>1</v>
      </c>
      <c r="AR118" t="s">
        <v>1535</v>
      </c>
      <c r="AT118" t="s">
        <v>1536</v>
      </c>
      <c r="AU118" t="s">
        <v>1537</v>
      </c>
      <c r="AV118" t="s">
        <v>1654</v>
      </c>
    </row>
    <row r="119" spans="38:48">
      <c r="AL119" t="s">
        <v>458</v>
      </c>
      <c r="AM119" t="s">
        <v>1525</v>
      </c>
      <c r="AN119" s="12">
        <v>45915</v>
      </c>
      <c r="AP119" t="s">
        <v>1534</v>
      </c>
      <c r="AQ119" s="5">
        <v>1</v>
      </c>
      <c r="AR119" t="s">
        <v>1535</v>
      </c>
      <c r="AT119" t="s">
        <v>1536</v>
      </c>
      <c r="AU119" t="s">
        <v>1537</v>
      </c>
      <c r="AV119" t="s">
        <v>1655</v>
      </c>
    </row>
    <row r="120" spans="38:48">
      <c r="AL120" t="s">
        <v>458</v>
      </c>
      <c r="AM120" t="s">
        <v>1525</v>
      </c>
      <c r="AN120" s="12">
        <v>45944</v>
      </c>
      <c r="AP120" t="s">
        <v>1534</v>
      </c>
      <c r="AQ120" s="5">
        <v>1</v>
      </c>
      <c r="AR120" t="s">
        <v>1535</v>
      </c>
      <c r="AT120" t="s">
        <v>1536</v>
      </c>
      <c r="AU120" t="s">
        <v>1537</v>
      </c>
      <c r="AV120" t="s">
        <v>1656</v>
      </c>
    </row>
    <row r="121" spans="38:48">
      <c r="AL121" t="s">
        <v>458</v>
      </c>
      <c r="AM121" t="s">
        <v>1525</v>
      </c>
      <c r="AN121" s="12">
        <v>45975</v>
      </c>
      <c r="AP121" t="s">
        <v>1534</v>
      </c>
      <c r="AQ121" s="5">
        <v>1</v>
      </c>
      <c r="AR121" t="s">
        <v>1535</v>
      </c>
      <c r="AT121" t="s">
        <v>1536</v>
      </c>
      <c r="AU121" t="s">
        <v>1537</v>
      </c>
      <c r="AV121" t="s">
        <v>1657</v>
      </c>
    </row>
    <row r="122" spans="38:48">
      <c r="AL122" t="s">
        <v>458</v>
      </c>
      <c r="AM122" t="s">
        <v>1525</v>
      </c>
      <c r="AN122" s="12">
        <v>46006</v>
      </c>
      <c r="AP122" t="s">
        <v>1534</v>
      </c>
      <c r="AQ122" s="5">
        <v>1</v>
      </c>
      <c r="AR122" t="s">
        <v>1535</v>
      </c>
      <c r="AT122" t="s">
        <v>1536</v>
      </c>
      <c r="AU122" t="s">
        <v>1537</v>
      </c>
      <c r="AV122" t="s">
        <v>1658</v>
      </c>
    </row>
    <row r="123" spans="38:48">
      <c r="AL123" t="s">
        <v>458</v>
      </c>
      <c r="AM123" t="s">
        <v>1525</v>
      </c>
      <c r="AN123" s="12">
        <v>46036</v>
      </c>
      <c r="AP123" t="s">
        <v>1534</v>
      </c>
      <c r="AQ123" s="5">
        <v>1</v>
      </c>
      <c r="AR123" t="s">
        <v>1535</v>
      </c>
      <c r="AT123" t="s">
        <v>1536</v>
      </c>
      <c r="AU123" t="s">
        <v>1537</v>
      </c>
      <c r="AV123" t="s">
        <v>1659</v>
      </c>
    </row>
    <row r="124" spans="38:48">
      <c r="AL124" t="s">
        <v>458</v>
      </c>
      <c r="AM124" t="s">
        <v>1525</v>
      </c>
      <c r="AN124" s="12">
        <v>46066</v>
      </c>
      <c r="AP124" t="s">
        <v>1534</v>
      </c>
      <c r="AQ124" s="5">
        <v>1</v>
      </c>
      <c r="AR124" t="s">
        <v>1535</v>
      </c>
      <c r="AT124" t="s">
        <v>1536</v>
      </c>
      <c r="AU124" t="s">
        <v>1537</v>
      </c>
      <c r="AV124" t="s">
        <v>1660</v>
      </c>
    </row>
    <row r="125" spans="38:48">
      <c r="AL125" t="s">
        <v>458</v>
      </c>
      <c r="AM125" t="s">
        <v>1525</v>
      </c>
      <c r="AN125" s="12">
        <v>46097</v>
      </c>
      <c r="AP125" t="s">
        <v>1534</v>
      </c>
      <c r="AQ125" s="5">
        <v>1</v>
      </c>
      <c r="AR125" t="s">
        <v>1535</v>
      </c>
      <c r="AT125" t="s">
        <v>1536</v>
      </c>
      <c r="AU125" t="s">
        <v>1537</v>
      </c>
      <c r="AV125" t="s">
        <v>1661</v>
      </c>
    </row>
    <row r="126" spans="38:48">
      <c r="AL126" t="s">
        <v>458</v>
      </c>
      <c r="AM126" t="s">
        <v>1525</v>
      </c>
      <c r="AN126" s="12">
        <v>46127</v>
      </c>
      <c r="AP126" t="s">
        <v>1534</v>
      </c>
      <c r="AQ126" s="5">
        <v>1</v>
      </c>
      <c r="AR126" t="s">
        <v>1535</v>
      </c>
      <c r="AT126" t="s">
        <v>1536</v>
      </c>
      <c r="AU126" t="s">
        <v>1537</v>
      </c>
      <c r="AV126" t="s">
        <v>1662</v>
      </c>
    </row>
    <row r="127" spans="38:48">
      <c r="AL127" t="s">
        <v>458</v>
      </c>
      <c r="AM127" t="s">
        <v>1525</v>
      </c>
      <c r="AN127" s="12">
        <v>46158</v>
      </c>
      <c r="AP127" t="s">
        <v>1534</v>
      </c>
      <c r="AQ127" s="5">
        <v>0</v>
      </c>
      <c r="AR127" t="s">
        <v>1535</v>
      </c>
      <c r="AT127" t="s">
        <v>1536</v>
      </c>
      <c r="AU127" t="s">
        <v>1537</v>
      </c>
      <c r="AV127" t="s">
        <v>1663</v>
      </c>
    </row>
    <row r="128" spans="38:48">
      <c r="AL128" t="s">
        <v>458</v>
      </c>
      <c r="AM128" t="s">
        <v>1525</v>
      </c>
      <c r="AN128" s="12">
        <v>46188</v>
      </c>
      <c r="AP128" t="s">
        <v>1534</v>
      </c>
      <c r="AQ128" s="5">
        <v>0</v>
      </c>
      <c r="AR128" t="s">
        <v>1535</v>
      </c>
      <c r="AT128" t="s">
        <v>1536</v>
      </c>
      <c r="AU128" t="s">
        <v>1537</v>
      </c>
      <c r="AV128" t="s">
        <v>1664</v>
      </c>
    </row>
    <row r="129" spans="38:48">
      <c r="AL129" t="s">
        <v>458</v>
      </c>
      <c r="AM129" t="s">
        <v>1525</v>
      </c>
      <c r="AN129" s="12">
        <v>46218</v>
      </c>
      <c r="AP129" t="s">
        <v>1534</v>
      </c>
      <c r="AQ129" s="5">
        <v>0</v>
      </c>
      <c r="AR129" t="s">
        <v>1535</v>
      </c>
      <c r="AT129" t="s">
        <v>1536</v>
      </c>
      <c r="AU129" t="s">
        <v>1537</v>
      </c>
      <c r="AV129" t="s">
        <v>1665</v>
      </c>
    </row>
    <row r="130" spans="38:48">
      <c r="AL130" t="s">
        <v>458</v>
      </c>
      <c r="AM130" t="s">
        <v>1525</v>
      </c>
      <c r="AN130" s="12">
        <v>46249</v>
      </c>
      <c r="AP130" t="s">
        <v>1534</v>
      </c>
      <c r="AQ130" s="5">
        <v>0</v>
      </c>
      <c r="AR130" t="s">
        <v>1535</v>
      </c>
      <c r="AT130" t="s">
        <v>1536</v>
      </c>
      <c r="AU130" t="s">
        <v>1537</v>
      </c>
      <c r="AV130" t="s">
        <v>1666</v>
      </c>
    </row>
    <row r="131" spans="38:48">
      <c r="AL131" t="s">
        <v>458</v>
      </c>
      <c r="AM131" t="s">
        <v>1525</v>
      </c>
      <c r="AN131" s="12">
        <v>46279</v>
      </c>
      <c r="AP131" t="s">
        <v>1534</v>
      </c>
      <c r="AQ131" s="5">
        <v>0</v>
      </c>
      <c r="AR131" t="s">
        <v>1535</v>
      </c>
      <c r="AT131" t="s">
        <v>1536</v>
      </c>
      <c r="AU131" t="s">
        <v>1537</v>
      </c>
      <c r="AV131" t="s">
        <v>1667</v>
      </c>
    </row>
    <row r="132" spans="38:48">
      <c r="AL132" t="s">
        <v>458</v>
      </c>
      <c r="AM132" t="s">
        <v>1525</v>
      </c>
      <c r="AN132" s="12">
        <v>46310</v>
      </c>
      <c r="AP132" t="s">
        <v>1534</v>
      </c>
      <c r="AQ132" s="5">
        <v>0</v>
      </c>
      <c r="AR132" t="s">
        <v>1535</v>
      </c>
      <c r="AT132" t="s">
        <v>1536</v>
      </c>
      <c r="AU132" t="s">
        <v>1537</v>
      </c>
      <c r="AV132" t="s">
        <v>1668</v>
      </c>
    </row>
    <row r="133" spans="38:48">
      <c r="AL133" t="s">
        <v>458</v>
      </c>
      <c r="AM133" t="s">
        <v>1525</v>
      </c>
      <c r="AN133" s="12">
        <v>46340</v>
      </c>
      <c r="AP133" t="s">
        <v>1534</v>
      </c>
      <c r="AQ133" s="5">
        <v>0</v>
      </c>
      <c r="AR133" t="s">
        <v>1535</v>
      </c>
      <c r="AT133" t="s">
        <v>1536</v>
      </c>
      <c r="AU133" t="s">
        <v>1537</v>
      </c>
      <c r="AV133" t="s">
        <v>1669</v>
      </c>
    </row>
    <row r="134" spans="38:48">
      <c r="AL134" t="s">
        <v>458</v>
      </c>
      <c r="AM134" t="s">
        <v>1525</v>
      </c>
      <c r="AN134" s="12">
        <v>46371</v>
      </c>
      <c r="AP134" t="s">
        <v>1534</v>
      </c>
      <c r="AQ134" s="5">
        <v>0</v>
      </c>
      <c r="AR134" t="s">
        <v>1535</v>
      </c>
      <c r="AT134" t="s">
        <v>1536</v>
      </c>
      <c r="AU134" t="s">
        <v>1537</v>
      </c>
      <c r="AV134" t="s">
        <v>1670</v>
      </c>
    </row>
    <row r="135" spans="38:48">
      <c r="AL135" t="s">
        <v>458</v>
      </c>
      <c r="AM135" t="s">
        <v>1525</v>
      </c>
      <c r="AN135" s="12">
        <v>46401</v>
      </c>
      <c r="AP135" t="s">
        <v>1534</v>
      </c>
      <c r="AQ135" s="5">
        <v>0</v>
      </c>
      <c r="AR135" t="s">
        <v>1535</v>
      </c>
      <c r="AT135" t="s">
        <v>1536</v>
      </c>
      <c r="AU135" t="s">
        <v>1537</v>
      </c>
      <c r="AV135" t="s">
        <v>1671</v>
      </c>
    </row>
    <row r="136" spans="38:48">
      <c r="AL136" t="s">
        <v>458</v>
      </c>
      <c r="AM136" t="s">
        <v>223</v>
      </c>
      <c r="AN136" s="12">
        <v>45852</v>
      </c>
      <c r="AP136" t="s">
        <v>1534</v>
      </c>
      <c r="AQ136" s="5">
        <v>0</v>
      </c>
      <c r="AR136" t="s">
        <v>1535</v>
      </c>
      <c r="AT136" t="s">
        <v>1536</v>
      </c>
      <c r="AU136" t="s">
        <v>1537</v>
      </c>
      <c r="AV136" t="s">
        <v>1672</v>
      </c>
    </row>
    <row r="137" spans="38:48">
      <c r="AL137" t="s">
        <v>458</v>
      </c>
      <c r="AM137" t="s">
        <v>223</v>
      </c>
      <c r="AN137" s="12">
        <v>45882</v>
      </c>
      <c r="AP137" t="s">
        <v>1534</v>
      </c>
      <c r="AQ137" s="5">
        <v>0</v>
      </c>
      <c r="AR137" t="s">
        <v>1535</v>
      </c>
      <c r="AT137" t="s">
        <v>1536</v>
      </c>
      <c r="AU137" t="s">
        <v>1537</v>
      </c>
      <c r="AV137" t="s">
        <v>1673</v>
      </c>
    </row>
    <row r="138" spans="38:48">
      <c r="AL138" t="s">
        <v>458</v>
      </c>
      <c r="AM138" t="s">
        <v>223</v>
      </c>
      <c r="AN138" s="12">
        <v>45912</v>
      </c>
      <c r="AP138" t="s">
        <v>1534</v>
      </c>
      <c r="AQ138" s="5">
        <v>0</v>
      </c>
      <c r="AR138" t="s">
        <v>1535</v>
      </c>
      <c r="AT138" t="s">
        <v>1536</v>
      </c>
      <c r="AU138" t="s">
        <v>1537</v>
      </c>
      <c r="AV138" t="s">
        <v>1674</v>
      </c>
    </row>
    <row r="139" spans="38:48">
      <c r="AL139" t="s">
        <v>458</v>
      </c>
      <c r="AM139" t="s">
        <v>223</v>
      </c>
      <c r="AN139" s="12">
        <v>45943</v>
      </c>
      <c r="AP139" t="s">
        <v>1534</v>
      </c>
      <c r="AQ139" s="5">
        <v>0</v>
      </c>
      <c r="AR139" t="s">
        <v>1535</v>
      </c>
      <c r="AT139" t="s">
        <v>1536</v>
      </c>
      <c r="AU139" t="s">
        <v>1537</v>
      </c>
      <c r="AV139" t="s">
        <v>1675</v>
      </c>
    </row>
    <row r="140" spans="38:48">
      <c r="AL140" t="s">
        <v>458</v>
      </c>
      <c r="AM140" t="s">
        <v>223</v>
      </c>
      <c r="AN140" s="12">
        <v>45973</v>
      </c>
      <c r="AP140" t="s">
        <v>1534</v>
      </c>
      <c r="AQ140" s="5">
        <v>0</v>
      </c>
      <c r="AR140" t="s">
        <v>1535</v>
      </c>
      <c r="AT140" t="s">
        <v>1536</v>
      </c>
      <c r="AU140" t="s">
        <v>1537</v>
      </c>
      <c r="AV140" t="s">
        <v>1676</v>
      </c>
    </row>
    <row r="141" spans="38:48">
      <c r="AL141" t="s">
        <v>458</v>
      </c>
      <c r="AM141" t="s">
        <v>223</v>
      </c>
      <c r="AN141" s="12">
        <v>46004</v>
      </c>
      <c r="AP141" t="s">
        <v>1534</v>
      </c>
      <c r="AQ141" s="5">
        <v>0</v>
      </c>
      <c r="AR141" t="s">
        <v>1535</v>
      </c>
      <c r="AT141" t="s">
        <v>1536</v>
      </c>
      <c r="AU141" t="s">
        <v>1537</v>
      </c>
      <c r="AV141" t="s">
        <v>1677</v>
      </c>
    </row>
    <row r="142" spans="38:48">
      <c r="AL142" t="s">
        <v>458</v>
      </c>
      <c r="AM142" t="s">
        <v>223</v>
      </c>
      <c r="AN142" s="12">
        <v>46034</v>
      </c>
      <c r="AP142" t="s">
        <v>1534</v>
      </c>
      <c r="AQ142" s="5">
        <v>0</v>
      </c>
      <c r="AR142" t="s">
        <v>1535</v>
      </c>
      <c r="AT142" t="s">
        <v>1536</v>
      </c>
      <c r="AU142" t="s">
        <v>1537</v>
      </c>
      <c r="AV142" t="s">
        <v>1678</v>
      </c>
    </row>
    <row r="143" spans="38:48">
      <c r="AL143" t="s">
        <v>458</v>
      </c>
      <c r="AM143" t="s">
        <v>223</v>
      </c>
      <c r="AN143" s="12">
        <v>46064</v>
      </c>
      <c r="AP143" t="s">
        <v>1534</v>
      </c>
      <c r="AQ143" s="5">
        <v>0</v>
      </c>
      <c r="AR143" t="s">
        <v>1535</v>
      </c>
      <c r="AT143" t="s">
        <v>1536</v>
      </c>
      <c r="AU143" t="s">
        <v>1537</v>
      </c>
      <c r="AV143" t="s">
        <v>1679</v>
      </c>
    </row>
    <row r="144" spans="38:48">
      <c r="AL144" t="s">
        <v>458</v>
      </c>
      <c r="AM144" t="s">
        <v>223</v>
      </c>
      <c r="AN144" s="12">
        <v>46095</v>
      </c>
      <c r="AP144" t="s">
        <v>1534</v>
      </c>
      <c r="AQ144" s="5">
        <v>0</v>
      </c>
      <c r="AR144" t="s">
        <v>1535</v>
      </c>
      <c r="AT144" t="s">
        <v>1536</v>
      </c>
      <c r="AU144" t="s">
        <v>1537</v>
      </c>
      <c r="AV144" t="s">
        <v>1680</v>
      </c>
    </row>
    <row r="145" spans="38:48">
      <c r="AL145" t="s">
        <v>458</v>
      </c>
      <c r="AM145" t="s">
        <v>223</v>
      </c>
      <c r="AN145" s="12">
        <v>46125</v>
      </c>
      <c r="AP145" t="s">
        <v>1534</v>
      </c>
      <c r="AQ145" s="5">
        <v>0</v>
      </c>
      <c r="AR145" t="s">
        <v>1535</v>
      </c>
      <c r="AT145" t="s">
        <v>1536</v>
      </c>
      <c r="AU145" t="s">
        <v>1537</v>
      </c>
      <c r="AV145" t="s">
        <v>1681</v>
      </c>
    </row>
    <row r="146" spans="38:48">
      <c r="AL146" t="s">
        <v>458</v>
      </c>
      <c r="AM146" t="s">
        <v>223</v>
      </c>
      <c r="AN146" s="12">
        <v>46156</v>
      </c>
      <c r="AP146" t="s">
        <v>1534</v>
      </c>
      <c r="AQ146" s="5">
        <v>0</v>
      </c>
      <c r="AR146" t="s">
        <v>1535</v>
      </c>
      <c r="AT146" t="s">
        <v>1536</v>
      </c>
      <c r="AU146" t="s">
        <v>1537</v>
      </c>
      <c r="AV146" t="s">
        <v>1682</v>
      </c>
    </row>
    <row r="147" spans="38:48">
      <c r="AL147" t="s">
        <v>458</v>
      </c>
      <c r="AM147" t="s">
        <v>223</v>
      </c>
      <c r="AN147" s="12">
        <v>46186</v>
      </c>
      <c r="AP147" t="s">
        <v>1534</v>
      </c>
      <c r="AQ147" s="5">
        <v>0</v>
      </c>
      <c r="AR147" t="s">
        <v>1535</v>
      </c>
      <c r="AT147" t="s">
        <v>1536</v>
      </c>
      <c r="AU147" t="s">
        <v>1537</v>
      </c>
      <c r="AV147" t="s">
        <v>1683</v>
      </c>
    </row>
    <row r="148" spans="38:48">
      <c r="AL148" t="s">
        <v>458</v>
      </c>
      <c r="AM148" t="s">
        <v>223</v>
      </c>
      <c r="AN148" s="12">
        <v>46217</v>
      </c>
      <c r="AP148" t="s">
        <v>1534</v>
      </c>
      <c r="AQ148" s="5">
        <v>0</v>
      </c>
      <c r="AR148" t="s">
        <v>1535</v>
      </c>
      <c r="AT148" t="s">
        <v>1536</v>
      </c>
      <c r="AU148" t="s">
        <v>1537</v>
      </c>
      <c r="AV148" t="s">
        <v>1684</v>
      </c>
    </row>
    <row r="149" spans="38:48">
      <c r="AL149" t="s">
        <v>458</v>
      </c>
      <c r="AM149" t="s">
        <v>223</v>
      </c>
      <c r="AN149" s="12">
        <v>46247</v>
      </c>
      <c r="AP149" t="s">
        <v>1534</v>
      </c>
      <c r="AQ149" s="5">
        <v>0</v>
      </c>
      <c r="AR149" t="s">
        <v>1535</v>
      </c>
      <c r="AT149" t="s">
        <v>1536</v>
      </c>
      <c r="AU149" t="s">
        <v>1537</v>
      </c>
      <c r="AV149" t="s">
        <v>1685</v>
      </c>
    </row>
    <row r="150" spans="38:48">
      <c r="AL150" t="s">
        <v>458</v>
      </c>
      <c r="AM150" t="s">
        <v>223</v>
      </c>
      <c r="AN150" s="12">
        <v>46277</v>
      </c>
      <c r="AP150" t="s">
        <v>1534</v>
      </c>
      <c r="AQ150" s="5">
        <v>0</v>
      </c>
      <c r="AR150" t="s">
        <v>1535</v>
      </c>
      <c r="AT150" t="s">
        <v>1536</v>
      </c>
      <c r="AU150" t="s">
        <v>1537</v>
      </c>
      <c r="AV150" t="s">
        <v>1686</v>
      </c>
    </row>
    <row r="151" spans="38:48">
      <c r="AL151" t="s">
        <v>458</v>
      </c>
      <c r="AM151" t="s">
        <v>223</v>
      </c>
      <c r="AN151" s="12">
        <v>46308</v>
      </c>
      <c r="AP151" t="s">
        <v>1534</v>
      </c>
      <c r="AQ151" s="5">
        <v>0</v>
      </c>
      <c r="AR151" t="s">
        <v>1535</v>
      </c>
      <c r="AT151" t="s">
        <v>1536</v>
      </c>
      <c r="AU151" t="s">
        <v>1537</v>
      </c>
      <c r="AV151" t="s">
        <v>1687</v>
      </c>
    </row>
    <row r="152" spans="38:48">
      <c r="AL152" t="s">
        <v>458</v>
      </c>
      <c r="AM152" t="s">
        <v>223</v>
      </c>
      <c r="AN152" s="12">
        <v>46338</v>
      </c>
      <c r="AP152" t="s">
        <v>1534</v>
      </c>
      <c r="AQ152" s="5">
        <v>0</v>
      </c>
      <c r="AR152" t="s">
        <v>1535</v>
      </c>
      <c r="AT152" t="s">
        <v>1536</v>
      </c>
      <c r="AU152" t="s">
        <v>1537</v>
      </c>
      <c r="AV152" t="s">
        <v>1688</v>
      </c>
    </row>
    <row r="153" spans="38:48">
      <c r="AL153" t="s">
        <v>458</v>
      </c>
      <c r="AM153" t="s">
        <v>223</v>
      </c>
      <c r="AN153" s="12">
        <v>46369</v>
      </c>
      <c r="AP153" t="s">
        <v>1534</v>
      </c>
      <c r="AQ153" s="5">
        <v>0</v>
      </c>
      <c r="AR153" t="s">
        <v>1535</v>
      </c>
      <c r="AT153" t="s">
        <v>1536</v>
      </c>
      <c r="AU153" t="s">
        <v>1537</v>
      </c>
      <c r="AV153" t="s">
        <v>1689</v>
      </c>
    </row>
    <row r="154" spans="38:48">
      <c r="AL154" t="s">
        <v>458</v>
      </c>
      <c r="AM154" t="s">
        <v>223</v>
      </c>
      <c r="AN154" s="12">
        <v>46399</v>
      </c>
      <c r="AP154" t="s">
        <v>1534</v>
      </c>
      <c r="AQ154" s="5">
        <v>0</v>
      </c>
      <c r="AR154" t="s">
        <v>1535</v>
      </c>
      <c r="AT154" t="s">
        <v>1536</v>
      </c>
      <c r="AU154" t="s">
        <v>1537</v>
      </c>
      <c r="AV154" t="s">
        <v>1690</v>
      </c>
    </row>
    <row r="155" spans="38:48">
      <c r="AL155" t="s">
        <v>458</v>
      </c>
      <c r="AM155" t="s">
        <v>505</v>
      </c>
      <c r="AN155" s="12">
        <v>45170</v>
      </c>
      <c r="AP155" t="s">
        <v>1534</v>
      </c>
      <c r="AQ155" s="5">
        <v>893</v>
      </c>
      <c r="AR155" t="s">
        <v>1535</v>
      </c>
      <c r="AT155" t="s">
        <v>1536</v>
      </c>
      <c r="AU155" t="s">
        <v>1537</v>
      </c>
      <c r="AV155" t="s">
        <v>1691</v>
      </c>
    </row>
    <row r="156" spans="38:48">
      <c r="AL156" t="s">
        <v>458</v>
      </c>
      <c r="AM156" t="s">
        <v>505</v>
      </c>
      <c r="AN156" s="12">
        <v>45536</v>
      </c>
      <c r="AP156" t="s">
        <v>1534</v>
      </c>
      <c r="AQ156" s="5">
        <v>2453</v>
      </c>
      <c r="AR156" t="s">
        <v>1535</v>
      </c>
      <c r="AT156" t="s">
        <v>1536</v>
      </c>
      <c r="AU156" t="s">
        <v>1537</v>
      </c>
      <c r="AV156" t="s">
        <v>1692</v>
      </c>
    </row>
    <row r="157" spans="38:48">
      <c r="AL157" t="s">
        <v>458</v>
      </c>
      <c r="AM157" t="s">
        <v>505</v>
      </c>
      <c r="AN157" s="12">
        <v>45901</v>
      </c>
      <c r="AP157" t="s">
        <v>1534</v>
      </c>
      <c r="AQ157" s="5">
        <v>2453</v>
      </c>
      <c r="AR157" t="s">
        <v>1535</v>
      </c>
      <c r="AT157" t="s">
        <v>1536</v>
      </c>
      <c r="AU157" t="s">
        <v>1537</v>
      </c>
      <c r="AV157" t="s">
        <v>1693</v>
      </c>
    </row>
    <row r="158" spans="38:48">
      <c r="AL158" t="s">
        <v>458</v>
      </c>
      <c r="AM158" t="s">
        <v>505</v>
      </c>
      <c r="AN158" s="12">
        <v>46266</v>
      </c>
      <c r="AP158" t="s">
        <v>1534</v>
      </c>
      <c r="AQ158" s="5">
        <v>0</v>
      </c>
      <c r="AR158" t="s">
        <v>1535</v>
      </c>
      <c r="AT158" t="s">
        <v>1536</v>
      </c>
      <c r="AU158" t="s">
        <v>1537</v>
      </c>
      <c r="AV158" t="s">
        <v>1694</v>
      </c>
    </row>
    <row r="159" spans="38:48">
      <c r="AL159" t="s">
        <v>458</v>
      </c>
      <c r="AM159" t="s">
        <v>505</v>
      </c>
      <c r="AN159" s="12">
        <v>46631</v>
      </c>
      <c r="AP159" t="s">
        <v>1534</v>
      </c>
      <c r="AQ159" s="5">
        <v>0</v>
      </c>
      <c r="AR159" t="s">
        <v>1535</v>
      </c>
      <c r="AT159" t="s">
        <v>1536</v>
      </c>
      <c r="AU159" t="s">
        <v>1537</v>
      </c>
      <c r="AV159" t="s">
        <v>1695</v>
      </c>
    </row>
    <row r="160" spans="38:48">
      <c r="AL160" t="s">
        <v>458</v>
      </c>
      <c r="AM160" t="s">
        <v>505</v>
      </c>
      <c r="AN160" s="12">
        <v>46996</v>
      </c>
      <c r="AP160" t="s">
        <v>1534</v>
      </c>
      <c r="AQ160" s="5">
        <v>0</v>
      </c>
      <c r="AR160" t="s">
        <v>1535</v>
      </c>
      <c r="AT160" t="s">
        <v>1536</v>
      </c>
      <c r="AU160" t="s">
        <v>1537</v>
      </c>
      <c r="AV160" t="s">
        <v>1696</v>
      </c>
    </row>
    <row r="161" spans="38:48">
      <c r="AL161" t="s">
        <v>458</v>
      </c>
      <c r="AM161" t="s">
        <v>505</v>
      </c>
      <c r="AN161" s="12">
        <v>47361</v>
      </c>
      <c r="AP161" t="s">
        <v>1534</v>
      </c>
      <c r="AQ161" s="5">
        <v>0</v>
      </c>
      <c r="AR161" t="s">
        <v>1535</v>
      </c>
      <c r="AT161" t="s">
        <v>1536</v>
      </c>
      <c r="AU161" t="s">
        <v>1537</v>
      </c>
      <c r="AV161" t="s">
        <v>1697</v>
      </c>
    </row>
    <row r="162" spans="38:48">
      <c r="AL162" t="s">
        <v>458</v>
      </c>
      <c r="AM162" t="s">
        <v>505</v>
      </c>
      <c r="AN162" s="12">
        <v>47726</v>
      </c>
      <c r="AP162" t="s">
        <v>1534</v>
      </c>
      <c r="AQ162" s="5">
        <v>0</v>
      </c>
      <c r="AR162" t="s">
        <v>1535</v>
      </c>
      <c r="AT162" t="s">
        <v>1536</v>
      </c>
      <c r="AU162" t="s">
        <v>1537</v>
      </c>
      <c r="AV162" t="s">
        <v>1698</v>
      </c>
    </row>
    <row r="163" spans="38:48">
      <c r="AL163" t="s">
        <v>458</v>
      </c>
      <c r="AM163" t="s">
        <v>505</v>
      </c>
      <c r="AN163" s="12">
        <v>48091</v>
      </c>
      <c r="AP163" t="s">
        <v>1534</v>
      </c>
      <c r="AQ163" s="5">
        <v>0</v>
      </c>
      <c r="AR163" t="s">
        <v>1535</v>
      </c>
      <c r="AT163" t="s">
        <v>1536</v>
      </c>
      <c r="AU163" t="s">
        <v>1537</v>
      </c>
      <c r="AV163" t="s">
        <v>1699</v>
      </c>
    </row>
    <row r="164" spans="38:48">
      <c r="AL164" t="s">
        <v>458</v>
      </c>
      <c r="AM164" t="s">
        <v>505</v>
      </c>
      <c r="AN164" s="12">
        <v>48456</v>
      </c>
      <c r="AP164" t="s">
        <v>1534</v>
      </c>
      <c r="AQ164" s="5">
        <v>0</v>
      </c>
      <c r="AR164" t="s">
        <v>1535</v>
      </c>
      <c r="AT164" t="s">
        <v>1536</v>
      </c>
      <c r="AU164" t="s">
        <v>1537</v>
      </c>
      <c r="AV164" t="s">
        <v>1700</v>
      </c>
    </row>
    <row r="165" spans="38:48">
      <c r="AL165" t="s">
        <v>458</v>
      </c>
      <c r="AM165" t="s">
        <v>505</v>
      </c>
      <c r="AN165" s="12">
        <v>48821</v>
      </c>
      <c r="AP165" t="s">
        <v>1534</v>
      </c>
      <c r="AQ165" s="5">
        <v>0</v>
      </c>
      <c r="AR165" t="s">
        <v>1535</v>
      </c>
      <c r="AT165" t="s">
        <v>1536</v>
      </c>
      <c r="AU165" t="s">
        <v>1537</v>
      </c>
      <c r="AV165" t="s">
        <v>1701</v>
      </c>
    </row>
    <row r="166" spans="38:48">
      <c r="AL166" t="s">
        <v>458</v>
      </c>
      <c r="AM166" t="s">
        <v>505</v>
      </c>
      <c r="AN166" s="12">
        <v>49186</v>
      </c>
      <c r="AP166" t="s">
        <v>1534</v>
      </c>
      <c r="AQ166" s="5">
        <v>0</v>
      </c>
      <c r="AR166" t="s">
        <v>1535</v>
      </c>
      <c r="AT166" t="s">
        <v>1536</v>
      </c>
      <c r="AU166" t="s">
        <v>1537</v>
      </c>
      <c r="AV166" t="s">
        <v>1702</v>
      </c>
    </row>
    <row r="167" spans="38:48">
      <c r="AL167" t="s">
        <v>458</v>
      </c>
      <c r="AM167" t="s">
        <v>505</v>
      </c>
      <c r="AN167" s="12">
        <v>49551</v>
      </c>
      <c r="AP167" t="s">
        <v>1534</v>
      </c>
      <c r="AQ167" s="5">
        <v>0</v>
      </c>
      <c r="AR167" t="s">
        <v>1535</v>
      </c>
      <c r="AT167" t="s">
        <v>1536</v>
      </c>
      <c r="AU167" t="s">
        <v>1537</v>
      </c>
      <c r="AV167" t="s">
        <v>1703</v>
      </c>
    </row>
    <row r="168" spans="38:48">
      <c r="AL168" t="s">
        <v>458</v>
      </c>
      <c r="AM168" t="s">
        <v>505</v>
      </c>
      <c r="AN168" s="12">
        <v>49916</v>
      </c>
      <c r="AP168" t="s">
        <v>1534</v>
      </c>
      <c r="AQ168" s="5">
        <v>0</v>
      </c>
      <c r="AR168" t="s">
        <v>1535</v>
      </c>
      <c r="AT168" t="s">
        <v>1536</v>
      </c>
      <c r="AU168" t="s">
        <v>1537</v>
      </c>
      <c r="AV168" t="s">
        <v>1704</v>
      </c>
    </row>
    <row r="169" spans="38:48">
      <c r="AL169" t="s">
        <v>458</v>
      </c>
      <c r="AM169" t="s">
        <v>505</v>
      </c>
      <c r="AN169" s="12">
        <v>50281</v>
      </c>
      <c r="AP169" t="s">
        <v>1534</v>
      </c>
      <c r="AQ169" s="5">
        <v>0</v>
      </c>
      <c r="AR169" t="s">
        <v>1535</v>
      </c>
      <c r="AT169" t="s">
        <v>1536</v>
      </c>
      <c r="AU169" t="s">
        <v>1537</v>
      </c>
      <c r="AV169" t="s">
        <v>1705</v>
      </c>
    </row>
    <row r="170" spans="38:48">
      <c r="AL170" t="s">
        <v>458</v>
      </c>
      <c r="AM170" t="s">
        <v>505</v>
      </c>
      <c r="AN170" s="12">
        <v>50646</v>
      </c>
      <c r="AP170" t="s">
        <v>1534</v>
      </c>
      <c r="AQ170" s="5">
        <v>0</v>
      </c>
      <c r="AR170" t="s">
        <v>1535</v>
      </c>
      <c r="AT170" t="s">
        <v>1536</v>
      </c>
      <c r="AU170" t="s">
        <v>1537</v>
      </c>
      <c r="AV170" t="s">
        <v>1706</v>
      </c>
    </row>
    <row r="171" spans="38:48">
      <c r="AL171" t="s">
        <v>458</v>
      </c>
      <c r="AM171" t="s">
        <v>505</v>
      </c>
      <c r="AN171" s="12">
        <v>51011</v>
      </c>
      <c r="AP171" t="s">
        <v>1534</v>
      </c>
      <c r="AQ171" s="5">
        <v>0</v>
      </c>
      <c r="AR171" t="s">
        <v>1535</v>
      </c>
      <c r="AT171" t="s">
        <v>1536</v>
      </c>
      <c r="AU171" t="s">
        <v>1537</v>
      </c>
      <c r="AV171" t="s">
        <v>1707</v>
      </c>
    </row>
    <row r="172" spans="38:48">
      <c r="AL172" t="s">
        <v>458</v>
      </c>
      <c r="AM172" t="s">
        <v>505</v>
      </c>
      <c r="AN172" s="12">
        <v>51376</v>
      </c>
      <c r="AP172" t="s">
        <v>1534</v>
      </c>
      <c r="AQ172" s="5">
        <v>0</v>
      </c>
      <c r="AR172" t="s">
        <v>1535</v>
      </c>
      <c r="AT172" t="s">
        <v>1536</v>
      </c>
      <c r="AU172" t="s">
        <v>1537</v>
      </c>
      <c r="AV172" t="s">
        <v>1708</v>
      </c>
    </row>
    <row r="173" spans="38:48">
      <c r="AL173" t="s">
        <v>458</v>
      </c>
      <c r="AM173" t="s">
        <v>505</v>
      </c>
      <c r="AN173" s="12">
        <v>51741</v>
      </c>
      <c r="AP173" t="s">
        <v>1534</v>
      </c>
      <c r="AQ173" s="5">
        <v>0</v>
      </c>
      <c r="AR173" t="s">
        <v>1535</v>
      </c>
      <c r="AT173" t="s">
        <v>1536</v>
      </c>
      <c r="AU173" t="s">
        <v>1537</v>
      </c>
      <c r="AV173" t="s">
        <v>1709</v>
      </c>
    </row>
    <row r="174" spans="38:48">
      <c r="AL174" t="s">
        <v>458</v>
      </c>
      <c r="AM174" t="s">
        <v>1394</v>
      </c>
      <c r="AN174" s="12">
        <v>45962</v>
      </c>
      <c r="AP174" t="s">
        <v>1534</v>
      </c>
      <c r="AQ174" s="5">
        <v>1000</v>
      </c>
      <c r="AR174" t="s">
        <v>1535</v>
      </c>
      <c r="AT174" t="s">
        <v>1536</v>
      </c>
      <c r="AU174" t="s">
        <v>1537</v>
      </c>
      <c r="AV174" t="s">
        <v>1710</v>
      </c>
    </row>
    <row r="175" spans="38:48">
      <c r="AL175" t="s">
        <v>458</v>
      </c>
      <c r="AM175" t="s">
        <v>1394</v>
      </c>
      <c r="AN175" s="12">
        <v>45992</v>
      </c>
      <c r="AP175" t="s">
        <v>1534</v>
      </c>
      <c r="AQ175" s="5">
        <v>1000</v>
      </c>
      <c r="AR175" t="s">
        <v>1535</v>
      </c>
      <c r="AT175" t="s">
        <v>1536</v>
      </c>
      <c r="AU175" t="s">
        <v>1537</v>
      </c>
      <c r="AV175" t="s">
        <v>1711</v>
      </c>
    </row>
    <row r="176" spans="38:48">
      <c r="AL176" t="s">
        <v>458</v>
      </c>
      <c r="AM176" t="s">
        <v>1394</v>
      </c>
      <c r="AN176" s="12">
        <v>46022</v>
      </c>
      <c r="AP176" t="s">
        <v>1534</v>
      </c>
      <c r="AQ176" s="5">
        <v>1000</v>
      </c>
      <c r="AR176" t="s">
        <v>1535</v>
      </c>
      <c r="AT176" t="s">
        <v>1536</v>
      </c>
      <c r="AU176" t="s">
        <v>1537</v>
      </c>
      <c r="AV176" t="s">
        <v>1712</v>
      </c>
    </row>
    <row r="177" spans="38:48">
      <c r="AL177" t="s">
        <v>458</v>
      </c>
      <c r="AM177" t="s">
        <v>1394</v>
      </c>
      <c r="AN177" s="12">
        <v>46053</v>
      </c>
      <c r="AP177" t="s">
        <v>1534</v>
      </c>
      <c r="AQ177" s="5">
        <v>1000</v>
      </c>
      <c r="AR177" t="s">
        <v>1535</v>
      </c>
      <c r="AT177" t="s">
        <v>1536</v>
      </c>
      <c r="AU177" t="s">
        <v>1537</v>
      </c>
      <c r="AV177" t="s">
        <v>1713</v>
      </c>
    </row>
    <row r="178" spans="38:48">
      <c r="AL178" t="s">
        <v>458</v>
      </c>
      <c r="AM178" t="s">
        <v>1394</v>
      </c>
      <c r="AN178" s="12">
        <v>46083</v>
      </c>
      <c r="AP178" t="s">
        <v>1534</v>
      </c>
      <c r="AQ178" s="5">
        <v>1000</v>
      </c>
      <c r="AR178" t="s">
        <v>1535</v>
      </c>
      <c r="AT178" t="s">
        <v>1536</v>
      </c>
      <c r="AU178" t="s">
        <v>1537</v>
      </c>
      <c r="AV178" t="s">
        <v>1714</v>
      </c>
    </row>
    <row r="179" spans="38:48">
      <c r="AL179" t="s">
        <v>458</v>
      </c>
      <c r="AM179" t="s">
        <v>1394</v>
      </c>
      <c r="AN179" s="12">
        <v>46114</v>
      </c>
      <c r="AP179" t="s">
        <v>1534</v>
      </c>
      <c r="AQ179" s="5">
        <v>1000</v>
      </c>
      <c r="AR179" t="s">
        <v>1535</v>
      </c>
      <c r="AT179" t="s">
        <v>1536</v>
      </c>
      <c r="AU179" t="s">
        <v>1537</v>
      </c>
      <c r="AV179" t="s">
        <v>1715</v>
      </c>
    </row>
    <row r="180" spans="38:48">
      <c r="AL180" t="s">
        <v>458</v>
      </c>
      <c r="AM180" t="s">
        <v>1394</v>
      </c>
      <c r="AN180" s="12">
        <v>46144</v>
      </c>
      <c r="AP180" t="s">
        <v>1534</v>
      </c>
      <c r="AQ180" s="5">
        <v>0</v>
      </c>
      <c r="AR180" t="s">
        <v>1535</v>
      </c>
      <c r="AT180" t="s">
        <v>1536</v>
      </c>
      <c r="AU180" t="s">
        <v>1537</v>
      </c>
      <c r="AV180" t="s">
        <v>1716</v>
      </c>
    </row>
    <row r="181" spans="38:48">
      <c r="AL181" t="s">
        <v>458</v>
      </c>
      <c r="AM181" t="s">
        <v>1394</v>
      </c>
      <c r="AN181" s="12">
        <v>46174</v>
      </c>
      <c r="AP181" t="s">
        <v>1534</v>
      </c>
      <c r="AQ181" s="5">
        <v>0</v>
      </c>
      <c r="AR181" t="s">
        <v>1535</v>
      </c>
      <c r="AT181" t="s">
        <v>1536</v>
      </c>
      <c r="AU181" t="s">
        <v>1537</v>
      </c>
      <c r="AV181" t="s">
        <v>1717</v>
      </c>
    </row>
    <row r="182" spans="38:48">
      <c r="AL182" t="s">
        <v>458</v>
      </c>
      <c r="AM182" t="s">
        <v>1394</v>
      </c>
      <c r="AN182" s="12">
        <v>46205</v>
      </c>
      <c r="AP182" t="s">
        <v>1534</v>
      </c>
      <c r="AQ182" s="5">
        <v>0</v>
      </c>
      <c r="AR182" t="s">
        <v>1535</v>
      </c>
      <c r="AT182" t="s">
        <v>1536</v>
      </c>
      <c r="AU182" t="s">
        <v>1537</v>
      </c>
      <c r="AV182" t="s">
        <v>1718</v>
      </c>
    </row>
    <row r="183" spans="38:48">
      <c r="AL183" t="s">
        <v>458</v>
      </c>
      <c r="AM183" t="s">
        <v>1394</v>
      </c>
      <c r="AN183" s="12">
        <v>46235</v>
      </c>
      <c r="AP183" t="s">
        <v>1534</v>
      </c>
      <c r="AQ183" s="5">
        <v>0</v>
      </c>
      <c r="AR183" t="s">
        <v>1535</v>
      </c>
      <c r="AT183" t="s">
        <v>1536</v>
      </c>
      <c r="AU183" t="s">
        <v>1537</v>
      </c>
      <c r="AV183" t="s">
        <v>1719</v>
      </c>
    </row>
    <row r="184" spans="38:48">
      <c r="AL184" t="s">
        <v>458</v>
      </c>
      <c r="AM184" t="s">
        <v>1394</v>
      </c>
      <c r="AN184" s="12">
        <v>46266</v>
      </c>
      <c r="AP184" t="s">
        <v>1534</v>
      </c>
      <c r="AQ184" s="5">
        <v>0</v>
      </c>
      <c r="AR184" t="s">
        <v>1535</v>
      </c>
      <c r="AT184" t="s">
        <v>1536</v>
      </c>
      <c r="AU184" t="s">
        <v>1537</v>
      </c>
      <c r="AV184" t="s">
        <v>1720</v>
      </c>
    </row>
    <row r="185" spans="38:48">
      <c r="AL185" t="s">
        <v>458</v>
      </c>
      <c r="AM185" t="s">
        <v>1394</v>
      </c>
      <c r="AN185" s="12">
        <v>46296</v>
      </c>
      <c r="AP185" t="s">
        <v>1534</v>
      </c>
      <c r="AQ185" s="5">
        <v>0</v>
      </c>
      <c r="AR185" t="s">
        <v>1535</v>
      </c>
      <c r="AT185" t="s">
        <v>1536</v>
      </c>
      <c r="AU185" t="s">
        <v>1537</v>
      </c>
      <c r="AV185" t="s">
        <v>1721</v>
      </c>
    </row>
    <row r="186" spans="38:48">
      <c r="AL186" t="s">
        <v>458</v>
      </c>
      <c r="AM186" t="s">
        <v>1394</v>
      </c>
      <c r="AN186" s="12">
        <v>46327</v>
      </c>
      <c r="AP186" t="s">
        <v>1534</v>
      </c>
      <c r="AQ186" s="5">
        <v>0</v>
      </c>
      <c r="AR186" t="s">
        <v>1535</v>
      </c>
      <c r="AT186" t="s">
        <v>1536</v>
      </c>
      <c r="AU186" t="s">
        <v>1537</v>
      </c>
      <c r="AV186" t="s">
        <v>1722</v>
      </c>
    </row>
    <row r="187" spans="38:48">
      <c r="AL187" t="s">
        <v>458</v>
      </c>
      <c r="AM187" t="s">
        <v>1394</v>
      </c>
      <c r="AN187" s="12">
        <v>46357</v>
      </c>
      <c r="AP187" t="s">
        <v>1534</v>
      </c>
      <c r="AQ187" s="5">
        <v>0</v>
      </c>
      <c r="AR187" t="s">
        <v>1535</v>
      </c>
      <c r="AT187" t="s">
        <v>1536</v>
      </c>
      <c r="AU187" t="s">
        <v>1537</v>
      </c>
      <c r="AV187" t="s">
        <v>1723</v>
      </c>
    </row>
    <row r="188" spans="38:48">
      <c r="AL188" t="s">
        <v>458</v>
      </c>
      <c r="AM188" t="s">
        <v>1394</v>
      </c>
      <c r="AN188" s="12">
        <v>46387</v>
      </c>
      <c r="AP188" t="s">
        <v>1534</v>
      </c>
      <c r="AQ188" s="5">
        <v>0</v>
      </c>
      <c r="AR188" t="s">
        <v>1535</v>
      </c>
      <c r="AT188" t="s">
        <v>1536</v>
      </c>
      <c r="AU188" t="s">
        <v>1537</v>
      </c>
      <c r="AV188" t="s">
        <v>1724</v>
      </c>
    </row>
    <row r="189" spans="38:48">
      <c r="AL189" t="s">
        <v>458</v>
      </c>
      <c r="AM189" t="s">
        <v>1394</v>
      </c>
      <c r="AN189" s="12">
        <v>46418</v>
      </c>
      <c r="AP189" t="s">
        <v>1534</v>
      </c>
      <c r="AQ189" s="5">
        <v>0</v>
      </c>
      <c r="AR189" t="s">
        <v>1535</v>
      </c>
      <c r="AT189" t="s">
        <v>1536</v>
      </c>
      <c r="AU189" t="s">
        <v>1537</v>
      </c>
      <c r="AV189" t="s">
        <v>1725</v>
      </c>
    </row>
    <row r="190" spans="38:48">
      <c r="AL190" t="s">
        <v>458</v>
      </c>
      <c r="AM190" t="s">
        <v>1394</v>
      </c>
      <c r="AN190" s="12">
        <v>46448</v>
      </c>
      <c r="AP190" t="s">
        <v>1534</v>
      </c>
      <c r="AQ190" s="5">
        <v>0</v>
      </c>
      <c r="AR190" t="s">
        <v>1535</v>
      </c>
      <c r="AT190" t="s">
        <v>1536</v>
      </c>
      <c r="AU190" t="s">
        <v>1537</v>
      </c>
      <c r="AV190" t="s">
        <v>1726</v>
      </c>
    </row>
    <row r="191" spans="38:48">
      <c r="AL191" t="s">
        <v>458</v>
      </c>
      <c r="AM191" t="s">
        <v>1394</v>
      </c>
      <c r="AN191" s="12">
        <v>46479</v>
      </c>
      <c r="AP191" t="s">
        <v>1534</v>
      </c>
      <c r="AQ191" s="5">
        <v>0</v>
      </c>
      <c r="AR191" t="s">
        <v>1535</v>
      </c>
      <c r="AT191" t="s">
        <v>1536</v>
      </c>
      <c r="AU191" t="s">
        <v>1537</v>
      </c>
      <c r="AV191" t="s">
        <v>1727</v>
      </c>
    </row>
    <row r="192" spans="38:48">
      <c r="AL192" t="s">
        <v>458</v>
      </c>
      <c r="AM192" t="s">
        <v>1394</v>
      </c>
      <c r="AN192" s="12">
        <v>46509</v>
      </c>
      <c r="AP192" t="s">
        <v>1534</v>
      </c>
      <c r="AQ192" s="5">
        <v>0</v>
      </c>
      <c r="AR192" t="s">
        <v>1535</v>
      </c>
      <c r="AT192" t="s">
        <v>1536</v>
      </c>
      <c r="AU192" t="s">
        <v>1537</v>
      </c>
      <c r="AV192" t="s">
        <v>1728</v>
      </c>
    </row>
  </sheetData>
  <mergeCells count="23">
    <mergeCell ref="B25:C25"/>
    <mergeCell ref="AE1:AG1"/>
    <mergeCell ref="W25:X25"/>
    <mergeCell ref="Z25:AA25"/>
    <mergeCell ref="AC25:AD25"/>
    <mergeCell ref="AF25:AG25"/>
    <mergeCell ref="S1:U1"/>
    <mergeCell ref="H25:I25"/>
    <mergeCell ref="K25:L25"/>
    <mergeCell ref="N25:O25"/>
    <mergeCell ref="Q25:R25"/>
    <mergeCell ref="T25:U25"/>
    <mergeCell ref="A1:C1"/>
    <mergeCell ref="AA2:AA3"/>
    <mergeCell ref="V1:X1"/>
    <mergeCell ref="P1:R1"/>
    <mergeCell ref="D1:F1"/>
    <mergeCell ref="M1:O1"/>
    <mergeCell ref="AB1:AD1"/>
    <mergeCell ref="Y1:AA1"/>
    <mergeCell ref="E25:F25"/>
    <mergeCell ref="G1:I1"/>
    <mergeCell ref="J1:L1"/>
  </mergeCell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ED496-D675-4F18-A222-F62C41350587}">
  <sheetPr codeName="Sheet9">
    <tabColor rgb="FFFFC000"/>
  </sheetPr>
  <dimension ref="A1:R214"/>
  <sheetViews>
    <sheetView workbookViewId="0">
      <pane ySplit="1" topLeftCell="A183" activePane="bottomLeft" state="frozen"/>
      <selection activeCell="F188" sqref="F188"/>
      <selection pane="bottomLeft" activeCell="D213" sqref="D213"/>
    </sheetView>
  </sheetViews>
  <sheetFormatPr defaultRowHeight="15"/>
  <cols>
    <col min="1" max="1" width="8.140625" style="2" customWidth="1"/>
    <col min="2" max="2" width="25.7109375" bestFit="1" customWidth="1"/>
    <col min="3" max="3" width="22" bestFit="1" customWidth="1"/>
    <col min="4" max="4" width="60.7109375" style="458" customWidth="1"/>
    <col min="5" max="5" width="6.28515625" style="463" customWidth="1"/>
    <col min="6" max="6" width="11.85546875" customWidth="1"/>
    <col min="7" max="7" width="16" bestFit="1" customWidth="1"/>
    <col min="8" max="8" width="16" customWidth="1"/>
    <col min="9" max="9" width="9.140625" style="3"/>
    <col min="12" max="12" width="12.85546875" customWidth="1"/>
    <col min="13" max="13" width="10.7109375" customWidth="1"/>
    <col min="18" max="18" width="22.140625" customWidth="1"/>
  </cols>
  <sheetData>
    <row r="1" spans="1:11" s="22" customFormat="1">
      <c r="A1" s="459" t="s">
        <v>509</v>
      </c>
      <c r="B1" s="460" t="s">
        <v>510</v>
      </c>
      <c r="C1" s="460" t="s">
        <v>511</v>
      </c>
      <c r="D1" s="461" t="s">
        <v>512</v>
      </c>
      <c r="E1" s="462" t="s">
        <v>513</v>
      </c>
      <c r="F1" s="460" t="s">
        <v>514</v>
      </c>
      <c r="G1" s="460" t="s">
        <v>515</v>
      </c>
      <c r="H1" s="508" t="s">
        <v>516</v>
      </c>
      <c r="I1" s="3"/>
    </row>
    <row r="2" spans="1:11">
      <c r="A2" s="509">
        <v>1</v>
      </c>
      <c r="B2" s="510" t="s">
        <v>170</v>
      </c>
      <c r="C2" s="510" t="s">
        <v>772</v>
      </c>
      <c r="D2" s="511" t="s">
        <v>518</v>
      </c>
      <c r="E2" s="512">
        <v>1</v>
      </c>
      <c r="F2" s="513">
        <v>11000</v>
      </c>
      <c r="G2" s="510" t="s">
        <v>519</v>
      </c>
      <c r="H2">
        <v>174</v>
      </c>
      <c r="J2" t="b">
        <v>1</v>
      </c>
    </row>
    <row r="3" spans="1:11">
      <c r="A3" s="509">
        <v>2</v>
      </c>
      <c r="B3" s="510" t="s">
        <v>170</v>
      </c>
      <c r="C3" s="510" t="s">
        <v>772</v>
      </c>
      <c r="D3" s="511" t="s">
        <v>520</v>
      </c>
      <c r="E3" s="512">
        <v>0</v>
      </c>
      <c r="F3" s="513"/>
      <c r="G3" s="510" t="s">
        <v>519</v>
      </c>
      <c r="H3">
        <v>174</v>
      </c>
      <c r="J3" t="b">
        <f>+tblContractBase[[#This Row],[Index]]=A2+1</f>
        <v>1</v>
      </c>
    </row>
    <row r="4" spans="1:11">
      <c r="A4" s="509">
        <v>3</v>
      </c>
      <c r="B4" s="510" t="s">
        <v>170</v>
      </c>
      <c r="C4" s="510" t="s">
        <v>772</v>
      </c>
      <c r="D4" s="511" t="s">
        <v>522</v>
      </c>
      <c r="E4" s="512">
        <v>0</v>
      </c>
      <c r="F4" s="513"/>
      <c r="G4" s="510" t="s">
        <v>519</v>
      </c>
      <c r="H4">
        <v>174</v>
      </c>
      <c r="J4" t="b">
        <f>+tblContractBase[[#This Row],[Index]]=A3+1</f>
        <v>1</v>
      </c>
    </row>
    <row r="5" spans="1:11">
      <c r="A5" s="509">
        <v>4</v>
      </c>
      <c r="B5" s="510" t="s">
        <v>523</v>
      </c>
      <c r="C5" s="510" t="s">
        <v>524</v>
      </c>
      <c r="D5" s="511" t="s">
        <v>525</v>
      </c>
      <c r="E5" s="512">
        <v>1</v>
      </c>
      <c r="F5" s="513"/>
      <c r="G5" s="510" t="s">
        <v>467</v>
      </c>
      <c r="J5" t="b">
        <f>+tblContractBase[[#This Row],[Index]]=A4+1</f>
        <v>1</v>
      </c>
    </row>
    <row r="6" spans="1:11">
      <c r="A6" s="509">
        <v>5</v>
      </c>
      <c r="B6" s="510" t="s">
        <v>526</v>
      </c>
      <c r="C6" s="510" t="s">
        <v>527</v>
      </c>
      <c r="D6" s="511" t="s">
        <v>528</v>
      </c>
      <c r="E6" s="512">
        <v>0</v>
      </c>
      <c r="F6" s="513">
        <v>0</v>
      </c>
      <c r="G6" s="510" t="s">
        <v>467</v>
      </c>
      <c r="J6" t="b">
        <f>+tblContractBase[[#This Row],[Index]]=A5+1</f>
        <v>1</v>
      </c>
    </row>
    <row r="7" spans="1:11">
      <c r="A7" s="509">
        <v>6</v>
      </c>
      <c r="B7" s="510" t="s">
        <v>526</v>
      </c>
      <c r="C7" s="510" t="s">
        <v>529</v>
      </c>
      <c r="D7" s="511" t="s">
        <v>530</v>
      </c>
      <c r="E7" s="512">
        <v>0</v>
      </c>
      <c r="F7" s="513">
        <v>0</v>
      </c>
      <c r="G7" s="510" t="s">
        <v>467</v>
      </c>
      <c r="J7" t="b">
        <f>+tblContractBase[[#This Row],[Index]]=A6+1</f>
        <v>1</v>
      </c>
    </row>
    <row r="8" spans="1:11">
      <c r="A8" s="509">
        <v>7</v>
      </c>
      <c r="B8" s="510" t="s">
        <v>526</v>
      </c>
      <c r="C8" s="510" t="s">
        <v>531</v>
      </c>
      <c r="D8" s="511" t="s">
        <v>532</v>
      </c>
      <c r="E8" s="512">
        <v>0</v>
      </c>
      <c r="F8" s="513">
        <v>0</v>
      </c>
      <c r="G8" s="510" t="s">
        <v>467</v>
      </c>
      <c r="J8" t="b">
        <f>+tblContractBase[[#This Row],[Index]]=A7+1</f>
        <v>1</v>
      </c>
    </row>
    <row r="9" spans="1:11">
      <c r="A9" s="509">
        <v>8</v>
      </c>
      <c r="B9" s="510" t="s">
        <v>526</v>
      </c>
      <c r="C9" s="510" t="s">
        <v>533</v>
      </c>
      <c r="D9" s="511" t="s">
        <v>534</v>
      </c>
      <c r="E9" s="512">
        <v>0</v>
      </c>
      <c r="F9" s="513">
        <v>0</v>
      </c>
      <c r="G9" s="510" t="s">
        <v>467</v>
      </c>
      <c r="J9" t="b">
        <f>+tblContractBase[[#This Row],[Index]]=A8+1</f>
        <v>1</v>
      </c>
    </row>
    <row r="10" spans="1:11">
      <c r="A10" s="509">
        <v>9</v>
      </c>
      <c r="B10" s="510" t="s">
        <v>526</v>
      </c>
      <c r="C10" s="510" t="s">
        <v>535</v>
      </c>
      <c r="D10" s="511" t="s">
        <v>536</v>
      </c>
      <c r="E10" s="512">
        <v>0</v>
      </c>
      <c r="F10" s="513">
        <v>0</v>
      </c>
      <c r="G10" s="510" t="s">
        <v>467</v>
      </c>
      <c r="J10" t="b">
        <f>+tblContractBase[[#This Row],[Index]]=A9+1</f>
        <v>1</v>
      </c>
    </row>
    <row r="11" spans="1:11" ht="30">
      <c r="A11" s="509">
        <v>10</v>
      </c>
      <c r="B11" s="510" t="s">
        <v>517</v>
      </c>
      <c r="C11" s="510" t="s">
        <v>537</v>
      </c>
      <c r="D11" s="511" t="s">
        <v>538</v>
      </c>
      <c r="E11" s="512">
        <v>1</v>
      </c>
      <c r="F11" s="513">
        <v>2175</v>
      </c>
      <c r="G11" s="510" t="s">
        <v>519</v>
      </c>
      <c r="J11" t="b">
        <f>+tblContractBase[[#This Row],[Index]]=A10+1</f>
        <v>1</v>
      </c>
      <c r="K11" t="s">
        <v>419</v>
      </c>
    </row>
    <row r="12" spans="1:11" ht="30">
      <c r="A12" s="509">
        <v>11</v>
      </c>
      <c r="B12" s="510" t="s">
        <v>523</v>
      </c>
      <c r="C12" s="510" t="s">
        <v>539</v>
      </c>
      <c r="D12" s="511" t="s">
        <v>540</v>
      </c>
      <c r="E12" s="512">
        <v>2250</v>
      </c>
      <c r="F12" s="513">
        <v>5.8</v>
      </c>
      <c r="G12" s="510" t="s">
        <v>467</v>
      </c>
      <c r="J12" t="b">
        <f>+tblContractBase[[#This Row],[Index]]=A11+1</f>
        <v>1</v>
      </c>
    </row>
    <row r="13" spans="1:11" ht="30">
      <c r="A13" s="509">
        <v>12</v>
      </c>
      <c r="B13" s="510" t="s">
        <v>523</v>
      </c>
      <c r="C13" s="510" t="s">
        <v>541</v>
      </c>
      <c r="D13" s="511" t="s">
        <v>542</v>
      </c>
      <c r="E13" s="512">
        <v>2100</v>
      </c>
      <c r="F13" s="513">
        <v>8.6999999999999993</v>
      </c>
      <c r="G13" s="510" t="s">
        <v>467</v>
      </c>
      <c r="J13" t="b">
        <f>+tblContractBase[[#This Row],[Index]]=A12+1</f>
        <v>1</v>
      </c>
    </row>
    <row r="14" spans="1:11">
      <c r="A14" s="509">
        <v>13</v>
      </c>
      <c r="B14" s="510" t="s">
        <v>517</v>
      </c>
      <c r="C14" s="510" t="s">
        <v>543</v>
      </c>
      <c r="D14" s="511" t="s">
        <v>544</v>
      </c>
      <c r="E14" s="512">
        <v>2</v>
      </c>
      <c r="F14" s="513">
        <v>362.5</v>
      </c>
      <c r="G14" s="510" t="s">
        <v>467</v>
      </c>
      <c r="J14" t="b">
        <f>+tblContractBase[[#This Row],[Index]]=A13+1</f>
        <v>1</v>
      </c>
    </row>
    <row r="15" spans="1:11">
      <c r="A15" s="509">
        <v>14</v>
      </c>
      <c r="B15" s="510" t="s">
        <v>517</v>
      </c>
      <c r="C15" s="510" t="s">
        <v>545</v>
      </c>
      <c r="D15" s="511" t="s">
        <v>546</v>
      </c>
      <c r="E15" s="512">
        <v>1</v>
      </c>
      <c r="F15" s="513">
        <v>1740</v>
      </c>
      <c r="G15" s="510" t="s">
        <v>467</v>
      </c>
      <c r="J15" t="b">
        <f>+tblContractBase[[#This Row],[Index]]=A14+1</f>
        <v>1</v>
      </c>
    </row>
    <row r="16" spans="1:11">
      <c r="A16" s="509">
        <v>15</v>
      </c>
      <c r="B16" s="510" t="s">
        <v>517</v>
      </c>
      <c r="C16" s="510" t="s">
        <v>547</v>
      </c>
      <c r="D16" s="511" t="s">
        <v>548</v>
      </c>
      <c r="E16" s="512">
        <v>1</v>
      </c>
      <c r="F16" s="513">
        <v>1087.5</v>
      </c>
      <c r="G16" s="510" t="s">
        <v>519</v>
      </c>
      <c r="J16" t="b">
        <f>+tblContractBase[[#This Row],[Index]]=A15+1</f>
        <v>1</v>
      </c>
      <c r="K16" t="s">
        <v>419</v>
      </c>
    </row>
    <row r="17" spans="1:11" ht="45">
      <c r="A17" s="509">
        <v>16</v>
      </c>
      <c r="B17" s="510" t="s">
        <v>549</v>
      </c>
      <c r="C17" s="510" t="s">
        <v>550</v>
      </c>
      <c r="D17" s="511" t="s">
        <v>551</v>
      </c>
      <c r="E17" s="512">
        <v>1</v>
      </c>
      <c r="F17" s="513">
        <v>3045</v>
      </c>
      <c r="G17" s="510" t="s">
        <v>552</v>
      </c>
      <c r="J17" t="b">
        <f>+tblContractBase[[#This Row],[Index]]=A16+1</f>
        <v>1</v>
      </c>
    </row>
    <row r="18" spans="1:11">
      <c r="A18" s="509">
        <v>17</v>
      </c>
      <c r="B18" s="510" t="s">
        <v>549</v>
      </c>
      <c r="C18" s="510" t="s">
        <v>553</v>
      </c>
      <c r="D18" s="511" t="s">
        <v>554</v>
      </c>
      <c r="E18" s="512">
        <v>140</v>
      </c>
      <c r="F18" s="513">
        <v>17.399999999999999</v>
      </c>
      <c r="G18" s="510" t="s">
        <v>467</v>
      </c>
      <c r="J18" t="b">
        <f>+tblContractBase[[#This Row],[Index]]=A17+1</f>
        <v>1</v>
      </c>
    </row>
    <row r="19" spans="1:11">
      <c r="A19" s="509">
        <v>18</v>
      </c>
      <c r="B19" s="510" t="s">
        <v>555</v>
      </c>
      <c r="C19" s="510" t="s">
        <v>547</v>
      </c>
      <c r="D19" s="511" t="s">
        <v>556</v>
      </c>
      <c r="E19" s="512">
        <v>1</v>
      </c>
      <c r="F19" s="513">
        <v>870</v>
      </c>
      <c r="G19" s="510" t="s">
        <v>519</v>
      </c>
      <c r="J19" t="b">
        <f>+tblContractBase[[#This Row],[Index]]=A18+1</f>
        <v>1</v>
      </c>
      <c r="K19" t="s">
        <v>419</v>
      </c>
    </row>
    <row r="20" spans="1:11" ht="30">
      <c r="A20" s="509">
        <v>19</v>
      </c>
      <c r="B20" s="510" t="s">
        <v>555</v>
      </c>
      <c r="C20" s="510" t="s">
        <v>557</v>
      </c>
      <c r="D20" s="511" t="s">
        <v>558</v>
      </c>
      <c r="E20" s="512">
        <v>1</v>
      </c>
      <c r="F20" s="513">
        <v>1450</v>
      </c>
      <c r="G20" s="510" t="s">
        <v>467</v>
      </c>
      <c r="J20" t="b">
        <f>+tblContractBase[[#This Row],[Index]]=A19+1</f>
        <v>1</v>
      </c>
    </row>
    <row r="21" spans="1:11" ht="45">
      <c r="A21" s="509">
        <v>20</v>
      </c>
      <c r="B21" s="510" t="s">
        <v>555</v>
      </c>
      <c r="C21" s="510" t="s">
        <v>550</v>
      </c>
      <c r="D21" s="511" t="s">
        <v>559</v>
      </c>
      <c r="E21" s="512">
        <v>1</v>
      </c>
      <c r="F21" s="513">
        <v>1595</v>
      </c>
      <c r="G21" s="510" t="s">
        <v>519</v>
      </c>
      <c r="J21" t="b">
        <f>+tblContractBase[[#This Row],[Index]]=A20+1</f>
        <v>1</v>
      </c>
    </row>
    <row r="22" spans="1:11" ht="45">
      <c r="A22" s="509">
        <v>21</v>
      </c>
      <c r="B22" s="510" t="s">
        <v>555</v>
      </c>
      <c r="C22" s="510" t="s">
        <v>560</v>
      </c>
      <c r="D22" s="511" t="s">
        <v>561</v>
      </c>
      <c r="E22" s="512">
        <v>1</v>
      </c>
      <c r="F22" s="513">
        <v>4060</v>
      </c>
      <c r="G22" s="510" t="s">
        <v>552</v>
      </c>
      <c r="J22" t="b">
        <f>+tblContractBase[[#This Row],[Index]]=A21+1</f>
        <v>1</v>
      </c>
    </row>
    <row r="23" spans="1:11" ht="30">
      <c r="A23" s="509">
        <v>22</v>
      </c>
      <c r="B23" s="510" t="s">
        <v>555</v>
      </c>
      <c r="C23" s="510" t="s">
        <v>562</v>
      </c>
      <c r="D23" s="511" t="s">
        <v>563</v>
      </c>
      <c r="E23" s="512">
        <v>2</v>
      </c>
      <c r="F23" s="513">
        <v>362.5</v>
      </c>
      <c r="G23" s="510" t="s">
        <v>519</v>
      </c>
      <c r="J23" t="b">
        <f>+tblContractBase[[#This Row],[Index]]=A22+1</f>
        <v>1</v>
      </c>
      <c r="K23" t="s">
        <v>419</v>
      </c>
    </row>
    <row r="24" spans="1:11">
      <c r="A24" s="509">
        <v>23</v>
      </c>
      <c r="B24" s="510" t="s">
        <v>555</v>
      </c>
      <c r="C24" s="510" t="s">
        <v>564</v>
      </c>
      <c r="D24" s="511" t="s">
        <v>565</v>
      </c>
      <c r="E24" s="512">
        <v>2</v>
      </c>
      <c r="F24" s="513">
        <v>580</v>
      </c>
      <c r="G24" s="510" t="s">
        <v>519</v>
      </c>
      <c r="J24" t="b">
        <f>+tblContractBase[[#This Row],[Index]]=A23+1</f>
        <v>1</v>
      </c>
      <c r="K24" t="s">
        <v>430</v>
      </c>
    </row>
    <row r="25" spans="1:11" ht="60">
      <c r="A25" s="509">
        <v>24</v>
      </c>
      <c r="B25" s="510" t="s">
        <v>555</v>
      </c>
      <c r="C25" s="510" t="s">
        <v>550</v>
      </c>
      <c r="D25" s="511" t="s">
        <v>566</v>
      </c>
      <c r="E25" s="512">
        <v>1</v>
      </c>
      <c r="F25" s="513">
        <v>10585</v>
      </c>
      <c r="G25" s="510" t="s">
        <v>519</v>
      </c>
      <c r="J25" t="b">
        <f>+tblContractBase[[#This Row],[Index]]=A24+1</f>
        <v>1</v>
      </c>
      <c r="K25" t="s">
        <v>430</v>
      </c>
    </row>
    <row r="26" spans="1:11" ht="30">
      <c r="A26" s="509">
        <v>25</v>
      </c>
      <c r="B26" s="510" t="s">
        <v>555</v>
      </c>
      <c r="C26" s="510" t="s">
        <v>553</v>
      </c>
      <c r="D26" s="511" t="s">
        <v>567</v>
      </c>
      <c r="E26" s="512">
        <v>1</v>
      </c>
      <c r="F26" s="513">
        <v>5365</v>
      </c>
      <c r="G26" s="510" t="s">
        <v>519</v>
      </c>
      <c r="J26" t="b">
        <f>+tblContractBase[[#This Row],[Index]]=A25+1</f>
        <v>1</v>
      </c>
      <c r="K26" t="s">
        <v>430</v>
      </c>
    </row>
    <row r="27" spans="1:11">
      <c r="A27" s="509">
        <v>26</v>
      </c>
      <c r="B27" s="510" t="s">
        <v>555</v>
      </c>
      <c r="C27" s="510" t="s">
        <v>568</v>
      </c>
      <c r="D27" s="511" t="s">
        <v>569</v>
      </c>
      <c r="E27" s="512">
        <v>1</v>
      </c>
      <c r="F27" s="513">
        <v>507.5</v>
      </c>
      <c r="G27" s="510" t="s">
        <v>519</v>
      </c>
      <c r="J27" t="b">
        <f>+tblContractBase[[#This Row],[Index]]=A26+1</f>
        <v>1</v>
      </c>
      <c r="K27" t="s">
        <v>430</v>
      </c>
    </row>
    <row r="28" spans="1:11" ht="30">
      <c r="A28" s="509">
        <v>27</v>
      </c>
      <c r="B28" s="510" t="s">
        <v>555</v>
      </c>
      <c r="C28" s="510" t="s">
        <v>570</v>
      </c>
      <c r="D28" s="511" t="s">
        <v>571</v>
      </c>
      <c r="E28" s="512">
        <v>1</v>
      </c>
      <c r="F28" s="513">
        <v>5075</v>
      </c>
      <c r="G28" s="510" t="s">
        <v>519</v>
      </c>
      <c r="J28" t="b">
        <f>+tblContractBase[[#This Row],[Index]]=A27+1</f>
        <v>1</v>
      </c>
      <c r="K28" t="s">
        <v>430</v>
      </c>
    </row>
    <row r="29" spans="1:11">
      <c r="A29" s="509">
        <v>28</v>
      </c>
      <c r="B29" s="510" t="s">
        <v>555</v>
      </c>
      <c r="C29" s="510" t="s">
        <v>527</v>
      </c>
      <c r="D29" s="511" t="s">
        <v>572</v>
      </c>
      <c r="E29" s="512">
        <v>1</v>
      </c>
      <c r="F29" s="513">
        <v>725</v>
      </c>
      <c r="G29" s="510" t="s">
        <v>519</v>
      </c>
      <c r="J29" t="b">
        <f>+tblContractBase[[#This Row],[Index]]=A28+1</f>
        <v>1</v>
      </c>
      <c r="K29" t="s">
        <v>430</v>
      </c>
    </row>
    <row r="30" spans="1:11" ht="30">
      <c r="A30" s="509">
        <v>29</v>
      </c>
      <c r="B30" s="510" t="s">
        <v>555</v>
      </c>
      <c r="C30" s="510" t="s">
        <v>573</v>
      </c>
      <c r="D30" s="511" t="s">
        <v>574</v>
      </c>
      <c r="E30" s="512">
        <v>1</v>
      </c>
      <c r="F30" s="513">
        <v>4060</v>
      </c>
      <c r="G30" s="510" t="s">
        <v>519</v>
      </c>
      <c r="J30" t="b">
        <f>+tblContractBase[[#This Row],[Index]]=A29+1</f>
        <v>1</v>
      </c>
      <c r="K30" t="s">
        <v>430</v>
      </c>
    </row>
    <row r="31" spans="1:11" ht="30">
      <c r="A31" s="509">
        <v>30</v>
      </c>
      <c r="B31" s="510" t="s">
        <v>555</v>
      </c>
      <c r="C31" s="510" t="s">
        <v>575</v>
      </c>
      <c r="D31" s="511" t="s">
        <v>576</v>
      </c>
      <c r="E31" s="512">
        <v>1</v>
      </c>
      <c r="F31" s="513">
        <v>3480</v>
      </c>
      <c r="G31" s="510" t="s">
        <v>552</v>
      </c>
      <c r="J31" t="b">
        <f>+tblContractBase[[#This Row],[Index]]=A30+1</f>
        <v>1</v>
      </c>
    </row>
    <row r="32" spans="1:11" ht="30">
      <c r="A32" s="509">
        <v>31</v>
      </c>
      <c r="B32" s="510" t="s">
        <v>555</v>
      </c>
      <c r="C32" s="510" t="s">
        <v>577</v>
      </c>
      <c r="D32" s="511" t="s">
        <v>578</v>
      </c>
      <c r="E32" s="512">
        <v>1</v>
      </c>
      <c r="F32" s="513">
        <v>4350</v>
      </c>
      <c r="G32" s="510" t="s">
        <v>552</v>
      </c>
      <c r="J32" t="b">
        <f>+tblContractBase[[#This Row],[Index]]=A31+1</f>
        <v>1</v>
      </c>
    </row>
    <row r="33" spans="1:11" ht="30">
      <c r="A33" s="509">
        <v>32</v>
      </c>
      <c r="B33" s="510" t="s">
        <v>555</v>
      </c>
      <c r="C33" s="510" t="s">
        <v>579</v>
      </c>
      <c r="D33" s="511" t="s">
        <v>580</v>
      </c>
      <c r="E33" s="512">
        <v>1</v>
      </c>
      <c r="F33" s="513">
        <v>2175</v>
      </c>
      <c r="G33" s="510" t="s">
        <v>519</v>
      </c>
      <c r="J33" t="b">
        <f>+tblContractBase[[#This Row],[Index]]=A32+1</f>
        <v>1</v>
      </c>
      <c r="K33" t="s">
        <v>430</v>
      </c>
    </row>
    <row r="34" spans="1:11" ht="30">
      <c r="A34" s="509">
        <v>33</v>
      </c>
      <c r="B34" s="510" t="s">
        <v>555</v>
      </c>
      <c r="C34" s="510" t="s">
        <v>581</v>
      </c>
      <c r="D34" s="511" t="s">
        <v>582</v>
      </c>
      <c r="E34" s="512">
        <v>1</v>
      </c>
      <c r="F34" s="513">
        <v>580</v>
      </c>
      <c r="G34" s="510" t="s">
        <v>519</v>
      </c>
      <c r="J34" t="b">
        <f>+tblContractBase[[#This Row],[Index]]=A33+1</f>
        <v>1</v>
      </c>
      <c r="K34" t="s">
        <v>430</v>
      </c>
    </row>
    <row r="35" spans="1:11" ht="45">
      <c r="A35" s="509">
        <v>34</v>
      </c>
      <c r="B35" s="510" t="s">
        <v>555</v>
      </c>
      <c r="C35" s="510" t="s">
        <v>583</v>
      </c>
      <c r="D35" s="511" t="s">
        <v>584</v>
      </c>
      <c r="E35" s="512">
        <v>1</v>
      </c>
      <c r="F35" s="513">
        <v>1885</v>
      </c>
      <c r="G35" s="510" t="s">
        <v>519</v>
      </c>
      <c r="J35" t="b">
        <f>+tblContractBase[[#This Row],[Index]]=A34+1</f>
        <v>1</v>
      </c>
      <c r="K35" t="s">
        <v>430</v>
      </c>
    </row>
    <row r="36" spans="1:11">
      <c r="A36" s="509">
        <v>35</v>
      </c>
      <c r="B36" s="510" t="s">
        <v>555</v>
      </c>
      <c r="C36" s="510" t="s">
        <v>585</v>
      </c>
      <c r="D36" s="511" t="s">
        <v>586</v>
      </c>
      <c r="E36" s="512">
        <v>1</v>
      </c>
      <c r="F36" s="513">
        <v>1305</v>
      </c>
      <c r="G36" s="510" t="s">
        <v>519</v>
      </c>
      <c r="J36" t="b">
        <f>+tblContractBase[[#This Row],[Index]]=A35+1</f>
        <v>1</v>
      </c>
      <c r="K36" t="s">
        <v>430</v>
      </c>
    </row>
    <row r="37" spans="1:11" ht="30">
      <c r="A37" s="509">
        <v>36</v>
      </c>
      <c r="B37" s="510" t="s">
        <v>587</v>
      </c>
      <c r="C37" s="510" t="s">
        <v>560</v>
      </c>
      <c r="D37" s="511" t="s">
        <v>588</v>
      </c>
      <c r="E37" s="512">
        <v>1</v>
      </c>
      <c r="F37" s="513">
        <v>1160</v>
      </c>
      <c r="G37" s="510" t="s">
        <v>552</v>
      </c>
      <c r="J37" t="b">
        <f>+tblContractBase[[#This Row],[Index]]=A36+1</f>
        <v>1</v>
      </c>
    </row>
    <row r="38" spans="1:11">
      <c r="A38" s="509">
        <v>37</v>
      </c>
      <c r="B38" s="510" t="s">
        <v>587</v>
      </c>
      <c r="C38" s="510" t="s">
        <v>553</v>
      </c>
      <c r="D38" s="511" t="s">
        <v>589</v>
      </c>
      <c r="E38" s="512">
        <v>1</v>
      </c>
      <c r="F38" s="513">
        <v>290</v>
      </c>
      <c r="G38" s="510" t="s">
        <v>467</v>
      </c>
      <c r="J38" t="b">
        <f>+tblContractBase[[#This Row],[Index]]=A37+1</f>
        <v>1</v>
      </c>
    </row>
    <row r="39" spans="1:11" ht="30">
      <c r="A39" s="509">
        <v>38</v>
      </c>
      <c r="B39" s="510" t="s">
        <v>587</v>
      </c>
      <c r="C39" s="510" t="s">
        <v>550</v>
      </c>
      <c r="D39" s="511" t="s">
        <v>590</v>
      </c>
      <c r="E39" s="512">
        <v>1</v>
      </c>
      <c r="F39" s="513">
        <v>1087.5</v>
      </c>
      <c r="G39" s="510" t="s">
        <v>552</v>
      </c>
      <c r="J39" t="b">
        <f>+tblContractBase[[#This Row],[Index]]=A38+1</f>
        <v>1</v>
      </c>
    </row>
    <row r="40" spans="1:11" ht="30">
      <c r="A40" s="509">
        <v>39</v>
      </c>
      <c r="B40" s="510" t="s">
        <v>587</v>
      </c>
      <c r="C40" s="510" t="s">
        <v>591</v>
      </c>
      <c r="D40" s="511" t="s">
        <v>592</v>
      </c>
      <c r="E40" s="512">
        <v>1</v>
      </c>
      <c r="F40" s="513">
        <v>3625</v>
      </c>
      <c r="G40" s="510" t="s">
        <v>519</v>
      </c>
      <c r="J40" t="b">
        <f>+tblContractBase[[#This Row],[Index]]=A39+1</f>
        <v>1</v>
      </c>
      <c r="K40" t="s">
        <v>430</v>
      </c>
    </row>
    <row r="41" spans="1:11">
      <c r="A41" s="509">
        <v>40</v>
      </c>
      <c r="B41" s="510" t="s">
        <v>587</v>
      </c>
      <c r="C41" s="510" t="s">
        <v>527</v>
      </c>
      <c r="D41" s="511" t="s">
        <v>593</v>
      </c>
      <c r="E41" s="512">
        <v>1</v>
      </c>
      <c r="F41" s="513">
        <v>1160</v>
      </c>
      <c r="G41" s="510" t="s">
        <v>519</v>
      </c>
      <c r="J41" t="b">
        <f>+tblContractBase[[#This Row],[Index]]=A40+1</f>
        <v>1</v>
      </c>
      <c r="K41" t="s">
        <v>430</v>
      </c>
    </row>
    <row r="42" spans="1:11" ht="45">
      <c r="A42" s="509">
        <v>41</v>
      </c>
      <c r="B42" s="510" t="s">
        <v>587</v>
      </c>
      <c r="C42" s="510" t="s">
        <v>594</v>
      </c>
      <c r="D42" s="511" t="s">
        <v>595</v>
      </c>
      <c r="E42" s="512">
        <v>1</v>
      </c>
      <c r="F42" s="513">
        <v>1450</v>
      </c>
      <c r="G42" s="510" t="s">
        <v>519</v>
      </c>
      <c r="J42" t="b">
        <f>+tblContractBase[[#This Row],[Index]]=A41+1</f>
        <v>1</v>
      </c>
      <c r="K42" t="s">
        <v>430</v>
      </c>
    </row>
    <row r="43" spans="1:11">
      <c r="A43" s="509">
        <v>42</v>
      </c>
      <c r="B43" s="510" t="s">
        <v>587</v>
      </c>
      <c r="C43" s="510" t="s">
        <v>596</v>
      </c>
      <c r="D43" s="511" t="s">
        <v>597</v>
      </c>
      <c r="E43" s="512">
        <v>1</v>
      </c>
      <c r="F43" s="513">
        <v>1181.75</v>
      </c>
      <c r="G43" s="510" t="s">
        <v>467</v>
      </c>
      <c r="J43" t="b">
        <f>+tblContractBase[[#This Row],[Index]]=A42+1</f>
        <v>1</v>
      </c>
    </row>
    <row r="44" spans="1:11" ht="30">
      <c r="A44" s="509">
        <v>43</v>
      </c>
      <c r="B44" s="510" t="s">
        <v>587</v>
      </c>
      <c r="C44" s="510" t="s">
        <v>598</v>
      </c>
      <c r="D44" s="511" t="s">
        <v>599</v>
      </c>
      <c r="E44" s="512">
        <v>1</v>
      </c>
      <c r="F44" s="513">
        <v>362.5</v>
      </c>
      <c r="G44" s="510" t="s">
        <v>552</v>
      </c>
      <c r="J44" t="b">
        <f>+tblContractBase[[#This Row],[Index]]=A43+1</f>
        <v>1</v>
      </c>
    </row>
    <row r="45" spans="1:11">
      <c r="A45" s="509">
        <v>44</v>
      </c>
      <c r="B45" s="510" t="s">
        <v>587</v>
      </c>
      <c r="C45" s="510" t="s">
        <v>600</v>
      </c>
      <c r="D45" s="511" t="s">
        <v>601</v>
      </c>
      <c r="E45" s="512">
        <v>50</v>
      </c>
      <c r="F45" s="513">
        <v>26.1</v>
      </c>
      <c r="G45" s="510" t="s">
        <v>519</v>
      </c>
      <c r="J45" t="b">
        <f>+tblContractBase[[#This Row],[Index]]=A44+1</f>
        <v>1</v>
      </c>
      <c r="K45" t="s">
        <v>430</v>
      </c>
    </row>
    <row r="46" spans="1:11" ht="30">
      <c r="A46" s="509">
        <v>45</v>
      </c>
      <c r="B46" s="510" t="s">
        <v>587</v>
      </c>
      <c r="C46" s="510" t="s">
        <v>602</v>
      </c>
      <c r="D46" s="511" t="s">
        <v>603</v>
      </c>
      <c r="E46" s="512">
        <v>77</v>
      </c>
      <c r="F46" s="513">
        <v>26.1</v>
      </c>
      <c r="G46" s="510" t="s">
        <v>519</v>
      </c>
      <c r="J46" t="b">
        <f>+tblContractBase[[#This Row],[Index]]=A45+1</f>
        <v>1</v>
      </c>
      <c r="K46" t="s">
        <v>430</v>
      </c>
    </row>
    <row r="47" spans="1:11" ht="45">
      <c r="A47" s="509">
        <v>46</v>
      </c>
      <c r="B47" s="510" t="s">
        <v>587</v>
      </c>
      <c r="C47" s="510" t="s">
        <v>568</v>
      </c>
      <c r="D47" s="511" t="s">
        <v>604</v>
      </c>
      <c r="E47" s="512">
        <v>1</v>
      </c>
      <c r="F47" s="513">
        <v>1132.75</v>
      </c>
      <c r="G47" s="510" t="s">
        <v>519</v>
      </c>
      <c r="J47" t="b">
        <f>+tblContractBase[[#This Row],[Index]]=A46+1</f>
        <v>1</v>
      </c>
      <c r="K47" t="s">
        <v>430</v>
      </c>
    </row>
    <row r="48" spans="1:11" ht="30">
      <c r="A48" s="509">
        <v>47</v>
      </c>
      <c r="B48" s="510" t="s">
        <v>587</v>
      </c>
      <c r="C48" s="510" t="s">
        <v>583</v>
      </c>
      <c r="D48" s="511" t="s">
        <v>605</v>
      </c>
      <c r="E48" s="512">
        <v>1</v>
      </c>
      <c r="F48" s="513">
        <v>507.5</v>
      </c>
      <c r="G48" s="510" t="s">
        <v>519</v>
      </c>
      <c r="J48" t="b">
        <f>+tblContractBase[[#This Row],[Index]]=A47+1</f>
        <v>1</v>
      </c>
      <c r="K48" t="s">
        <v>430</v>
      </c>
    </row>
    <row r="49" spans="1:11" ht="30">
      <c r="A49" s="509">
        <v>48</v>
      </c>
      <c r="B49" s="510" t="s">
        <v>587</v>
      </c>
      <c r="C49" s="510" t="s">
        <v>606</v>
      </c>
      <c r="D49" s="511" t="s">
        <v>607</v>
      </c>
      <c r="E49" s="512">
        <v>1</v>
      </c>
      <c r="F49" s="513">
        <v>145</v>
      </c>
      <c r="G49" s="510" t="s">
        <v>552</v>
      </c>
      <c r="J49" t="b">
        <f>+tblContractBase[[#This Row],[Index]]=A48+1</f>
        <v>1</v>
      </c>
    </row>
    <row r="50" spans="1:11" ht="60">
      <c r="A50" s="509">
        <v>49</v>
      </c>
      <c r="B50" s="510" t="s">
        <v>608</v>
      </c>
      <c r="C50" s="510" t="s">
        <v>560</v>
      </c>
      <c r="D50" s="511" t="s">
        <v>609</v>
      </c>
      <c r="E50" s="512">
        <v>1</v>
      </c>
      <c r="F50" s="513">
        <v>3625</v>
      </c>
      <c r="G50" s="510" t="s">
        <v>552</v>
      </c>
      <c r="J50" t="b">
        <f>+tblContractBase[[#This Row],[Index]]=A49+1</f>
        <v>1</v>
      </c>
    </row>
    <row r="51" spans="1:11" ht="30">
      <c r="A51" s="509">
        <v>50</v>
      </c>
      <c r="B51" s="510" t="s">
        <v>608</v>
      </c>
      <c r="C51" s="510" t="s">
        <v>610</v>
      </c>
      <c r="D51" s="511" t="s">
        <v>611</v>
      </c>
      <c r="E51" s="512">
        <v>1</v>
      </c>
      <c r="F51" s="513">
        <v>1305</v>
      </c>
      <c r="G51" s="510" t="s">
        <v>552</v>
      </c>
      <c r="J51" t="b">
        <f>+tblContractBase[[#This Row],[Index]]=A50+1</f>
        <v>1</v>
      </c>
    </row>
    <row r="52" spans="1:11">
      <c r="A52" s="509">
        <v>51</v>
      </c>
      <c r="B52" s="510" t="s">
        <v>608</v>
      </c>
      <c r="C52" s="510" t="s">
        <v>612</v>
      </c>
      <c r="D52" s="511" t="s">
        <v>1466</v>
      </c>
      <c r="E52" s="512">
        <v>1</v>
      </c>
      <c r="F52" s="513">
        <v>21750</v>
      </c>
      <c r="G52" s="510" t="s">
        <v>552</v>
      </c>
      <c r="J52" t="b">
        <f>+tblContractBase[[#This Row],[Index]]=A51+1</f>
        <v>1</v>
      </c>
    </row>
    <row r="53" spans="1:11">
      <c r="A53" s="509">
        <v>52</v>
      </c>
      <c r="B53" s="510" t="s">
        <v>608</v>
      </c>
      <c r="C53" s="510" t="s">
        <v>613</v>
      </c>
      <c r="D53" s="511" t="s">
        <v>614</v>
      </c>
      <c r="E53" s="512">
        <v>1</v>
      </c>
      <c r="F53" s="513">
        <v>1450</v>
      </c>
      <c r="G53" s="510" t="s">
        <v>552</v>
      </c>
      <c r="J53" t="b">
        <f>+tblContractBase[[#This Row],[Index]]=A52+1</f>
        <v>1</v>
      </c>
    </row>
    <row r="54" spans="1:11" ht="75">
      <c r="A54" s="509">
        <v>53</v>
      </c>
      <c r="B54" s="510" t="s">
        <v>608</v>
      </c>
      <c r="C54" s="510" t="s">
        <v>615</v>
      </c>
      <c r="D54" s="511" t="s">
        <v>616</v>
      </c>
      <c r="E54" s="512">
        <v>1</v>
      </c>
      <c r="F54" s="513">
        <v>5655</v>
      </c>
      <c r="G54" s="510" t="s">
        <v>467</v>
      </c>
      <c r="J54" t="b">
        <f>+tblContractBase[[#This Row],[Index]]=A53+1</f>
        <v>1</v>
      </c>
    </row>
    <row r="55" spans="1:11" ht="45">
      <c r="A55" s="509">
        <v>54</v>
      </c>
      <c r="B55" s="510" t="s">
        <v>608</v>
      </c>
      <c r="C55" s="510" t="s">
        <v>550</v>
      </c>
      <c r="D55" s="511" t="s">
        <v>617</v>
      </c>
      <c r="E55" s="512">
        <v>1</v>
      </c>
      <c r="F55" s="513">
        <v>6525</v>
      </c>
      <c r="G55" s="510" t="s">
        <v>552</v>
      </c>
      <c r="J55" t="b">
        <f>+tblContractBase[[#This Row],[Index]]=A54+1</f>
        <v>1</v>
      </c>
    </row>
    <row r="56" spans="1:11">
      <c r="A56" s="509">
        <v>55</v>
      </c>
      <c r="B56" s="510" t="s">
        <v>608</v>
      </c>
      <c r="C56" s="510" t="s">
        <v>553</v>
      </c>
      <c r="D56" s="511" t="s">
        <v>618</v>
      </c>
      <c r="E56" s="512">
        <v>1</v>
      </c>
      <c r="F56" s="513">
        <v>2537.5</v>
      </c>
      <c r="G56" s="510" t="s">
        <v>467</v>
      </c>
      <c r="J56" t="b">
        <f>+tblContractBase[[#This Row],[Index]]=A55+1</f>
        <v>1</v>
      </c>
    </row>
    <row r="57" spans="1:11" ht="30">
      <c r="A57" s="509">
        <v>56</v>
      </c>
      <c r="B57" s="510" t="s">
        <v>608</v>
      </c>
      <c r="C57" s="510" t="s">
        <v>591</v>
      </c>
      <c r="D57" s="511" t="s">
        <v>619</v>
      </c>
      <c r="E57" s="512">
        <v>1</v>
      </c>
      <c r="F57" s="513">
        <v>7540</v>
      </c>
      <c r="G57" s="510" t="s">
        <v>519</v>
      </c>
      <c r="J57" t="b">
        <f>+tblContractBase[[#This Row],[Index]]=A56+1</f>
        <v>1</v>
      </c>
      <c r="K57" t="s">
        <v>430</v>
      </c>
    </row>
    <row r="58" spans="1:11">
      <c r="A58" s="509">
        <v>57</v>
      </c>
      <c r="B58" s="510" t="s">
        <v>608</v>
      </c>
      <c r="C58" s="510" t="s">
        <v>620</v>
      </c>
      <c r="D58" s="511" t="s">
        <v>621</v>
      </c>
      <c r="E58" s="512">
        <v>1</v>
      </c>
      <c r="F58" s="513">
        <v>3625</v>
      </c>
      <c r="G58" s="510" t="s">
        <v>519</v>
      </c>
      <c r="J58" t="b">
        <f>+tblContractBase[[#This Row],[Index]]=A57+1</f>
        <v>1</v>
      </c>
      <c r="K58" t="s">
        <v>430</v>
      </c>
    </row>
    <row r="59" spans="1:11" ht="45">
      <c r="A59" s="509">
        <v>58</v>
      </c>
      <c r="B59" s="510" t="s">
        <v>608</v>
      </c>
      <c r="C59" s="510" t="s">
        <v>570</v>
      </c>
      <c r="D59" s="511" t="s">
        <v>622</v>
      </c>
      <c r="E59" s="512">
        <v>1</v>
      </c>
      <c r="F59" s="513">
        <v>5425</v>
      </c>
      <c r="G59" s="510" t="s">
        <v>519</v>
      </c>
      <c r="J59" t="b">
        <f>+tblContractBase[[#This Row],[Index]]=A58+1</f>
        <v>1</v>
      </c>
      <c r="K59" t="s">
        <v>430</v>
      </c>
    </row>
    <row r="60" spans="1:11" ht="45">
      <c r="A60" s="509">
        <v>59</v>
      </c>
      <c r="B60" s="510" t="s">
        <v>608</v>
      </c>
      <c r="C60" s="510" t="s">
        <v>596</v>
      </c>
      <c r="D60" s="511" t="s">
        <v>623</v>
      </c>
      <c r="E60" s="512">
        <v>1</v>
      </c>
      <c r="F60" s="513">
        <v>4640</v>
      </c>
      <c r="G60" s="510" t="s">
        <v>467</v>
      </c>
      <c r="J60" t="b">
        <f>+tblContractBase[[#This Row],[Index]]=A59+1</f>
        <v>1</v>
      </c>
    </row>
    <row r="61" spans="1:11">
      <c r="A61" s="509">
        <v>60</v>
      </c>
      <c r="B61" s="510" t="s">
        <v>608</v>
      </c>
      <c r="C61" s="510" t="s">
        <v>596</v>
      </c>
      <c r="D61" s="511" t="s">
        <v>624</v>
      </c>
      <c r="E61" s="512">
        <v>25</v>
      </c>
      <c r="F61" s="513">
        <v>36.25</v>
      </c>
      <c r="G61" s="510" t="s">
        <v>467</v>
      </c>
      <c r="J61" t="b">
        <f>+tblContractBase[[#This Row],[Index]]=A60+1</f>
        <v>1</v>
      </c>
    </row>
    <row r="62" spans="1:11" ht="30">
      <c r="A62" s="509">
        <v>61</v>
      </c>
      <c r="B62" s="510" t="s">
        <v>608</v>
      </c>
      <c r="C62" s="510" t="s">
        <v>625</v>
      </c>
      <c r="D62" s="511" t="s">
        <v>626</v>
      </c>
      <c r="E62" s="512">
        <v>1</v>
      </c>
      <c r="F62" s="513">
        <v>1450</v>
      </c>
      <c r="G62" s="510" t="s">
        <v>552</v>
      </c>
      <c r="J62" t="b">
        <f>+tblContractBase[[#This Row],[Index]]=A61+1</f>
        <v>1</v>
      </c>
    </row>
    <row r="63" spans="1:11">
      <c r="A63" s="509">
        <v>62</v>
      </c>
      <c r="B63" s="510" t="s">
        <v>608</v>
      </c>
      <c r="C63" s="510" t="s">
        <v>575</v>
      </c>
      <c r="D63" s="511" t="s">
        <v>627</v>
      </c>
      <c r="E63" s="512">
        <v>1</v>
      </c>
      <c r="F63" s="513">
        <v>3552.5</v>
      </c>
      <c r="G63" s="510" t="s">
        <v>552</v>
      </c>
      <c r="J63" t="b">
        <f>+tblContractBase[[#This Row],[Index]]=A62+1</f>
        <v>1</v>
      </c>
    </row>
    <row r="64" spans="1:11" ht="30">
      <c r="A64" s="509">
        <v>63</v>
      </c>
      <c r="B64" s="510" t="s">
        <v>608</v>
      </c>
      <c r="C64" s="510" t="s">
        <v>628</v>
      </c>
      <c r="D64" s="511" t="s">
        <v>629</v>
      </c>
      <c r="E64" s="512">
        <v>1</v>
      </c>
      <c r="F64" s="513">
        <v>5655</v>
      </c>
      <c r="G64" s="510" t="s">
        <v>467</v>
      </c>
      <c r="J64" t="b">
        <f>+tblContractBase[[#This Row],[Index]]=A63+1</f>
        <v>1</v>
      </c>
    </row>
    <row r="65" spans="1:11">
      <c r="A65" s="509">
        <v>64</v>
      </c>
      <c r="B65" s="510" t="s">
        <v>608</v>
      </c>
      <c r="C65" s="510" t="s">
        <v>600</v>
      </c>
      <c r="D65" s="511" t="s">
        <v>630</v>
      </c>
      <c r="E65" s="512">
        <v>72</v>
      </c>
      <c r="F65" s="513">
        <v>26.1</v>
      </c>
      <c r="G65" s="510" t="s">
        <v>519</v>
      </c>
      <c r="J65" t="b">
        <f>+tblContractBase[[#This Row],[Index]]=A64+1</f>
        <v>1</v>
      </c>
      <c r="K65" t="s">
        <v>430</v>
      </c>
    </row>
    <row r="66" spans="1:11">
      <c r="A66" s="509">
        <v>65</v>
      </c>
      <c r="B66" s="510" t="s">
        <v>608</v>
      </c>
      <c r="C66" s="510" t="s">
        <v>577</v>
      </c>
      <c r="D66" s="511" t="s">
        <v>631</v>
      </c>
      <c r="E66" s="512">
        <v>1</v>
      </c>
      <c r="F66" s="513">
        <v>870</v>
      </c>
      <c r="G66" s="510" t="s">
        <v>552</v>
      </c>
      <c r="J66" t="b">
        <f>+tblContractBase[[#This Row],[Index]]=A65+1</f>
        <v>1</v>
      </c>
    </row>
    <row r="67" spans="1:11" ht="30">
      <c r="A67" s="509">
        <v>66</v>
      </c>
      <c r="B67" s="510" t="s">
        <v>608</v>
      </c>
      <c r="C67" s="510" t="s">
        <v>602</v>
      </c>
      <c r="D67" s="511" t="s">
        <v>632</v>
      </c>
      <c r="E67" s="512">
        <v>1</v>
      </c>
      <c r="F67" s="513">
        <v>3253.8</v>
      </c>
      <c r="G67" s="510" t="s">
        <v>519</v>
      </c>
      <c r="J67" t="b">
        <f>+tblContractBase[[#This Row],[Index]]=A66+1</f>
        <v>1</v>
      </c>
      <c r="K67" t="s">
        <v>430</v>
      </c>
    </row>
    <row r="68" spans="1:11" ht="30">
      <c r="A68" s="509">
        <v>67</v>
      </c>
      <c r="B68" s="510" t="s">
        <v>608</v>
      </c>
      <c r="C68" s="510" t="s">
        <v>579</v>
      </c>
      <c r="D68" s="511" t="s">
        <v>633</v>
      </c>
      <c r="E68" s="512">
        <v>1</v>
      </c>
      <c r="F68" s="513">
        <v>1450</v>
      </c>
      <c r="G68" s="510" t="s">
        <v>519</v>
      </c>
      <c r="J68" t="b">
        <f>+tblContractBase[[#This Row],[Index]]=A67+1</f>
        <v>1</v>
      </c>
      <c r="K68" t="s">
        <v>430</v>
      </c>
    </row>
    <row r="69" spans="1:11">
      <c r="A69" s="509">
        <v>68</v>
      </c>
      <c r="B69" s="510" t="s">
        <v>608</v>
      </c>
      <c r="C69" s="510" t="s">
        <v>581</v>
      </c>
      <c r="D69" s="511" t="s">
        <v>634</v>
      </c>
      <c r="E69" s="512">
        <v>1</v>
      </c>
      <c r="F69" s="513">
        <v>362.5</v>
      </c>
      <c r="G69" s="510" t="s">
        <v>519</v>
      </c>
      <c r="J69" t="b">
        <f>+tblContractBase[[#This Row],[Index]]=A68+1</f>
        <v>1</v>
      </c>
      <c r="K69" t="s">
        <v>430</v>
      </c>
    </row>
    <row r="70" spans="1:11">
      <c r="A70" s="509">
        <v>69</v>
      </c>
      <c r="B70" s="510" t="s">
        <v>608</v>
      </c>
      <c r="C70" s="510" t="s">
        <v>583</v>
      </c>
      <c r="D70" s="511" t="s">
        <v>635</v>
      </c>
      <c r="E70" s="512">
        <v>1</v>
      </c>
      <c r="F70" s="513">
        <v>2610</v>
      </c>
      <c r="G70" s="510" t="s">
        <v>519</v>
      </c>
      <c r="J70" t="b">
        <f>+tblContractBase[[#This Row],[Index]]=A69+1</f>
        <v>1</v>
      </c>
      <c r="K70" t="s">
        <v>430</v>
      </c>
    </row>
    <row r="71" spans="1:11" ht="30">
      <c r="A71" s="509">
        <v>70</v>
      </c>
      <c r="B71" s="510" t="s">
        <v>608</v>
      </c>
      <c r="C71" s="510" t="s">
        <v>606</v>
      </c>
      <c r="D71" s="511" t="s">
        <v>636</v>
      </c>
      <c r="E71" s="512">
        <v>1</v>
      </c>
      <c r="F71" s="513">
        <v>217.5</v>
      </c>
      <c r="G71" s="510" t="s">
        <v>552</v>
      </c>
      <c r="J71" t="b">
        <f>+tblContractBase[[#This Row],[Index]]=A70+1</f>
        <v>1</v>
      </c>
    </row>
    <row r="72" spans="1:11">
      <c r="A72" s="509">
        <v>71</v>
      </c>
      <c r="B72" s="510" t="s">
        <v>608</v>
      </c>
      <c r="C72" s="510" t="s">
        <v>637</v>
      </c>
      <c r="D72" s="511" t="s">
        <v>638</v>
      </c>
      <c r="E72" s="512">
        <v>1</v>
      </c>
      <c r="F72" s="513">
        <v>2175</v>
      </c>
      <c r="G72" s="510" t="s">
        <v>519</v>
      </c>
      <c r="J72" t="b">
        <f>+tblContractBase[[#This Row],[Index]]=A71+1</f>
        <v>1</v>
      </c>
      <c r="K72" t="s">
        <v>430</v>
      </c>
    </row>
    <row r="73" spans="1:11">
      <c r="A73" s="509">
        <v>72</v>
      </c>
      <c r="B73" s="510" t="s">
        <v>639</v>
      </c>
      <c r="C73" s="510" t="s">
        <v>640</v>
      </c>
      <c r="D73" s="511" t="s">
        <v>641</v>
      </c>
      <c r="E73" s="512">
        <v>1</v>
      </c>
      <c r="F73" s="513">
        <v>435</v>
      </c>
      <c r="G73" s="510" t="s">
        <v>519</v>
      </c>
      <c r="J73" t="b">
        <f>+tblContractBase[[#This Row],[Index]]=A72+1</f>
        <v>1</v>
      </c>
      <c r="K73" t="s">
        <v>430</v>
      </c>
    </row>
    <row r="74" spans="1:11">
      <c r="A74" s="509">
        <v>73</v>
      </c>
      <c r="B74" s="510" t="s">
        <v>639</v>
      </c>
      <c r="C74" s="510" t="s">
        <v>642</v>
      </c>
      <c r="D74" s="511" t="s">
        <v>643</v>
      </c>
      <c r="E74" s="512">
        <v>1</v>
      </c>
      <c r="F74" s="513">
        <v>4785</v>
      </c>
      <c r="G74" s="510" t="s">
        <v>519</v>
      </c>
      <c r="J74" t="b">
        <f>+tblContractBase[[#This Row],[Index]]=A73+1</f>
        <v>1</v>
      </c>
      <c r="K74" t="s">
        <v>430</v>
      </c>
    </row>
    <row r="75" spans="1:11" ht="30">
      <c r="A75" s="509">
        <v>74</v>
      </c>
      <c r="B75" s="510" t="s">
        <v>639</v>
      </c>
      <c r="C75" s="510" t="s">
        <v>612</v>
      </c>
      <c r="D75" s="511" t="s">
        <v>644</v>
      </c>
      <c r="E75" s="512">
        <v>1</v>
      </c>
      <c r="F75" s="513">
        <v>9425</v>
      </c>
      <c r="G75" s="510" t="s">
        <v>552</v>
      </c>
      <c r="J75" t="b">
        <f>+tblContractBase[[#This Row],[Index]]=A74+1</f>
        <v>1</v>
      </c>
    </row>
    <row r="76" spans="1:11" ht="30">
      <c r="A76" s="509">
        <v>75</v>
      </c>
      <c r="B76" s="510" t="s">
        <v>639</v>
      </c>
      <c r="C76" s="510" t="s">
        <v>560</v>
      </c>
      <c r="D76" s="511" t="s">
        <v>645</v>
      </c>
      <c r="E76" s="512">
        <v>1</v>
      </c>
      <c r="F76" s="513">
        <v>1450</v>
      </c>
      <c r="G76" s="510" t="s">
        <v>552</v>
      </c>
      <c r="J76" t="b">
        <f>+tblContractBase[[#This Row],[Index]]=A75+1</f>
        <v>1</v>
      </c>
    </row>
    <row r="77" spans="1:11">
      <c r="A77" s="509">
        <v>76</v>
      </c>
      <c r="B77" s="510" t="s">
        <v>639</v>
      </c>
      <c r="C77" s="510" t="s">
        <v>646</v>
      </c>
      <c r="D77" s="511" t="s">
        <v>647</v>
      </c>
      <c r="E77" s="512">
        <v>1</v>
      </c>
      <c r="F77" s="513">
        <v>1015</v>
      </c>
      <c r="G77" s="510" t="s">
        <v>552</v>
      </c>
      <c r="J77" t="b">
        <f>+tblContractBase[[#This Row],[Index]]=A76+1</f>
        <v>1</v>
      </c>
    </row>
    <row r="78" spans="1:11">
      <c r="A78" s="509">
        <v>77</v>
      </c>
      <c r="B78" s="510" t="s">
        <v>639</v>
      </c>
      <c r="C78" s="510" t="s">
        <v>553</v>
      </c>
      <c r="D78" s="511" t="s">
        <v>648</v>
      </c>
      <c r="E78" s="512">
        <v>1</v>
      </c>
      <c r="F78" s="513">
        <v>580</v>
      </c>
      <c r="G78" s="510" t="s">
        <v>467</v>
      </c>
      <c r="J78" t="b">
        <f>+tblContractBase[[#This Row],[Index]]=A77+1</f>
        <v>1</v>
      </c>
    </row>
    <row r="79" spans="1:11" ht="45">
      <c r="A79" s="509">
        <v>78</v>
      </c>
      <c r="B79" s="510" t="s">
        <v>639</v>
      </c>
      <c r="C79" s="510" t="s">
        <v>649</v>
      </c>
      <c r="D79" s="511" t="s">
        <v>650</v>
      </c>
      <c r="E79" s="512">
        <v>75</v>
      </c>
      <c r="F79" s="513">
        <v>72.5</v>
      </c>
      <c r="G79" s="510" t="s">
        <v>519</v>
      </c>
      <c r="J79" t="b">
        <f>+tblContractBase[[#This Row],[Index]]=A78+1</f>
        <v>1</v>
      </c>
      <c r="K79" t="s">
        <v>430</v>
      </c>
    </row>
    <row r="80" spans="1:11" ht="30">
      <c r="A80" s="509">
        <v>79</v>
      </c>
      <c r="B80" s="510" t="s">
        <v>639</v>
      </c>
      <c r="C80" s="510" t="s">
        <v>620</v>
      </c>
      <c r="D80" s="511" t="s">
        <v>651</v>
      </c>
      <c r="E80" s="512">
        <v>1</v>
      </c>
      <c r="F80" s="513">
        <v>1740</v>
      </c>
      <c r="G80" s="510" t="s">
        <v>519</v>
      </c>
      <c r="J80" t="b">
        <f>+tblContractBase[[#This Row],[Index]]=A79+1</f>
        <v>1</v>
      </c>
      <c r="K80" t="s">
        <v>430</v>
      </c>
    </row>
    <row r="81" spans="1:11" ht="45">
      <c r="A81" s="509">
        <v>80</v>
      </c>
      <c r="B81" s="510" t="s">
        <v>639</v>
      </c>
      <c r="C81" s="510" t="s">
        <v>570</v>
      </c>
      <c r="D81" s="511" t="s">
        <v>652</v>
      </c>
      <c r="E81" s="512">
        <v>1</v>
      </c>
      <c r="F81" s="513">
        <v>3625</v>
      </c>
      <c r="G81" s="510" t="s">
        <v>519</v>
      </c>
      <c r="J81" t="b">
        <f>+tblContractBase[[#This Row],[Index]]=A80+1</f>
        <v>1</v>
      </c>
      <c r="K81" t="s">
        <v>430</v>
      </c>
    </row>
    <row r="82" spans="1:11" ht="30">
      <c r="A82" s="509">
        <v>81</v>
      </c>
      <c r="B82" s="510" t="s">
        <v>639</v>
      </c>
      <c r="C82" s="510" t="s">
        <v>591</v>
      </c>
      <c r="D82" s="511" t="s">
        <v>653</v>
      </c>
      <c r="E82" s="512">
        <v>1</v>
      </c>
      <c r="F82" s="513">
        <v>6090</v>
      </c>
      <c r="G82" s="510" t="s">
        <v>519</v>
      </c>
      <c r="J82" t="b">
        <f>+tblContractBase[[#This Row],[Index]]=A81+1</f>
        <v>1</v>
      </c>
      <c r="K82" t="s">
        <v>430</v>
      </c>
    </row>
    <row r="83" spans="1:11" ht="30">
      <c r="A83" s="509">
        <v>82</v>
      </c>
      <c r="B83" s="510" t="s">
        <v>639</v>
      </c>
      <c r="C83" s="510" t="s">
        <v>654</v>
      </c>
      <c r="D83" s="511" t="s">
        <v>655</v>
      </c>
      <c r="E83" s="512">
        <v>1</v>
      </c>
      <c r="F83" s="513">
        <v>507.5</v>
      </c>
      <c r="G83" s="510" t="s">
        <v>552</v>
      </c>
      <c r="J83" t="b">
        <f>+tblContractBase[[#This Row],[Index]]=A82+1</f>
        <v>1</v>
      </c>
    </row>
    <row r="84" spans="1:11">
      <c r="A84" s="509">
        <v>83</v>
      </c>
      <c r="B84" s="510" t="s">
        <v>639</v>
      </c>
      <c r="C84" s="510" t="s">
        <v>656</v>
      </c>
      <c r="D84" s="511" t="s">
        <v>657</v>
      </c>
      <c r="E84" s="512">
        <v>1</v>
      </c>
      <c r="F84" s="513">
        <v>4060</v>
      </c>
      <c r="G84" s="510" t="s">
        <v>552</v>
      </c>
      <c r="J84" t="b">
        <f>+tblContractBase[[#This Row],[Index]]=A83+1</f>
        <v>1</v>
      </c>
    </row>
    <row r="85" spans="1:11">
      <c r="A85" s="509">
        <v>84</v>
      </c>
      <c r="B85" s="510" t="s">
        <v>639</v>
      </c>
      <c r="C85" s="510" t="s">
        <v>658</v>
      </c>
      <c r="D85" s="511" t="s">
        <v>659</v>
      </c>
      <c r="E85" s="512">
        <v>24</v>
      </c>
      <c r="F85" s="513">
        <v>145</v>
      </c>
      <c r="G85" s="510" t="s">
        <v>467</v>
      </c>
      <c r="J85" t="b">
        <f>+tblContractBase[[#This Row],[Index]]=A84+1</f>
        <v>1</v>
      </c>
    </row>
    <row r="86" spans="1:11">
      <c r="A86" s="509">
        <v>85</v>
      </c>
      <c r="B86" s="510" t="s">
        <v>639</v>
      </c>
      <c r="C86" s="510" t="s">
        <v>658</v>
      </c>
      <c r="D86" s="511" t="s">
        <v>660</v>
      </c>
      <c r="E86" s="512">
        <v>1</v>
      </c>
      <c r="F86" s="513">
        <v>870</v>
      </c>
      <c r="G86" s="510" t="s">
        <v>467</v>
      </c>
      <c r="J86" t="b">
        <f>+tblContractBase[[#This Row],[Index]]=A85+1</f>
        <v>1</v>
      </c>
    </row>
    <row r="87" spans="1:11" ht="30">
      <c r="A87" s="509">
        <v>86</v>
      </c>
      <c r="B87" s="510" t="s">
        <v>639</v>
      </c>
      <c r="C87" s="510" t="s">
        <v>575</v>
      </c>
      <c r="D87" s="511" t="s">
        <v>661</v>
      </c>
      <c r="E87" s="512">
        <v>1</v>
      </c>
      <c r="F87" s="513">
        <v>870</v>
      </c>
      <c r="G87" s="510" t="s">
        <v>552</v>
      </c>
      <c r="J87" t="b">
        <f>+tblContractBase[[#This Row],[Index]]=A86+1</f>
        <v>1</v>
      </c>
    </row>
    <row r="88" spans="1:11">
      <c r="A88" s="509">
        <v>87</v>
      </c>
      <c r="B88" s="510" t="s">
        <v>639</v>
      </c>
      <c r="C88" s="510" t="s">
        <v>662</v>
      </c>
      <c r="D88" s="511" t="s">
        <v>663</v>
      </c>
      <c r="E88" s="512">
        <v>1</v>
      </c>
      <c r="F88" s="513">
        <v>2610</v>
      </c>
      <c r="G88" s="510" t="s">
        <v>467</v>
      </c>
      <c r="J88" t="b">
        <f>+tblContractBase[[#This Row],[Index]]=A87+1</f>
        <v>1</v>
      </c>
    </row>
    <row r="89" spans="1:11" ht="30">
      <c r="A89" s="509">
        <v>88</v>
      </c>
      <c r="B89" s="510" t="s">
        <v>639</v>
      </c>
      <c r="C89" s="510" t="s">
        <v>577</v>
      </c>
      <c r="D89" s="511" t="s">
        <v>664</v>
      </c>
      <c r="E89" s="512">
        <v>1</v>
      </c>
      <c r="F89" s="513">
        <v>2610</v>
      </c>
      <c r="G89" s="510" t="s">
        <v>552</v>
      </c>
      <c r="J89" t="b">
        <f>+tblContractBase[[#This Row],[Index]]=A88+1</f>
        <v>1</v>
      </c>
    </row>
    <row r="90" spans="1:11">
      <c r="A90" s="509">
        <v>89</v>
      </c>
      <c r="B90" s="510" t="s">
        <v>523</v>
      </c>
      <c r="C90" s="510" t="s">
        <v>665</v>
      </c>
      <c r="D90" s="511" t="s">
        <v>666</v>
      </c>
      <c r="E90" s="512">
        <v>400</v>
      </c>
      <c r="F90" s="513">
        <v>8.6999999999999993</v>
      </c>
      <c r="G90" s="510" t="s">
        <v>467</v>
      </c>
      <c r="J90" t="b">
        <f>+tblContractBase[[#This Row],[Index]]=A89+1</f>
        <v>1</v>
      </c>
    </row>
    <row r="91" spans="1:11" ht="30">
      <c r="A91" s="509">
        <v>90</v>
      </c>
      <c r="B91" s="510" t="s">
        <v>523</v>
      </c>
      <c r="C91" s="510" t="s">
        <v>531</v>
      </c>
      <c r="D91" s="511" t="s">
        <v>667</v>
      </c>
      <c r="E91" s="512">
        <v>400</v>
      </c>
      <c r="F91" s="513">
        <v>7.25</v>
      </c>
      <c r="G91" s="510" t="s">
        <v>467</v>
      </c>
      <c r="J91" t="b">
        <f>+tblContractBase[[#This Row],[Index]]=A90+1</f>
        <v>1</v>
      </c>
    </row>
    <row r="92" spans="1:11" ht="45">
      <c r="A92" s="509">
        <v>91</v>
      </c>
      <c r="B92" s="510" t="s">
        <v>639</v>
      </c>
      <c r="C92" s="510" t="s">
        <v>579</v>
      </c>
      <c r="D92" s="511" t="s">
        <v>668</v>
      </c>
      <c r="E92" s="512">
        <v>1</v>
      </c>
      <c r="F92" s="513">
        <v>2755</v>
      </c>
      <c r="G92" s="510" t="s">
        <v>519</v>
      </c>
      <c r="J92" t="b">
        <f>+tblContractBase[[#This Row],[Index]]=A91+1</f>
        <v>1</v>
      </c>
      <c r="K92" t="s">
        <v>430</v>
      </c>
    </row>
    <row r="93" spans="1:11" ht="30">
      <c r="A93" s="509">
        <v>92</v>
      </c>
      <c r="B93" s="510" t="s">
        <v>639</v>
      </c>
      <c r="C93" s="510" t="s">
        <v>581</v>
      </c>
      <c r="D93" s="511" t="s">
        <v>669</v>
      </c>
      <c r="E93" s="512">
        <v>1</v>
      </c>
      <c r="F93" s="513">
        <v>8700</v>
      </c>
      <c r="G93" s="510" t="s">
        <v>519</v>
      </c>
      <c r="J93" t="b">
        <f>+tblContractBase[[#This Row],[Index]]=A92+1</f>
        <v>1</v>
      </c>
      <c r="K93" t="s">
        <v>430</v>
      </c>
    </row>
    <row r="94" spans="1:11" ht="75">
      <c r="A94" s="509">
        <v>93</v>
      </c>
      <c r="B94" s="510" t="s">
        <v>639</v>
      </c>
      <c r="C94" s="510" t="s">
        <v>583</v>
      </c>
      <c r="D94" s="511" t="s">
        <v>670</v>
      </c>
      <c r="E94" s="512">
        <v>0</v>
      </c>
      <c r="F94" s="513">
        <v>0</v>
      </c>
      <c r="G94" s="510" t="s">
        <v>519</v>
      </c>
      <c r="J94" t="b">
        <f>+tblContractBase[[#This Row],[Index]]=A93+1</f>
        <v>1</v>
      </c>
    </row>
    <row r="95" spans="1:11" ht="30">
      <c r="A95" s="509">
        <v>94</v>
      </c>
      <c r="B95" s="510" t="s">
        <v>639</v>
      </c>
      <c r="C95" s="510" t="s">
        <v>606</v>
      </c>
      <c r="D95" s="511" t="s">
        <v>671</v>
      </c>
      <c r="E95" s="512">
        <v>1</v>
      </c>
      <c r="F95" s="513">
        <v>145</v>
      </c>
      <c r="G95" s="510" t="s">
        <v>552</v>
      </c>
      <c r="J95" t="b">
        <f>+tblContractBase[[#This Row],[Index]]=A94+1</f>
        <v>1</v>
      </c>
    </row>
    <row r="96" spans="1:11">
      <c r="A96" s="509">
        <v>95</v>
      </c>
      <c r="B96" s="510" t="s">
        <v>639</v>
      </c>
      <c r="C96" s="510" t="s">
        <v>637</v>
      </c>
      <c r="D96" s="511" t="s">
        <v>672</v>
      </c>
      <c r="E96" s="512">
        <v>1</v>
      </c>
      <c r="F96" s="513">
        <v>1450</v>
      </c>
      <c r="G96" s="510" t="s">
        <v>519</v>
      </c>
      <c r="J96" t="b">
        <f>+tblContractBase[[#This Row],[Index]]=A95+1</f>
        <v>1</v>
      </c>
      <c r="K96" t="s">
        <v>430</v>
      </c>
    </row>
    <row r="97" spans="1:11" ht="30">
      <c r="A97" s="509">
        <v>96</v>
      </c>
      <c r="B97" s="510" t="s">
        <v>639</v>
      </c>
      <c r="C97" s="510" t="s">
        <v>673</v>
      </c>
      <c r="D97" s="511" t="s">
        <v>674</v>
      </c>
      <c r="E97" s="512">
        <v>1</v>
      </c>
      <c r="F97" s="513">
        <v>108.75</v>
      </c>
      <c r="G97" s="510" t="s">
        <v>552</v>
      </c>
      <c r="J97" t="b">
        <f>+tblContractBase[[#This Row],[Index]]=A96+1</f>
        <v>1</v>
      </c>
    </row>
    <row r="98" spans="1:11" ht="30">
      <c r="A98" s="509">
        <v>97</v>
      </c>
      <c r="B98" s="510" t="s">
        <v>523</v>
      </c>
      <c r="C98" s="510" t="s">
        <v>675</v>
      </c>
      <c r="D98" s="511" t="s">
        <v>676</v>
      </c>
      <c r="E98" s="512">
        <v>1</v>
      </c>
      <c r="F98" s="513">
        <v>290</v>
      </c>
      <c r="G98" s="510" t="s">
        <v>467</v>
      </c>
      <c r="J98" t="b">
        <f>+tblContractBase[[#This Row],[Index]]=A97+1</f>
        <v>1</v>
      </c>
    </row>
    <row r="99" spans="1:11">
      <c r="A99" s="509">
        <v>98</v>
      </c>
      <c r="B99" s="510" t="s">
        <v>639</v>
      </c>
      <c r="C99" s="510" t="s">
        <v>545</v>
      </c>
      <c r="D99" s="511"/>
      <c r="E99" s="512">
        <v>1</v>
      </c>
      <c r="F99" s="513">
        <v>1015</v>
      </c>
      <c r="G99" s="510" t="s">
        <v>467</v>
      </c>
      <c r="J99" t="b">
        <f>+tblContractBase[[#This Row],[Index]]=A98+1</f>
        <v>1</v>
      </c>
    </row>
    <row r="100" spans="1:11" ht="30">
      <c r="A100" s="509">
        <v>99</v>
      </c>
      <c r="B100" s="510" t="s">
        <v>639</v>
      </c>
      <c r="C100" s="510" t="s">
        <v>677</v>
      </c>
      <c r="D100" s="511" t="s">
        <v>678</v>
      </c>
      <c r="E100" s="512">
        <v>1</v>
      </c>
      <c r="F100" s="513">
        <v>362.5</v>
      </c>
      <c r="G100" s="510" t="s">
        <v>552</v>
      </c>
      <c r="J100" t="b">
        <f>+tblContractBase[[#This Row],[Index]]=A99+1</f>
        <v>1</v>
      </c>
    </row>
    <row r="101" spans="1:11">
      <c r="A101" s="509">
        <v>100</v>
      </c>
      <c r="B101" s="510" t="s">
        <v>521</v>
      </c>
      <c r="C101" s="510" t="s">
        <v>679</v>
      </c>
      <c r="D101" s="511" t="s">
        <v>680</v>
      </c>
      <c r="E101" s="512">
        <v>1</v>
      </c>
      <c r="F101" s="513">
        <v>2900</v>
      </c>
      <c r="G101" s="510" t="s">
        <v>519</v>
      </c>
      <c r="J101" t="b">
        <f>+tblContractBase[[#This Row],[Index]]=A100+1</f>
        <v>1</v>
      </c>
      <c r="K101" t="s">
        <v>430</v>
      </c>
    </row>
    <row r="102" spans="1:11" ht="45">
      <c r="A102" s="509">
        <v>101</v>
      </c>
      <c r="B102" s="510" t="s">
        <v>521</v>
      </c>
      <c r="C102" s="510" t="s">
        <v>610</v>
      </c>
      <c r="D102" s="511" t="s">
        <v>681</v>
      </c>
      <c r="E102" s="512">
        <v>1</v>
      </c>
      <c r="F102" s="513">
        <v>4350</v>
      </c>
      <c r="G102" s="510" t="s">
        <v>519</v>
      </c>
      <c r="J102" t="b">
        <f>+tblContractBase[[#This Row],[Index]]=A101+1</f>
        <v>1</v>
      </c>
      <c r="K102" t="s">
        <v>430</v>
      </c>
    </row>
    <row r="103" spans="1:11" ht="45">
      <c r="A103" s="509">
        <v>102</v>
      </c>
      <c r="B103" s="510" t="s">
        <v>521</v>
      </c>
      <c r="C103" s="510" t="s">
        <v>550</v>
      </c>
      <c r="D103" s="511" t="s">
        <v>682</v>
      </c>
      <c r="E103" s="512">
        <v>1</v>
      </c>
      <c r="F103" s="513">
        <v>5220</v>
      </c>
      <c r="G103" s="510" t="s">
        <v>519</v>
      </c>
      <c r="J103" t="b">
        <f>+tblContractBase[[#This Row],[Index]]=A102+1</f>
        <v>1</v>
      </c>
      <c r="K103" t="s">
        <v>430</v>
      </c>
    </row>
    <row r="104" spans="1:11">
      <c r="A104" s="509">
        <v>103</v>
      </c>
      <c r="B104" s="510" t="s">
        <v>521</v>
      </c>
      <c r="C104" s="510" t="s">
        <v>553</v>
      </c>
      <c r="D104" s="511" t="s">
        <v>683</v>
      </c>
      <c r="E104" s="512">
        <v>1</v>
      </c>
      <c r="F104" s="513">
        <v>6525</v>
      </c>
      <c r="G104" s="510" t="s">
        <v>467</v>
      </c>
      <c r="J104" t="b">
        <f>+tblContractBase[[#This Row],[Index]]=A103+1</f>
        <v>1</v>
      </c>
    </row>
    <row r="105" spans="1:11">
      <c r="A105" s="509">
        <v>104</v>
      </c>
      <c r="B105" s="510" t="s">
        <v>521</v>
      </c>
      <c r="C105" s="510" t="s">
        <v>684</v>
      </c>
      <c r="D105" s="511" t="s">
        <v>685</v>
      </c>
      <c r="E105" s="512">
        <v>1</v>
      </c>
      <c r="F105" s="513">
        <v>435</v>
      </c>
      <c r="G105" s="510" t="s">
        <v>519</v>
      </c>
      <c r="J105" t="b">
        <f>+tblContractBase[[#This Row],[Index]]=A104+1</f>
        <v>1</v>
      </c>
      <c r="K105" t="s">
        <v>430</v>
      </c>
    </row>
    <row r="106" spans="1:11" ht="30">
      <c r="A106" s="509">
        <v>105</v>
      </c>
      <c r="B106" s="510" t="s">
        <v>521</v>
      </c>
      <c r="C106" s="510" t="s">
        <v>684</v>
      </c>
      <c r="D106" s="511" t="s">
        <v>686</v>
      </c>
      <c r="E106" s="512">
        <v>1</v>
      </c>
      <c r="F106" s="513">
        <v>2320</v>
      </c>
      <c r="G106" s="510" t="s">
        <v>519</v>
      </c>
      <c r="J106" t="b">
        <f>+tblContractBase[[#This Row],[Index]]=A105+1</f>
        <v>1</v>
      </c>
      <c r="K106" t="s">
        <v>430</v>
      </c>
    </row>
    <row r="107" spans="1:11">
      <c r="A107" s="509">
        <v>106</v>
      </c>
      <c r="B107" s="510" t="s">
        <v>521</v>
      </c>
      <c r="C107" s="510" t="s">
        <v>654</v>
      </c>
      <c r="D107" s="511" t="s">
        <v>687</v>
      </c>
      <c r="E107" s="512">
        <v>1</v>
      </c>
      <c r="F107" s="513">
        <v>4495</v>
      </c>
      <c r="G107" s="510" t="s">
        <v>519</v>
      </c>
      <c r="J107" t="b">
        <f>+tblContractBase[[#This Row],[Index]]=A106+1</f>
        <v>1</v>
      </c>
      <c r="K107" t="s">
        <v>430</v>
      </c>
    </row>
    <row r="108" spans="1:11" ht="30">
      <c r="A108" s="509">
        <v>107</v>
      </c>
      <c r="B108" s="510" t="s">
        <v>521</v>
      </c>
      <c r="C108" s="510" t="s">
        <v>688</v>
      </c>
      <c r="D108" s="511" t="s">
        <v>689</v>
      </c>
      <c r="E108" s="512">
        <v>1</v>
      </c>
      <c r="F108" s="513">
        <v>652.5</v>
      </c>
      <c r="G108" s="510" t="s">
        <v>519</v>
      </c>
      <c r="J108" t="b">
        <f>+tblContractBase[[#This Row],[Index]]=A107+1</f>
        <v>1</v>
      </c>
      <c r="K108" t="s">
        <v>690</v>
      </c>
    </row>
    <row r="109" spans="1:11" ht="30">
      <c r="A109" s="509">
        <v>108</v>
      </c>
      <c r="B109" s="510" t="s">
        <v>521</v>
      </c>
      <c r="C109" s="510" t="s">
        <v>654</v>
      </c>
      <c r="D109" s="511" t="s">
        <v>691</v>
      </c>
      <c r="E109" s="512">
        <v>1</v>
      </c>
      <c r="F109" s="513">
        <v>5075</v>
      </c>
      <c r="G109" s="510" t="s">
        <v>519</v>
      </c>
      <c r="J109" t="b">
        <f>+tblContractBase[[#This Row],[Index]]=A108+1</f>
        <v>1</v>
      </c>
      <c r="K109" t="s">
        <v>430</v>
      </c>
    </row>
    <row r="110" spans="1:11">
      <c r="A110" s="509">
        <v>109</v>
      </c>
      <c r="B110" s="510" t="s">
        <v>521</v>
      </c>
      <c r="C110" s="510" t="s">
        <v>688</v>
      </c>
      <c r="D110" s="511" t="s">
        <v>692</v>
      </c>
      <c r="E110" s="512">
        <v>1</v>
      </c>
      <c r="F110" s="513">
        <v>1341.25</v>
      </c>
      <c r="G110" s="510" t="s">
        <v>519</v>
      </c>
      <c r="J110" t="b">
        <f>+tblContractBase[[#This Row],[Index]]=A109+1</f>
        <v>1</v>
      </c>
      <c r="K110" t="s">
        <v>419</v>
      </c>
    </row>
    <row r="111" spans="1:11" ht="30">
      <c r="A111" s="509">
        <v>110</v>
      </c>
      <c r="B111" s="510" t="s">
        <v>521</v>
      </c>
      <c r="C111" s="510" t="s">
        <v>591</v>
      </c>
      <c r="D111" s="511" t="s">
        <v>693</v>
      </c>
      <c r="E111" s="512">
        <v>1</v>
      </c>
      <c r="F111" s="513">
        <v>4930</v>
      </c>
      <c r="G111" s="510" t="s">
        <v>519</v>
      </c>
      <c r="J111" t="b">
        <f>+tblContractBase[[#This Row],[Index]]=A110+1</f>
        <v>1</v>
      </c>
      <c r="K111" t="s">
        <v>430</v>
      </c>
    </row>
    <row r="112" spans="1:11" ht="30">
      <c r="A112" s="509">
        <v>111</v>
      </c>
      <c r="B112" s="510" t="s">
        <v>521</v>
      </c>
      <c r="C112" s="510" t="s">
        <v>620</v>
      </c>
      <c r="D112" s="511" t="s">
        <v>694</v>
      </c>
      <c r="E112" s="512">
        <v>1</v>
      </c>
      <c r="F112" s="513">
        <v>1595</v>
      </c>
      <c r="G112" s="510" t="s">
        <v>519</v>
      </c>
      <c r="J112" t="b">
        <f>+tblContractBase[[#This Row],[Index]]=A111+1</f>
        <v>1</v>
      </c>
      <c r="K112" t="s">
        <v>430</v>
      </c>
    </row>
    <row r="113" spans="1:11" ht="45">
      <c r="A113" s="509">
        <v>112</v>
      </c>
      <c r="B113" s="510" t="s">
        <v>521</v>
      </c>
      <c r="C113" s="510" t="s">
        <v>570</v>
      </c>
      <c r="D113" s="511" t="s">
        <v>695</v>
      </c>
      <c r="E113" s="512">
        <v>1</v>
      </c>
      <c r="F113" s="513">
        <v>2753.55</v>
      </c>
      <c r="G113" s="510" t="s">
        <v>519</v>
      </c>
      <c r="J113" t="b">
        <f>+tblContractBase[[#This Row],[Index]]=A112+1</f>
        <v>1</v>
      </c>
      <c r="K113" t="s">
        <v>430</v>
      </c>
    </row>
    <row r="114" spans="1:11">
      <c r="A114" s="509">
        <v>113</v>
      </c>
      <c r="B114" s="510" t="s">
        <v>521</v>
      </c>
      <c r="C114" s="510" t="s">
        <v>656</v>
      </c>
      <c r="D114" s="511" t="s">
        <v>696</v>
      </c>
      <c r="E114" s="512">
        <v>1</v>
      </c>
      <c r="F114" s="513">
        <v>870</v>
      </c>
      <c r="G114" s="510" t="s">
        <v>519</v>
      </c>
      <c r="J114" t="b">
        <f>+tblContractBase[[#This Row],[Index]]=A113+1</f>
        <v>1</v>
      </c>
      <c r="K114" t="s">
        <v>430</v>
      </c>
    </row>
    <row r="115" spans="1:11" ht="30">
      <c r="A115" s="509">
        <v>114</v>
      </c>
      <c r="B115" s="510" t="s">
        <v>521</v>
      </c>
      <c r="C115" s="510" t="s">
        <v>596</v>
      </c>
      <c r="D115" s="511" t="s">
        <v>697</v>
      </c>
      <c r="E115" s="512">
        <v>1</v>
      </c>
      <c r="F115" s="513">
        <v>2320</v>
      </c>
      <c r="G115" s="510" t="s">
        <v>519</v>
      </c>
      <c r="J115" t="b">
        <f>+tblContractBase[[#This Row],[Index]]=A114+1</f>
        <v>1</v>
      </c>
      <c r="K115" t="s">
        <v>430</v>
      </c>
    </row>
    <row r="116" spans="1:11">
      <c r="A116" s="509">
        <v>115</v>
      </c>
      <c r="B116" s="510" t="s">
        <v>521</v>
      </c>
      <c r="C116" s="510" t="s">
        <v>596</v>
      </c>
      <c r="D116" s="511" t="s">
        <v>698</v>
      </c>
      <c r="E116" s="512">
        <v>1</v>
      </c>
      <c r="F116" s="513">
        <v>580</v>
      </c>
      <c r="G116" s="510" t="s">
        <v>467</v>
      </c>
      <c r="J116" t="b">
        <f>+tblContractBase[[#This Row],[Index]]=A115+1</f>
        <v>1</v>
      </c>
    </row>
    <row r="117" spans="1:11">
      <c r="A117" s="509">
        <v>116</v>
      </c>
      <c r="B117" s="510" t="s">
        <v>521</v>
      </c>
      <c r="C117" s="510" t="s">
        <v>577</v>
      </c>
      <c r="D117" s="511" t="s">
        <v>699</v>
      </c>
      <c r="E117" s="512">
        <v>1</v>
      </c>
      <c r="F117" s="513">
        <v>507.5</v>
      </c>
      <c r="G117" s="510" t="s">
        <v>552</v>
      </c>
      <c r="J117" t="b">
        <f>+tblContractBase[[#This Row],[Index]]=A116+1</f>
        <v>1</v>
      </c>
    </row>
    <row r="118" spans="1:11">
      <c r="A118" s="509">
        <v>117</v>
      </c>
      <c r="B118" s="510" t="s">
        <v>521</v>
      </c>
      <c r="C118" s="510" t="s">
        <v>700</v>
      </c>
      <c r="D118" s="511" t="s">
        <v>701</v>
      </c>
      <c r="E118" s="512">
        <v>0</v>
      </c>
      <c r="F118" s="513">
        <v>398.75</v>
      </c>
      <c r="G118" s="510" t="s">
        <v>519</v>
      </c>
      <c r="J118" t="b">
        <f>+tblContractBase[[#This Row],[Index]]=A117+1</f>
        <v>1</v>
      </c>
      <c r="K118" t="s">
        <v>702</v>
      </c>
    </row>
    <row r="119" spans="1:11">
      <c r="A119" s="509">
        <v>118</v>
      </c>
      <c r="B119" s="510" t="s">
        <v>521</v>
      </c>
      <c r="C119" s="510" t="s">
        <v>575</v>
      </c>
      <c r="D119" s="511" t="s">
        <v>703</v>
      </c>
      <c r="E119" s="512">
        <v>0</v>
      </c>
      <c r="F119" s="513">
        <v>435</v>
      </c>
      <c r="G119" s="510" t="s">
        <v>519</v>
      </c>
      <c r="J119" t="b">
        <f>+tblContractBase[[#This Row],[Index]]=A118+1</f>
        <v>1</v>
      </c>
      <c r="K119" t="s">
        <v>702</v>
      </c>
    </row>
    <row r="120" spans="1:11" ht="30">
      <c r="A120" s="509">
        <v>119</v>
      </c>
      <c r="B120" s="510" t="s">
        <v>523</v>
      </c>
      <c r="C120" s="510" t="s">
        <v>531</v>
      </c>
      <c r="D120" s="511" t="s">
        <v>704</v>
      </c>
      <c r="E120" s="512">
        <v>1</v>
      </c>
      <c r="F120" s="513">
        <v>6090</v>
      </c>
      <c r="G120" s="510" t="s">
        <v>467</v>
      </c>
      <c r="J120" t="b">
        <f>+tblContractBase[[#This Row],[Index]]=A119+1</f>
        <v>1</v>
      </c>
    </row>
    <row r="121" spans="1:11">
      <c r="A121" s="509">
        <v>120</v>
      </c>
      <c r="B121" s="510" t="s">
        <v>521</v>
      </c>
      <c r="C121" s="510" t="s">
        <v>705</v>
      </c>
      <c r="D121" s="511" t="s">
        <v>706</v>
      </c>
      <c r="E121" s="512">
        <v>1</v>
      </c>
      <c r="F121" s="513">
        <v>2610</v>
      </c>
      <c r="G121" s="510" t="s">
        <v>519</v>
      </c>
      <c r="J121" t="b">
        <f>+tblContractBase[[#This Row],[Index]]=A120+1</f>
        <v>1</v>
      </c>
      <c r="K121" t="s">
        <v>707</v>
      </c>
    </row>
    <row r="122" spans="1:11">
      <c r="A122" s="509">
        <v>121</v>
      </c>
      <c r="B122" s="510" t="s">
        <v>523</v>
      </c>
      <c r="C122" s="510" t="s">
        <v>665</v>
      </c>
      <c r="D122" s="511" t="s">
        <v>708</v>
      </c>
      <c r="E122" s="512">
        <v>1</v>
      </c>
      <c r="F122" s="513">
        <v>870</v>
      </c>
      <c r="G122" s="510" t="s">
        <v>467</v>
      </c>
      <c r="J122" t="b">
        <f>+tblContractBase[[#This Row],[Index]]=A121+1</f>
        <v>1</v>
      </c>
    </row>
    <row r="123" spans="1:11" ht="30">
      <c r="A123" s="509">
        <v>122</v>
      </c>
      <c r="B123" s="510" t="s">
        <v>521</v>
      </c>
      <c r="C123" s="510" t="s">
        <v>579</v>
      </c>
      <c r="D123" s="511" t="s">
        <v>1516</v>
      </c>
      <c r="E123" s="512">
        <v>1</v>
      </c>
      <c r="F123" s="513">
        <v>2900</v>
      </c>
      <c r="G123" s="510" t="s">
        <v>519</v>
      </c>
      <c r="J123" t="b">
        <f>+tblContractBase[[#This Row],[Index]]=A122+1</f>
        <v>1</v>
      </c>
      <c r="K123" t="s">
        <v>430</v>
      </c>
    </row>
    <row r="124" spans="1:11" ht="30">
      <c r="A124" s="509">
        <v>123</v>
      </c>
      <c r="B124" s="510" t="s">
        <v>521</v>
      </c>
      <c r="C124" s="510" t="s">
        <v>583</v>
      </c>
      <c r="D124" s="511" t="s">
        <v>709</v>
      </c>
      <c r="E124" s="512">
        <v>1</v>
      </c>
      <c r="F124" s="513">
        <v>870</v>
      </c>
      <c r="G124" s="510" t="s">
        <v>519</v>
      </c>
      <c r="J124" t="b">
        <f>+tblContractBase[[#This Row],[Index]]=A123+1</f>
        <v>1</v>
      </c>
      <c r="K124" t="s">
        <v>430</v>
      </c>
    </row>
    <row r="125" spans="1:11">
      <c r="A125" s="509">
        <v>124</v>
      </c>
      <c r="B125" s="510" t="s">
        <v>521</v>
      </c>
      <c r="C125" s="510" t="s">
        <v>545</v>
      </c>
      <c r="D125" s="511" t="s">
        <v>710</v>
      </c>
      <c r="E125" s="512">
        <v>1</v>
      </c>
      <c r="F125" s="513">
        <v>1450</v>
      </c>
      <c r="G125" s="510" t="s">
        <v>467</v>
      </c>
      <c r="J125" t="b">
        <f>+tblContractBase[[#This Row],[Index]]=A124+1</f>
        <v>1</v>
      </c>
    </row>
    <row r="126" spans="1:11">
      <c r="A126" s="509">
        <v>125</v>
      </c>
      <c r="B126" s="510" t="s">
        <v>523</v>
      </c>
      <c r="C126" s="510" t="s">
        <v>675</v>
      </c>
      <c r="D126" s="511" t="s">
        <v>711</v>
      </c>
      <c r="E126" s="512">
        <v>1</v>
      </c>
      <c r="F126" s="513">
        <v>108.75</v>
      </c>
      <c r="G126" s="510" t="s">
        <v>467</v>
      </c>
      <c r="J126" t="b">
        <f>+tblContractBase[[#This Row],[Index]]=A125+1</f>
        <v>1</v>
      </c>
    </row>
    <row r="127" spans="1:11">
      <c r="A127" s="509">
        <v>126</v>
      </c>
      <c r="B127" s="510" t="s">
        <v>523</v>
      </c>
      <c r="C127" s="510" t="s">
        <v>712</v>
      </c>
      <c r="D127" s="511" t="s">
        <v>1491</v>
      </c>
      <c r="E127" s="512">
        <v>1</v>
      </c>
      <c r="F127" s="513">
        <v>1</v>
      </c>
      <c r="G127" s="510" t="s">
        <v>552</v>
      </c>
      <c r="J127" t="b">
        <f>+tblContractBase[[#This Row],[Index]]=A126+1</f>
        <v>1</v>
      </c>
    </row>
    <row r="128" spans="1:11">
      <c r="A128" s="509">
        <v>127</v>
      </c>
      <c r="B128" s="510" t="s">
        <v>608</v>
      </c>
      <c r="C128" s="510" t="s">
        <v>577</v>
      </c>
      <c r="D128" s="511" t="s">
        <v>713</v>
      </c>
      <c r="E128" s="512">
        <v>1</v>
      </c>
      <c r="F128" s="513">
        <v>870</v>
      </c>
      <c r="G128" s="510" t="s">
        <v>467</v>
      </c>
      <c r="J128" t="b">
        <f>+tblContractBase[[#This Row],[Index]]=A127+1</f>
        <v>1</v>
      </c>
    </row>
    <row r="129" spans="1:11">
      <c r="A129" s="509">
        <v>128</v>
      </c>
      <c r="B129" s="510" t="s">
        <v>639</v>
      </c>
      <c r="C129" s="510" t="s">
        <v>649</v>
      </c>
      <c r="D129" s="511" t="s">
        <v>714</v>
      </c>
      <c r="E129" s="512">
        <v>75</v>
      </c>
      <c r="F129" s="513">
        <v>72.5</v>
      </c>
      <c r="G129" s="510" t="s">
        <v>467</v>
      </c>
      <c r="J129" t="b">
        <f>+tblContractBase[[#This Row],[Index]]=A128+1</f>
        <v>1</v>
      </c>
    </row>
    <row r="130" spans="1:11">
      <c r="A130" s="509">
        <v>129</v>
      </c>
      <c r="B130" s="510" t="s">
        <v>521</v>
      </c>
      <c r="C130" s="510" t="s">
        <v>715</v>
      </c>
      <c r="D130" s="511" t="s">
        <v>716</v>
      </c>
      <c r="E130" s="512" t="s">
        <v>717</v>
      </c>
      <c r="F130" s="513">
        <v>6403.2</v>
      </c>
      <c r="G130" s="510" t="s">
        <v>519</v>
      </c>
      <c r="J130" t="b">
        <f>+tblContractBase[[#This Row],[Index]]=A129+1</f>
        <v>1</v>
      </c>
      <c r="K130" t="s">
        <v>430</v>
      </c>
    </row>
    <row r="131" spans="1:11">
      <c r="A131" s="509">
        <v>130</v>
      </c>
      <c r="B131" s="510" t="s">
        <v>523</v>
      </c>
      <c r="C131" s="510" t="s">
        <v>688</v>
      </c>
      <c r="D131" s="511" t="s">
        <v>718</v>
      </c>
      <c r="E131" s="512">
        <v>1</v>
      </c>
      <c r="F131" s="513">
        <v>11890</v>
      </c>
      <c r="G131" s="510" t="s">
        <v>519</v>
      </c>
      <c r="J131" t="b">
        <f>+tblContractBase[[#This Row],[Index]]=A130+1</f>
        <v>1</v>
      </c>
      <c r="K131" t="s">
        <v>430</v>
      </c>
    </row>
    <row r="132" spans="1:11">
      <c r="A132" s="509">
        <v>131</v>
      </c>
      <c r="B132" s="510" t="s">
        <v>608</v>
      </c>
      <c r="C132" s="510" t="s">
        <v>719</v>
      </c>
      <c r="D132" s="511" t="s">
        <v>720</v>
      </c>
      <c r="E132" s="512">
        <v>1</v>
      </c>
      <c r="F132" s="513">
        <v>1000</v>
      </c>
      <c r="G132" s="510" t="s">
        <v>467</v>
      </c>
      <c r="J132" t="b">
        <f>+tblContractBase[[#This Row],[Index]]=A131+1</f>
        <v>1</v>
      </c>
    </row>
    <row r="133" spans="1:11">
      <c r="A133" s="509">
        <v>132</v>
      </c>
      <c r="B133" s="510" t="s">
        <v>639</v>
      </c>
      <c r="C133" s="510" t="s">
        <v>721</v>
      </c>
      <c r="D133" s="511" t="s">
        <v>722</v>
      </c>
      <c r="E133" s="512">
        <v>1</v>
      </c>
      <c r="F133" s="513">
        <v>2000</v>
      </c>
      <c r="G133" s="510" t="s">
        <v>552</v>
      </c>
      <c r="J133" t="b">
        <f>+tblContractBase[[#This Row],[Index]]=A132+1</f>
        <v>1</v>
      </c>
    </row>
    <row r="134" spans="1:11">
      <c r="A134" s="509">
        <v>133</v>
      </c>
      <c r="B134" s="510" t="s">
        <v>523</v>
      </c>
      <c r="C134" s="510" t="s">
        <v>723</v>
      </c>
      <c r="D134" s="511" t="s">
        <v>1383</v>
      </c>
      <c r="E134" s="512">
        <v>62.5</v>
      </c>
      <c r="F134" s="513">
        <v>169</v>
      </c>
      <c r="G134" s="510" t="s">
        <v>552</v>
      </c>
      <c r="J134" t="b">
        <f>+tblContractBase[[#This Row],[Index]]=A133+1</f>
        <v>1</v>
      </c>
    </row>
    <row r="135" spans="1:11">
      <c r="A135" s="509">
        <v>134</v>
      </c>
      <c r="B135" s="510" t="s">
        <v>587</v>
      </c>
      <c r="C135" s="510" t="s">
        <v>598</v>
      </c>
      <c r="D135" s="511" t="s">
        <v>724</v>
      </c>
      <c r="E135" s="512">
        <v>1</v>
      </c>
      <c r="F135" s="513"/>
      <c r="G135" s="510" t="s">
        <v>467</v>
      </c>
      <c r="J135" t="b">
        <f>+tblContractBase[[#This Row],[Index]]=A134+1</f>
        <v>1</v>
      </c>
    </row>
    <row r="136" spans="1:11">
      <c r="A136" s="509">
        <v>135</v>
      </c>
      <c r="B136" s="510" t="s">
        <v>639</v>
      </c>
      <c r="C136" s="510" t="s">
        <v>725</v>
      </c>
      <c r="D136" s="511" t="s">
        <v>726</v>
      </c>
      <c r="E136" s="512">
        <v>1</v>
      </c>
      <c r="F136" s="513"/>
      <c r="G136" s="510" t="s">
        <v>467</v>
      </c>
      <c r="J136" t="b">
        <f>+tblContractBase[[#This Row],[Index]]=A135+1</f>
        <v>1</v>
      </c>
    </row>
    <row r="137" spans="1:11" ht="30">
      <c r="A137" s="509">
        <v>136</v>
      </c>
      <c r="B137" s="510" t="s">
        <v>639</v>
      </c>
      <c r="C137" s="510" t="s">
        <v>583</v>
      </c>
      <c r="D137" s="511" t="s">
        <v>727</v>
      </c>
      <c r="E137" s="512">
        <v>1</v>
      </c>
      <c r="F137" s="513">
        <v>1812.5</v>
      </c>
      <c r="G137" s="510" t="s">
        <v>519</v>
      </c>
      <c r="J137" t="b">
        <f>+tblContractBase[[#This Row],[Index]]=A136+1</f>
        <v>1</v>
      </c>
      <c r="K137" t="s">
        <v>419</v>
      </c>
    </row>
    <row r="138" spans="1:11">
      <c r="A138" s="509">
        <v>137</v>
      </c>
      <c r="B138" s="510" t="s">
        <v>639</v>
      </c>
      <c r="C138" s="510" t="s">
        <v>728</v>
      </c>
      <c r="D138" s="511" t="s">
        <v>729</v>
      </c>
      <c r="E138" s="512">
        <v>0</v>
      </c>
      <c r="F138" s="513"/>
      <c r="G138" s="510" t="s">
        <v>519</v>
      </c>
      <c r="J138" t="b">
        <f>+tblContractBase[[#This Row],[Index]]=A137+1</f>
        <v>1</v>
      </c>
      <c r="K138" t="s">
        <v>430</v>
      </c>
    </row>
    <row r="139" spans="1:11">
      <c r="A139" s="509">
        <v>138</v>
      </c>
      <c r="B139" s="510" t="s">
        <v>555</v>
      </c>
      <c r="C139" s="510" t="s">
        <v>730</v>
      </c>
      <c r="D139" s="511" t="s">
        <v>731</v>
      </c>
      <c r="E139" s="512" t="s">
        <v>717</v>
      </c>
      <c r="F139" s="514" t="s">
        <v>732</v>
      </c>
      <c r="G139" s="510" t="s">
        <v>467</v>
      </c>
      <c r="J139" t="b">
        <f>+tblContractBase[[#This Row],[Index]]=A138+1</f>
        <v>1</v>
      </c>
    </row>
    <row r="140" spans="1:11">
      <c r="A140" s="509">
        <v>139</v>
      </c>
      <c r="B140" s="510" t="s">
        <v>639</v>
      </c>
      <c r="C140" s="510" t="s">
        <v>730</v>
      </c>
      <c r="D140" s="511" t="s">
        <v>733</v>
      </c>
      <c r="E140" s="512">
        <v>1</v>
      </c>
      <c r="F140" s="513">
        <v>362.5</v>
      </c>
      <c r="G140" s="510" t="s">
        <v>467</v>
      </c>
      <c r="J140" t="b">
        <f>+tblContractBase[[#This Row],[Index]]=A139+1</f>
        <v>1</v>
      </c>
    </row>
    <row r="141" spans="1:11">
      <c r="A141" s="509">
        <v>140</v>
      </c>
      <c r="B141" s="510" t="s">
        <v>587</v>
      </c>
      <c r="C141" s="510" t="s">
        <v>730</v>
      </c>
      <c r="D141" s="511" t="s">
        <v>734</v>
      </c>
      <c r="E141" s="512">
        <v>1</v>
      </c>
      <c r="F141" s="513">
        <v>362.5</v>
      </c>
      <c r="G141" s="510" t="s">
        <v>467</v>
      </c>
      <c r="J141" t="b">
        <f>+tblContractBase[[#This Row],[Index]]=A140+1</f>
        <v>1</v>
      </c>
    </row>
    <row r="142" spans="1:11">
      <c r="A142" s="509">
        <v>141</v>
      </c>
      <c r="B142" s="510" t="s">
        <v>608</v>
      </c>
      <c r="C142" s="510" t="s">
        <v>730</v>
      </c>
      <c r="D142" s="511" t="s">
        <v>734</v>
      </c>
      <c r="E142" s="512">
        <v>1</v>
      </c>
      <c r="F142" s="515">
        <v>362.5</v>
      </c>
      <c r="G142" s="510" t="s">
        <v>467</v>
      </c>
      <c r="J142" t="b">
        <f>+tblContractBase[[#This Row],[Index]]=A141+1</f>
        <v>1</v>
      </c>
    </row>
    <row r="143" spans="1:11">
      <c r="A143" s="509">
        <v>142</v>
      </c>
      <c r="B143" s="516" t="s">
        <v>608</v>
      </c>
      <c r="C143" s="510" t="s">
        <v>730</v>
      </c>
      <c r="D143" s="511" t="s">
        <v>735</v>
      </c>
      <c r="E143" s="512">
        <v>1</v>
      </c>
      <c r="F143" s="515">
        <v>362.5</v>
      </c>
      <c r="G143" s="510" t="s">
        <v>467</v>
      </c>
      <c r="J143" t="b">
        <f>+tblContractBase[[#This Row],[Index]]=A142+1</f>
        <v>1</v>
      </c>
    </row>
    <row r="144" spans="1:11">
      <c r="A144" s="509">
        <v>143</v>
      </c>
      <c r="B144" s="516" t="s">
        <v>608</v>
      </c>
      <c r="C144" s="510" t="s">
        <v>736</v>
      </c>
      <c r="D144" s="511" t="s">
        <v>737</v>
      </c>
      <c r="E144" s="512">
        <v>1</v>
      </c>
      <c r="F144" s="515">
        <f>15*62.5</f>
        <v>937.5</v>
      </c>
      <c r="G144" s="510" t="s">
        <v>552</v>
      </c>
      <c r="J144" t="b">
        <f>+tblContractBase[[#This Row],[Index]]=A143+1</f>
        <v>1</v>
      </c>
    </row>
    <row r="145" spans="1:11">
      <c r="A145" s="509">
        <v>144</v>
      </c>
      <c r="B145" s="516" t="s">
        <v>608</v>
      </c>
      <c r="C145" s="510" t="s">
        <v>602</v>
      </c>
      <c r="D145" s="511" t="s">
        <v>738</v>
      </c>
      <c r="E145" s="512">
        <v>1</v>
      </c>
      <c r="F145" s="515"/>
      <c r="G145" s="510" t="s">
        <v>467</v>
      </c>
      <c r="J145" t="b">
        <f>+tblContractBase[[#This Row],[Index]]=A144+1</f>
        <v>1</v>
      </c>
    </row>
    <row r="146" spans="1:11">
      <c r="A146" s="509">
        <v>145</v>
      </c>
      <c r="B146" s="516" t="s">
        <v>523</v>
      </c>
      <c r="C146" s="510" t="s">
        <v>620</v>
      </c>
      <c r="D146" s="511" t="s">
        <v>739</v>
      </c>
      <c r="E146" s="512">
        <v>0</v>
      </c>
      <c r="F146" s="515"/>
      <c r="G146" s="510" t="s">
        <v>519</v>
      </c>
      <c r="J146" t="b">
        <f>+tblContractBase[[#This Row],[Index]]=A145+1</f>
        <v>1</v>
      </c>
      <c r="K146" t="s">
        <v>430</v>
      </c>
    </row>
    <row r="147" spans="1:11" ht="30">
      <c r="A147" s="509">
        <v>146</v>
      </c>
      <c r="B147" s="516" t="s">
        <v>517</v>
      </c>
      <c r="C147" s="510" t="s">
        <v>537</v>
      </c>
      <c r="D147" s="511" t="s">
        <v>740</v>
      </c>
      <c r="E147" s="512">
        <v>0</v>
      </c>
      <c r="F147" s="515">
        <v>2175</v>
      </c>
      <c r="G147" s="510" t="s">
        <v>519</v>
      </c>
      <c r="J147" t="b">
        <f>+tblContractBase[[#This Row],[Index]]=A146+1</f>
        <v>1</v>
      </c>
    </row>
    <row r="148" spans="1:11" ht="30">
      <c r="A148" s="509">
        <v>147</v>
      </c>
      <c r="B148" s="516" t="s">
        <v>517</v>
      </c>
      <c r="C148" s="510" t="s">
        <v>741</v>
      </c>
      <c r="D148" s="511" t="s">
        <v>742</v>
      </c>
      <c r="E148" s="512">
        <v>1</v>
      </c>
      <c r="F148" s="515">
        <v>30000</v>
      </c>
      <c r="G148" s="510" t="s">
        <v>467</v>
      </c>
      <c r="J148" t="b">
        <f>+tblContractBase[[#This Row],[Index]]=A147+1</f>
        <v>1</v>
      </c>
    </row>
    <row r="149" spans="1:11">
      <c r="A149" s="509">
        <v>148</v>
      </c>
      <c r="B149" s="516" t="s">
        <v>639</v>
      </c>
      <c r="C149" s="510" t="s">
        <v>612</v>
      </c>
      <c r="D149" s="511" t="s">
        <v>743</v>
      </c>
      <c r="E149" s="512">
        <v>1</v>
      </c>
      <c r="F149" s="515">
        <v>9425</v>
      </c>
      <c r="G149" s="510" t="s">
        <v>519</v>
      </c>
      <c r="J149" t="b">
        <f>+tblContractBase[[#This Row],[Index]]=A148+1</f>
        <v>1</v>
      </c>
      <c r="K149" t="s">
        <v>430</v>
      </c>
    </row>
    <row r="150" spans="1:11">
      <c r="A150" s="509">
        <v>149</v>
      </c>
      <c r="B150" s="516" t="s">
        <v>744</v>
      </c>
      <c r="C150" s="510" t="s">
        <v>745</v>
      </c>
      <c r="D150" s="511" t="s">
        <v>746</v>
      </c>
      <c r="E150" s="512">
        <v>0</v>
      </c>
      <c r="F150" s="515">
        <v>0</v>
      </c>
      <c r="G150" s="510" t="s">
        <v>747</v>
      </c>
      <c r="H150">
        <v>149</v>
      </c>
      <c r="J150" t="b">
        <f>+tblContractBase[[#This Row],[Index]]=A149+1</f>
        <v>1</v>
      </c>
    </row>
    <row r="151" spans="1:11">
      <c r="A151" s="2">
        <v>150</v>
      </c>
      <c r="B151" s="516" t="s">
        <v>744</v>
      </c>
      <c r="C151" s="510" t="s">
        <v>745</v>
      </c>
      <c r="D151" s="511" t="s">
        <v>779</v>
      </c>
      <c r="E151" s="512">
        <v>0</v>
      </c>
      <c r="F151" s="515">
        <v>0</v>
      </c>
      <c r="G151" s="510" t="s">
        <v>747</v>
      </c>
      <c r="H151">
        <v>149</v>
      </c>
      <c r="J151" t="b">
        <f>+tblContractBase[[#This Row],[Index]]=A150+1</f>
        <v>1</v>
      </c>
    </row>
    <row r="152" spans="1:11">
      <c r="A152">
        <v>151</v>
      </c>
      <c r="B152" s="516" t="s">
        <v>744</v>
      </c>
      <c r="C152" s="510" t="s">
        <v>560</v>
      </c>
      <c r="D152" s="511" t="s">
        <v>560</v>
      </c>
      <c r="E152" s="512">
        <v>0</v>
      </c>
      <c r="F152" s="515">
        <v>0</v>
      </c>
      <c r="G152" s="510" t="s">
        <v>747</v>
      </c>
      <c r="H152">
        <v>149</v>
      </c>
      <c r="J152" t="b">
        <f>+tblContractBase[[#This Row],[Index]]=A151+1</f>
        <v>1</v>
      </c>
    </row>
    <row r="153" spans="1:11">
      <c r="A153" s="509">
        <v>152</v>
      </c>
      <c r="B153" s="516" t="s">
        <v>744</v>
      </c>
      <c r="C153" s="510" t="s">
        <v>568</v>
      </c>
      <c r="D153" s="511" t="s">
        <v>750</v>
      </c>
      <c r="E153" s="512">
        <v>0</v>
      </c>
      <c r="F153" s="515">
        <v>0</v>
      </c>
      <c r="G153" s="510" t="s">
        <v>747</v>
      </c>
      <c r="H153">
        <v>151</v>
      </c>
      <c r="J153" t="b">
        <f>+tblContractBase[[#This Row],[Index]]=A152+1</f>
        <v>1</v>
      </c>
    </row>
    <row r="154" spans="1:11">
      <c r="A154" s="509">
        <v>153</v>
      </c>
      <c r="B154" s="516" t="s">
        <v>744</v>
      </c>
      <c r="C154" s="510" t="s">
        <v>751</v>
      </c>
      <c r="D154" s="511" t="s">
        <v>752</v>
      </c>
      <c r="E154" s="512">
        <v>0</v>
      </c>
      <c r="F154" s="515">
        <v>0</v>
      </c>
      <c r="G154" s="510" t="s">
        <v>747</v>
      </c>
      <c r="H154">
        <v>152</v>
      </c>
      <c r="J154" t="b">
        <f>+tblContractBase[[#This Row],[Index]]=A153+1</f>
        <v>1</v>
      </c>
    </row>
    <row r="155" spans="1:11">
      <c r="A155" s="509">
        <v>154</v>
      </c>
      <c r="B155" s="516" t="s">
        <v>744</v>
      </c>
      <c r="C155" s="510" t="s">
        <v>688</v>
      </c>
      <c r="D155" s="511" t="s">
        <v>753</v>
      </c>
      <c r="E155" s="512">
        <v>0</v>
      </c>
      <c r="F155" s="515">
        <v>0</v>
      </c>
      <c r="G155" s="510" t="s">
        <v>747</v>
      </c>
      <c r="H155">
        <v>153</v>
      </c>
      <c r="J155" t="b">
        <f>+tblContractBase[[#This Row],[Index]]=A154+1</f>
        <v>1</v>
      </c>
    </row>
    <row r="156" spans="1:11">
      <c r="A156" s="509">
        <v>155</v>
      </c>
      <c r="B156" s="516" t="s">
        <v>744</v>
      </c>
      <c r="C156" s="510" t="s">
        <v>550</v>
      </c>
      <c r="D156" s="511" t="s">
        <v>754</v>
      </c>
      <c r="E156" s="512">
        <v>0</v>
      </c>
      <c r="F156" s="515">
        <v>0</v>
      </c>
      <c r="G156" s="510" t="s">
        <v>747</v>
      </c>
      <c r="H156">
        <v>156</v>
      </c>
      <c r="J156" t="b">
        <f>+tblContractBase[[#This Row],[Index]]=A155+1</f>
        <v>1</v>
      </c>
    </row>
    <row r="157" spans="1:11">
      <c r="A157" s="509">
        <v>156</v>
      </c>
      <c r="B157" s="516" t="s">
        <v>744</v>
      </c>
      <c r="C157" s="510" t="s">
        <v>665</v>
      </c>
      <c r="D157" s="511" t="s">
        <v>755</v>
      </c>
      <c r="E157" s="512">
        <v>0</v>
      </c>
      <c r="F157" s="515">
        <v>0</v>
      </c>
      <c r="G157" s="510" t="s">
        <v>747</v>
      </c>
      <c r="H157">
        <v>154</v>
      </c>
      <c r="J157" t="b">
        <f>+tblContractBase[[#This Row],[Index]]=A156+1</f>
        <v>1</v>
      </c>
    </row>
    <row r="158" spans="1:11">
      <c r="A158" s="509">
        <v>157</v>
      </c>
      <c r="B158" s="516" t="s">
        <v>744</v>
      </c>
      <c r="C158" s="510" t="s">
        <v>756</v>
      </c>
      <c r="D158" s="511" t="s">
        <v>568</v>
      </c>
      <c r="E158" s="512">
        <v>0</v>
      </c>
      <c r="F158" s="515">
        <v>0</v>
      </c>
      <c r="G158" s="510" t="s">
        <v>747</v>
      </c>
      <c r="H158">
        <v>155</v>
      </c>
      <c r="J158" t="b">
        <f>+tblContractBase[[#This Row],[Index]]=A157+1</f>
        <v>1</v>
      </c>
    </row>
    <row r="159" spans="1:11">
      <c r="A159" s="509">
        <v>158</v>
      </c>
      <c r="B159" s="516" t="s">
        <v>744</v>
      </c>
      <c r="C159" s="510" t="s">
        <v>756</v>
      </c>
      <c r="D159" s="511" t="s">
        <v>594</v>
      </c>
      <c r="E159" s="512">
        <v>0</v>
      </c>
      <c r="F159" s="515">
        <v>0</v>
      </c>
      <c r="G159" s="510" t="s">
        <v>747</v>
      </c>
      <c r="H159">
        <v>155</v>
      </c>
      <c r="J159" t="b">
        <f>+tblContractBase[[#This Row],[Index]]=A158+1</f>
        <v>1</v>
      </c>
    </row>
    <row r="160" spans="1:11">
      <c r="A160" s="509">
        <v>159</v>
      </c>
      <c r="B160" s="516" t="s">
        <v>744</v>
      </c>
      <c r="C160" s="510" t="s">
        <v>756</v>
      </c>
      <c r="D160" s="511" t="s">
        <v>527</v>
      </c>
      <c r="E160" s="512">
        <v>0</v>
      </c>
      <c r="F160" s="515">
        <v>0</v>
      </c>
      <c r="G160" s="510" t="s">
        <v>747</v>
      </c>
      <c r="H160">
        <v>155</v>
      </c>
      <c r="J160" t="b">
        <f>+tblContractBase[[#This Row],[Index]]=A159+1</f>
        <v>1</v>
      </c>
    </row>
    <row r="161" spans="1:10">
      <c r="A161" s="509">
        <v>160</v>
      </c>
      <c r="B161" s="516" t="s">
        <v>744</v>
      </c>
      <c r="C161" s="510" t="s">
        <v>656</v>
      </c>
      <c r="D161" s="511" t="s">
        <v>757</v>
      </c>
      <c r="E161" s="512">
        <v>0</v>
      </c>
      <c r="F161" s="515">
        <v>0</v>
      </c>
      <c r="G161" s="510" t="s">
        <v>747</v>
      </c>
      <c r="H161">
        <v>159</v>
      </c>
      <c r="J161" t="b">
        <f>+tblContractBase[[#This Row],[Index]]=A160+1</f>
        <v>1</v>
      </c>
    </row>
    <row r="162" spans="1:10">
      <c r="A162" s="509">
        <v>161</v>
      </c>
      <c r="B162" s="516" t="s">
        <v>744</v>
      </c>
      <c r="C162" s="510" t="s">
        <v>596</v>
      </c>
      <c r="D162" s="511" t="s">
        <v>758</v>
      </c>
      <c r="E162" s="512">
        <v>0</v>
      </c>
      <c r="F162" s="515">
        <v>0</v>
      </c>
      <c r="G162" s="510" t="s">
        <v>747</v>
      </c>
      <c r="H162">
        <v>160</v>
      </c>
      <c r="J162" t="b">
        <f>+tblContractBase[[#This Row],[Index]]=A161+1</f>
        <v>1</v>
      </c>
    </row>
    <row r="163" spans="1:10">
      <c r="A163" s="509">
        <v>162</v>
      </c>
      <c r="B163" s="516" t="s">
        <v>744</v>
      </c>
      <c r="C163" s="510" t="s">
        <v>759</v>
      </c>
      <c r="D163" s="511" t="s">
        <v>760</v>
      </c>
      <c r="E163" s="512">
        <v>0</v>
      </c>
      <c r="F163" s="515">
        <v>0</v>
      </c>
      <c r="G163" s="510" t="s">
        <v>747</v>
      </c>
      <c r="H163">
        <v>161</v>
      </c>
      <c r="J163" t="b">
        <f>+tblContractBase[[#This Row],[Index]]=A162+1</f>
        <v>1</v>
      </c>
    </row>
    <row r="164" spans="1:10">
      <c r="A164" s="509">
        <v>163</v>
      </c>
      <c r="B164" s="516" t="s">
        <v>744</v>
      </c>
      <c r="C164" s="510" t="s">
        <v>761</v>
      </c>
      <c r="D164" s="511" t="s">
        <v>762</v>
      </c>
      <c r="E164" s="512">
        <v>0</v>
      </c>
      <c r="F164" s="515">
        <v>0</v>
      </c>
      <c r="G164" s="510" t="s">
        <v>747</v>
      </c>
      <c r="H164">
        <v>162</v>
      </c>
      <c r="J164" t="b">
        <f>+tblContractBase[[#This Row],[Index]]=A163+1</f>
        <v>1</v>
      </c>
    </row>
    <row r="165" spans="1:10">
      <c r="A165" s="509">
        <v>164</v>
      </c>
      <c r="B165" s="516" t="s">
        <v>744</v>
      </c>
      <c r="C165" s="510" t="s">
        <v>763</v>
      </c>
      <c r="D165" s="511" t="s">
        <v>594</v>
      </c>
      <c r="E165" s="512">
        <v>0</v>
      </c>
      <c r="F165" s="515">
        <v>0</v>
      </c>
      <c r="G165" s="510" t="s">
        <v>747</v>
      </c>
      <c r="H165">
        <v>163</v>
      </c>
      <c r="J165" t="b">
        <f>+tblContractBase[[#This Row],[Index]]=A164+1</f>
        <v>1</v>
      </c>
    </row>
    <row r="166" spans="1:10">
      <c r="A166" s="509">
        <v>165</v>
      </c>
      <c r="B166" s="516" t="s">
        <v>744</v>
      </c>
      <c r="C166" s="510" t="s">
        <v>763</v>
      </c>
      <c r="D166" s="511" t="s">
        <v>568</v>
      </c>
      <c r="E166" s="512">
        <v>0</v>
      </c>
      <c r="F166" s="515">
        <v>0</v>
      </c>
      <c r="G166" s="510" t="s">
        <v>747</v>
      </c>
      <c r="H166">
        <v>164</v>
      </c>
      <c r="J166" t="b">
        <f>+tblContractBase[[#This Row],[Index]]=A165+1</f>
        <v>1</v>
      </c>
    </row>
    <row r="167" spans="1:10">
      <c r="A167" s="509">
        <v>166</v>
      </c>
      <c r="B167" s="516" t="s">
        <v>744</v>
      </c>
      <c r="C167" s="510" t="s">
        <v>763</v>
      </c>
      <c r="D167" s="511" t="s">
        <v>527</v>
      </c>
      <c r="E167" s="512">
        <v>0</v>
      </c>
      <c r="F167" s="515">
        <v>0</v>
      </c>
      <c r="G167" s="510" t="s">
        <v>747</v>
      </c>
      <c r="H167">
        <v>165</v>
      </c>
      <c r="J167" t="b">
        <f>+tblContractBase[[#This Row],[Index]]=A166+1</f>
        <v>1</v>
      </c>
    </row>
    <row r="168" spans="1:10">
      <c r="A168" s="509">
        <v>167</v>
      </c>
      <c r="B168" s="516" t="s">
        <v>744</v>
      </c>
      <c r="C168" s="510" t="s">
        <v>527</v>
      </c>
      <c r="D168" s="511" t="s">
        <v>761</v>
      </c>
      <c r="E168" s="512">
        <v>0</v>
      </c>
      <c r="F168" s="515">
        <v>0</v>
      </c>
      <c r="G168" s="510" t="s">
        <v>747</v>
      </c>
      <c r="H168">
        <v>166</v>
      </c>
      <c r="J168" t="b">
        <f>+tblContractBase[[#This Row],[Index]]=A167+1</f>
        <v>1</v>
      </c>
    </row>
    <row r="169" spans="1:10">
      <c r="A169" s="509">
        <v>168</v>
      </c>
      <c r="B169" s="516" t="s">
        <v>744</v>
      </c>
      <c r="C169" s="510" t="s">
        <v>665</v>
      </c>
      <c r="D169" s="511" t="s">
        <v>764</v>
      </c>
      <c r="E169" s="512">
        <v>0</v>
      </c>
      <c r="F169" s="515">
        <v>0</v>
      </c>
      <c r="G169" s="510" t="s">
        <v>747</v>
      </c>
      <c r="H169">
        <v>167</v>
      </c>
      <c r="J169" t="b">
        <f>+tblContractBase[[#This Row],[Index]]=A168+1</f>
        <v>1</v>
      </c>
    </row>
    <row r="170" spans="1:10">
      <c r="A170" s="509">
        <v>169</v>
      </c>
      <c r="B170" s="516" t="s">
        <v>744</v>
      </c>
      <c r="C170" s="510" t="s">
        <v>654</v>
      </c>
      <c r="D170" s="511" t="s">
        <v>765</v>
      </c>
      <c r="E170" s="512">
        <v>0</v>
      </c>
      <c r="F170" s="515">
        <v>0</v>
      </c>
      <c r="G170" s="510" t="s">
        <v>747</v>
      </c>
      <c r="H170">
        <v>168</v>
      </c>
      <c r="J170" t="b">
        <f>+tblContractBase[[#This Row],[Index]]=A169+1</f>
        <v>1</v>
      </c>
    </row>
    <row r="171" spans="1:10">
      <c r="A171" s="509">
        <v>170</v>
      </c>
      <c r="B171" s="516" t="s">
        <v>744</v>
      </c>
      <c r="C171" s="510" t="s">
        <v>766</v>
      </c>
      <c r="D171" s="511" t="s">
        <v>767</v>
      </c>
      <c r="E171" s="512">
        <v>0</v>
      </c>
      <c r="F171" s="515">
        <v>0</v>
      </c>
      <c r="G171" s="510" t="s">
        <v>747</v>
      </c>
      <c r="H171">
        <v>169</v>
      </c>
      <c r="J171" t="b">
        <f>+tblContractBase[[#This Row],[Index]]=A170+1</f>
        <v>1</v>
      </c>
    </row>
    <row r="172" spans="1:10">
      <c r="A172" s="509">
        <v>171</v>
      </c>
      <c r="B172" s="516" t="s">
        <v>744</v>
      </c>
      <c r="C172" s="510" t="s">
        <v>531</v>
      </c>
      <c r="D172" s="511" t="s">
        <v>768</v>
      </c>
      <c r="E172" s="512">
        <v>0</v>
      </c>
      <c r="F172" s="515">
        <v>0</v>
      </c>
      <c r="G172" s="510" t="s">
        <v>747</v>
      </c>
      <c r="H172">
        <v>170</v>
      </c>
      <c r="J172" t="b">
        <f>+tblContractBase[[#This Row],[Index]]=A171+1</f>
        <v>1</v>
      </c>
    </row>
    <row r="173" spans="1:10">
      <c r="A173" s="509">
        <v>172</v>
      </c>
      <c r="B173" s="516" t="s">
        <v>744</v>
      </c>
      <c r="C173" s="510" t="s">
        <v>759</v>
      </c>
      <c r="D173" s="511" t="s">
        <v>769</v>
      </c>
      <c r="E173" s="512">
        <v>0</v>
      </c>
      <c r="F173" s="515">
        <v>0</v>
      </c>
      <c r="G173" s="510" t="s">
        <v>747</v>
      </c>
      <c r="H173">
        <v>171</v>
      </c>
      <c r="J173" t="b">
        <f>+tblContractBase[[#This Row],[Index]]=A172+1</f>
        <v>1</v>
      </c>
    </row>
    <row r="174" spans="1:10">
      <c r="A174" s="509">
        <v>173</v>
      </c>
      <c r="B174" s="516" t="s">
        <v>744</v>
      </c>
      <c r="C174" s="510" t="s">
        <v>770</v>
      </c>
      <c r="D174" s="511" t="s">
        <v>771</v>
      </c>
      <c r="E174" s="512">
        <v>0</v>
      </c>
      <c r="F174" s="515">
        <v>0</v>
      </c>
      <c r="G174" s="510" t="s">
        <v>747</v>
      </c>
      <c r="H174">
        <v>172</v>
      </c>
      <c r="J174" t="b">
        <f>+tblContractBase[[#This Row],[Index]]=A173+1</f>
        <v>1</v>
      </c>
    </row>
    <row r="175" spans="1:10">
      <c r="A175" s="509">
        <v>174</v>
      </c>
      <c r="B175" s="516" t="s">
        <v>744</v>
      </c>
      <c r="C175" s="510" t="s">
        <v>675</v>
      </c>
      <c r="D175" s="511" t="s">
        <v>770</v>
      </c>
      <c r="E175" s="512">
        <v>0</v>
      </c>
      <c r="F175" s="515">
        <v>0</v>
      </c>
      <c r="G175" s="510" t="s">
        <v>747</v>
      </c>
      <c r="H175">
        <v>173</v>
      </c>
      <c r="J175" t="b">
        <f>+tblContractBase[[#This Row],[Index]]=A174+1</f>
        <v>1</v>
      </c>
    </row>
    <row r="176" spans="1:10">
      <c r="A176" s="509">
        <v>175</v>
      </c>
      <c r="B176" s="516" t="s">
        <v>744</v>
      </c>
      <c r="C176" s="510" t="s">
        <v>772</v>
      </c>
      <c r="D176" s="511" t="s">
        <v>773</v>
      </c>
      <c r="E176" s="512">
        <v>0</v>
      </c>
      <c r="F176" s="515">
        <v>0</v>
      </c>
      <c r="G176" s="510" t="s">
        <v>747</v>
      </c>
      <c r="H176">
        <v>174</v>
      </c>
      <c r="J176" t="b">
        <f>+tblContractBase[[#This Row],[Index]]=A175+1</f>
        <v>1</v>
      </c>
    </row>
    <row r="177" spans="1:18">
      <c r="A177" s="509">
        <v>176</v>
      </c>
      <c r="B177" s="516" t="s">
        <v>744</v>
      </c>
      <c r="C177" s="510" t="s">
        <v>774</v>
      </c>
      <c r="D177" s="511" t="s">
        <v>775</v>
      </c>
      <c r="E177" s="512">
        <v>0</v>
      </c>
      <c r="F177" s="515">
        <v>0</v>
      </c>
      <c r="G177" s="510" t="s">
        <v>747</v>
      </c>
      <c r="H177">
        <v>175</v>
      </c>
      <c r="J177" t="b">
        <f>+tblContractBase[[#This Row],[Index]]=A176+1</f>
        <v>1</v>
      </c>
    </row>
    <row r="178" spans="1:18">
      <c r="A178" s="509">
        <v>177</v>
      </c>
      <c r="B178" s="510" t="s">
        <v>523</v>
      </c>
      <c r="C178" s="510" t="s">
        <v>776</v>
      </c>
      <c r="D178" s="511" t="s">
        <v>777</v>
      </c>
      <c r="E178" s="512">
        <v>1</v>
      </c>
      <c r="F178" s="515">
        <v>5000</v>
      </c>
      <c r="G178" s="510" t="s">
        <v>519</v>
      </c>
      <c r="J178" t="b">
        <f>+tblContractBase[[#This Row],[Index]]=A177+1</f>
        <v>1</v>
      </c>
    </row>
    <row r="179" spans="1:18">
      <c r="A179" s="509">
        <v>178</v>
      </c>
      <c r="B179" s="516" t="s">
        <v>523</v>
      </c>
      <c r="C179" s="510" t="s">
        <v>772</v>
      </c>
      <c r="D179" s="511" t="s">
        <v>777</v>
      </c>
      <c r="E179" s="512">
        <v>1</v>
      </c>
      <c r="F179" s="515">
        <v>750</v>
      </c>
      <c r="G179" s="510" t="s">
        <v>552</v>
      </c>
      <c r="J179" t="b">
        <f>+tblContractBase[[#This Row],[Index]]=A178+1</f>
        <v>1</v>
      </c>
    </row>
    <row r="180" spans="1:18">
      <c r="A180" s="509">
        <v>179</v>
      </c>
      <c r="B180" s="516" t="s">
        <v>521</v>
      </c>
      <c r="C180" s="510" t="s">
        <v>756</v>
      </c>
      <c r="D180" s="511" t="s">
        <v>778</v>
      </c>
      <c r="E180" s="512">
        <v>1</v>
      </c>
      <c r="F180" s="515">
        <v>0</v>
      </c>
      <c r="G180" s="510" t="s">
        <v>519</v>
      </c>
      <c r="J180" t="b">
        <f>+tblContractBase[[#This Row],[Index]]=A179+1</f>
        <v>1</v>
      </c>
    </row>
    <row r="181" spans="1:18">
      <c r="A181" s="516">
        <v>180</v>
      </c>
      <c r="B181" s="516" t="s">
        <v>744</v>
      </c>
      <c r="C181" s="510" t="s">
        <v>748</v>
      </c>
      <c r="D181" s="511" t="s">
        <v>749</v>
      </c>
      <c r="E181" s="512">
        <v>0</v>
      </c>
      <c r="F181" s="515">
        <v>0</v>
      </c>
      <c r="G181" s="510" t="s">
        <v>747</v>
      </c>
      <c r="H181" s="516">
        <v>150</v>
      </c>
      <c r="I181"/>
      <c r="J181" t="b">
        <f>+tblContractBase[[#This Row],[Index]]=A180+1</f>
        <v>1</v>
      </c>
      <c r="K181" s="528"/>
      <c r="L181" s="528"/>
      <c r="M181" s="529"/>
      <c r="N181" s="530"/>
      <c r="O181" s="528"/>
      <c r="P181" s="528"/>
      <c r="Q181" s="528"/>
      <c r="R181" s="531"/>
    </row>
    <row r="182" spans="1:18">
      <c r="A182" s="509">
        <v>181</v>
      </c>
      <c r="B182" s="516" t="s">
        <v>744</v>
      </c>
      <c r="C182" s="510" t="s">
        <v>550</v>
      </c>
      <c r="D182" s="511" t="s">
        <v>780</v>
      </c>
      <c r="E182" s="512">
        <v>0</v>
      </c>
      <c r="F182" s="515">
        <v>0</v>
      </c>
      <c r="G182" s="510" t="s">
        <v>747</v>
      </c>
      <c r="H182">
        <v>153</v>
      </c>
      <c r="J182" t="b">
        <f>+tblContractBase[[#This Row],[Index]]=A181+1</f>
        <v>1</v>
      </c>
    </row>
    <row r="183" spans="1:18">
      <c r="A183" s="509">
        <v>182</v>
      </c>
      <c r="B183" s="510" t="s">
        <v>517</v>
      </c>
      <c r="C183" s="510" t="s">
        <v>781</v>
      </c>
      <c r="D183" s="511" t="s">
        <v>782</v>
      </c>
      <c r="E183" s="512">
        <v>1</v>
      </c>
      <c r="F183" s="515">
        <v>330</v>
      </c>
      <c r="G183" s="510" t="s">
        <v>519</v>
      </c>
      <c r="J183" t="b">
        <f>+tblContractBase[[#This Row],[Index]]=A182+1</f>
        <v>1</v>
      </c>
    </row>
    <row r="184" spans="1:18">
      <c r="A184" s="509">
        <v>183</v>
      </c>
      <c r="B184" s="510" t="s">
        <v>793</v>
      </c>
      <c r="C184" s="510" t="s">
        <v>1419</v>
      </c>
      <c r="D184" s="511" t="s">
        <v>1461</v>
      </c>
      <c r="E184" s="512">
        <v>1</v>
      </c>
      <c r="F184" s="515"/>
      <c r="G184" s="510" t="s">
        <v>519</v>
      </c>
      <c r="H184">
        <f>+A183</f>
        <v>182</v>
      </c>
      <c r="J184" t="b">
        <f>+tblContractBase[[#This Row],[Index]]=A183+1</f>
        <v>1</v>
      </c>
    </row>
    <row r="185" spans="1:18">
      <c r="A185" s="509">
        <v>184</v>
      </c>
      <c r="B185" s="516" t="s">
        <v>517</v>
      </c>
      <c r="C185" s="510" t="s">
        <v>1420</v>
      </c>
      <c r="D185" s="511" t="s">
        <v>1468</v>
      </c>
      <c r="E185" s="512">
        <v>1</v>
      </c>
      <c r="F185" s="515">
        <v>1500</v>
      </c>
      <c r="G185" s="510" t="s">
        <v>467</v>
      </c>
      <c r="H185">
        <f>+A184</f>
        <v>183</v>
      </c>
      <c r="J185" t="b">
        <f>+tblContractBase[[#This Row],[Index]]=A184+1</f>
        <v>1</v>
      </c>
    </row>
    <row r="186" spans="1:18">
      <c r="A186" s="509">
        <v>185</v>
      </c>
      <c r="B186" s="516" t="s">
        <v>170</v>
      </c>
      <c r="C186" s="510" t="s">
        <v>772</v>
      </c>
      <c r="D186" s="511" t="s">
        <v>1444</v>
      </c>
      <c r="E186" s="512">
        <v>1</v>
      </c>
      <c r="F186" s="515">
        <v>1781.25</v>
      </c>
      <c r="G186" s="510" t="s">
        <v>552</v>
      </c>
      <c r="H186">
        <v>174</v>
      </c>
      <c r="J186" t="b">
        <f>+tblContractBase[[#This Row],[Index]]=A185+1</f>
        <v>1</v>
      </c>
    </row>
    <row r="187" spans="1:18">
      <c r="A187" s="509">
        <v>186</v>
      </c>
      <c r="B187" s="516" t="s">
        <v>170</v>
      </c>
      <c r="C187" s="510" t="s">
        <v>772</v>
      </c>
      <c r="D187" s="511" t="s">
        <v>1445</v>
      </c>
      <c r="E187" s="512">
        <v>1</v>
      </c>
      <c r="F187" s="515">
        <v>2375</v>
      </c>
      <c r="G187" s="510" t="s">
        <v>552</v>
      </c>
      <c r="H187">
        <v>174</v>
      </c>
      <c r="J187" t="b">
        <f>+tblContractBase[[#This Row],[Index]]=A186+1</f>
        <v>1</v>
      </c>
    </row>
    <row r="188" spans="1:18">
      <c r="A188" s="509">
        <v>187</v>
      </c>
      <c r="B188" s="516" t="s">
        <v>170</v>
      </c>
      <c r="C188" s="510" t="s">
        <v>772</v>
      </c>
      <c r="D188" s="511" t="s">
        <v>1446</v>
      </c>
      <c r="E188" s="512">
        <v>1</v>
      </c>
      <c r="F188" s="515">
        <v>1437.5</v>
      </c>
      <c r="G188" s="510" t="s">
        <v>552</v>
      </c>
      <c r="H188">
        <v>174</v>
      </c>
      <c r="J188" t="b">
        <f>+tblContractBase[[#This Row],[Index]]=A187+1</f>
        <v>1</v>
      </c>
    </row>
    <row r="189" spans="1:18">
      <c r="A189" s="509">
        <v>188</v>
      </c>
      <c r="B189" s="516" t="s">
        <v>793</v>
      </c>
      <c r="C189" s="510" t="s">
        <v>560</v>
      </c>
      <c r="D189" s="511" t="s">
        <v>1484</v>
      </c>
      <c r="E189" s="512">
        <v>1</v>
      </c>
      <c r="F189" s="515"/>
      <c r="G189" s="510" t="s">
        <v>552</v>
      </c>
      <c r="J189" t="b">
        <f>+tblContractBase[[#This Row],[Index]]=A188+1</f>
        <v>1</v>
      </c>
    </row>
    <row r="190" spans="1:18">
      <c r="A190" s="509">
        <v>189</v>
      </c>
      <c r="B190" s="516" t="s">
        <v>793</v>
      </c>
      <c r="C190" s="510" t="s">
        <v>1452</v>
      </c>
      <c r="D190" s="511" t="s">
        <v>1453</v>
      </c>
      <c r="E190" s="512">
        <v>1</v>
      </c>
      <c r="F190" s="515"/>
      <c r="G190" s="510" t="s">
        <v>519</v>
      </c>
      <c r="J190" t="b">
        <f>+tblContractBase[[#This Row],[Index]]=A189+1</f>
        <v>1</v>
      </c>
    </row>
    <row r="191" spans="1:18">
      <c r="A191" s="509">
        <v>190</v>
      </c>
      <c r="B191" s="516" t="s">
        <v>793</v>
      </c>
      <c r="C191" s="510" t="s">
        <v>774</v>
      </c>
      <c r="D191" s="511" t="s">
        <v>1456</v>
      </c>
      <c r="E191" s="512">
        <v>1</v>
      </c>
      <c r="F191" s="515"/>
      <c r="G191" s="510" t="s">
        <v>552</v>
      </c>
      <c r="J191" t="b">
        <f>+tblContractBase[[#This Row],[Index]]=A190+1</f>
        <v>1</v>
      </c>
    </row>
    <row r="192" spans="1:18">
      <c r="A192" s="509">
        <v>191</v>
      </c>
      <c r="B192" s="516" t="s">
        <v>793</v>
      </c>
      <c r="C192" s="510" t="s">
        <v>1457</v>
      </c>
      <c r="D192" s="511" t="s">
        <v>1458</v>
      </c>
      <c r="E192" s="512">
        <v>1</v>
      </c>
      <c r="F192" s="515"/>
      <c r="G192" s="510" t="s">
        <v>467</v>
      </c>
      <c r="J192" t="b">
        <f>+tblContractBase[[#This Row],[Index]]=A191+1</f>
        <v>1</v>
      </c>
    </row>
    <row r="193" spans="1:10">
      <c r="A193" s="509">
        <v>192</v>
      </c>
      <c r="B193" s="516" t="s">
        <v>793</v>
      </c>
      <c r="C193" s="510" t="s">
        <v>570</v>
      </c>
      <c r="D193" s="511" t="s">
        <v>1469</v>
      </c>
      <c r="E193" s="512">
        <v>1</v>
      </c>
      <c r="F193" s="515"/>
      <c r="G193" s="510" t="s">
        <v>519</v>
      </c>
      <c r="J193" t="b">
        <f>+tblContractBase[[#This Row],[Index]]=A215+1</f>
        <v>0</v>
      </c>
    </row>
    <row r="194" spans="1:10">
      <c r="A194" s="509">
        <v>193</v>
      </c>
      <c r="B194" s="516" t="s">
        <v>793</v>
      </c>
      <c r="C194" s="510" t="s">
        <v>570</v>
      </c>
      <c r="D194" s="511" t="s">
        <v>1459</v>
      </c>
      <c r="E194" s="512">
        <v>1</v>
      </c>
      <c r="F194" s="515"/>
      <c r="G194" s="510" t="s">
        <v>467</v>
      </c>
      <c r="J194" t="b">
        <f>+tblContractBase[[#This Row],[Index]]=A216+1</f>
        <v>0</v>
      </c>
    </row>
    <row r="195" spans="1:10">
      <c r="A195" s="509">
        <v>194</v>
      </c>
      <c r="B195" s="516" t="s">
        <v>793</v>
      </c>
      <c r="C195" s="510" t="s">
        <v>583</v>
      </c>
      <c r="D195" s="511" t="s">
        <v>1460</v>
      </c>
      <c r="E195" s="512">
        <v>1</v>
      </c>
      <c r="F195" s="515"/>
      <c r="G195" s="510" t="s">
        <v>467</v>
      </c>
      <c r="J195" t="b">
        <f>+tblContractBase[[#This Row],[Index]]=A217+1</f>
        <v>0</v>
      </c>
    </row>
    <row r="196" spans="1:10" ht="30">
      <c r="A196" s="509">
        <v>195</v>
      </c>
      <c r="B196" s="516" t="s">
        <v>744</v>
      </c>
      <c r="C196" s="510" t="s">
        <v>1462</v>
      </c>
      <c r="D196" s="511" t="s">
        <v>1467</v>
      </c>
      <c r="E196" s="512">
        <v>0</v>
      </c>
      <c r="F196" s="515"/>
      <c r="G196" s="510" t="s">
        <v>747</v>
      </c>
      <c r="H196">
        <v>174</v>
      </c>
      <c r="J196" t="b">
        <f>+tblContractBase[[#This Row],[Index]]=A218+1</f>
        <v>0</v>
      </c>
    </row>
    <row r="197" spans="1:10">
      <c r="A197" s="509">
        <v>196</v>
      </c>
      <c r="B197" s="516" t="s">
        <v>744</v>
      </c>
      <c r="C197" s="510" t="s">
        <v>1463</v>
      </c>
      <c r="D197" s="511" t="s">
        <v>1464</v>
      </c>
      <c r="E197" s="512">
        <v>0</v>
      </c>
      <c r="F197" s="515"/>
      <c r="G197" s="510" t="s">
        <v>747</v>
      </c>
      <c r="H197">
        <v>195</v>
      </c>
      <c r="J197" t="b">
        <f>+tblContractBase[[#This Row],[Index]]=A219+1</f>
        <v>0</v>
      </c>
    </row>
    <row r="198" spans="1:10">
      <c r="A198" s="509">
        <v>197</v>
      </c>
      <c r="B198" s="516" t="s">
        <v>793</v>
      </c>
      <c r="C198" s="510" t="s">
        <v>560</v>
      </c>
      <c r="D198" s="511" t="s">
        <v>1479</v>
      </c>
      <c r="E198" s="512">
        <v>1</v>
      </c>
      <c r="F198" s="515"/>
      <c r="G198" s="510" t="s">
        <v>552</v>
      </c>
      <c r="J198" t="b">
        <f>+tblContractBase[[#This Row],[Index]]=A220+1</f>
        <v>0</v>
      </c>
    </row>
    <row r="199" spans="1:10">
      <c r="A199" s="509">
        <v>198</v>
      </c>
      <c r="B199" s="516" t="s">
        <v>793</v>
      </c>
      <c r="C199" s="510" t="s">
        <v>560</v>
      </c>
      <c r="D199" s="511" t="s">
        <v>1480</v>
      </c>
      <c r="E199" s="512">
        <v>1</v>
      </c>
      <c r="F199" s="515"/>
      <c r="G199" s="510" t="s">
        <v>552</v>
      </c>
      <c r="J199" t="b">
        <f>+tblContractBase[[#This Row],[Index]]=A221+1</f>
        <v>0</v>
      </c>
    </row>
    <row r="200" spans="1:10">
      <c r="A200" s="509">
        <v>199</v>
      </c>
      <c r="B200" s="516" t="s">
        <v>793</v>
      </c>
      <c r="C200" s="510" t="s">
        <v>560</v>
      </c>
      <c r="D200" s="511" t="s">
        <v>1483</v>
      </c>
      <c r="E200" s="512">
        <v>1</v>
      </c>
      <c r="F200" s="515"/>
      <c r="G200" s="510" t="s">
        <v>552</v>
      </c>
      <c r="J200" t="b">
        <f>+tblContractBase[[#This Row],[Index]]=A222+1</f>
        <v>0</v>
      </c>
    </row>
    <row r="201" spans="1:10">
      <c r="A201" s="509">
        <v>200</v>
      </c>
      <c r="B201" s="516" t="s">
        <v>793</v>
      </c>
      <c r="C201" s="510" t="s">
        <v>1452</v>
      </c>
      <c r="D201" s="511" t="s">
        <v>1486</v>
      </c>
      <c r="E201" s="512">
        <v>1</v>
      </c>
      <c r="F201" s="515"/>
      <c r="G201" s="510" t="s">
        <v>519</v>
      </c>
      <c r="J201" t="b">
        <f>+tblContractBase[[#This Row],[Index]]=A223+1</f>
        <v>0</v>
      </c>
    </row>
    <row r="202" spans="1:10">
      <c r="A202" s="509">
        <v>201</v>
      </c>
      <c r="B202" s="516" t="s">
        <v>170</v>
      </c>
      <c r="C202" s="510" t="s">
        <v>772</v>
      </c>
      <c r="D202" s="511" t="s">
        <v>1487</v>
      </c>
      <c r="E202" s="512">
        <v>1</v>
      </c>
      <c r="F202" s="515">
        <f>62.5*20</f>
        <v>1250</v>
      </c>
      <c r="G202" s="510" t="s">
        <v>552</v>
      </c>
      <c r="H202">
        <v>187</v>
      </c>
      <c r="J202" t="b">
        <f>+tblContractBase[[#This Row],[Index]]=A224+1</f>
        <v>0</v>
      </c>
    </row>
    <row r="203" spans="1:10" ht="30">
      <c r="A203" s="509">
        <v>202</v>
      </c>
      <c r="B203" s="516" t="s">
        <v>793</v>
      </c>
      <c r="C203" s="510"/>
      <c r="D203" s="511" t="s">
        <v>1488</v>
      </c>
      <c r="E203" s="512">
        <v>1</v>
      </c>
      <c r="F203" s="515"/>
      <c r="G203" s="510"/>
      <c r="J203" t="b">
        <f>+tblContractBase[[#This Row],[Index]]=A225+1</f>
        <v>0</v>
      </c>
    </row>
    <row r="204" spans="1:10" ht="30">
      <c r="A204" s="509">
        <v>203</v>
      </c>
      <c r="B204" s="516" t="s">
        <v>170</v>
      </c>
      <c r="C204" s="510" t="s">
        <v>772</v>
      </c>
      <c r="D204" s="511" t="s">
        <v>1498</v>
      </c>
      <c r="E204" s="512">
        <v>1</v>
      </c>
      <c r="F204" s="515">
        <f>62.5*18 +125</f>
        <v>1250</v>
      </c>
      <c r="G204" s="510" t="s">
        <v>552</v>
      </c>
      <c r="J204" t="b">
        <f>+tblContractBase[[#This Row],[Index]]=A226+1</f>
        <v>0</v>
      </c>
    </row>
    <row r="205" spans="1:10">
      <c r="A205" s="509">
        <v>204</v>
      </c>
      <c r="B205" s="516" t="s">
        <v>170</v>
      </c>
      <c r="C205" s="510" t="s">
        <v>772</v>
      </c>
      <c r="D205" s="511" t="s">
        <v>1499</v>
      </c>
      <c r="E205" s="512">
        <v>1</v>
      </c>
      <c r="F205" s="515">
        <f>718.75-125</f>
        <v>593.75</v>
      </c>
      <c r="G205" s="510" t="s">
        <v>552</v>
      </c>
      <c r="J205" t="b">
        <f>+tblContractBase[[#This Row],[Index]]=A227+1</f>
        <v>0</v>
      </c>
    </row>
    <row r="206" spans="1:10">
      <c r="A206" s="509">
        <v>205</v>
      </c>
      <c r="B206" s="516" t="s">
        <v>170</v>
      </c>
      <c r="C206" s="510" t="s">
        <v>772</v>
      </c>
      <c r="D206" s="511" t="s">
        <v>1506</v>
      </c>
      <c r="E206" s="512">
        <v>1</v>
      </c>
      <c r="F206" s="515">
        <f>18*62.5</f>
        <v>1125</v>
      </c>
      <c r="G206" s="510" t="s">
        <v>552</v>
      </c>
      <c r="J206" t="b">
        <f>+tblContractBase[[#This Row],[Index]]=A228+1</f>
        <v>0</v>
      </c>
    </row>
    <row r="207" spans="1:10">
      <c r="A207" s="509">
        <v>206</v>
      </c>
      <c r="B207" s="516" t="s">
        <v>793</v>
      </c>
      <c r="C207" s="510" t="s">
        <v>625</v>
      </c>
      <c r="D207" s="511" t="s">
        <v>1512</v>
      </c>
      <c r="E207" s="512">
        <v>1</v>
      </c>
      <c r="F207" s="513">
        <v>1450</v>
      </c>
      <c r="G207" s="510" t="s">
        <v>552</v>
      </c>
      <c r="J207" t="b">
        <f>+tblContractBase[[#This Row],[Index]]=A229+1</f>
        <v>0</v>
      </c>
    </row>
    <row r="208" spans="1:10">
      <c r="A208" s="509">
        <v>207</v>
      </c>
      <c r="B208" s="516" t="s">
        <v>793</v>
      </c>
      <c r="C208" s="510" t="s">
        <v>625</v>
      </c>
      <c r="D208" s="511" t="s">
        <v>1513</v>
      </c>
      <c r="E208" s="512">
        <v>1</v>
      </c>
      <c r="F208" s="513">
        <f>2*62.5</f>
        <v>125</v>
      </c>
      <c r="G208" s="510" t="s">
        <v>552</v>
      </c>
      <c r="J208" t="b">
        <f>+tblContractBase[[#This Row],[Index]]=A230+1</f>
        <v>0</v>
      </c>
    </row>
    <row r="209" spans="1:10">
      <c r="A209" s="509">
        <v>208</v>
      </c>
      <c r="B209" s="516" t="s">
        <v>793</v>
      </c>
      <c r="C209" s="510" t="s">
        <v>719</v>
      </c>
      <c r="D209" s="511" t="s">
        <v>1514</v>
      </c>
      <c r="E209" s="512">
        <v>1</v>
      </c>
      <c r="F209" s="513">
        <v>2000</v>
      </c>
      <c r="G209" s="510" t="s">
        <v>467</v>
      </c>
      <c r="J209" t="b">
        <f>+tblContractBase[[#This Row],[Index]]=A231+1</f>
        <v>0</v>
      </c>
    </row>
    <row r="210" spans="1:10">
      <c r="A210" s="509">
        <v>209</v>
      </c>
      <c r="B210" s="516" t="s">
        <v>793</v>
      </c>
      <c r="C210" s="510" t="s">
        <v>579</v>
      </c>
      <c r="D210" s="511" t="s">
        <v>1515</v>
      </c>
      <c r="E210" s="512">
        <v>1</v>
      </c>
      <c r="F210" s="513"/>
      <c r="G210" s="510" t="s">
        <v>519</v>
      </c>
      <c r="J210" t="b">
        <f>+tblContractBase[[#This Row],[Index]]=A232+1</f>
        <v>0</v>
      </c>
    </row>
    <row r="211" spans="1:10">
      <c r="A211" s="509">
        <v>210</v>
      </c>
      <c r="B211" s="516" t="s">
        <v>793</v>
      </c>
      <c r="C211" s="510" t="s">
        <v>579</v>
      </c>
      <c r="D211" s="511" t="s">
        <v>1517</v>
      </c>
      <c r="E211" s="512">
        <v>1</v>
      </c>
      <c r="F211" s="515">
        <v>1800</v>
      </c>
      <c r="G211" s="510" t="s">
        <v>467</v>
      </c>
      <c r="J211" t="b">
        <f>+tblContractBase[[#This Row],[Index]]=A233+1</f>
        <v>0</v>
      </c>
    </row>
    <row r="212" spans="1:10">
      <c r="A212" s="509">
        <v>211</v>
      </c>
      <c r="B212" s="516" t="s">
        <v>508</v>
      </c>
      <c r="C212" s="510" t="s">
        <v>772</v>
      </c>
      <c r="D212" s="511" t="s">
        <v>1521</v>
      </c>
      <c r="E212" s="512">
        <v>12</v>
      </c>
      <c r="F212" s="515">
        <v>62.5</v>
      </c>
      <c r="G212" s="510" t="s">
        <v>552</v>
      </c>
      <c r="J212" t="b">
        <f>+tblContractBase[[#This Row],[Index]]=A234+1</f>
        <v>0</v>
      </c>
    </row>
    <row r="213" spans="1:10">
      <c r="A213" s="509">
        <v>212</v>
      </c>
      <c r="B213" s="516" t="s">
        <v>793</v>
      </c>
      <c r="C213" s="510"/>
      <c r="D213" s="511"/>
      <c r="E213" s="512"/>
      <c r="F213" s="515"/>
      <c r="G213" s="510"/>
      <c r="J213" t="b">
        <f>+tblContractBase[[#This Row],[Index]]=A235+1</f>
        <v>0</v>
      </c>
    </row>
    <row r="214" spans="1:10">
      <c r="A214" s="509">
        <v>213</v>
      </c>
      <c r="B214" s="516" t="s">
        <v>793</v>
      </c>
      <c r="C214" s="510"/>
      <c r="D214" s="511"/>
      <c r="E214" s="512"/>
      <c r="F214" s="515"/>
      <c r="G214" s="510"/>
    </row>
  </sheetData>
  <dataValidations count="5">
    <dataValidation type="custom" allowBlank="1" showInputMessage="1" showErrorMessage="1" error="Bad Index" sqref="A217:A1048576 A1:A148" xr:uid="{C9E12F60-EF0E-470C-B3C2-58B7A71C2F5B}">
      <formula1>AND(A2&lt;&gt;"", COUNTIF($A:$A, A2)=1)</formula1>
    </dataValidation>
    <dataValidation type="custom" allowBlank="1" showInputMessage="1" showErrorMessage="1" error="Bad Index" sqref="A176:A177 A153:A174 A150" xr:uid="{93FF7FFA-DE27-4195-BFF1-0C0787B05E53}">
      <formula1>AND(A152&lt;&gt;"", COUNTIF($A:$A, A152)=1)</formula1>
    </dataValidation>
    <dataValidation type="custom" allowBlank="1" showInputMessage="1" showErrorMessage="1" error="Bad Index" sqref="A182:A186" xr:uid="{AA7FB366-E514-45D1-A84D-2CAC0B4995CD}">
      <formula1>AND(A215&lt;&gt;"", COUNTIF($A:$A, A215)=1)</formula1>
    </dataValidation>
    <dataValidation type="custom" allowBlank="1" showInputMessage="1" showErrorMessage="1" error="Bad Index" sqref="A149" xr:uid="{6D184BBD-653A-4AA1-AF03-21A7B087F1E1}">
      <formula1>AND(A159&lt;&gt;"", COUNTIF($A:$A, A159)=1)</formula1>
    </dataValidation>
    <dataValidation type="custom" allowBlank="1" showInputMessage="1" showErrorMessage="1" error="Bad Index" sqref="A187:A190" xr:uid="{B2A2D9BE-7C34-466E-BB29-E5484BDCB669}">
      <formula1>AND(A219&lt;&gt;"", COUNTIF($A:$A, A219)=1)</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E8E35-EE53-4F13-B657-BCBC93C1E597}">
  <sheetPr codeName="Sheet33">
    <tabColor rgb="FFFFC000"/>
  </sheetPr>
  <dimension ref="A1:Q33"/>
  <sheetViews>
    <sheetView workbookViewId="0">
      <selection activeCell="Q30" sqref="Q30"/>
    </sheetView>
  </sheetViews>
  <sheetFormatPr defaultRowHeight="15"/>
  <cols>
    <col min="1" max="1" width="8.28515625" bestFit="1" customWidth="1"/>
    <col min="2" max="2" width="14" bestFit="1" customWidth="1"/>
    <col min="3" max="3" width="15.28515625" bestFit="1" customWidth="1"/>
    <col min="4" max="4" width="62.140625" bestFit="1" customWidth="1"/>
    <col min="5" max="5" width="6.42578125" bestFit="1" customWidth="1"/>
    <col min="6" max="6" width="12" bestFit="1" customWidth="1"/>
    <col min="7" max="7" width="11.28515625" bestFit="1" customWidth="1"/>
    <col min="8" max="8" width="14.42578125" bestFit="1" customWidth="1"/>
    <col min="9" max="9" width="13.42578125" bestFit="1" customWidth="1"/>
    <col min="10" max="10" width="8.5703125" style="527" bestFit="1" customWidth="1"/>
    <col min="11" max="11" width="10.85546875" bestFit="1" customWidth="1"/>
    <col min="12" max="12" width="8.85546875" bestFit="1" customWidth="1"/>
    <col min="13" max="13" width="7.42578125" bestFit="1" customWidth="1"/>
    <col min="14" max="14" width="8" bestFit="1" customWidth="1"/>
    <col min="15" max="15" width="7.140625" bestFit="1" customWidth="1"/>
    <col min="16" max="16" width="8.5703125" bestFit="1" customWidth="1"/>
    <col min="17" max="18" width="6.85546875" bestFit="1" customWidth="1"/>
  </cols>
  <sheetData>
    <row r="1" spans="1:17">
      <c r="A1" t="s">
        <v>509</v>
      </c>
      <c r="B1" t="s">
        <v>510</v>
      </c>
      <c r="C1" t="s">
        <v>511</v>
      </c>
      <c r="D1" t="s">
        <v>512</v>
      </c>
      <c r="E1" t="s">
        <v>513</v>
      </c>
      <c r="F1" t="s">
        <v>514</v>
      </c>
      <c r="G1" t="s">
        <v>515</v>
      </c>
      <c r="H1" t="s">
        <v>516</v>
      </c>
      <c r="I1" t="s">
        <v>783</v>
      </c>
      <c r="J1" s="527" t="s">
        <v>784</v>
      </c>
      <c r="K1" t="s">
        <v>785</v>
      </c>
      <c r="L1" t="s">
        <v>786</v>
      </c>
      <c r="M1" t="s">
        <v>787</v>
      </c>
      <c r="N1" t="s">
        <v>788</v>
      </c>
      <c r="O1" t="s">
        <v>789</v>
      </c>
      <c r="P1" t="s">
        <v>457</v>
      </c>
      <c r="Q1" t="s">
        <v>790</v>
      </c>
    </row>
    <row r="2" spans="1:17">
      <c r="A2">
        <v>149</v>
      </c>
      <c r="B2" t="s">
        <v>744</v>
      </c>
      <c r="C2" t="s">
        <v>745</v>
      </c>
      <c r="D2" t="s">
        <v>746</v>
      </c>
      <c r="E2">
        <v>0</v>
      </c>
      <c r="F2">
        <v>0</v>
      </c>
      <c r="G2" t="s">
        <v>747</v>
      </c>
      <c r="H2">
        <v>149</v>
      </c>
      <c r="J2" s="527">
        <f>IFERROR(_xlfn.XLOOKUP(tblContractDependency[[#This Row],[Index]], Contract_Edits[Index], Contract_Edits[Order]), tblContractDependency[[#This Row],[Order]])</f>
        <v>5.01</v>
      </c>
      <c r="K2" t="str">
        <f>IFERROR(_xlfn.XLOOKUP(tblContractDependency[[#This Row],[Index]], Contract_Edits[Index], Contract_Edits[Approve]), tblContractDependency[[#This Row],[Approve]])</f>
        <v>Yes</v>
      </c>
      <c r="L2">
        <f>IFERROR(_xlfn.XLOOKUP(tblContractDependency[[#This Row],[Index]], Contract_Edits[Index], Contract_Edits[Group]), tblContractDependency[[#This Row],[Group]])</f>
        <v>1</v>
      </c>
      <c r="M2" s="11">
        <f>IFERROR( _xlfn.XLOOKUP(tblContractDependency[[#This Row],[Index]], Contract_Edits[Index],Contract_Edits[Days]), 1)</f>
        <v>1</v>
      </c>
      <c r="N2" t="str">
        <f>IFERROR(_xlfn.XLOOKUP(tblContractDependency[[#This Row],[Index]], Contract_Edits[Index], Contract_Edits[Done],), "No")</f>
        <v>No</v>
      </c>
      <c r="O2">
        <f>IFERROR(_xlfn.XLOOKUP(tblContractDependency[[#This Row],[Index]], Contract_Edits[Index], Contract_Edits[Paid]), 0)</f>
        <v>0</v>
      </c>
      <c r="P2" t="str">
        <f>IFERROR(_xlfn.XLOOKUP(tblContractDependency[[#This Row],[Index]], Contract_Edits[Index], Contract_Edits[Notes]), 0)</f>
        <v/>
      </c>
      <c r="Q2">
        <f>+tblContractDependency[[#This Row],[Dependency]]</f>
        <v>149</v>
      </c>
    </row>
    <row r="3" spans="1:17">
      <c r="A3">
        <v>150</v>
      </c>
      <c r="B3" t="s">
        <v>744</v>
      </c>
      <c r="C3" t="s">
        <v>745</v>
      </c>
      <c r="D3" t="s">
        <v>779</v>
      </c>
      <c r="E3">
        <v>0</v>
      </c>
      <c r="F3">
        <v>0</v>
      </c>
      <c r="G3" t="s">
        <v>747</v>
      </c>
      <c r="H3">
        <v>149</v>
      </c>
      <c r="J3" s="527">
        <f>IFERROR(_xlfn.XLOOKUP(tblContractDependency[[#This Row],[Index]], Contract_Edits[Index], Contract_Edits[Order]), tblContractDependency[[#This Row],[Order]])</f>
        <v>75.010000000000005</v>
      </c>
      <c r="K3" t="str">
        <f>IFERROR(_xlfn.XLOOKUP(tblContractDependency[[#This Row],[Index]], Contract_Edits[Index], Contract_Edits[Approve]), tblContractDependency[[#This Row],[Approve]])</f>
        <v>Yes</v>
      </c>
      <c r="L3">
        <f>IFERROR(_xlfn.XLOOKUP(tblContractDependency[[#This Row],[Index]], Contract_Edits[Index], Contract_Edits[Group]), tblContractDependency[[#This Row],[Group]])</f>
        <v>1</v>
      </c>
      <c r="M3" s="11">
        <f>IFERROR( _xlfn.XLOOKUP(tblContractDependency[[#This Row],[Index]], Contract_Edits[Index],Contract_Edits[Days]), 1)</f>
        <v>0</v>
      </c>
      <c r="N3">
        <f>IFERROR(_xlfn.XLOOKUP(tblContractDependency[[#This Row],[Index]], Contract_Edits[Index], Contract_Edits[Done],), "No")</f>
        <v>0</v>
      </c>
      <c r="O3">
        <f>IFERROR(_xlfn.XLOOKUP(tblContractDependency[[#This Row],[Index]], Contract_Edits[Index], Contract_Edits[Paid]), 0)</f>
        <v>0</v>
      </c>
      <c r="P3" t="str">
        <f>IFERROR(_xlfn.XLOOKUP(tblContractDependency[[#This Row],[Index]], Contract_Edits[Index], Contract_Edits[Notes]), 0)</f>
        <v/>
      </c>
      <c r="Q3">
        <f>+tblContractDependency[[#This Row],[Dependency]]</f>
        <v>149</v>
      </c>
    </row>
    <row r="4" spans="1:17">
      <c r="A4">
        <v>151</v>
      </c>
      <c r="B4" t="s">
        <v>744</v>
      </c>
      <c r="C4" t="s">
        <v>560</v>
      </c>
      <c r="D4" t="s">
        <v>560</v>
      </c>
      <c r="E4">
        <v>0</v>
      </c>
      <c r="F4">
        <v>0</v>
      </c>
      <c r="G4" t="s">
        <v>747</v>
      </c>
      <c r="H4">
        <v>149</v>
      </c>
      <c r="J4" s="527">
        <f>IFERROR(_xlfn.XLOOKUP(tblContractDependency[[#This Row],[Index]], Contract_Edits[Index], Contract_Edits[Order]), tblContractDependency[[#This Row],[Order]])</f>
        <v>15.02</v>
      </c>
      <c r="K4" t="str">
        <f>IFERROR(_xlfn.XLOOKUP(tblContractDependency[[#This Row],[Index]], Contract_Edits[Index], Contract_Edits[Approve]), tblContractDependency[[#This Row],[Approve]])</f>
        <v>Yes</v>
      </c>
      <c r="L4">
        <f>IFERROR(_xlfn.XLOOKUP(tblContractDependency[[#This Row],[Index]], Contract_Edits[Index], Contract_Edits[Group]), tblContractDependency[[#This Row],[Group]])</f>
        <v>1</v>
      </c>
      <c r="M4" s="11">
        <f>IFERROR( _xlfn.XLOOKUP(tblContractDependency[[#This Row],[Index]], Contract_Edits[Index],Contract_Edits[Days]), 1)</f>
        <v>0</v>
      </c>
      <c r="N4">
        <f>IFERROR(_xlfn.XLOOKUP(tblContractDependency[[#This Row],[Index]], Contract_Edits[Index], Contract_Edits[Done],), "No")</f>
        <v>0</v>
      </c>
      <c r="O4">
        <f>IFERROR(_xlfn.XLOOKUP(tblContractDependency[[#This Row],[Index]], Contract_Edits[Index], Contract_Edits[Paid]), 0)</f>
        <v>0</v>
      </c>
      <c r="P4">
        <f>IFERROR(_xlfn.XLOOKUP(tblContractDependency[[#This Row],[Index]], Contract_Edits[Index], Contract_Edits[Notes]), 0)</f>
        <v>0</v>
      </c>
      <c r="Q4">
        <f>+tblContractDependency[[#This Row],[Dependency]]</f>
        <v>149</v>
      </c>
    </row>
    <row r="5" spans="1:17">
      <c r="A5">
        <v>180</v>
      </c>
      <c r="B5" t="s">
        <v>744</v>
      </c>
      <c r="C5" t="s">
        <v>748</v>
      </c>
      <c r="D5" t="s">
        <v>749</v>
      </c>
      <c r="E5">
        <v>0</v>
      </c>
      <c r="F5">
        <v>0</v>
      </c>
      <c r="G5" t="s">
        <v>747</v>
      </c>
      <c r="H5">
        <v>150</v>
      </c>
      <c r="J5" s="527">
        <f>IFERROR(_xlfn.XLOOKUP(tblContractDependency[[#This Row],[Index]], Contract_Edits[Index], Contract_Edits[Order]), tblContractDependency[[#This Row],[Order]])</f>
        <v>85.02</v>
      </c>
      <c r="K5" t="str">
        <f>IFERROR(_xlfn.XLOOKUP(tblContractDependency[[#This Row],[Index]], Contract_Edits[Index], Contract_Edits[Approve]), tblContractDependency[[#This Row],[Approve]])</f>
        <v>Yes</v>
      </c>
      <c r="L5">
        <f>IFERROR(_xlfn.XLOOKUP(tblContractDependency[[#This Row],[Index]], Contract_Edits[Index], Contract_Edits[Group]), tblContractDependency[[#This Row],[Group]])</f>
        <v>1</v>
      </c>
      <c r="M5" s="11">
        <f>IFERROR( _xlfn.XLOOKUP(tblContractDependency[[#This Row],[Index]], Contract_Edits[Index],Contract_Edits[Days]), 1)</f>
        <v>0</v>
      </c>
      <c r="N5">
        <f>IFERROR(_xlfn.XLOOKUP(tblContractDependency[[#This Row],[Index]], Contract_Edits[Index], Contract_Edits[Done],), "No")</f>
        <v>0</v>
      </c>
      <c r="O5">
        <f>IFERROR(_xlfn.XLOOKUP(tblContractDependency[[#This Row],[Index]], Contract_Edits[Index], Contract_Edits[Paid]), 0)</f>
        <v>0</v>
      </c>
      <c r="P5">
        <f>IFERROR(_xlfn.XLOOKUP(tblContractDependency[[#This Row],[Index]], Contract_Edits[Index], Contract_Edits[Notes]), 0)</f>
        <v>0</v>
      </c>
      <c r="Q5">
        <f>+tblContractDependency[[#This Row],[Dependency]]</f>
        <v>150</v>
      </c>
    </row>
    <row r="6" spans="1:17">
      <c r="A6">
        <v>152</v>
      </c>
      <c r="B6" t="s">
        <v>744</v>
      </c>
      <c r="C6" t="s">
        <v>568</v>
      </c>
      <c r="D6" t="s">
        <v>750</v>
      </c>
      <c r="E6">
        <v>0</v>
      </c>
      <c r="F6">
        <v>0</v>
      </c>
      <c r="G6" t="s">
        <v>747</v>
      </c>
      <c r="H6">
        <v>151</v>
      </c>
      <c r="J6" s="527">
        <f>IFERROR(_xlfn.XLOOKUP(tblContractDependency[[#This Row],[Index]], Contract_Edits[Index], Contract_Edits[Order]), tblContractDependency[[#This Row],[Order]])</f>
        <v>25.01</v>
      </c>
      <c r="K6" t="str">
        <f>IFERROR(_xlfn.XLOOKUP(tblContractDependency[[#This Row],[Index]], Contract_Edits[Index], Contract_Edits[Approve]), tblContractDependency[[#This Row],[Approve]])</f>
        <v>Yes</v>
      </c>
      <c r="L6">
        <f>IFERROR(_xlfn.XLOOKUP(tblContractDependency[[#This Row],[Index]], Contract_Edits[Index], Contract_Edits[Group]), tblContractDependency[[#This Row],[Group]])</f>
        <v>1</v>
      </c>
      <c r="M6" s="11">
        <f>IFERROR( _xlfn.XLOOKUP(tblContractDependency[[#This Row],[Index]], Contract_Edits[Index],Contract_Edits[Days]), 1)</f>
        <v>0</v>
      </c>
      <c r="N6">
        <f>IFERROR(_xlfn.XLOOKUP(tblContractDependency[[#This Row],[Index]], Contract_Edits[Index], Contract_Edits[Done],), "No")</f>
        <v>0</v>
      </c>
      <c r="O6">
        <f>IFERROR(_xlfn.XLOOKUP(tblContractDependency[[#This Row],[Index]], Contract_Edits[Index], Contract_Edits[Paid]), 0)</f>
        <v>0</v>
      </c>
      <c r="P6">
        <f>IFERROR(_xlfn.XLOOKUP(tblContractDependency[[#This Row],[Index]], Contract_Edits[Index], Contract_Edits[Notes]), 0)</f>
        <v>0</v>
      </c>
      <c r="Q6">
        <f>+tblContractDependency[[#This Row],[Dependency]]</f>
        <v>151</v>
      </c>
    </row>
    <row r="7" spans="1:17">
      <c r="A7">
        <v>153</v>
      </c>
      <c r="B7" t="s">
        <v>744</v>
      </c>
      <c r="C7" t="s">
        <v>751</v>
      </c>
      <c r="D7" t="s">
        <v>752</v>
      </c>
      <c r="E7">
        <v>0</v>
      </c>
      <c r="F7">
        <v>0</v>
      </c>
      <c r="G7" t="s">
        <v>747</v>
      </c>
      <c r="H7">
        <v>152</v>
      </c>
      <c r="J7" s="527">
        <f>IFERROR(_xlfn.XLOOKUP(tblContractDependency[[#This Row],[Index]], Contract_Edits[Index], Contract_Edits[Order]), tblContractDependency[[#This Row],[Order]])</f>
        <v>35.01</v>
      </c>
      <c r="K7" t="str">
        <f>IFERROR(_xlfn.XLOOKUP(tblContractDependency[[#This Row],[Index]], Contract_Edits[Index], Contract_Edits[Approve]), tblContractDependency[[#This Row],[Approve]])</f>
        <v>Yes</v>
      </c>
      <c r="L7">
        <f>IFERROR(_xlfn.XLOOKUP(tblContractDependency[[#This Row],[Index]], Contract_Edits[Index], Contract_Edits[Group]), tblContractDependency[[#This Row],[Group]])</f>
        <v>1</v>
      </c>
      <c r="M7" s="11">
        <f>IFERROR( _xlfn.XLOOKUP(tblContractDependency[[#This Row],[Index]], Contract_Edits[Index],Contract_Edits[Days]), 1)</f>
        <v>0</v>
      </c>
      <c r="N7">
        <f>IFERROR(_xlfn.XLOOKUP(tblContractDependency[[#This Row],[Index]], Contract_Edits[Index], Contract_Edits[Done],), "No")</f>
        <v>0</v>
      </c>
      <c r="O7">
        <f>IFERROR(_xlfn.XLOOKUP(tblContractDependency[[#This Row],[Index]], Contract_Edits[Index], Contract_Edits[Paid]), 0)</f>
        <v>0</v>
      </c>
      <c r="P7">
        <f>IFERROR(_xlfn.XLOOKUP(tblContractDependency[[#This Row],[Index]], Contract_Edits[Index], Contract_Edits[Notes]), 0)</f>
        <v>0</v>
      </c>
      <c r="Q7">
        <f>+tblContractDependency[[#This Row],[Dependency]]</f>
        <v>152</v>
      </c>
    </row>
    <row r="8" spans="1:17">
      <c r="A8">
        <v>154</v>
      </c>
      <c r="B8" t="s">
        <v>744</v>
      </c>
      <c r="C8" t="s">
        <v>688</v>
      </c>
      <c r="D8" t="s">
        <v>753</v>
      </c>
      <c r="E8">
        <v>0</v>
      </c>
      <c r="F8">
        <v>0</v>
      </c>
      <c r="G8" t="s">
        <v>747</v>
      </c>
      <c r="H8">
        <v>153</v>
      </c>
      <c r="J8" s="527">
        <f>IFERROR(_xlfn.XLOOKUP(tblContractDependency[[#This Row],[Index]], Contract_Edits[Index], Contract_Edits[Order]), tblContractDependency[[#This Row],[Order]])</f>
        <v>45.01</v>
      </c>
      <c r="K8" t="str">
        <f>IFERROR(_xlfn.XLOOKUP(tblContractDependency[[#This Row],[Index]], Contract_Edits[Index], Contract_Edits[Approve]), tblContractDependency[[#This Row],[Approve]])</f>
        <v>Yes</v>
      </c>
      <c r="L8">
        <f>IFERROR(_xlfn.XLOOKUP(tblContractDependency[[#This Row],[Index]], Contract_Edits[Index], Contract_Edits[Group]), tblContractDependency[[#This Row],[Group]])</f>
        <v>1</v>
      </c>
      <c r="M8" s="11">
        <f>IFERROR( _xlfn.XLOOKUP(tblContractDependency[[#This Row],[Index]], Contract_Edits[Index],Contract_Edits[Days]), 1)</f>
        <v>0</v>
      </c>
      <c r="N8">
        <f>IFERROR(_xlfn.XLOOKUP(tblContractDependency[[#This Row],[Index]], Contract_Edits[Index], Contract_Edits[Done],), "No")</f>
        <v>0</v>
      </c>
      <c r="O8">
        <f>IFERROR(_xlfn.XLOOKUP(tblContractDependency[[#This Row],[Index]], Contract_Edits[Index], Contract_Edits[Paid]), 0)</f>
        <v>0</v>
      </c>
      <c r="P8">
        <f>IFERROR(_xlfn.XLOOKUP(tblContractDependency[[#This Row],[Index]], Contract_Edits[Index], Contract_Edits[Notes]), 0)</f>
        <v>0</v>
      </c>
      <c r="Q8">
        <f>+tblContractDependency[[#This Row],[Dependency]]</f>
        <v>153</v>
      </c>
    </row>
    <row r="9" spans="1:17">
      <c r="A9">
        <v>181</v>
      </c>
      <c r="B9" t="s">
        <v>744</v>
      </c>
      <c r="C9" t="s">
        <v>550</v>
      </c>
      <c r="D9" t="s">
        <v>780</v>
      </c>
      <c r="E9">
        <v>0</v>
      </c>
      <c r="F9">
        <v>0</v>
      </c>
      <c r="G9" t="s">
        <v>747</v>
      </c>
      <c r="H9">
        <v>153</v>
      </c>
      <c r="J9" s="527">
        <f>IFERROR(_xlfn.XLOOKUP(tblContractDependency[[#This Row],[Index]], Contract_Edits[Index], Contract_Edits[Order]), tblContractDependency[[#This Row],[Order]])</f>
        <v>45.02</v>
      </c>
      <c r="K9" t="str">
        <f>IFERROR(_xlfn.XLOOKUP(tblContractDependency[[#This Row],[Index]], Contract_Edits[Index], Contract_Edits[Approve]), tblContractDependency[[#This Row],[Approve]])</f>
        <v>Yes</v>
      </c>
      <c r="L9">
        <f>IFERROR(_xlfn.XLOOKUP(tblContractDependency[[#This Row],[Index]], Contract_Edits[Index], Contract_Edits[Group]), tblContractDependency[[#This Row],[Group]])</f>
        <v>1</v>
      </c>
      <c r="M9" s="11">
        <f>IFERROR( _xlfn.XLOOKUP(tblContractDependency[[#This Row],[Index]], Contract_Edits[Index],Contract_Edits[Days]), 1)</f>
        <v>0</v>
      </c>
      <c r="N9" t="str">
        <f>IFERROR(_xlfn.XLOOKUP(tblContractDependency[[#This Row],[Index]], Contract_Edits[Index], Contract_Edits[Done],), "No")</f>
        <v>No</v>
      </c>
      <c r="O9">
        <f>IFERROR(_xlfn.XLOOKUP(tblContractDependency[[#This Row],[Index]], Contract_Edits[Index], Contract_Edits[Paid]), 0)</f>
        <v>0</v>
      </c>
      <c r="P9">
        <f>IFERROR(_xlfn.XLOOKUP(tblContractDependency[[#This Row],[Index]], Contract_Edits[Index], Contract_Edits[Notes]), 0)</f>
        <v>0</v>
      </c>
      <c r="Q9">
        <f>+tblContractDependency[[#This Row],[Dependency]]</f>
        <v>153</v>
      </c>
    </row>
    <row r="10" spans="1:17">
      <c r="A10">
        <v>156</v>
      </c>
      <c r="B10" t="s">
        <v>744</v>
      </c>
      <c r="C10" t="s">
        <v>665</v>
      </c>
      <c r="D10" t="s">
        <v>755</v>
      </c>
      <c r="E10">
        <v>0</v>
      </c>
      <c r="F10">
        <v>0</v>
      </c>
      <c r="G10" t="s">
        <v>747</v>
      </c>
      <c r="H10">
        <v>154</v>
      </c>
      <c r="J10" s="527">
        <f>IFERROR(_xlfn.XLOOKUP(tblContractDependency[[#This Row],[Index]], Contract_Edits[Index], Contract_Edits[Order]), tblContractDependency[[#This Row],[Order]])</f>
        <v>55.01</v>
      </c>
      <c r="K10" t="str">
        <f>IFERROR(_xlfn.XLOOKUP(tblContractDependency[[#This Row],[Index]], Contract_Edits[Index], Contract_Edits[Approve]), tblContractDependency[[#This Row],[Approve]])</f>
        <v>Yes</v>
      </c>
      <c r="L10">
        <f>IFERROR(_xlfn.XLOOKUP(tblContractDependency[[#This Row],[Index]], Contract_Edits[Index], Contract_Edits[Group]), tblContractDependency[[#This Row],[Group]])</f>
        <v>0</v>
      </c>
      <c r="M10" s="11">
        <f>IFERROR( _xlfn.XLOOKUP(tblContractDependency[[#This Row],[Index]], Contract_Edits[Index],Contract_Edits[Days]), 1)</f>
        <v>0</v>
      </c>
      <c r="N10">
        <f>IFERROR(_xlfn.XLOOKUP(tblContractDependency[[#This Row],[Index]], Contract_Edits[Index], Contract_Edits[Done],), "No")</f>
        <v>0</v>
      </c>
      <c r="O10">
        <f>IFERROR(_xlfn.XLOOKUP(tblContractDependency[[#This Row],[Index]], Contract_Edits[Index], Contract_Edits[Paid]), 0)</f>
        <v>0</v>
      </c>
      <c r="P10">
        <f>IFERROR(_xlfn.XLOOKUP(tblContractDependency[[#This Row],[Index]], Contract_Edits[Index], Contract_Edits[Notes]), 0)</f>
        <v>0</v>
      </c>
      <c r="Q10">
        <f>+tblContractDependency[[#This Row],[Dependency]]</f>
        <v>154</v>
      </c>
    </row>
    <row r="11" spans="1:17">
      <c r="A11">
        <v>158</v>
      </c>
      <c r="B11" t="s">
        <v>744</v>
      </c>
      <c r="C11" t="s">
        <v>756</v>
      </c>
      <c r="D11" t="s">
        <v>594</v>
      </c>
      <c r="E11">
        <v>0</v>
      </c>
      <c r="F11">
        <v>0</v>
      </c>
      <c r="G11" t="s">
        <v>747</v>
      </c>
      <c r="H11">
        <v>155</v>
      </c>
      <c r="J11" s="527">
        <f>IFERROR(_xlfn.XLOOKUP(tblContractDependency[[#This Row],[Index]], Contract_Edits[Index], Contract_Edits[Order]), tblContractDependency[[#This Row],[Order]])</f>
        <v>75.03</v>
      </c>
      <c r="K11" t="str">
        <f>IFERROR(_xlfn.XLOOKUP(tblContractDependency[[#This Row],[Index]], Contract_Edits[Index], Contract_Edits[Approve]), tblContractDependency[[#This Row],[Approve]])</f>
        <v>Yes</v>
      </c>
      <c r="L11">
        <f>IFERROR(_xlfn.XLOOKUP(tblContractDependency[[#This Row],[Index]], Contract_Edits[Index], Contract_Edits[Group]), tblContractDependency[[#This Row],[Group]])</f>
        <v>1</v>
      </c>
      <c r="M11" s="11">
        <f>IFERROR( _xlfn.XLOOKUP(tblContractDependency[[#This Row],[Index]], Contract_Edits[Index],Contract_Edits[Days]), 1)</f>
        <v>0</v>
      </c>
      <c r="N11">
        <f>IFERROR(_xlfn.XLOOKUP(tblContractDependency[[#This Row],[Index]], Contract_Edits[Index], Contract_Edits[Done],), "No")</f>
        <v>0</v>
      </c>
      <c r="O11">
        <f>IFERROR(_xlfn.XLOOKUP(tblContractDependency[[#This Row],[Index]], Contract_Edits[Index], Contract_Edits[Paid]), 0)</f>
        <v>0</v>
      </c>
      <c r="P11">
        <f>IFERROR(_xlfn.XLOOKUP(tblContractDependency[[#This Row],[Index]], Contract_Edits[Index], Contract_Edits[Notes]), 0)</f>
        <v>0</v>
      </c>
      <c r="Q11">
        <f>+tblContractDependency[[#This Row],[Dependency]]</f>
        <v>155</v>
      </c>
    </row>
    <row r="12" spans="1:17">
      <c r="A12">
        <v>159</v>
      </c>
      <c r="B12" t="s">
        <v>744</v>
      </c>
      <c r="C12" t="s">
        <v>756</v>
      </c>
      <c r="D12" t="s">
        <v>527</v>
      </c>
      <c r="E12">
        <v>0</v>
      </c>
      <c r="F12">
        <v>0</v>
      </c>
      <c r="G12" t="s">
        <v>747</v>
      </c>
      <c r="H12">
        <v>155</v>
      </c>
      <c r="J12" s="527">
        <f>IFERROR(_xlfn.XLOOKUP(tblContractDependency[[#This Row],[Index]], Contract_Edits[Index], Contract_Edits[Order]), tblContractDependency[[#This Row],[Order]])</f>
        <v>75.040000000000006</v>
      </c>
      <c r="K12" t="str">
        <f>IFERROR(_xlfn.XLOOKUP(tblContractDependency[[#This Row],[Index]], Contract_Edits[Index], Contract_Edits[Approve]), tblContractDependency[[#This Row],[Approve]])</f>
        <v>Yes</v>
      </c>
      <c r="L12">
        <f>IFERROR(_xlfn.XLOOKUP(tblContractDependency[[#This Row],[Index]], Contract_Edits[Index], Contract_Edits[Group]), tblContractDependency[[#This Row],[Group]])</f>
        <v>1</v>
      </c>
      <c r="M12" s="11">
        <f>IFERROR( _xlfn.XLOOKUP(tblContractDependency[[#This Row],[Index]], Contract_Edits[Index],Contract_Edits[Days]), 1)</f>
        <v>0</v>
      </c>
      <c r="N12">
        <f>IFERROR(_xlfn.XLOOKUP(tblContractDependency[[#This Row],[Index]], Contract_Edits[Index], Contract_Edits[Done],), "No")</f>
        <v>0</v>
      </c>
      <c r="O12">
        <f>IFERROR(_xlfn.XLOOKUP(tblContractDependency[[#This Row],[Index]], Contract_Edits[Index], Contract_Edits[Paid]), 0)</f>
        <v>0</v>
      </c>
      <c r="P12">
        <f>IFERROR(_xlfn.XLOOKUP(tblContractDependency[[#This Row],[Index]], Contract_Edits[Index], Contract_Edits[Notes]), 0)</f>
        <v>0</v>
      </c>
      <c r="Q12">
        <f>+tblContractDependency[[#This Row],[Dependency]]</f>
        <v>155</v>
      </c>
    </row>
    <row r="13" spans="1:17">
      <c r="A13">
        <v>157</v>
      </c>
      <c r="B13" t="s">
        <v>744</v>
      </c>
      <c r="C13" t="s">
        <v>756</v>
      </c>
      <c r="D13" t="s">
        <v>568</v>
      </c>
      <c r="E13">
        <v>0</v>
      </c>
      <c r="F13">
        <v>0</v>
      </c>
      <c r="G13" t="s">
        <v>747</v>
      </c>
      <c r="H13">
        <v>155</v>
      </c>
      <c r="J13" s="527">
        <f>IFERROR(_xlfn.XLOOKUP(tblContractDependency[[#This Row],[Index]], Contract_Edits[Index], Contract_Edits[Order]), tblContractDependency[[#This Row],[Order]])</f>
        <v>75.02</v>
      </c>
      <c r="K13" t="str">
        <f>IFERROR(_xlfn.XLOOKUP(tblContractDependency[[#This Row],[Index]], Contract_Edits[Index], Contract_Edits[Approve]), tblContractDependency[[#This Row],[Approve]])</f>
        <v>Yes</v>
      </c>
      <c r="L13">
        <f>IFERROR(_xlfn.XLOOKUP(tblContractDependency[[#This Row],[Index]], Contract_Edits[Index], Contract_Edits[Group]), tblContractDependency[[#This Row],[Group]])</f>
        <v>1</v>
      </c>
      <c r="M13" s="11">
        <f>IFERROR( _xlfn.XLOOKUP(tblContractDependency[[#This Row],[Index]], Contract_Edits[Index],Contract_Edits[Days]), 1)</f>
        <v>0</v>
      </c>
      <c r="N13">
        <f>IFERROR(_xlfn.XLOOKUP(tblContractDependency[[#This Row],[Index]], Contract_Edits[Index], Contract_Edits[Done],), "No")</f>
        <v>0</v>
      </c>
      <c r="O13">
        <f>IFERROR(_xlfn.XLOOKUP(tblContractDependency[[#This Row],[Index]], Contract_Edits[Index], Contract_Edits[Paid]), 0)</f>
        <v>0</v>
      </c>
      <c r="P13">
        <f>IFERROR(_xlfn.XLOOKUP(tblContractDependency[[#This Row],[Index]], Contract_Edits[Index], Contract_Edits[Notes]), 0)</f>
        <v>0</v>
      </c>
      <c r="Q13">
        <f>+tblContractDependency[[#This Row],[Dependency]]</f>
        <v>155</v>
      </c>
    </row>
    <row r="14" spans="1:17">
      <c r="A14">
        <v>155</v>
      </c>
      <c r="B14" t="s">
        <v>744</v>
      </c>
      <c r="C14" t="s">
        <v>550</v>
      </c>
      <c r="D14" t="s">
        <v>754</v>
      </c>
      <c r="E14">
        <v>0</v>
      </c>
      <c r="F14">
        <v>0</v>
      </c>
      <c r="G14" t="s">
        <v>747</v>
      </c>
      <c r="H14">
        <v>156</v>
      </c>
      <c r="J14" s="527">
        <f>IFERROR(_xlfn.XLOOKUP(tblContractDependency[[#This Row],[Index]], Contract_Edits[Index], Contract_Edits[Order]), tblContractDependency[[#This Row],[Order]])</f>
        <v>65.010000000000005</v>
      </c>
      <c r="K14" t="str">
        <f>IFERROR(_xlfn.XLOOKUP(tblContractDependency[[#This Row],[Index]], Contract_Edits[Index], Contract_Edits[Approve]), tblContractDependency[[#This Row],[Approve]])</f>
        <v>Yes</v>
      </c>
      <c r="L14">
        <f>IFERROR(_xlfn.XLOOKUP(tblContractDependency[[#This Row],[Index]], Contract_Edits[Index], Contract_Edits[Group]), tblContractDependency[[#This Row],[Group]])</f>
        <v>1</v>
      </c>
      <c r="M14" s="11">
        <f>IFERROR( _xlfn.XLOOKUP(tblContractDependency[[#This Row],[Index]], Contract_Edits[Index],Contract_Edits[Days]), 1)</f>
        <v>0</v>
      </c>
      <c r="N14">
        <f>IFERROR(_xlfn.XLOOKUP(tblContractDependency[[#This Row],[Index]], Contract_Edits[Index], Contract_Edits[Done],), "No")</f>
        <v>0</v>
      </c>
      <c r="O14">
        <f>IFERROR(_xlfn.XLOOKUP(tblContractDependency[[#This Row],[Index]], Contract_Edits[Index], Contract_Edits[Paid]), 0)</f>
        <v>0</v>
      </c>
      <c r="P14">
        <f>IFERROR(_xlfn.XLOOKUP(tblContractDependency[[#This Row],[Index]], Contract_Edits[Index], Contract_Edits[Notes]), 0)</f>
        <v>0</v>
      </c>
      <c r="Q14">
        <f>+tblContractDependency[[#This Row],[Dependency]]</f>
        <v>156</v>
      </c>
    </row>
    <row r="15" spans="1:17">
      <c r="A15">
        <v>160</v>
      </c>
      <c r="B15" t="s">
        <v>744</v>
      </c>
      <c r="C15" t="s">
        <v>656</v>
      </c>
      <c r="D15" t="s">
        <v>757</v>
      </c>
      <c r="E15">
        <v>0</v>
      </c>
      <c r="F15">
        <v>0</v>
      </c>
      <c r="G15" t="s">
        <v>747</v>
      </c>
      <c r="H15">
        <v>159</v>
      </c>
      <c r="J15" s="527">
        <f>IFERROR(_xlfn.XLOOKUP(tblContractDependency[[#This Row],[Index]], Contract_Edits[Index], Contract_Edits[Order]), tblContractDependency[[#This Row],[Order]])</f>
        <v>85.01</v>
      </c>
      <c r="K15" t="str">
        <f>IFERROR(_xlfn.XLOOKUP(tblContractDependency[[#This Row],[Index]], Contract_Edits[Index], Contract_Edits[Approve]), tblContractDependency[[#This Row],[Approve]])</f>
        <v>Yes</v>
      </c>
      <c r="L15">
        <f>IFERROR(_xlfn.XLOOKUP(tblContractDependency[[#This Row],[Index]], Contract_Edits[Index], Contract_Edits[Group]), tblContractDependency[[#This Row],[Group]])</f>
        <v>1</v>
      </c>
      <c r="M15" s="11">
        <f>IFERROR( _xlfn.XLOOKUP(tblContractDependency[[#This Row],[Index]], Contract_Edits[Index],Contract_Edits[Days]), 1)</f>
        <v>0</v>
      </c>
      <c r="N15">
        <f>IFERROR(_xlfn.XLOOKUP(tblContractDependency[[#This Row],[Index]], Contract_Edits[Index], Contract_Edits[Done],), "No")</f>
        <v>0</v>
      </c>
      <c r="O15">
        <f>IFERROR(_xlfn.XLOOKUP(tblContractDependency[[#This Row],[Index]], Contract_Edits[Index], Contract_Edits[Paid]), 0)</f>
        <v>0</v>
      </c>
      <c r="P15">
        <f>IFERROR(_xlfn.XLOOKUP(tblContractDependency[[#This Row],[Index]], Contract_Edits[Index], Contract_Edits[Notes]), 0)</f>
        <v>0</v>
      </c>
      <c r="Q15">
        <f>+tblContractDependency[[#This Row],[Dependency]]</f>
        <v>159</v>
      </c>
    </row>
    <row r="16" spans="1:17">
      <c r="A16">
        <v>161</v>
      </c>
      <c r="B16" t="s">
        <v>744</v>
      </c>
      <c r="C16" t="s">
        <v>596</v>
      </c>
      <c r="D16" t="s">
        <v>758</v>
      </c>
      <c r="E16">
        <v>0</v>
      </c>
      <c r="F16">
        <v>0</v>
      </c>
      <c r="G16" t="s">
        <v>747</v>
      </c>
      <c r="H16">
        <v>160</v>
      </c>
      <c r="J16" s="527">
        <f>IFERROR(_xlfn.XLOOKUP(tblContractDependency[[#This Row],[Index]], Contract_Edits[Index], Contract_Edits[Order]), tblContractDependency[[#This Row],[Order]])</f>
        <v>95.01</v>
      </c>
      <c r="K16" t="str">
        <f>IFERROR(_xlfn.XLOOKUP(tblContractDependency[[#This Row],[Index]], Contract_Edits[Index], Contract_Edits[Approve]), tblContractDependency[[#This Row],[Approve]])</f>
        <v>Yes</v>
      </c>
      <c r="L16">
        <f>IFERROR(_xlfn.XLOOKUP(tblContractDependency[[#This Row],[Index]], Contract_Edits[Index], Contract_Edits[Group]), tblContractDependency[[#This Row],[Group]])</f>
        <v>1</v>
      </c>
      <c r="M16" s="11">
        <f>IFERROR( _xlfn.XLOOKUP(tblContractDependency[[#This Row],[Index]], Contract_Edits[Index],Contract_Edits[Days]), 1)</f>
        <v>0</v>
      </c>
      <c r="N16">
        <f>IFERROR(_xlfn.XLOOKUP(tblContractDependency[[#This Row],[Index]], Contract_Edits[Index], Contract_Edits[Done],), "No")</f>
        <v>0</v>
      </c>
      <c r="O16">
        <f>IFERROR(_xlfn.XLOOKUP(tblContractDependency[[#This Row],[Index]], Contract_Edits[Index], Contract_Edits[Paid]), 0)</f>
        <v>0</v>
      </c>
      <c r="P16">
        <f>IFERROR(_xlfn.XLOOKUP(tblContractDependency[[#This Row],[Index]], Contract_Edits[Index], Contract_Edits[Notes]), 0)</f>
        <v>0</v>
      </c>
      <c r="Q16">
        <f>+tblContractDependency[[#This Row],[Dependency]]</f>
        <v>160</v>
      </c>
    </row>
    <row r="17" spans="1:17">
      <c r="A17">
        <v>162</v>
      </c>
      <c r="B17" t="s">
        <v>744</v>
      </c>
      <c r="C17" t="s">
        <v>759</v>
      </c>
      <c r="D17" t="s">
        <v>760</v>
      </c>
      <c r="E17">
        <v>0</v>
      </c>
      <c r="F17">
        <v>0</v>
      </c>
      <c r="G17" t="s">
        <v>747</v>
      </c>
      <c r="H17">
        <v>161</v>
      </c>
      <c r="J17" s="527">
        <f>IFERROR(_xlfn.XLOOKUP(tblContractDependency[[#This Row],[Index]], Contract_Edits[Index], Contract_Edits[Order]), tblContractDependency[[#This Row],[Order]])</f>
        <v>105.01</v>
      </c>
      <c r="K17" t="str">
        <f>IFERROR(_xlfn.XLOOKUP(tblContractDependency[[#This Row],[Index]], Contract_Edits[Index], Contract_Edits[Approve]), tblContractDependency[[#This Row],[Approve]])</f>
        <v>Yes</v>
      </c>
      <c r="L17">
        <f>IFERROR(_xlfn.XLOOKUP(tblContractDependency[[#This Row],[Index]], Contract_Edits[Index], Contract_Edits[Group]), tblContractDependency[[#This Row],[Group]])</f>
        <v>1</v>
      </c>
      <c r="M17" s="11">
        <f>IFERROR( _xlfn.XLOOKUP(tblContractDependency[[#This Row],[Index]], Contract_Edits[Index],Contract_Edits[Days]), 1)</f>
        <v>0</v>
      </c>
      <c r="N17">
        <f>IFERROR(_xlfn.XLOOKUP(tblContractDependency[[#This Row],[Index]], Contract_Edits[Index], Contract_Edits[Done],), "No")</f>
        <v>0</v>
      </c>
      <c r="O17">
        <f>IFERROR(_xlfn.XLOOKUP(tblContractDependency[[#This Row],[Index]], Contract_Edits[Index], Contract_Edits[Paid]), 0)</f>
        <v>0</v>
      </c>
      <c r="P17">
        <f>IFERROR(_xlfn.XLOOKUP(tblContractDependency[[#This Row],[Index]], Contract_Edits[Index], Contract_Edits[Notes]), 0)</f>
        <v>0</v>
      </c>
      <c r="Q17">
        <f>+tblContractDependency[[#This Row],[Dependency]]</f>
        <v>161</v>
      </c>
    </row>
    <row r="18" spans="1:17">
      <c r="A18">
        <v>163</v>
      </c>
      <c r="B18" t="s">
        <v>744</v>
      </c>
      <c r="C18" t="s">
        <v>761</v>
      </c>
      <c r="D18" t="s">
        <v>762</v>
      </c>
      <c r="E18">
        <v>0</v>
      </c>
      <c r="F18">
        <v>0</v>
      </c>
      <c r="G18" t="s">
        <v>747</v>
      </c>
      <c r="H18">
        <v>162</v>
      </c>
      <c r="J18" s="527">
        <f>IFERROR(_xlfn.XLOOKUP(tblContractDependency[[#This Row],[Index]], Contract_Edits[Index], Contract_Edits[Order]), tblContractDependency[[#This Row],[Order]])</f>
        <v>115.01</v>
      </c>
      <c r="K18" t="str">
        <f>IFERROR(_xlfn.XLOOKUP(tblContractDependency[[#This Row],[Index]], Contract_Edits[Index], Contract_Edits[Approve]), tblContractDependency[[#This Row],[Approve]])</f>
        <v>Yes</v>
      </c>
      <c r="L18">
        <f>IFERROR(_xlfn.XLOOKUP(tblContractDependency[[#This Row],[Index]], Contract_Edits[Index], Contract_Edits[Group]), tblContractDependency[[#This Row],[Group]])</f>
        <v>1</v>
      </c>
      <c r="M18" s="11">
        <f>IFERROR( _xlfn.XLOOKUP(tblContractDependency[[#This Row],[Index]], Contract_Edits[Index],Contract_Edits[Days]), 1)</f>
        <v>0</v>
      </c>
      <c r="N18">
        <f>IFERROR(_xlfn.XLOOKUP(tblContractDependency[[#This Row],[Index]], Contract_Edits[Index], Contract_Edits[Done],), "No")</f>
        <v>0</v>
      </c>
      <c r="O18">
        <f>IFERROR(_xlfn.XLOOKUP(tblContractDependency[[#This Row],[Index]], Contract_Edits[Index], Contract_Edits[Paid]), 0)</f>
        <v>0</v>
      </c>
      <c r="P18">
        <f>IFERROR(_xlfn.XLOOKUP(tblContractDependency[[#This Row],[Index]], Contract_Edits[Index], Contract_Edits[Notes]), 0)</f>
        <v>0</v>
      </c>
      <c r="Q18">
        <f>+tblContractDependency[[#This Row],[Dependency]]</f>
        <v>162</v>
      </c>
    </row>
    <row r="19" spans="1:17">
      <c r="A19">
        <v>164</v>
      </c>
      <c r="B19" t="s">
        <v>744</v>
      </c>
      <c r="C19" t="s">
        <v>763</v>
      </c>
      <c r="D19" t="s">
        <v>594</v>
      </c>
      <c r="E19">
        <v>0</v>
      </c>
      <c r="F19">
        <v>0</v>
      </c>
      <c r="G19" t="s">
        <v>747</v>
      </c>
      <c r="H19">
        <v>163</v>
      </c>
      <c r="J19" s="527">
        <f>IFERROR(_xlfn.XLOOKUP(tblContractDependency[[#This Row],[Index]], Contract_Edits[Index], Contract_Edits[Order]), tblContractDependency[[#This Row],[Order]])</f>
        <v>125.01</v>
      </c>
      <c r="K19" t="str">
        <f>IFERROR(_xlfn.XLOOKUP(tblContractDependency[[#This Row],[Index]], Contract_Edits[Index], Contract_Edits[Approve]), tblContractDependency[[#This Row],[Approve]])</f>
        <v>Yes</v>
      </c>
      <c r="L19">
        <f>IFERROR(_xlfn.XLOOKUP(tblContractDependency[[#This Row],[Index]], Contract_Edits[Index], Contract_Edits[Group]), tblContractDependency[[#This Row],[Group]])</f>
        <v>1</v>
      </c>
      <c r="M19" s="11">
        <f>IFERROR( _xlfn.XLOOKUP(tblContractDependency[[#This Row],[Index]], Contract_Edits[Index],Contract_Edits[Days]), 1)</f>
        <v>0</v>
      </c>
      <c r="N19" t="str">
        <f>IFERROR(_xlfn.XLOOKUP(tblContractDependency[[#This Row],[Index]], Contract_Edits[Index], Contract_Edits[Done],), "No")</f>
        <v>No</v>
      </c>
      <c r="O19">
        <f>IFERROR(_xlfn.XLOOKUP(tblContractDependency[[#This Row],[Index]], Contract_Edits[Index], Contract_Edits[Paid]), 0)</f>
        <v>0</v>
      </c>
      <c r="P19">
        <f>IFERROR(_xlfn.XLOOKUP(tblContractDependency[[#This Row],[Index]], Contract_Edits[Index], Contract_Edits[Notes]), 0)</f>
        <v>0</v>
      </c>
      <c r="Q19">
        <f>+tblContractDependency[[#This Row],[Dependency]]</f>
        <v>163</v>
      </c>
    </row>
    <row r="20" spans="1:17">
      <c r="A20">
        <v>165</v>
      </c>
      <c r="B20" t="s">
        <v>744</v>
      </c>
      <c r="C20" t="s">
        <v>763</v>
      </c>
      <c r="D20" t="s">
        <v>568</v>
      </c>
      <c r="E20">
        <v>0</v>
      </c>
      <c r="F20">
        <v>0</v>
      </c>
      <c r="G20" t="s">
        <v>747</v>
      </c>
      <c r="H20">
        <v>164</v>
      </c>
      <c r="J20" s="527">
        <f>IFERROR(_xlfn.XLOOKUP(tblContractDependency[[#This Row],[Index]], Contract_Edits[Index], Contract_Edits[Order]), tblContractDependency[[#This Row],[Order]])</f>
        <v>135.01</v>
      </c>
      <c r="K20" t="str">
        <f>IFERROR(_xlfn.XLOOKUP(tblContractDependency[[#This Row],[Index]], Contract_Edits[Index], Contract_Edits[Approve]), tblContractDependency[[#This Row],[Approve]])</f>
        <v>Yes</v>
      </c>
      <c r="L20">
        <f>IFERROR(_xlfn.XLOOKUP(tblContractDependency[[#This Row],[Index]], Contract_Edits[Index], Contract_Edits[Group]), tblContractDependency[[#This Row],[Group]])</f>
        <v>1</v>
      </c>
      <c r="M20" s="11">
        <f>IFERROR( _xlfn.XLOOKUP(tblContractDependency[[#This Row],[Index]], Contract_Edits[Index],Contract_Edits[Days]), 1)</f>
        <v>0</v>
      </c>
      <c r="N20">
        <f>IFERROR(_xlfn.XLOOKUP(tblContractDependency[[#This Row],[Index]], Contract_Edits[Index], Contract_Edits[Done],), "No")</f>
        <v>0</v>
      </c>
      <c r="O20">
        <f>IFERROR(_xlfn.XLOOKUP(tblContractDependency[[#This Row],[Index]], Contract_Edits[Index], Contract_Edits[Paid]), 0)</f>
        <v>0</v>
      </c>
      <c r="P20">
        <f>IFERROR(_xlfn.XLOOKUP(tblContractDependency[[#This Row],[Index]], Contract_Edits[Index], Contract_Edits[Notes]), 0)</f>
        <v>0</v>
      </c>
      <c r="Q20">
        <f>+tblContractDependency[[#This Row],[Dependency]]</f>
        <v>164</v>
      </c>
    </row>
    <row r="21" spans="1:17">
      <c r="A21">
        <v>166</v>
      </c>
      <c r="B21" t="s">
        <v>744</v>
      </c>
      <c r="C21" t="s">
        <v>763</v>
      </c>
      <c r="D21" t="s">
        <v>527</v>
      </c>
      <c r="E21">
        <v>0</v>
      </c>
      <c r="F21">
        <v>0</v>
      </c>
      <c r="G21" t="s">
        <v>747</v>
      </c>
      <c r="H21">
        <v>165</v>
      </c>
      <c r="J21" s="527">
        <f>IFERROR(_xlfn.XLOOKUP(tblContractDependency[[#This Row],[Index]], Contract_Edits[Index], Contract_Edits[Order]), tblContractDependency[[#This Row],[Order]])</f>
        <v>145.01</v>
      </c>
      <c r="K21" t="str">
        <f>IFERROR(_xlfn.XLOOKUP(tblContractDependency[[#This Row],[Index]], Contract_Edits[Index], Contract_Edits[Approve]), tblContractDependency[[#This Row],[Approve]])</f>
        <v>Yes</v>
      </c>
      <c r="L21">
        <f>IFERROR(_xlfn.XLOOKUP(tblContractDependency[[#This Row],[Index]], Contract_Edits[Index], Contract_Edits[Group]), tblContractDependency[[#This Row],[Group]])</f>
        <v>1</v>
      </c>
      <c r="M21" s="11">
        <f>IFERROR( _xlfn.XLOOKUP(tblContractDependency[[#This Row],[Index]], Contract_Edits[Index],Contract_Edits[Days]), 1)</f>
        <v>0</v>
      </c>
      <c r="N21">
        <f>IFERROR(_xlfn.XLOOKUP(tblContractDependency[[#This Row],[Index]], Contract_Edits[Index], Contract_Edits[Done],), "No")</f>
        <v>0</v>
      </c>
      <c r="O21">
        <f>IFERROR(_xlfn.XLOOKUP(tblContractDependency[[#This Row],[Index]], Contract_Edits[Index], Contract_Edits[Paid]), 0)</f>
        <v>0</v>
      </c>
      <c r="P21">
        <f>IFERROR(_xlfn.XLOOKUP(tblContractDependency[[#This Row],[Index]], Contract_Edits[Index], Contract_Edits[Notes]), 0)</f>
        <v>0</v>
      </c>
      <c r="Q21">
        <f>+tblContractDependency[[#This Row],[Dependency]]</f>
        <v>165</v>
      </c>
    </row>
    <row r="22" spans="1:17">
      <c r="A22">
        <v>167</v>
      </c>
      <c r="B22" t="s">
        <v>744</v>
      </c>
      <c r="C22" t="s">
        <v>527</v>
      </c>
      <c r="D22" t="s">
        <v>761</v>
      </c>
      <c r="E22">
        <v>0</v>
      </c>
      <c r="F22">
        <v>0</v>
      </c>
      <c r="G22" t="s">
        <v>747</v>
      </c>
      <c r="H22">
        <v>166</v>
      </c>
      <c r="J22" s="527">
        <f>IFERROR(_xlfn.XLOOKUP(tblContractDependency[[#This Row],[Index]], Contract_Edits[Index], Contract_Edits[Order]), tblContractDependency[[#This Row],[Order]])</f>
        <v>155.01</v>
      </c>
      <c r="K22" t="str">
        <f>IFERROR(_xlfn.XLOOKUP(tblContractDependency[[#This Row],[Index]], Contract_Edits[Index], Contract_Edits[Approve]), tblContractDependency[[#This Row],[Approve]])</f>
        <v>Yes</v>
      </c>
      <c r="L22">
        <f>IFERROR(_xlfn.XLOOKUP(tblContractDependency[[#This Row],[Index]], Contract_Edits[Index], Contract_Edits[Group]), tblContractDependency[[#This Row],[Group]])</f>
        <v>1</v>
      </c>
      <c r="M22" s="11">
        <f>IFERROR( _xlfn.XLOOKUP(tblContractDependency[[#This Row],[Index]], Contract_Edits[Index],Contract_Edits[Days]), 1)</f>
        <v>0</v>
      </c>
      <c r="N22">
        <f>IFERROR(_xlfn.XLOOKUP(tblContractDependency[[#This Row],[Index]], Contract_Edits[Index], Contract_Edits[Done],), "No")</f>
        <v>0</v>
      </c>
      <c r="O22">
        <f>IFERROR(_xlfn.XLOOKUP(tblContractDependency[[#This Row],[Index]], Contract_Edits[Index], Contract_Edits[Paid]), 0)</f>
        <v>0</v>
      </c>
      <c r="P22">
        <f>IFERROR(_xlfn.XLOOKUP(tblContractDependency[[#This Row],[Index]], Contract_Edits[Index], Contract_Edits[Notes]), 0)</f>
        <v>0</v>
      </c>
      <c r="Q22">
        <f>+tblContractDependency[[#This Row],[Dependency]]</f>
        <v>166</v>
      </c>
    </row>
    <row r="23" spans="1:17">
      <c r="A23">
        <v>168</v>
      </c>
      <c r="B23" t="s">
        <v>744</v>
      </c>
      <c r="C23" t="s">
        <v>665</v>
      </c>
      <c r="D23" t="s">
        <v>764</v>
      </c>
      <c r="E23">
        <v>0</v>
      </c>
      <c r="F23">
        <v>0</v>
      </c>
      <c r="G23" t="s">
        <v>747</v>
      </c>
      <c r="H23">
        <v>167</v>
      </c>
      <c r="J23" s="527">
        <f>IFERROR(_xlfn.XLOOKUP(tblContractDependency[[#This Row],[Index]], Contract_Edits[Index], Contract_Edits[Order]), tblContractDependency[[#This Row],[Order]])</f>
        <v>165.01</v>
      </c>
      <c r="K23" t="str">
        <f>IFERROR(_xlfn.XLOOKUP(tblContractDependency[[#This Row],[Index]], Contract_Edits[Index], Contract_Edits[Approve]), tblContractDependency[[#This Row],[Approve]])</f>
        <v>Yes</v>
      </c>
      <c r="L23">
        <f>IFERROR(_xlfn.XLOOKUP(tblContractDependency[[#This Row],[Index]], Contract_Edits[Index], Contract_Edits[Group]), tblContractDependency[[#This Row],[Group]])</f>
        <v>1</v>
      </c>
      <c r="M23" s="11">
        <f>IFERROR( _xlfn.XLOOKUP(tblContractDependency[[#This Row],[Index]], Contract_Edits[Index],Contract_Edits[Days]), 1)</f>
        <v>0</v>
      </c>
      <c r="N23">
        <f>IFERROR(_xlfn.XLOOKUP(tblContractDependency[[#This Row],[Index]], Contract_Edits[Index], Contract_Edits[Done],), "No")</f>
        <v>0</v>
      </c>
      <c r="O23">
        <f>IFERROR(_xlfn.XLOOKUP(tblContractDependency[[#This Row],[Index]], Contract_Edits[Index], Contract_Edits[Paid]), 0)</f>
        <v>0</v>
      </c>
      <c r="P23">
        <f>IFERROR(_xlfn.XLOOKUP(tblContractDependency[[#This Row],[Index]], Contract_Edits[Index], Contract_Edits[Notes]), 0)</f>
        <v>0</v>
      </c>
      <c r="Q23">
        <f>+tblContractDependency[[#This Row],[Dependency]]</f>
        <v>167</v>
      </c>
    </row>
    <row r="24" spans="1:17">
      <c r="A24">
        <v>169</v>
      </c>
      <c r="B24" t="s">
        <v>744</v>
      </c>
      <c r="C24" t="s">
        <v>654</v>
      </c>
      <c r="D24" t="s">
        <v>765</v>
      </c>
      <c r="E24">
        <v>0</v>
      </c>
      <c r="F24">
        <v>0</v>
      </c>
      <c r="G24" t="s">
        <v>747</v>
      </c>
      <c r="H24">
        <v>168</v>
      </c>
      <c r="J24" s="527">
        <f>IFERROR(_xlfn.XLOOKUP(tblContractDependency[[#This Row],[Index]], Contract_Edits[Index], Contract_Edits[Order]), tblContractDependency[[#This Row],[Order]])</f>
        <v>175.01</v>
      </c>
      <c r="K24" t="str">
        <f>IFERROR(_xlfn.XLOOKUP(tblContractDependency[[#This Row],[Index]], Contract_Edits[Index], Contract_Edits[Approve]), tblContractDependency[[#This Row],[Approve]])</f>
        <v>Yes</v>
      </c>
      <c r="L24">
        <f>IFERROR(_xlfn.XLOOKUP(tblContractDependency[[#This Row],[Index]], Contract_Edits[Index], Contract_Edits[Group]), tblContractDependency[[#This Row],[Group]])</f>
        <v>1</v>
      </c>
      <c r="M24" s="11">
        <f>IFERROR( _xlfn.XLOOKUP(tblContractDependency[[#This Row],[Index]], Contract_Edits[Index],Contract_Edits[Days]), 1)</f>
        <v>0</v>
      </c>
      <c r="N24">
        <f>IFERROR(_xlfn.XLOOKUP(tblContractDependency[[#This Row],[Index]], Contract_Edits[Index], Contract_Edits[Done],), "No")</f>
        <v>0</v>
      </c>
      <c r="O24">
        <f>IFERROR(_xlfn.XLOOKUP(tblContractDependency[[#This Row],[Index]], Contract_Edits[Index], Contract_Edits[Paid]), 0)</f>
        <v>0</v>
      </c>
      <c r="P24">
        <f>IFERROR(_xlfn.XLOOKUP(tblContractDependency[[#This Row],[Index]], Contract_Edits[Index], Contract_Edits[Notes]), 0)</f>
        <v>0</v>
      </c>
      <c r="Q24">
        <f>+tblContractDependency[[#This Row],[Dependency]]</f>
        <v>168</v>
      </c>
    </row>
    <row r="25" spans="1:17">
      <c r="A25">
        <v>170</v>
      </c>
      <c r="B25" t="s">
        <v>744</v>
      </c>
      <c r="C25" t="s">
        <v>766</v>
      </c>
      <c r="D25" t="s">
        <v>767</v>
      </c>
      <c r="E25">
        <v>0</v>
      </c>
      <c r="F25">
        <v>0</v>
      </c>
      <c r="G25" t="s">
        <v>747</v>
      </c>
      <c r="H25">
        <v>169</v>
      </c>
      <c r="J25" s="527">
        <f>IFERROR(_xlfn.XLOOKUP(tblContractDependency[[#This Row],[Index]], Contract_Edits[Index], Contract_Edits[Order]), tblContractDependency[[#This Row],[Order]])</f>
        <v>185.01</v>
      </c>
      <c r="K25" t="str">
        <f>IFERROR(_xlfn.XLOOKUP(tblContractDependency[[#This Row],[Index]], Contract_Edits[Index], Contract_Edits[Approve]), tblContractDependency[[#This Row],[Approve]])</f>
        <v>Yes</v>
      </c>
      <c r="L25">
        <f>IFERROR(_xlfn.XLOOKUP(tblContractDependency[[#This Row],[Index]], Contract_Edits[Index], Contract_Edits[Group]), tblContractDependency[[#This Row],[Group]])</f>
        <v>1</v>
      </c>
      <c r="M25" s="11">
        <f>IFERROR( _xlfn.XLOOKUP(tblContractDependency[[#This Row],[Index]], Contract_Edits[Index],Contract_Edits[Days]), 1)</f>
        <v>0</v>
      </c>
      <c r="N25">
        <f>IFERROR(_xlfn.XLOOKUP(tblContractDependency[[#This Row],[Index]], Contract_Edits[Index], Contract_Edits[Done],), "No")</f>
        <v>0</v>
      </c>
      <c r="O25">
        <f>IFERROR(_xlfn.XLOOKUP(tblContractDependency[[#This Row],[Index]], Contract_Edits[Index], Contract_Edits[Paid]), 0)</f>
        <v>0</v>
      </c>
      <c r="P25">
        <f>IFERROR(_xlfn.XLOOKUP(tblContractDependency[[#This Row],[Index]], Contract_Edits[Index], Contract_Edits[Notes]), 0)</f>
        <v>0</v>
      </c>
      <c r="Q25">
        <f>+tblContractDependency[[#This Row],[Dependency]]</f>
        <v>169</v>
      </c>
    </row>
    <row r="26" spans="1:17">
      <c r="A26">
        <v>171</v>
      </c>
      <c r="B26" t="s">
        <v>744</v>
      </c>
      <c r="C26" t="s">
        <v>531</v>
      </c>
      <c r="D26" t="s">
        <v>768</v>
      </c>
      <c r="E26">
        <v>0</v>
      </c>
      <c r="F26">
        <v>0</v>
      </c>
      <c r="G26" t="s">
        <v>747</v>
      </c>
      <c r="H26">
        <v>170</v>
      </c>
      <c r="J26" s="527">
        <f>IFERROR(_xlfn.XLOOKUP(tblContractDependency[[#This Row],[Index]], Contract_Edits[Index], Contract_Edits[Order]), tblContractDependency[[#This Row],[Order]])</f>
        <v>195.01</v>
      </c>
      <c r="K26" t="str">
        <f>IFERROR(_xlfn.XLOOKUP(tblContractDependency[[#This Row],[Index]], Contract_Edits[Index], Contract_Edits[Approve]), tblContractDependency[[#This Row],[Approve]])</f>
        <v>Yes</v>
      </c>
      <c r="L26">
        <f>IFERROR(_xlfn.XLOOKUP(tblContractDependency[[#This Row],[Index]], Contract_Edits[Index], Contract_Edits[Group]), tblContractDependency[[#This Row],[Group]])</f>
        <v>1</v>
      </c>
      <c r="M26" s="11">
        <f>IFERROR( _xlfn.XLOOKUP(tblContractDependency[[#This Row],[Index]], Contract_Edits[Index],Contract_Edits[Days]), 1)</f>
        <v>0</v>
      </c>
      <c r="N26">
        <f>IFERROR(_xlfn.XLOOKUP(tblContractDependency[[#This Row],[Index]], Contract_Edits[Index], Contract_Edits[Done],), "No")</f>
        <v>0</v>
      </c>
      <c r="O26">
        <f>IFERROR(_xlfn.XLOOKUP(tblContractDependency[[#This Row],[Index]], Contract_Edits[Index], Contract_Edits[Paid]), 0)</f>
        <v>0</v>
      </c>
      <c r="P26">
        <f>IFERROR(_xlfn.XLOOKUP(tblContractDependency[[#This Row],[Index]], Contract_Edits[Index], Contract_Edits[Notes]), 0)</f>
        <v>0</v>
      </c>
      <c r="Q26">
        <f>+tblContractDependency[[#This Row],[Dependency]]</f>
        <v>170</v>
      </c>
    </row>
    <row r="27" spans="1:17">
      <c r="A27">
        <v>172</v>
      </c>
      <c r="B27" t="s">
        <v>744</v>
      </c>
      <c r="C27" t="s">
        <v>759</v>
      </c>
      <c r="D27" t="s">
        <v>769</v>
      </c>
      <c r="E27">
        <v>0</v>
      </c>
      <c r="F27">
        <v>0</v>
      </c>
      <c r="G27" t="s">
        <v>747</v>
      </c>
      <c r="H27">
        <v>171</v>
      </c>
      <c r="J27" s="527">
        <f>IFERROR(_xlfn.XLOOKUP(tblContractDependency[[#This Row],[Index]], Contract_Edits[Index], Contract_Edits[Order]), tblContractDependency[[#This Row],[Order]])</f>
        <v>205.01</v>
      </c>
      <c r="K27" t="str">
        <f>IFERROR(_xlfn.XLOOKUP(tblContractDependency[[#This Row],[Index]], Contract_Edits[Index], Contract_Edits[Approve]), tblContractDependency[[#This Row],[Approve]])</f>
        <v>Yes</v>
      </c>
      <c r="L27">
        <f>IFERROR(_xlfn.XLOOKUP(tblContractDependency[[#This Row],[Index]], Contract_Edits[Index], Contract_Edits[Group]), tblContractDependency[[#This Row],[Group]])</f>
        <v>1</v>
      </c>
      <c r="M27" s="11">
        <f>IFERROR( _xlfn.XLOOKUP(tblContractDependency[[#This Row],[Index]], Contract_Edits[Index],Contract_Edits[Days]), 1)</f>
        <v>0</v>
      </c>
      <c r="N27">
        <f>IFERROR(_xlfn.XLOOKUP(tblContractDependency[[#This Row],[Index]], Contract_Edits[Index], Contract_Edits[Done],), "No")</f>
        <v>0</v>
      </c>
      <c r="O27">
        <f>IFERROR(_xlfn.XLOOKUP(tblContractDependency[[#This Row],[Index]], Contract_Edits[Index], Contract_Edits[Paid]), 0)</f>
        <v>0</v>
      </c>
      <c r="P27">
        <f>IFERROR(_xlfn.XLOOKUP(tblContractDependency[[#This Row],[Index]], Contract_Edits[Index], Contract_Edits[Notes]), 0)</f>
        <v>0</v>
      </c>
      <c r="Q27">
        <f>+tblContractDependency[[#This Row],[Dependency]]</f>
        <v>171</v>
      </c>
    </row>
    <row r="28" spans="1:17">
      <c r="A28">
        <v>173</v>
      </c>
      <c r="B28" t="s">
        <v>744</v>
      </c>
      <c r="C28" t="s">
        <v>770</v>
      </c>
      <c r="D28" t="s">
        <v>771</v>
      </c>
      <c r="E28">
        <v>0</v>
      </c>
      <c r="F28">
        <v>0</v>
      </c>
      <c r="G28" t="s">
        <v>747</v>
      </c>
      <c r="H28">
        <v>172</v>
      </c>
      <c r="J28" s="527">
        <f>IFERROR(_xlfn.XLOOKUP(tblContractDependency[[#This Row],[Index]], Contract_Edits[Index], Contract_Edits[Order]), tblContractDependency[[#This Row],[Order]])</f>
        <v>215.01</v>
      </c>
      <c r="K28" t="str">
        <f>IFERROR(_xlfn.XLOOKUP(tblContractDependency[[#This Row],[Index]], Contract_Edits[Index], Contract_Edits[Approve]), tblContractDependency[[#This Row],[Approve]])</f>
        <v>Yes</v>
      </c>
      <c r="L28">
        <f>IFERROR(_xlfn.XLOOKUP(tblContractDependency[[#This Row],[Index]], Contract_Edits[Index], Contract_Edits[Group]), tblContractDependency[[#This Row],[Group]])</f>
        <v>1</v>
      </c>
      <c r="M28" s="11">
        <f>IFERROR( _xlfn.XLOOKUP(tblContractDependency[[#This Row],[Index]], Contract_Edits[Index],Contract_Edits[Days]), 1)</f>
        <v>0</v>
      </c>
      <c r="N28">
        <f>IFERROR(_xlfn.XLOOKUP(tblContractDependency[[#This Row],[Index]], Contract_Edits[Index], Contract_Edits[Done],), "No")</f>
        <v>0</v>
      </c>
      <c r="O28">
        <f>IFERROR(_xlfn.XLOOKUP(tblContractDependency[[#This Row],[Index]], Contract_Edits[Index], Contract_Edits[Paid]), 0)</f>
        <v>0</v>
      </c>
      <c r="P28">
        <f>IFERROR(_xlfn.XLOOKUP(tblContractDependency[[#This Row],[Index]], Contract_Edits[Index], Contract_Edits[Notes]), 0)</f>
        <v>0</v>
      </c>
      <c r="Q28">
        <f>+tblContractDependency[[#This Row],[Dependency]]</f>
        <v>172</v>
      </c>
    </row>
    <row r="29" spans="1:17">
      <c r="A29">
        <v>174</v>
      </c>
      <c r="B29" t="s">
        <v>744</v>
      </c>
      <c r="C29" t="s">
        <v>675</v>
      </c>
      <c r="D29" t="s">
        <v>770</v>
      </c>
      <c r="E29">
        <v>0</v>
      </c>
      <c r="F29">
        <v>0</v>
      </c>
      <c r="G29" t="s">
        <v>747</v>
      </c>
      <c r="H29">
        <v>173</v>
      </c>
      <c r="J29" s="527">
        <f>IFERROR(_xlfn.XLOOKUP(tblContractDependency[[#This Row],[Index]], Contract_Edits[Index], Contract_Edits[Order]), tblContractDependency[[#This Row],[Order]])</f>
        <v>225.01</v>
      </c>
      <c r="K29" t="str">
        <f>IFERROR(_xlfn.XLOOKUP(tblContractDependency[[#This Row],[Index]], Contract_Edits[Index], Contract_Edits[Approve]), tblContractDependency[[#This Row],[Approve]])</f>
        <v>Yes</v>
      </c>
      <c r="L29">
        <f>IFERROR(_xlfn.XLOOKUP(tblContractDependency[[#This Row],[Index]], Contract_Edits[Index], Contract_Edits[Group]), tblContractDependency[[#This Row],[Group]])</f>
        <v>1</v>
      </c>
      <c r="M29" s="11">
        <f>IFERROR( _xlfn.XLOOKUP(tblContractDependency[[#This Row],[Index]], Contract_Edits[Index],Contract_Edits[Days]), 1)</f>
        <v>0</v>
      </c>
      <c r="N29" t="str">
        <f>IFERROR(_xlfn.XLOOKUP(tblContractDependency[[#This Row],[Index]], Contract_Edits[Index], Contract_Edits[Done],), "No")</f>
        <v>No</v>
      </c>
      <c r="O29">
        <f>IFERROR(_xlfn.XLOOKUP(tblContractDependency[[#This Row],[Index]], Contract_Edits[Index], Contract_Edits[Paid]), 0)</f>
        <v>0</v>
      </c>
      <c r="P29">
        <f>IFERROR(_xlfn.XLOOKUP(tblContractDependency[[#This Row],[Index]], Contract_Edits[Index], Contract_Edits[Notes]), 0)</f>
        <v>0</v>
      </c>
      <c r="Q29">
        <f>+tblContractDependency[[#This Row],[Dependency]]</f>
        <v>173</v>
      </c>
    </row>
    <row r="30" spans="1:17">
      <c r="A30">
        <v>175</v>
      </c>
      <c r="B30" t="s">
        <v>744</v>
      </c>
      <c r="C30" t="s">
        <v>772</v>
      </c>
      <c r="D30" t="s">
        <v>773</v>
      </c>
      <c r="E30">
        <v>0</v>
      </c>
      <c r="F30">
        <v>0</v>
      </c>
      <c r="G30" t="s">
        <v>747</v>
      </c>
      <c r="H30">
        <v>174</v>
      </c>
      <c r="J30" s="527">
        <f>IFERROR(_xlfn.XLOOKUP(tblContractDependency[[#This Row],[Index]], Contract_Edits[Index], Contract_Edits[Order]), tblContractDependency[[#This Row],[Order]])</f>
        <v>235.01</v>
      </c>
      <c r="K30" t="str">
        <f>IFERROR(_xlfn.XLOOKUP(tblContractDependency[[#This Row],[Index]], Contract_Edits[Index], Contract_Edits[Approve]), tblContractDependency[[#This Row],[Approve]])</f>
        <v>Yes</v>
      </c>
      <c r="L30">
        <f>IFERROR(_xlfn.XLOOKUP(tblContractDependency[[#This Row],[Index]], Contract_Edits[Index], Contract_Edits[Group]), tblContractDependency[[#This Row],[Group]])</f>
        <v>4</v>
      </c>
      <c r="M30" s="11">
        <f>IFERROR( _xlfn.XLOOKUP(tblContractDependency[[#This Row],[Index]], Contract_Edits[Index],Contract_Edits[Days]), 1)</f>
        <v>0</v>
      </c>
      <c r="N30" t="str">
        <f>IFERROR(_xlfn.XLOOKUP(tblContractDependency[[#This Row],[Index]], Contract_Edits[Index], Contract_Edits[Done],), "No")</f>
        <v>No</v>
      </c>
      <c r="O30">
        <f>IFERROR(_xlfn.XLOOKUP(tblContractDependency[[#This Row],[Index]], Contract_Edits[Index], Contract_Edits[Paid]), 0)</f>
        <v>0</v>
      </c>
      <c r="P30">
        <f>IFERROR(_xlfn.XLOOKUP(tblContractDependency[[#This Row],[Index]], Contract_Edits[Index], Contract_Edits[Notes]), 0)</f>
        <v>0</v>
      </c>
      <c r="Q30">
        <f>+tblContractDependency[[#This Row],[Dependency]]</f>
        <v>174</v>
      </c>
    </row>
    <row r="31" spans="1:17">
      <c r="A31">
        <v>195</v>
      </c>
      <c r="B31" t="s">
        <v>744</v>
      </c>
      <c r="C31" t="s">
        <v>1462</v>
      </c>
      <c r="D31" t="s">
        <v>1467</v>
      </c>
      <c r="E31">
        <v>0</v>
      </c>
      <c r="G31" t="s">
        <v>747</v>
      </c>
      <c r="H31">
        <v>174</v>
      </c>
      <c r="J31" s="527">
        <f>IFERROR(_xlfn.XLOOKUP(tblContractDependency[[#This Row],[Index]], Contract_Edits[Index], Contract_Edits[Order]), tblContractDependency[[#This Row],[Order]])</f>
        <v>235.02</v>
      </c>
      <c r="K31" t="str">
        <f>IFERROR(_xlfn.XLOOKUP(tblContractDependency[[#This Row],[Index]], Contract_Edits[Index], Contract_Edits[Approve]), tblContractDependency[[#This Row],[Approve]])</f>
        <v>Yes</v>
      </c>
      <c r="L31">
        <f>IFERROR(_xlfn.XLOOKUP(tblContractDependency[[#This Row],[Index]], Contract_Edits[Index], Contract_Edits[Group]), tblContractDependency[[#This Row],[Group]])</f>
        <v>0</v>
      </c>
      <c r="M31" s="11">
        <f>IFERROR( _xlfn.XLOOKUP(tblContractDependency[[#This Row],[Index]], Contract_Edits[Index],Contract_Edits[Days]), 1)</f>
        <v>0</v>
      </c>
      <c r="N31">
        <f>IFERROR(_xlfn.XLOOKUP(tblContractDependency[[#This Row],[Index]], Contract_Edits[Index], Contract_Edits[Done],), "No")</f>
        <v>0</v>
      </c>
      <c r="O31">
        <f>IFERROR(_xlfn.XLOOKUP(tblContractDependency[[#This Row],[Index]], Contract_Edits[Index], Contract_Edits[Paid]), 0)</f>
        <v>0</v>
      </c>
      <c r="P31">
        <f>IFERROR(_xlfn.XLOOKUP(tblContractDependency[[#This Row],[Index]], Contract_Edits[Index], Contract_Edits[Notes]), 0)</f>
        <v>0</v>
      </c>
      <c r="Q31">
        <f>+tblContractDependency[[#This Row],[Dependency]]</f>
        <v>174</v>
      </c>
    </row>
    <row r="32" spans="1:17">
      <c r="A32">
        <v>176</v>
      </c>
      <c r="B32" t="s">
        <v>744</v>
      </c>
      <c r="C32" t="s">
        <v>774</v>
      </c>
      <c r="D32" t="s">
        <v>775</v>
      </c>
      <c r="E32">
        <v>0</v>
      </c>
      <c r="F32">
        <v>0</v>
      </c>
      <c r="G32" t="s">
        <v>747</v>
      </c>
      <c r="H32">
        <v>175</v>
      </c>
      <c r="J32" s="527">
        <f>IFERROR(_xlfn.XLOOKUP(tblContractDependency[[#This Row],[Index]], Contract_Edits[Index], Contract_Edits[Order]), tblContractDependency[[#This Row],[Order]])</f>
        <v>245.01</v>
      </c>
      <c r="K32" t="str">
        <f>IFERROR(_xlfn.XLOOKUP(tblContractDependency[[#This Row],[Index]], Contract_Edits[Index], Contract_Edits[Approve]), tblContractDependency[[#This Row],[Approve]])</f>
        <v>Yes</v>
      </c>
      <c r="L32">
        <f>IFERROR(_xlfn.XLOOKUP(tblContractDependency[[#This Row],[Index]], Contract_Edits[Index], Contract_Edits[Group]), tblContractDependency[[#This Row],[Group]])</f>
        <v>1</v>
      </c>
      <c r="M32" s="11">
        <f>IFERROR( _xlfn.XLOOKUP(tblContractDependency[[#This Row],[Index]], Contract_Edits[Index],Contract_Edits[Days]), 1)</f>
        <v>0</v>
      </c>
      <c r="N32" t="str">
        <f>IFERROR(_xlfn.XLOOKUP(tblContractDependency[[#This Row],[Index]], Contract_Edits[Index], Contract_Edits[Done],), "No")</f>
        <v>No</v>
      </c>
      <c r="O32">
        <f>IFERROR(_xlfn.XLOOKUP(tblContractDependency[[#This Row],[Index]], Contract_Edits[Index], Contract_Edits[Paid]), 0)</f>
        <v>0</v>
      </c>
      <c r="P32">
        <f>IFERROR(_xlfn.XLOOKUP(tblContractDependency[[#This Row],[Index]], Contract_Edits[Index], Contract_Edits[Notes]), 0)</f>
        <v>0</v>
      </c>
      <c r="Q32">
        <f>+tblContractDependency[[#This Row],[Dependency]]</f>
        <v>175</v>
      </c>
    </row>
    <row r="33" spans="1:17">
      <c r="A33">
        <v>196</v>
      </c>
      <c r="B33" t="s">
        <v>744</v>
      </c>
      <c r="C33" t="s">
        <v>1463</v>
      </c>
      <c r="D33" t="s">
        <v>1464</v>
      </c>
      <c r="E33">
        <v>0</v>
      </c>
      <c r="G33" t="s">
        <v>747</v>
      </c>
      <c r="H33">
        <v>195</v>
      </c>
      <c r="J33" s="527">
        <f>IFERROR(_xlfn.XLOOKUP(tblContractDependency[[#This Row],[Index]], Contract_Edits[Index], Contract_Edits[Order]), tblContractDependency[[#This Row],[Order]])</f>
        <v>245.02</v>
      </c>
      <c r="K33" t="str">
        <f>IFERROR(_xlfn.XLOOKUP(tblContractDependency[[#This Row],[Index]], Contract_Edits[Index], Contract_Edits[Approve]), tblContractDependency[[#This Row],[Approve]])</f>
        <v>Yes</v>
      </c>
      <c r="L33">
        <f>IFERROR(_xlfn.XLOOKUP(tblContractDependency[[#This Row],[Index]], Contract_Edits[Index], Contract_Edits[Group]), tblContractDependency[[#This Row],[Group]])</f>
        <v>0</v>
      </c>
      <c r="M33" s="11">
        <f>IFERROR( _xlfn.XLOOKUP(tblContractDependency[[#This Row],[Index]], Contract_Edits[Index],Contract_Edits[Days]), 1)</f>
        <v>0</v>
      </c>
      <c r="N33">
        <f>IFERROR(_xlfn.XLOOKUP(tblContractDependency[[#This Row],[Index]], Contract_Edits[Index], Contract_Edits[Done],), "No")</f>
        <v>0</v>
      </c>
      <c r="O33">
        <f>IFERROR(_xlfn.XLOOKUP(tblContractDependency[[#This Row],[Index]], Contract_Edits[Index], Contract_Edits[Paid]), 0)</f>
        <v>0</v>
      </c>
      <c r="P33">
        <f>IFERROR(_xlfn.XLOOKUP(tblContractDependency[[#This Row],[Index]], Contract_Edits[Index], Contract_Edits[Notes]), 0)</f>
        <v>0</v>
      </c>
      <c r="Q33">
        <f>+tblContractDependency[[#This Row],[Dependency]]</f>
        <v>195</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50DCC4-10B1-46D3-90E6-B5074C9268E5}">
  <sheetPr codeName="Sheet28">
    <tabColor rgb="FFFFC000"/>
  </sheetPr>
  <dimension ref="A1:AY83"/>
  <sheetViews>
    <sheetView workbookViewId="0">
      <pane ySplit="4" topLeftCell="A61" activePane="bottomLeft" state="frozen"/>
      <selection activeCell="F188" sqref="F188"/>
      <selection pane="bottomLeft" activeCell="D92" sqref="D92"/>
    </sheetView>
  </sheetViews>
  <sheetFormatPr defaultRowHeight="15"/>
  <cols>
    <col min="1" max="1" width="8.28515625" bestFit="1" customWidth="1"/>
    <col min="2" max="2" width="28.140625" bestFit="1" customWidth="1"/>
    <col min="3" max="3" width="22" bestFit="1" customWidth="1"/>
    <col min="4" max="4" width="81.140625" bestFit="1" customWidth="1"/>
    <col min="5" max="5" width="6.42578125" bestFit="1" customWidth="1"/>
    <col min="6" max="6" width="12" bestFit="1" customWidth="1"/>
    <col min="7" max="7" width="11.28515625" bestFit="1" customWidth="1"/>
    <col min="8" max="8" width="13.42578125" bestFit="1" customWidth="1"/>
    <col min="9" max="9" width="9" bestFit="1" customWidth="1"/>
    <col min="10" max="10" width="10.85546875" bestFit="1" customWidth="1"/>
    <col min="11" max="11" width="8.85546875" bestFit="1" customWidth="1"/>
    <col min="12" max="12" width="7.42578125" style="464" bestFit="1" customWidth="1"/>
    <col min="13" max="13" width="8" bestFit="1" customWidth="1"/>
    <col min="14" max="14" width="7.140625" bestFit="1" customWidth="1"/>
    <col min="15" max="15" width="26.7109375" bestFit="1" customWidth="1"/>
    <col min="16" max="17" width="6.85546875" bestFit="1" customWidth="1"/>
    <col min="18" max="18" width="5" customWidth="1"/>
    <col min="19" max="19" width="21.5703125" bestFit="1" customWidth="1"/>
    <col min="21" max="21" width="12.7109375" bestFit="1" customWidth="1"/>
  </cols>
  <sheetData>
    <row r="1" spans="1:51" ht="15.75" customHeight="1">
      <c r="S1" s="30" t="s">
        <v>791</v>
      </c>
      <c r="T1" s="15">
        <v>1</v>
      </c>
      <c r="U1" s="48" t="s">
        <v>170</v>
      </c>
      <c r="V1" s="15">
        <v>4</v>
      </c>
      <c r="AJ1" s="794" t="str">
        <f>+"These Cells are for the " &amp; 'Gnatt Chart'!D3 &amp; " Contract tab and are protected here. They are modified from the Contract tab"</f>
        <v>These Cells are for the Glasgow DB Contract tab and are protected here. They are modified from the Contract tab</v>
      </c>
      <c r="AK1" s="795"/>
      <c r="AL1" s="795"/>
      <c r="AM1" s="795"/>
      <c r="AN1" s="795"/>
      <c r="AO1" s="795"/>
      <c r="AP1" s="795"/>
      <c r="AQ1" s="715"/>
      <c r="AR1" s="796" t="s">
        <v>792</v>
      </c>
      <c r="AS1" s="795"/>
      <c r="AT1" s="795"/>
      <c r="AU1" s="795"/>
      <c r="AV1" s="795"/>
      <c r="AW1" s="795"/>
      <c r="AX1" s="795"/>
      <c r="AY1" s="715"/>
    </row>
    <row r="2" spans="1:51" ht="15" customHeight="1">
      <c r="S2" s="30" t="s">
        <v>793</v>
      </c>
      <c r="T2" s="15">
        <v>2</v>
      </c>
      <c r="U2" s="30" t="s">
        <v>794</v>
      </c>
      <c r="V2" s="15">
        <v>5</v>
      </c>
      <c r="AJ2" s="716"/>
      <c r="AK2" s="748"/>
      <c r="AL2" s="748"/>
      <c r="AM2" s="748"/>
      <c r="AN2" s="748"/>
      <c r="AO2" s="748"/>
      <c r="AP2" s="748"/>
      <c r="AQ2" s="717"/>
      <c r="AR2" s="716"/>
      <c r="AS2" s="748"/>
      <c r="AT2" s="748"/>
      <c r="AU2" s="748"/>
      <c r="AV2" s="748"/>
      <c r="AW2" s="748"/>
      <c r="AX2" s="748"/>
      <c r="AY2" s="717"/>
    </row>
    <row r="3" spans="1:51" ht="15.75" customHeight="1" thickBot="1">
      <c r="S3" s="30" t="s">
        <v>795</v>
      </c>
      <c r="T3" s="30">
        <v>3</v>
      </c>
      <c r="U3" s="30" t="s">
        <v>796</v>
      </c>
      <c r="V3" s="15">
        <v>0</v>
      </c>
      <c r="AJ3" s="718"/>
      <c r="AK3" s="760"/>
      <c r="AL3" s="760"/>
      <c r="AM3" s="760"/>
      <c r="AN3" s="760"/>
      <c r="AO3" s="760"/>
      <c r="AP3" s="760"/>
      <c r="AQ3" s="605"/>
      <c r="AR3" s="718"/>
      <c r="AS3" s="760"/>
      <c r="AT3" s="760"/>
      <c r="AU3" s="760"/>
      <c r="AV3" s="760"/>
      <c r="AW3" s="760"/>
      <c r="AX3" s="760"/>
      <c r="AY3" s="605"/>
    </row>
    <row r="4" spans="1:51">
      <c r="A4" t="s">
        <v>509</v>
      </c>
      <c r="B4" t="s">
        <v>510</v>
      </c>
      <c r="C4" t="s">
        <v>511</v>
      </c>
      <c r="D4" t="s">
        <v>512</v>
      </c>
      <c r="E4" t="s">
        <v>513</v>
      </c>
      <c r="F4" t="s">
        <v>514</v>
      </c>
      <c r="G4" t="s">
        <v>515</v>
      </c>
      <c r="H4" t="s">
        <v>783</v>
      </c>
      <c r="I4" t="s">
        <v>784</v>
      </c>
      <c r="J4" t="s">
        <v>785</v>
      </c>
      <c r="K4" t="s">
        <v>786</v>
      </c>
      <c r="L4" t="s">
        <v>787</v>
      </c>
      <c r="M4" t="s">
        <v>788</v>
      </c>
      <c r="N4" t="s">
        <v>789</v>
      </c>
      <c r="O4" t="s">
        <v>457</v>
      </c>
      <c r="P4" t="s">
        <v>790</v>
      </c>
    </row>
    <row r="5" spans="1:51">
      <c r="A5">
        <v>1</v>
      </c>
      <c r="B5" t="s">
        <v>170</v>
      </c>
      <c r="C5" t="s">
        <v>772</v>
      </c>
      <c r="D5" s="458" t="s">
        <v>518</v>
      </c>
      <c r="E5">
        <v>1</v>
      </c>
      <c r="F5">
        <v>11000</v>
      </c>
      <c r="G5" t="s">
        <v>519</v>
      </c>
      <c r="H5">
        <v>0</v>
      </c>
      <c r="I5">
        <f>IFERROR(_xlfn.XLOOKUP(tblContractGlasgow[[#This Row],[Index]], Contract_Edits[Index], Contract_Edits[Order]), tblContractGlasgow[[#This Row],[Order]])</f>
        <v>235.01009999999999</v>
      </c>
      <c r="J5" t="str">
        <f>_xlfn.XLOOKUP(tblContractGlasgow[[#This Row],[Index]], Contract_Edits[Index], Contract_Edits[Approve])</f>
        <v>Yes</v>
      </c>
      <c r="K5">
        <f>IFERROR(_xlfn.XLOOKUP(tblContractGlasgow[[#This Row],[Index]], Contract_Edits[Index], Contract_Edits[Group]), tblContractGlasgow[[#This Row],[Group]])</f>
        <v>4</v>
      </c>
      <c r="L5" s="11">
        <f>IFERROR( _xlfn.XLOOKUP(tblContractGlasgow[[#This Row],[Index]], Contract_Edits[Index],Contract_Edits[Days]), 1)</f>
        <v>1</v>
      </c>
      <c r="M5" t="str">
        <f>IFERROR(_xlfn.XLOOKUP(tblContractGlasgow[[#This Row],[Index]], Contract_Edits[Index], Contract_Edits[Done],), "No")</f>
        <v>No</v>
      </c>
      <c r="N5">
        <f>IFERROR(_xlfn.XLOOKUP(tblContractGlasgow[[#This Row],[Index]], Contract_Edits[Index], Contract_Edits[Paid]), 0)</f>
        <v>11000</v>
      </c>
      <c r="O5">
        <f>IFERROR(_xlfn.XLOOKUP(tblContractGlasgow[[#This Row],[Index]], Contract_Edits[Index], Contract_Edits[Notes]), 0)</f>
        <v>0</v>
      </c>
      <c r="P5">
        <f>IFERROR( _xlfn.XLOOKUP(tblContractGlasgow[[#This Row],[Index]], Contract_Edits[Index],Contract_Edits[Dep]),174)</f>
        <v>175</v>
      </c>
    </row>
    <row r="6" spans="1:51">
      <c r="A6">
        <v>2</v>
      </c>
      <c r="B6" t="s">
        <v>170</v>
      </c>
      <c r="C6" t="s">
        <v>772</v>
      </c>
      <c r="D6" s="458" t="s">
        <v>520</v>
      </c>
      <c r="E6">
        <v>0</v>
      </c>
      <c r="G6" t="s">
        <v>519</v>
      </c>
      <c r="H6">
        <v>0</v>
      </c>
      <c r="I6">
        <f>IFERROR(_xlfn.XLOOKUP(tblContractGlasgow[[#This Row],[Index]], Contract_Edits[Index], Contract_Edits[Order]), tblContractGlasgow[[#This Row],[Order]])</f>
        <v>235.01059999999998</v>
      </c>
      <c r="J6" t="str">
        <f>_xlfn.XLOOKUP(tblContractGlasgow[[#This Row],[Index]], Contract_Edits[Index], Contract_Edits[Approve])</f>
        <v>Yes</v>
      </c>
      <c r="K6">
        <f>IFERROR(_xlfn.XLOOKUP(tblContractGlasgow[[#This Row],[Index]], Contract_Edits[Index], Contract_Edits[Group]), tblContractGlasgow[[#This Row],[Group]])</f>
        <v>4</v>
      </c>
      <c r="L6" s="11">
        <f>IFERROR( _xlfn.XLOOKUP(tblContractGlasgow[[#This Row],[Index]], Contract_Edits[Index],Contract_Edits[Days]), 1)</f>
        <v>0</v>
      </c>
      <c r="M6" t="str">
        <f>IFERROR(_xlfn.XLOOKUP(tblContractGlasgow[[#This Row],[Index]], Contract_Edits[Index], Contract_Edits[Done],), "No")</f>
        <v>No</v>
      </c>
      <c r="N6">
        <f>IFERROR(_xlfn.XLOOKUP(tblContractGlasgow[[#This Row],[Index]], Contract_Edits[Index], Contract_Edits[Paid]), 0)</f>
        <v>0</v>
      </c>
      <c r="O6">
        <f>IFERROR(_xlfn.XLOOKUP(tblContractGlasgow[[#This Row],[Index]], Contract_Edits[Index], Contract_Edits[Notes]), 0)</f>
        <v>0</v>
      </c>
      <c r="P6">
        <f>IFERROR( _xlfn.XLOOKUP(tblContractGlasgow[[#This Row],[Index]], Contract_Edits[Index],Contract_Edits[Dep]),174)</f>
        <v>175</v>
      </c>
    </row>
    <row r="7" spans="1:51">
      <c r="A7">
        <v>3</v>
      </c>
      <c r="B7" t="s">
        <v>170</v>
      </c>
      <c r="C7" t="s">
        <v>772</v>
      </c>
      <c r="D7" s="458" t="s">
        <v>522</v>
      </c>
      <c r="E7">
        <v>0</v>
      </c>
      <c r="G7" t="s">
        <v>519</v>
      </c>
      <c r="H7">
        <v>0</v>
      </c>
      <c r="I7">
        <f>IFERROR(_xlfn.XLOOKUP(tblContractGlasgow[[#This Row],[Index]], Contract_Edits[Index], Contract_Edits[Order]), tblContractGlasgow[[#This Row],[Order]])</f>
        <v>235.01079999999999</v>
      </c>
      <c r="J7" t="str">
        <f>_xlfn.XLOOKUP(tblContractGlasgow[[#This Row],[Index]], Contract_Edits[Index], Contract_Edits[Approve])</f>
        <v>Yes</v>
      </c>
      <c r="K7">
        <f>IFERROR(_xlfn.XLOOKUP(tblContractGlasgow[[#This Row],[Index]], Contract_Edits[Index], Contract_Edits[Group]), tblContractGlasgow[[#This Row],[Group]])</f>
        <v>4</v>
      </c>
      <c r="L7" s="11">
        <f>IFERROR( _xlfn.XLOOKUP(tblContractGlasgow[[#This Row],[Index]], Contract_Edits[Index],Contract_Edits[Days]), 1)</f>
        <v>0</v>
      </c>
      <c r="M7">
        <f>IFERROR(_xlfn.XLOOKUP(tblContractGlasgow[[#This Row],[Index]], Contract_Edits[Index], Contract_Edits[Done],), "No")</f>
        <v>0</v>
      </c>
      <c r="N7">
        <f>IFERROR(_xlfn.XLOOKUP(tblContractGlasgow[[#This Row],[Index]], Contract_Edits[Index], Contract_Edits[Paid]), 0)</f>
        <v>0</v>
      </c>
      <c r="O7">
        <f>IFERROR(_xlfn.XLOOKUP(tblContractGlasgow[[#This Row],[Index]], Contract_Edits[Index], Contract_Edits[Notes]), 0)</f>
        <v>0</v>
      </c>
      <c r="P7">
        <f>IFERROR( _xlfn.XLOOKUP(tblContractGlasgow[[#This Row],[Index]], Contract_Edits[Index],Contract_Edits[Dep]),174)</f>
        <v>175</v>
      </c>
    </row>
    <row r="8" spans="1:51">
      <c r="A8">
        <v>10</v>
      </c>
      <c r="B8" t="s">
        <v>517</v>
      </c>
      <c r="C8" t="s">
        <v>537</v>
      </c>
      <c r="D8" s="458" t="s">
        <v>538</v>
      </c>
      <c r="E8">
        <v>1</v>
      </c>
      <c r="F8">
        <v>2175</v>
      </c>
      <c r="G8" t="s">
        <v>519</v>
      </c>
      <c r="H8">
        <v>0</v>
      </c>
      <c r="I8">
        <f>IFERROR(_xlfn.XLOOKUP(tblContractGlasgow[[#This Row],[Index]], Contract_Edits[Index], Contract_Edits[Order]), tblContractGlasgow[[#This Row],[Order]])</f>
        <v>75.010200000000012</v>
      </c>
      <c r="J8" t="str">
        <f>_xlfn.XLOOKUP(tblContractGlasgow[[#This Row],[Index]], Contract_Edits[Index], Contract_Edits[Approve])</f>
        <v>Yes</v>
      </c>
      <c r="K8">
        <f>IFERROR(_xlfn.XLOOKUP(tblContractGlasgow[[#This Row],[Index]], Contract_Edits[Index], Contract_Edits[Group]), tblContractGlasgow[[#This Row],[Group]])</f>
        <v>1</v>
      </c>
      <c r="L8" s="11">
        <f>IFERROR( _xlfn.XLOOKUP(tblContractGlasgow[[#This Row],[Index]], Contract_Edits[Index],Contract_Edits[Days]), 1)</f>
        <v>30</v>
      </c>
      <c r="M8" t="str">
        <f>IFERROR(_xlfn.XLOOKUP(tblContractGlasgow[[#This Row],[Index]], Contract_Edits[Index], Contract_Edits[Done],), "No")</f>
        <v>No</v>
      </c>
      <c r="N8">
        <f>IFERROR(_xlfn.XLOOKUP(tblContractGlasgow[[#This Row],[Index]], Contract_Edits[Index], Contract_Edits[Paid]), 0)</f>
        <v>0</v>
      </c>
      <c r="O8">
        <f>IFERROR(_xlfn.XLOOKUP(tblContractGlasgow[[#This Row],[Index]], Contract_Edits[Index], Contract_Edits[Notes]), 0)</f>
        <v>0</v>
      </c>
      <c r="P8">
        <f>IFERROR( _xlfn.XLOOKUP(tblContractGlasgow[[#This Row],[Index]], Contract_Edits[Index],Contract_Edits[Dep]),174)</f>
        <v>150</v>
      </c>
    </row>
    <row r="9" spans="1:51">
      <c r="A9">
        <v>15</v>
      </c>
      <c r="B9" t="s">
        <v>517</v>
      </c>
      <c r="C9" t="s">
        <v>547</v>
      </c>
      <c r="D9" s="458" t="s">
        <v>548</v>
      </c>
      <c r="E9">
        <v>1</v>
      </c>
      <c r="F9">
        <v>1087.5</v>
      </c>
      <c r="G9" t="s">
        <v>519</v>
      </c>
      <c r="H9">
        <v>0</v>
      </c>
      <c r="I9">
        <f>IFERROR(_xlfn.XLOOKUP(tblContractGlasgow[[#This Row],[Index]], Contract_Edits[Index], Contract_Edits[Order]), tblContractGlasgow[[#This Row],[Order]])</f>
        <v>75.010500000000008</v>
      </c>
      <c r="J9" t="str">
        <f>_xlfn.XLOOKUP(tblContractGlasgow[[#This Row],[Index]], Contract_Edits[Index], Contract_Edits[Approve])</f>
        <v>Yes</v>
      </c>
      <c r="K9">
        <f>IFERROR(_xlfn.XLOOKUP(tblContractGlasgow[[#This Row],[Index]], Contract_Edits[Index], Contract_Edits[Group]), tblContractGlasgow[[#This Row],[Group]])</f>
        <v>1</v>
      </c>
      <c r="L9" s="11">
        <f>IFERROR( _xlfn.XLOOKUP(tblContractGlasgow[[#This Row],[Index]], Contract_Edits[Index],Contract_Edits[Days]), 1)</f>
        <v>1</v>
      </c>
      <c r="M9" t="str">
        <f>IFERROR(_xlfn.XLOOKUP(tblContractGlasgow[[#This Row],[Index]], Contract_Edits[Index], Contract_Edits[Done],), "No")</f>
        <v>No</v>
      </c>
      <c r="N9">
        <f>IFERROR(_xlfn.XLOOKUP(tblContractGlasgow[[#This Row],[Index]], Contract_Edits[Index], Contract_Edits[Paid]), 0)</f>
        <v>0</v>
      </c>
      <c r="O9">
        <f>IFERROR(_xlfn.XLOOKUP(tblContractGlasgow[[#This Row],[Index]], Contract_Edits[Index], Contract_Edits[Notes]), 0)</f>
        <v>0</v>
      </c>
      <c r="P9">
        <f>IFERROR( _xlfn.XLOOKUP(tblContractGlasgow[[#This Row],[Index]], Contract_Edits[Index],Contract_Edits[Dep]),174)</f>
        <v>150</v>
      </c>
    </row>
    <row r="10" spans="1:51">
      <c r="A10">
        <v>18</v>
      </c>
      <c r="B10" t="s">
        <v>555</v>
      </c>
      <c r="C10" t="s">
        <v>547</v>
      </c>
      <c r="D10" s="458" t="s">
        <v>556</v>
      </c>
      <c r="E10">
        <v>1</v>
      </c>
      <c r="F10">
        <v>870</v>
      </c>
      <c r="G10" t="s">
        <v>519</v>
      </c>
      <c r="H10">
        <v>0</v>
      </c>
      <c r="I10">
        <f>IFERROR(_xlfn.XLOOKUP(tblContractGlasgow[[#This Row],[Index]], Contract_Edits[Index], Contract_Edits[Order]), tblContractGlasgow[[#This Row],[Order]])</f>
        <v>75.010300000000001</v>
      </c>
      <c r="J10" t="str">
        <f>_xlfn.XLOOKUP(tblContractGlasgow[[#This Row],[Index]], Contract_Edits[Index], Contract_Edits[Approve])</f>
        <v>Yes</v>
      </c>
      <c r="K10">
        <f>IFERROR(_xlfn.XLOOKUP(tblContractGlasgow[[#This Row],[Index]], Contract_Edits[Index], Contract_Edits[Group]), tblContractGlasgow[[#This Row],[Group]])</f>
        <v>1</v>
      </c>
      <c r="L10" s="11">
        <f>IFERROR( _xlfn.XLOOKUP(tblContractGlasgow[[#This Row],[Index]], Contract_Edits[Index],Contract_Edits[Days]), 1)</f>
        <v>1</v>
      </c>
      <c r="M10" t="str">
        <f>IFERROR(_xlfn.XLOOKUP(tblContractGlasgow[[#This Row],[Index]], Contract_Edits[Index], Contract_Edits[Done],), "No")</f>
        <v>No</v>
      </c>
      <c r="N10">
        <f>IFERROR(_xlfn.XLOOKUP(tblContractGlasgow[[#This Row],[Index]], Contract_Edits[Index], Contract_Edits[Paid]), 0)</f>
        <v>0</v>
      </c>
      <c r="O10">
        <f>IFERROR(_xlfn.XLOOKUP(tblContractGlasgow[[#This Row],[Index]], Contract_Edits[Index], Contract_Edits[Notes]), 0)</f>
        <v>0</v>
      </c>
      <c r="P10">
        <f>IFERROR( _xlfn.XLOOKUP(tblContractGlasgow[[#This Row],[Index]], Contract_Edits[Index],Contract_Edits[Dep]),174)</f>
        <v>150</v>
      </c>
    </row>
    <row r="11" spans="1:51" ht="30">
      <c r="A11">
        <v>20</v>
      </c>
      <c r="B11" t="s">
        <v>555</v>
      </c>
      <c r="C11" t="s">
        <v>550</v>
      </c>
      <c r="D11" s="458" t="s">
        <v>559</v>
      </c>
      <c r="E11">
        <v>1</v>
      </c>
      <c r="F11">
        <v>1595</v>
      </c>
      <c r="G11" t="s">
        <v>519</v>
      </c>
      <c r="H11">
        <v>0</v>
      </c>
      <c r="I11">
        <f>IFERROR(_xlfn.XLOOKUP(tblContractGlasgow[[#This Row],[Index]], Contract_Edits[Index], Contract_Edits[Order]), tblContractGlasgow[[#This Row],[Order]])</f>
        <v>45.020200000000003</v>
      </c>
      <c r="J11" t="str">
        <f>_xlfn.XLOOKUP(tblContractGlasgow[[#This Row],[Index]], Contract_Edits[Index], Contract_Edits[Approve])</f>
        <v>Yes</v>
      </c>
      <c r="K11">
        <f>IFERROR(_xlfn.XLOOKUP(tblContractGlasgow[[#This Row],[Index]], Contract_Edits[Index], Contract_Edits[Group]), tblContractGlasgow[[#This Row],[Group]])</f>
        <v>1</v>
      </c>
      <c r="L11" s="11">
        <f>IFERROR( _xlfn.XLOOKUP(tblContractGlasgow[[#This Row],[Index]], Contract_Edits[Index],Contract_Edits[Days]), 1)</f>
        <v>1</v>
      </c>
      <c r="M11" t="str">
        <f>IFERROR(_xlfn.XLOOKUP(tblContractGlasgow[[#This Row],[Index]], Contract_Edits[Index], Contract_Edits[Done],), "No")</f>
        <v>No</v>
      </c>
      <c r="N11">
        <f>IFERROR(_xlfn.XLOOKUP(tblContractGlasgow[[#This Row],[Index]], Contract_Edits[Index], Contract_Edits[Paid]), 0)</f>
        <v>0</v>
      </c>
      <c r="O11">
        <f>IFERROR(_xlfn.XLOOKUP(tblContractGlasgow[[#This Row],[Index]], Contract_Edits[Index], Contract_Edits[Notes]), 0)</f>
        <v>0</v>
      </c>
      <c r="P11">
        <f>IFERROR( _xlfn.XLOOKUP(tblContractGlasgow[[#This Row],[Index]], Contract_Edits[Index],Contract_Edits[Dep]),174)</f>
        <v>181</v>
      </c>
    </row>
    <row r="12" spans="1:51">
      <c r="A12">
        <v>22</v>
      </c>
      <c r="B12" t="s">
        <v>555</v>
      </c>
      <c r="C12" t="s">
        <v>562</v>
      </c>
      <c r="D12" s="458" t="s">
        <v>563</v>
      </c>
      <c r="E12">
        <v>2</v>
      </c>
      <c r="F12">
        <v>362.5</v>
      </c>
      <c r="G12" t="s">
        <v>519</v>
      </c>
      <c r="H12">
        <v>0</v>
      </c>
      <c r="I12">
        <f>IFERROR(_xlfn.XLOOKUP(tblContractGlasgow[[#This Row],[Index]], Contract_Edits[Index], Contract_Edits[Order]), tblContractGlasgow[[#This Row],[Order]])</f>
        <v>85.020299999999992</v>
      </c>
      <c r="J12" t="str">
        <f>_xlfn.XLOOKUP(tblContractGlasgow[[#This Row],[Index]], Contract_Edits[Index], Contract_Edits[Approve])</f>
        <v>Yes</v>
      </c>
      <c r="K12">
        <f>IFERROR(_xlfn.XLOOKUP(tblContractGlasgow[[#This Row],[Index]], Contract_Edits[Index], Contract_Edits[Group]), tblContractGlasgow[[#This Row],[Group]])</f>
        <v>1</v>
      </c>
      <c r="L12" s="11">
        <f>IFERROR( _xlfn.XLOOKUP(tblContractGlasgow[[#This Row],[Index]], Contract_Edits[Index],Contract_Edits[Days]), 1)</f>
        <v>2</v>
      </c>
      <c r="M12" t="str">
        <f>IFERROR(_xlfn.XLOOKUP(tblContractGlasgow[[#This Row],[Index]], Contract_Edits[Index], Contract_Edits[Done],), "No")</f>
        <v>No</v>
      </c>
      <c r="N12">
        <f>IFERROR(_xlfn.XLOOKUP(tblContractGlasgow[[#This Row],[Index]], Contract_Edits[Index], Contract_Edits[Paid]), 0)</f>
        <v>0</v>
      </c>
      <c r="O12" t="str">
        <f>IFERROR(_xlfn.XLOOKUP(tblContractGlasgow[[#This Row],[Index]], Contract_Edits[Index], Contract_Edits[Notes]), 0)</f>
        <v/>
      </c>
      <c r="P12">
        <f>IFERROR( _xlfn.XLOOKUP(tblContractGlasgow[[#This Row],[Index]], Contract_Edits[Index],Contract_Edits[Dep]),174)</f>
        <v>180</v>
      </c>
    </row>
    <row r="13" spans="1:51">
      <c r="A13">
        <v>23</v>
      </c>
      <c r="B13" t="s">
        <v>555</v>
      </c>
      <c r="C13" t="s">
        <v>564</v>
      </c>
      <c r="D13" s="458" t="s">
        <v>565</v>
      </c>
      <c r="E13">
        <v>2</v>
      </c>
      <c r="F13">
        <v>580</v>
      </c>
      <c r="G13" t="s">
        <v>519</v>
      </c>
      <c r="H13">
        <v>0</v>
      </c>
      <c r="I13">
        <f>IFERROR(_xlfn.XLOOKUP(tblContractGlasgow[[#This Row],[Index]], Contract_Edits[Index], Contract_Edits[Order]), tblContractGlasgow[[#This Row],[Order]])</f>
        <v>35.010100000000001</v>
      </c>
      <c r="J13" t="str">
        <f>_xlfn.XLOOKUP(tblContractGlasgow[[#This Row],[Index]], Contract_Edits[Index], Contract_Edits[Approve])</f>
        <v>Yes</v>
      </c>
      <c r="K13">
        <f>IFERROR(_xlfn.XLOOKUP(tblContractGlasgow[[#This Row],[Index]], Contract_Edits[Index], Contract_Edits[Group]), tblContractGlasgow[[#This Row],[Group]])</f>
        <v>1</v>
      </c>
      <c r="L13" s="11">
        <f>IFERROR( _xlfn.XLOOKUP(tblContractGlasgow[[#This Row],[Index]], Contract_Edits[Index],Contract_Edits[Days]), 1)</f>
        <v>1</v>
      </c>
      <c r="M13" t="str">
        <f>IFERROR(_xlfn.XLOOKUP(tblContractGlasgow[[#This Row],[Index]], Contract_Edits[Index], Contract_Edits[Done],), "No")</f>
        <v>No</v>
      </c>
      <c r="N13">
        <f>IFERROR(_xlfn.XLOOKUP(tblContractGlasgow[[#This Row],[Index]], Contract_Edits[Index], Contract_Edits[Paid]), 0)</f>
        <v>0</v>
      </c>
      <c r="O13" t="str">
        <f>IFERROR(_xlfn.XLOOKUP(tblContractGlasgow[[#This Row],[Index]], Contract_Edits[Index], Contract_Edits[Notes]), 0)</f>
        <v/>
      </c>
      <c r="P13">
        <f>IFERROR( _xlfn.XLOOKUP(tblContractGlasgow[[#This Row],[Index]], Contract_Edits[Index],Contract_Edits[Dep]),174)</f>
        <v>153</v>
      </c>
    </row>
    <row r="14" spans="1:51" ht="45">
      <c r="A14">
        <v>24</v>
      </c>
      <c r="B14" t="s">
        <v>555</v>
      </c>
      <c r="C14" t="s">
        <v>550</v>
      </c>
      <c r="D14" s="458" t="s">
        <v>566</v>
      </c>
      <c r="E14">
        <v>1</v>
      </c>
      <c r="F14">
        <v>10585</v>
      </c>
      <c r="G14" t="s">
        <v>519</v>
      </c>
      <c r="H14">
        <v>0</v>
      </c>
      <c r="I14">
        <f>IFERROR(_xlfn.XLOOKUP(tblContractGlasgow[[#This Row],[Index]], Contract_Edits[Index], Contract_Edits[Order]), tblContractGlasgow[[#This Row],[Order]])</f>
        <v>45.020400000000002</v>
      </c>
      <c r="J14" t="str">
        <f>_xlfn.XLOOKUP(tblContractGlasgow[[#This Row],[Index]], Contract_Edits[Index], Contract_Edits[Approve])</f>
        <v>Yes</v>
      </c>
      <c r="K14">
        <f>IFERROR(_xlfn.XLOOKUP(tblContractGlasgow[[#This Row],[Index]], Contract_Edits[Index], Contract_Edits[Group]), tblContractGlasgow[[#This Row],[Group]])</f>
        <v>1</v>
      </c>
      <c r="L14" s="11">
        <f>IFERROR( _xlfn.XLOOKUP(tblContractGlasgow[[#This Row],[Index]], Contract_Edits[Index],Contract_Edits[Days]), 1)</f>
        <v>2</v>
      </c>
      <c r="M14" t="str">
        <f>IFERROR(_xlfn.XLOOKUP(tblContractGlasgow[[#This Row],[Index]], Contract_Edits[Index], Contract_Edits[Done],), "No")</f>
        <v>No</v>
      </c>
      <c r="N14">
        <f>IFERROR(_xlfn.XLOOKUP(tblContractGlasgow[[#This Row],[Index]], Contract_Edits[Index], Contract_Edits[Paid]), 0)</f>
        <v>0</v>
      </c>
      <c r="O14" t="str">
        <f>IFERROR(_xlfn.XLOOKUP(tblContractGlasgow[[#This Row],[Index]], Contract_Edits[Index], Contract_Edits[Notes]), 0)</f>
        <v/>
      </c>
      <c r="P14">
        <f>IFERROR( _xlfn.XLOOKUP(tblContractGlasgow[[#This Row],[Index]], Contract_Edits[Index],Contract_Edits[Dep]),174)</f>
        <v>181</v>
      </c>
    </row>
    <row r="15" spans="1:51">
      <c r="A15">
        <v>25</v>
      </c>
      <c r="B15" t="s">
        <v>555</v>
      </c>
      <c r="C15" t="s">
        <v>553</v>
      </c>
      <c r="D15" s="458" t="s">
        <v>567</v>
      </c>
      <c r="E15">
        <v>1</v>
      </c>
      <c r="F15">
        <v>5365</v>
      </c>
      <c r="G15" t="s">
        <v>519</v>
      </c>
      <c r="H15">
        <v>0</v>
      </c>
      <c r="I15">
        <f>IFERROR(_xlfn.XLOOKUP(tblContractGlasgow[[#This Row],[Index]], Contract_Edits[Index], Contract_Edits[Order]), tblContractGlasgow[[#This Row],[Order]])</f>
        <v>45.020100000000006</v>
      </c>
      <c r="J15" t="str">
        <f>_xlfn.XLOOKUP(tblContractGlasgow[[#This Row],[Index]], Contract_Edits[Index], Contract_Edits[Approve])</f>
        <v>Yes</v>
      </c>
      <c r="K15">
        <f>IFERROR(_xlfn.XLOOKUP(tblContractGlasgow[[#This Row],[Index]], Contract_Edits[Index], Contract_Edits[Group]), tblContractGlasgow[[#This Row],[Group]])</f>
        <v>1</v>
      </c>
      <c r="L15" s="11">
        <f>IFERROR( _xlfn.XLOOKUP(tblContractGlasgow[[#This Row],[Index]], Contract_Edits[Index],Contract_Edits[Days]), 1)</f>
        <v>0</v>
      </c>
      <c r="M15" t="str">
        <f>IFERROR(_xlfn.XLOOKUP(tblContractGlasgow[[#This Row],[Index]], Contract_Edits[Index], Contract_Edits[Done],), "No")</f>
        <v>No</v>
      </c>
      <c r="N15">
        <f>IFERROR(_xlfn.XLOOKUP(tblContractGlasgow[[#This Row],[Index]], Contract_Edits[Index], Contract_Edits[Paid]), 0)</f>
        <v>0</v>
      </c>
      <c r="O15" t="str">
        <f>IFERROR(_xlfn.XLOOKUP(tblContractGlasgow[[#This Row],[Index]], Contract_Edits[Index], Contract_Edits[Notes]), 0)</f>
        <v/>
      </c>
      <c r="P15">
        <f>IFERROR( _xlfn.XLOOKUP(tblContractGlasgow[[#This Row],[Index]], Contract_Edits[Index],Contract_Edits[Dep]),174)</f>
        <v>181</v>
      </c>
    </row>
    <row r="16" spans="1:51">
      <c r="A16">
        <v>26</v>
      </c>
      <c r="B16" t="s">
        <v>555</v>
      </c>
      <c r="C16" t="s">
        <v>568</v>
      </c>
      <c r="D16" s="458" t="s">
        <v>569</v>
      </c>
      <c r="E16">
        <v>1</v>
      </c>
      <c r="F16">
        <v>507.5</v>
      </c>
      <c r="G16" t="s">
        <v>519</v>
      </c>
      <c r="H16">
        <v>0</v>
      </c>
      <c r="I16">
        <f>IFERROR(_xlfn.XLOOKUP(tblContractGlasgow[[#This Row],[Index]], Contract_Edits[Index], Contract_Edits[Order]), tblContractGlasgow[[#This Row],[Order]])</f>
        <v>75.020399999999995</v>
      </c>
      <c r="J16" t="str">
        <f>_xlfn.XLOOKUP(tblContractGlasgow[[#This Row],[Index]], Contract_Edits[Index], Contract_Edits[Approve])</f>
        <v>Yes</v>
      </c>
      <c r="K16">
        <f>IFERROR(_xlfn.XLOOKUP(tblContractGlasgow[[#This Row],[Index]], Contract_Edits[Index], Contract_Edits[Group]), tblContractGlasgow[[#This Row],[Group]])</f>
        <v>1</v>
      </c>
      <c r="L16" s="11">
        <f>IFERROR( _xlfn.XLOOKUP(tblContractGlasgow[[#This Row],[Index]], Contract_Edits[Index],Contract_Edits[Days]), 1)</f>
        <v>0</v>
      </c>
      <c r="M16" t="str">
        <f>IFERROR(_xlfn.XLOOKUP(tblContractGlasgow[[#This Row],[Index]], Contract_Edits[Index], Contract_Edits[Done],), "No")</f>
        <v>No</v>
      </c>
      <c r="N16">
        <f>IFERROR(_xlfn.XLOOKUP(tblContractGlasgow[[#This Row],[Index]], Contract_Edits[Index], Contract_Edits[Paid]), 0)</f>
        <v>0</v>
      </c>
      <c r="O16" t="str">
        <f>IFERROR(_xlfn.XLOOKUP(tblContractGlasgow[[#This Row],[Index]], Contract_Edits[Index], Contract_Edits[Notes]), 0)</f>
        <v>make dependant</v>
      </c>
      <c r="P16">
        <f>IFERROR( _xlfn.XLOOKUP(tblContractGlasgow[[#This Row],[Index]], Contract_Edits[Index],Contract_Edits[Dep]),174)</f>
        <v>157</v>
      </c>
    </row>
    <row r="17" spans="1:16" ht="30">
      <c r="A17">
        <v>27</v>
      </c>
      <c r="B17" t="s">
        <v>555</v>
      </c>
      <c r="C17" t="s">
        <v>570</v>
      </c>
      <c r="D17" s="458" t="s">
        <v>571</v>
      </c>
      <c r="E17">
        <v>1</v>
      </c>
      <c r="F17">
        <v>5075</v>
      </c>
      <c r="G17" t="s">
        <v>519</v>
      </c>
      <c r="H17">
        <v>0</v>
      </c>
      <c r="I17">
        <f>IFERROR(_xlfn.XLOOKUP(tblContractGlasgow[[#This Row],[Index]], Contract_Edits[Index], Contract_Edits[Order]), tblContractGlasgow[[#This Row],[Order]])</f>
        <v>75.030500000000004</v>
      </c>
      <c r="J17" t="str">
        <f>_xlfn.XLOOKUP(tblContractGlasgow[[#This Row],[Index]], Contract_Edits[Index], Contract_Edits[Approve])</f>
        <v>Yes</v>
      </c>
      <c r="K17">
        <f>IFERROR(_xlfn.XLOOKUP(tblContractGlasgow[[#This Row],[Index]], Contract_Edits[Index], Contract_Edits[Group]), tblContractGlasgow[[#This Row],[Group]])</f>
        <v>1</v>
      </c>
      <c r="L17" s="11">
        <f>IFERROR( _xlfn.XLOOKUP(tblContractGlasgow[[#This Row],[Index]], Contract_Edits[Index],Contract_Edits[Days]), 1)</f>
        <v>2</v>
      </c>
      <c r="M17" t="str">
        <f>IFERROR(_xlfn.XLOOKUP(tblContractGlasgow[[#This Row],[Index]], Contract_Edits[Index], Contract_Edits[Done],), "No")</f>
        <v>No</v>
      </c>
      <c r="N17">
        <f>IFERROR(_xlfn.XLOOKUP(tblContractGlasgow[[#This Row],[Index]], Contract_Edits[Index], Contract_Edits[Paid]), 0)</f>
        <v>0</v>
      </c>
      <c r="O17" t="str">
        <f>IFERROR(_xlfn.XLOOKUP(tblContractGlasgow[[#This Row],[Index]], Contract_Edits[Index], Contract_Edits[Notes]), 0)</f>
        <v/>
      </c>
      <c r="P17">
        <f>IFERROR( _xlfn.XLOOKUP(tblContractGlasgow[[#This Row],[Index]], Contract_Edits[Index],Contract_Edits[Dep]),174)</f>
        <v>158</v>
      </c>
    </row>
    <row r="18" spans="1:16">
      <c r="A18">
        <v>28</v>
      </c>
      <c r="B18" t="s">
        <v>555</v>
      </c>
      <c r="C18" t="s">
        <v>527</v>
      </c>
      <c r="D18" s="458" t="s">
        <v>572</v>
      </c>
      <c r="E18">
        <v>1</v>
      </c>
      <c r="F18">
        <v>725</v>
      </c>
      <c r="G18" t="s">
        <v>519</v>
      </c>
      <c r="H18">
        <v>0</v>
      </c>
      <c r="I18">
        <f>IFERROR(_xlfn.XLOOKUP(tblContractGlasgow[[#This Row],[Index]], Contract_Edits[Index], Contract_Edits[Order]), tblContractGlasgow[[#This Row],[Order]])</f>
        <v>75.040600000000012</v>
      </c>
      <c r="J18" t="str">
        <f>_xlfn.XLOOKUP(tblContractGlasgow[[#This Row],[Index]], Contract_Edits[Index], Contract_Edits[Approve])</f>
        <v>Yes</v>
      </c>
      <c r="K18">
        <f>IFERROR(_xlfn.XLOOKUP(tblContractGlasgow[[#This Row],[Index]], Contract_Edits[Index], Contract_Edits[Group]), tblContractGlasgow[[#This Row],[Group]])</f>
        <v>1</v>
      </c>
      <c r="L18" s="11">
        <f>IFERROR( _xlfn.XLOOKUP(tblContractGlasgow[[#This Row],[Index]], Contract_Edits[Index],Contract_Edits[Days]), 1)</f>
        <v>1</v>
      </c>
      <c r="M18" t="str">
        <f>IFERROR(_xlfn.XLOOKUP(tblContractGlasgow[[#This Row],[Index]], Contract_Edits[Index], Contract_Edits[Done],), "No")</f>
        <v>No</v>
      </c>
      <c r="N18">
        <f>IFERROR(_xlfn.XLOOKUP(tblContractGlasgow[[#This Row],[Index]], Contract_Edits[Index], Contract_Edits[Paid]), 0)</f>
        <v>0</v>
      </c>
      <c r="O18" t="str">
        <f>IFERROR(_xlfn.XLOOKUP(tblContractGlasgow[[#This Row],[Index]], Contract_Edits[Index], Contract_Edits[Notes]), 0)</f>
        <v/>
      </c>
      <c r="P18">
        <f>IFERROR( _xlfn.XLOOKUP(tblContractGlasgow[[#This Row],[Index]], Contract_Edits[Index],Contract_Edits[Dep]),174)</f>
        <v>159</v>
      </c>
    </row>
    <row r="19" spans="1:16" ht="30">
      <c r="A19">
        <v>29</v>
      </c>
      <c r="B19" t="s">
        <v>555</v>
      </c>
      <c r="C19" t="s">
        <v>573</v>
      </c>
      <c r="D19" s="458" t="s">
        <v>574</v>
      </c>
      <c r="E19">
        <v>1</v>
      </c>
      <c r="F19">
        <v>4060</v>
      </c>
      <c r="G19" t="s">
        <v>519</v>
      </c>
      <c r="H19">
        <v>0</v>
      </c>
      <c r="I19">
        <f>IFERROR(_xlfn.XLOOKUP(tblContractGlasgow[[#This Row],[Index]], Contract_Edits[Index], Contract_Edits[Order]), tblContractGlasgow[[#This Row],[Order]])</f>
        <v>95.010800000000003</v>
      </c>
      <c r="J19" t="str">
        <f>_xlfn.XLOOKUP(tblContractGlasgow[[#This Row],[Index]], Contract_Edits[Index], Contract_Edits[Approve])</f>
        <v>Yes</v>
      </c>
      <c r="K19">
        <f>IFERROR(_xlfn.XLOOKUP(tblContractGlasgow[[#This Row],[Index]], Contract_Edits[Index], Contract_Edits[Group]), tblContractGlasgow[[#This Row],[Group]])</f>
        <v>1</v>
      </c>
      <c r="L19" s="11">
        <f>IFERROR( _xlfn.XLOOKUP(tblContractGlasgow[[#This Row],[Index]], Contract_Edits[Index],Contract_Edits[Days]), 1)</f>
        <v>2</v>
      </c>
      <c r="M19" t="str">
        <f>IFERROR(_xlfn.XLOOKUP(tblContractGlasgow[[#This Row],[Index]], Contract_Edits[Index], Contract_Edits[Done],), "No")</f>
        <v>No</v>
      </c>
      <c r="N19">
        <f>IFERROR(_xlfn.XLOOKUP(tblContractGlasgow[[#This Row],[Index]], Contract_Edits[Index], Contract_Edits[Paid]), 0)</f>
        <v>0</v>
      </c>
      <c r="O19" t="str">
        <f>IFERROR(_xlfn.XLOOKUP(tblContractGlasgow[[#This Row],[Index]], Contract_Edits[Index], Contract_Edits[Notes]), 0)</f>
        <v/>
      </c>
      <c r="P19">
        <f>IFERROR( _xlfn.XLOOKUP(tblContractGlasgow[[#This Row],[Index]], Contract_Edits[Index],Contract_Edits[Dep]),174)</f>
        <v>161</v>
      </c>
    </row>
    <row r="20" spans="1:16" ht="30">
      <c r="A20">
        <v>32</v>
      </c>
      <c r="B20" t="s">
        <v>555</v>
      </c>
      <c r="C20" t="s">
        <v>579</v>
      </c>
      <c r="D20" s="458" t="s">
        <v>580</v>
      </c>
      <c r="E20">
        <v>1</v>
      </c>
      <c r="F20">
        <v>2175</v>
      </c>
      <c r="G20" t="s">
        <v>519</v>
      </c>
      <c r="H20">
        <v>0</v>
      </c>
      <c r="I20">
        <f>IFERROR(_xlfn.XLOOKUP(tblContractGlasgow[[#This Row],[Index]], Contract_Edits[Index], Contract_Edits[Order]), tblContractGlasgow[[#This Row],[Order]])</f>
        <v>135.0102</v>
      </c>
      <c r="J20" t="str">
        <f>_xlfn.XLOOKUP(tblContractGlasgow[[#This Row],[Index]], Contract_Edits[Index], Contract_Edits[Approve])</f>
        <v>Yes</v>
      </c>
      <c r="K20">
        <f>IFERROR(_xlfn.XLOOKUP(tblContractGlasgow[[#This Row],[Index]], Contract_Edits[Index], Contract_Edits[Group]), tblContractGlasgow[[#This Row],[Group]])</f>
        <v>1</v>
      </c>
      <c r="L20" s="11">
        <f>IFERROR( _xlfn.XLOOKUP(tblContractGlasgow[[#This Row],[Index]], Contract_Edits[Index],Contract_Edits[Days]), 1)</f>
        <v>1</v>
      </c>
      <c r="M20" t="str">
        <f>IFERROR(_xlfn.XLOOKUP(tblContractGlasgow[[#This Row],[Index]], Contract_Edits[Index], Contract_Edits[Done],), "No")</f>
        <v>No</v>
      </c>
      <c r="N20">
        <f>IFERROR(_xlfn.XLOOKUP(tblContractGlasgow[[#This Row],[Index]], Contract_Edits[Index], Contract_Edits[Paid]), 0)</f>
        <v>0</v>
      </c>
      <c r="O20" t="str">
        <f>IFERROR(_xlfn.XLOOKUP(tblContractGlasgow[[#This Row],[Index]], Contract_Edits[Index], Contract_Edits[Notes]), 0)</f>
        <v/>
      </c>
      <c r="P20">
        <f>IFERROR( _xlfn.XLOOKUP(tblContractGlasgow[[#This Row],[Index]], Contract_Edits[Index],Contract_Edits[Dep]),174)</f>
        <v>165</v>
      </c>
    </row>
    <row r="21" spans="1:16">
      <c r="A21">
        <v>33</v>
      </c>
      <c r="B21" t="s">
        <v>555</v>
      </c>
      <c r="C21" t="s">
        <v>581</v>
      </c>
      <c r="D21" s="458" t="s">
        <v>582</v>
      </c>
      <c r="E21">
        <v>1</v>
      </c>
      <c r="F21">
        <v>580</v>
      </c>
      <c r="G21" t="s">
        <v>519</v>
      </c>
      <c r="H21">
        <v>0</v>
      </c>
      <c r="I21">
        <f>IFERROR(_xlfn.XLOOKUP(tblContractGlasgow[[#This Row],[Index]], Contract_Edits[Index], Contract_Edits[Order]), tblContractGlasgow[[#This Row],[Order]])</f>
        <v>125.0107</v>
      </c>
      <c r="J21" t="str">
        <f>_xlfn.XLOOKUP(tblContractGlasgow[[#This Row],[Index]], Contract_Edits[Index], Contract_Edits[Approve])</f>
        <v>Yes</v>
      </c>
      <c r="K21">
        <f>IFERROR(_xlfn.XLOOKUP(tblContractGlasgow[[#This Row],[Index]], Contract_Edits[Index], Contract_Edits[Group]), tblContractGlasgow[[#This Row],[Group]])</f>
        <v>1</v>
      </c>
      <c r="L21" s="11">
        <f>IFERROR( _xlfn.XLOOKUP(tblContractGlasgow[[#This Row],[Index]], Contract_Edits[Index],Contract_Edits[Days]), 1)</f>
        <v>1</v>
      </c>
      <c r="M21" t="str">
        <f>IFERROR(_xlfn.XLOOKUP(tblContractGlasgow[[#This Row],[Index]], Contract_Edits[Index], Contract_Edits[Done],), "No")</f>
        <v>No</v>
      </c>
      <c r="N21">
        <f>IFERROR(_xlfn.XLOOKUP(tblContractGlasgow[[#This Row],[Index]], Contract_Edits[Index], Contract_Edits[Paid]), 0)</f>
        <v>0</v>
      </c>
      <c r="O21" t="str">
        <f>IFERROR(_xlfn.XLOOKUP(tblContractGlasgow[[#This Row],[Index]], Contract_Edits[Index], Contract_Edits[Notes]), 0)</f>
        <v/>
      </c>
      <c r="P21">
        <f>IFERROR( _xlfn.XLOOKUP(tblContractGlasgow[[#This Row],[Index]], Contract_Edits[Index],Contract_Edits[Dep]),174)</f>
        <v>164</v>
      </c>
    </row>
    <row r="22" spans="1:16" ht="30">
      <c r="A22">
        <v>34</v>
      </c>
      <c r="B22" t="s">
        <v>555</v>
      </c>
      <c r="C22" t="s">
        <v>583</v>
      </c>
      <c r="D22" s="458" t="s">
        <v>584</v>
      </c>
      <c r="E22">
        <v>1</v>
      </c>
      <c r="F22">
        <v>1885</v>
      </c>
      <c r="G22" t="s">
        <v>519</v>
      </c>
      <c r="H22">
        <v>0</v>
      </c>
      <c r="I22">
        <f>IFERROR(_xlfn.XLOOKUP(tblContractGlasgow[[#This Row],[Index]], Contract_Edits[Index], Contract_Edits[Order]), tblContractGlasgow[[#This Row],[Order]])</f>
        <v>125.01060000000001</v>
      </c>
      <c r="J22" t="str">
        <f>_xlfn.XLOOKUP(tblContractGlasgow[[#This Row],[Index]], Contract_Edits[Index], Contract_Edits[Approve])</f>
        <v>Yes</v>
      </c>
      <c r="K22">
        <f>IFERROR(_xlfn.XLOOKUP(tblContractGlasgow[[#This Row],[Index]], Contract_Edits[Index], Contract_Edits[Group]), tblContractGlasgow[[#This Row],[Group]])</f>
        <v>1</v>
      </c>
      <c r="L22" s="11">
        <f>IFERROR( _xlfn.XLOOKUP(tblContractGlasgow[[#This Row],[Index]], Contract_Edits[Index],Contract_Edits[Days]), 1)</f>
        <v>1</v>
      </c>
      <c r="M22" t="str">
        <f>IFERROR(_xlfn.XLOOKUP(tblContractGlasgow[[#This Row],[Index]], Contract_Edits[Index], Contract_Edits[Done],), "No")</f>
        <v>No</v>
      </c>
      <c r="N22">
        <f>IFERROR(_xlfn.XLOOKUP(tblContractGlasgow[[#This Row],[Index]], Contract_Edits[Index], Contract_Edits[Paid]), 0)</f>
        <v>0</v>
      </c>
      <c r="O22" t="str">
        <f>IFERROR(_xlfn.XLOOKUP(tblContractGlasgow[[#This Row],[Index]], Contract_Edits[Index], Contract_Edits[Notes]), 0)</f>
        <v/>
      </c>
      <c r="P22">
        <f>IFERROR( _xlfn.XLOOKUP(tblContractGlasgow[[#This Row],[Index]], Contract_Edits[Index],Contract_Edits[Dep]),174)</f>
        <v>164</v>
      </c>
    </row>
    <row r="23" spans="1:16">
      <c r="A23">
        <v>35</v>
      </c>
      <c r="B23" t="s">
        <v>555</v>
      </c>
      <c r="C23" t="s">
        <v>585</v>
      </c>
      <c r="D23" s="458" t="s">
        <v>586</v>
      </c>
      <c r="E23">
        <v>1</v>
      </c>
      <c r="F23">
        <v>1305</v>
      </c>
      <c r="G23" t="s">
        <v>519</v>
      </c>
      <c r="H23">
        <v>0</v>
      </c>
      <c r="I23">
        <f>IFERROR(_xlfn.XLOOKUP(tblContractGlasgow[[#This Row],[Index]], Contract_Edits[Index], Contract_Edits[Order]), tblContractGlasgow[[#This Row],[Order]])</f>
        <v>185.01069999999999</v>
      </c>
      <c r="J23" t="str">
        <f>_xlfn.XLOOKUP(tblContractGlasgow[[#This Row],[Index]], Contract_Edits[Index], Contract_Edits[Approve])</f>
        <v>Yes</v>
      </c>
      <c r="K23">
        <f>IFERROR(_xlfn.XLOOKUP(tblContractGlasgow[[#This Row],[Index]], Contract_Edits[Index], Contract_Edits[Group]), tblContractGlasgow[[#This Row],[Group]])</f>
        <v>1</v>
      </c>
      <c r="L23" s="11">
        <f>IFERROR( _xlfn.XLOOKUP(tblContractGlasgow[[#This Row],[Index]], Contract_Edits[Index],Contract_Edits[Days]), 1)</f>
        <v>1</v>
      </c>
      <c r="M23" t="str">
        <f>IFERROR(_xlfn.XLOOKUP(tblContractGlasgow[[#This Row],[Index]], Contract_Edits[Index], Contract_Edits[Done],), "No")</f>
        <v>No</v>
      </c>
      <c r="N23">
        <f>IFERROR(_xlfn.XLOOKUP(tblContractGlasgow[[#This Row],[Index]], Contract_Edits[Index], Contract_Edits[Paid]), 0)</f>
        <v>0</v>
      </c>
      <c r="O23" t="str">
        <f>IFERROR(_xlfn.XLOOKUP(tblContractGlasgow[[#This Row],[Index]], Contract_Edits[Index], Contract_Edits[Notes]), 0)</f>
        <v/>
      </c>
      <c r="P23">
        <f>IFERROR( _xlfn.XLOOKUP(tblContractGlasgow[[#This Row],[Index]], Contract_Edits[Index],Contract_Edits[Dep]),174)</f>
        <v>170</v>
      </c>
    </row>
    <row r="24" spans="1:16" ht="30">
      <c r="A24">
        <v>39</v>
      </c>
      <c r="B24" t="s">
        <v>587</v>
      </c>
      <c r="C24" t="s">
        <v>591</v>
      </c>
      <c r="D24" s="458" t="s">
        <v>592</v>
      </c>
      <c r="E24">
        <v>1</v>
      </c>
      <c r="F24">
        <v>3625</v>
      </c>
      <c r="G24" t="s">
        <v>519</v>
      </c>
      <c r="H24">
        <v>0</v>
      </c>
      <c r="I24">
        <f>IFERROR(_xlfn.XLOOKUP(tblContractGlasgow[[#This Row],[Index]], Contract_Edits[Index], Contract_Edits[Order]), tblContractGlasgow[[#This Row],[Order]])</f>
        <v>75.020499999999998</v>
      </c>
      <c r="J24" t="str">
        <f>_xlfn.XLOOKUP(tblContractGlasgow[[#This Row],[Index]], Contract_Edits[Index], Contract_Edits[Approve])</f>
        <v>Yes</v>
      </c>
      <c r="K24">
        <f>IFERROR(_xlfn.XLOOKUP(tblContractGlasgow[[#This Row],[Index]], Contract_Edits[Index], Contract_Edits[Group]), tblContractGlasgow[[#This Row],[Group]])</f>
        <v>1</v>
      </c>
      <c r="L24" s="11">
        <f>IFERROR( _xlfn.XLOOKUP(tblContractGlasgow[[#This Row],[Index]], Contract_Edits[Index],Contract_Edits[Days]), 1)</f>
        <v>1</v>
      </c>
      <c r="M24" t="str">
        <f>IFERROR(_xlfn.XLOOKUP(tblContractGlasgow[[#This Row],[Index]], Contract_Edits[Index], Contract_Edits[Done],), "No")</f>
        <v>No</v>
      </c>
      <c r="N24">
        <f>IFERROR(_xlfn.XLOOKUP(tblContractGlasgow[[#This Row],[Index]], Contract_Edits[Index], Contract_Edits[Paid]), 0)</f>
        <v>0</v>
      </c>
      <c r="O24" t="str">
        <f>IFERROR(_xlfn.XLOOKUP(tblContractGlasgow[[#This Row],[Index]], Contract_Edits[Index], Contract_Edits[Notes]), 0)</f>
        <v/>
      </c>
      <c r="P24">
        <f>IFERROR( _xlfn.XLOOKUP(tblContractGlasgow[[#This Row],[Index]], Contract_Edits[Index],Contract_Edits[Dep]),174)</f>
        <v>157</v>
      </c>
    </row>
    <row r="25" spans="1:16">
      <c r="A25">
        <v>40</v>
      </c>
      <c r="B25" t="s">
        <v>587</v>
      </c>
      <c r="C25" t="s">
        <v>527</v>
      </c>
      <c r="D25" s="458" t="s">
        <v>593</v>
      </c>
      <c r="E25">
        <v>1</v>
      </c>
      <c r="F25">
        <v>1160</v>
      </c>
      <c r="G25" t="s">
        <v>519</v>
      </c>
      <c r="H25">
        <v>0</v>
      </c>
      <c r="I25">
        <f>IFERROR(_xlfn.XLOOKUP(tblContractGlasgow[[#This Row],[Index]], Contract_Edits[Index], Contract_Edits[Order]), tblContractGlasgow[[#This Row],[Order]])</f>
        <v>75.040300000000002</v>
      </c>
      <c r="J25" t="str">
        <f>_xlfn.XLOOKUP(tblContractGlasgow[[#This Row],[Index]], Contract_Edits[Index], Contract_Edits[Approve])</f>
        <v>Yes</v>
      </c>
      <c r="K25">
        <f>IFERROR(_xlfn.XLOOKUP(tblContractGlasgow[[#This Row],[Index]], Contract_Edits[Index], Contract_Edits[Group]), tblContractGlasgow[[#This Row],[Group]])</f>
        <v>1</v>
      </c>
      <c r="L25" s="11">
        <f>IFERROR( _xlfn.XLOOKUP(tblContractGlasgow[[#This Row],[Index]], Contract_Edits[Index],Contract_Edits[Days]), 1)</f>
        <v>1</v>
      </c>
      <c r="M25" t="str">
        <f>IFERROR(_xlfn.XLOOKUP(tblContractGlasgow[[#This Row],[Index]], Contract_Edits[Index], Contract_Edits[Done],), "No")</f>
        <v>No</v>
      </c>
      <c r="N25">
        <f>IFERROR(_xlfn.XLOOKUP(tblContractGlasgow[[#This Row],[Index]], Contract_Edits[Index], Contract_Edits[Paid]), 0)</f>
        <v>0</v>
      </c>
      <c r="O25" t="str">
        <f>IFERROR(_xlfn.XLOOKUP(tblContractGlasgow[[#This Row],[Index]], Contract_Edits[Index], Contract_Edits[Notes]), 0)</f>
        <v/>
      </c>
      <c r="P25">
        <f>IFERROR( _xlfn.XLOOKUP(tblContractGlasgow[[#This Row],[Index]], Contract_Edits[Index],Contract_Edits[Dep]),174)</f>
        <v>159</v>
      </c>
    </row>
    <row r="26" spans="1:16" ht="30">
      <c r="A26">
        <v>41</v>
      </c>
      <c r="B26" t="s">
        <v>587</v>
      </c>
      <c r="C26" t="s">
        <v>594</v>
      </c>
      <c r="D26" s="458" t="s">
        <v>595</v>
      </c>
      <c r="E26">
        <v>1</v>
      </c>
      <c r="F26">
        <v>1450</v>
      </c>
      <c r="G26" t="s">
        <v>519</v>
      </c>
      <c r="H26">
        <v>0</v>
      </c>
      <c r="I26">
        <f>IFERROR(_xlfn.XLOOKUP(tblContractGlasgow[[#This Row],[Index]], Contract_Edits[Index], Contract_Edits[Order]), tblContractGlasgow[[#This Row],[Order]])</f>
        <v>75.0304</v>
      </c>
      <c r="J26" t="str">
        <f>_xlfn.XLOOKUP(tblContractGlasgow[[#This Row],[Index]], Contract_Edits[Index], Contract_Edits[Approve])</f>
        <v>Yes</v>
      </c>
      <c r="K26">
        <f>IFERROR(_xlfn.XLOOKUP(tblContractGlasgow[[#This Row],[Index]], Contract_Edits[Index], Contract_Edits[Group]), tblContractGlasgow[[#This Row],[Group]])</f>
        <v>1</v>
      </c>
      <c r="L26" s="11">
        <f>IFERROR( _xlfn.XLOOKUP(tblContractGlasgow[[#This Row],[Index]], Contract_Edits[Index],Contract_Edits[Days]), 1)</f>
        <v>1</v>
      </c>
      <c r="M26" t="str">
        <f>IFERROR(_xlfn.XLOOKUP(tblContractGlasgow[[#This Row],[Index]], Contract_Edits[Index], Contract_Edits[Done],), "No")</f>
        <v>No</v>
      </c>
      <c r="N26">
        <f>IFERROR(_xlfn.XLOOKUP(tblContractGlasgow[[#This Row],[Index]], Contract_Edits[Index], Contract_Edits[Paid]), 0)</f>
        <v>0</v>
      </c>
      <c r="O26" t="str">
        <f>IFERROR(_xlfn.XLOOKUP(tblContractGlasgow[[#This Row],[Index]], Contract_Edits[Index], Contract_Edits[Notes]), 0)</f>
        <v/>
      </c>
      <c r="P26">
        <f>IFERROR( _xlfn.XLOOKUP(tblContractGlasgow[[#This Row],[Index]], Contract_Edits[Index],Contract_Edits[Dep]),174)</f>
        <v>158</v>
      </c>
    </row>
    <row r="27" spans="1:16">
      <c r="A27">
        <v>44</v>
      </c>
      <c r="B27" t="s">
        <v>587</v>
      </c>
      <c r="C27" t="s">
        <v>600</v>
      </c>
      <c r="D27" s="458" t="s">
        <v>601</v>
      </c>
      <c r="E27">
        <v>50</v>
      </c>
      <c r="F27">
        <v>26.1</v>
      </c>
      <c r="G27" t="s">
        <v>519</v>
      </c>
      <c r="H27">
        <v>0</v>
      </c>
      <c r="I27">
        <f>IFERROR(_xlfn.XLOOKUP(tblContractGlasgow[[#This Row],[Index]], Contract_Edits[Index], Contract_Edits[Order]), tblContractGlasgow[[#This Row],[Order]])</f>
        <v>165.01059999999998</v>
      </c>
      <c r="J27" t="str">
        <f>_xlfn.XLOOKUP(tblContractGlasgow[[#This Row],[Index]], Contract_Edits[Index], Contract_Edits[Approve])</f>
        <v>Yes</v>
      </c>
      <c r="K27">
        <f>IFERROR(_xlfn.XLOOKUP(tblContractGlasgow[[#This Row],[Index]], Contract_Edits[Index], Contract_Edits[Group]), tblContractGlasgow[[#This Row],[Group]])</f>
        <v>1</v>
      </c>
      <c r="L27" s="11">
        <f>IFERROR( _xlfn.XLOOKUP(tblContractGlasgow[[#This Row],[Index]], Contract_Edits[Index],Contract_Edits[Days]), 1)</f>
        <v>2</v>
      </c>
      <c r="M27" t="str">
        <f>IFERROR(_xlfn.XLOOKUP(tblContractGlasgow[[#This Row],[Index]], Contract_Edits[Index], Contract_Edits[Done],), "No")</f>
        <v>No</v>
      </c>
      <c r="N27">
        <f>IFERROR(_xlfn.XLOOKUP(tblContractGlasgow[[#This Row],[Index]], Contract_Edits[Index], Contract_Edits[Paid]), 0)</f>
        <v>0</v>
      </c>
      <c r="O27" t="str">
        <f>IFERROR(_xlfn.XLOOKUP(tblContractGlasgow[[#This Row],[Index]], Contract_Edits[Index], Contract_Edits[Notes]), 0)</f>
        <v/>
      </c>
      <c r="P27">
        <f>IFERROR( _xlfn.XLOOKUP(tblContractGlasgow[[#This Row],[Index]], Contract_Edits[Index],Contract_Edits[Dep]),174)</f>
        <v>168</v>
      </c>
    </row>
    <row r="28" spans="1:16" ht="30">
      <c r="A28">
        <v>45</v>
      </c>
      <c r="B28" t="s">
        <v>587</v>
      </c>
      <c r="C28" t="s">
        <v>602</v>
      </c>
      <c r="D28" s="458" t="s">
        <v>603</v>
      </c>
      <c r="E28">
        <v>77</v>
      </c>
      <c r="F28">
        <v>26.1</v>
      </c>
      <c r="G28" t="s">
        <v>519</v>
      </c>
      <c r="H28">
        <v>0</v>
      </c>
      <c r="I28">
        <f>IFERROR(_xlfn.XLOOKUP(tblContractGlasgow[[#This Row],[Index]], Contract_Edits[Index], Contract_Edits[Order]), tblContractGlasgow[[#This Row],[Order]])</f>
        <v>185.01009999999999</v>
      </c>
      <c r="J28" t="str">
        <f>_xlfn.XLOOKUP(tblContractGlasgow[[#This Row],[Index]], Contract_Edits[Index], Contract_Edits[Approve])</f>
        <v>Yes</v>
      </c>
      <c r="K28">
        <f>IFERROR(_xlfn.XLOOKUP(tblContractGlasgow[[#This Row],[Index]], Contract_Edits[Index], Contract_Edits[Group]), tblContractGlasgow[[#This Row],[Group]])</f>
        <v>1</v>
      </c>
      <c r="L28" s="11">
        <f>IFERROR( _xlfn.XLOOKUP(tblContractGlasgow[[#This Row],[Index]], Contract_Edits[Index],Contract_Edits[Days]), 1)</f>
        <v>2</v>
      </c>
      <c r="M28" t="str">
        <f>IFERROR(_xlfn.XLOOKUP(tblContractGlasgow[[#This Row],[Index]], Contract_Edits[Index], Contract_Edits[Done],), "No")</f>
        <v>No</v>
      </c>
      <c r="N28">
        <f>IFERROR(_xlfn.XLOOKUP(tblContractGlasgow[[#This Row],[Index]], Contract_Edits[Index], Contract_Edits[Paid]), 0)</f>
        <v>0</v>
      </c>
      <c r="O28" t="str">
        <f>IFERROR(_xlfn.XLOOKUP(tblContractGlasgow[[#This Row],[Index]], Contract_Edits[Index], Contract_Edits[Notes]), 0)</f>
        <v>See Lumber Tab</v>
      </c>
      <c r="P28">
        <f>IFERROR( _xlfn.XLOOKUP(tblContractGlasgow[[#This Row],[Index]], Contract_Edits[Index],Contract_Edits[Dep]),174)</f>
        <v>170</v>
      </c>
    </row>
    <row r="29" spans="1:16" ht="30">
      <c r="A29">
        <v>46</v>
      </c>
      <c r="B29" t="s">
        <v>587</v>
      </c>
      <c r="C29" t="s">
        <v>568</v>
      </c>
      <c r="D29" s="458" t="s">
        <v>604</v>
      </c>
      <c r="E29">
        <v>1</v>
      </c>
      <c r="F29">
        <v>1132.75</v>
      </c>
      <c r="G29" t="s">
        <v>519</v>
      </c>
      <c r="H29">
        <v>0</v>
      </c>
      <c r="I29">
        <f>IFERROR(_xlfn.XLOOKUP(tblContractGlasgow[[#This Row],[Index]], Contract_Edits[Index], Contract_Edits[Order]), tblContractGlasgow[[#This Row],[Order]])</f>
        <v>185.01059999999998</v>
      </c>
      <c r="J29" t="str">
        <f>_xlfn.XLOOKUP(tblContractGlasgow[[#This Row],[Index]], Contract_Edits[Index], Contract_Edits[Approve])</f>
        <v>Yes</v>
      </c>
      <c r="K29">
        <f>IFERROR(_xlfn.XLOOKUP(tblContractGlasgow[[#This Row],[Index]], Contract_Edits[Index], Contract_Edits[Group]), tblContractGlasgow[[#This Row],[Group]])</f>
        <v>1</v>
      </c>
      <c r="L29" s="11">
        <f>IFERROR( _xlfn.XLOOKUP(tblContractGlasgow[[#This Row],[Index]], Contract_Edits[Index],Contract_Edits[Days]), 1)</f>
        <v>1</v>
      </c>
      <c r="M29" t="str">
        <f>IFERROR(_xlfn.XLOOKUP(tblContractGlasgow[[#This Row],[Index]], Contract_Edits[Index], Contract_Edits[Done],), "No")</f>
        <v>No</v>
      </c>
      <c r="N29">
        <f>IFERROR(_xlfn.XLOOKUP(tblContractGlasgow[[#This Row],[Index]], Contract_Edits[Index], Contract_Edits[Paid]), 0)</f>
        <v>0</v>
      </c>
      <c r="O29" t="str">
        <f>IFERROR(_xlfn.XLOOKUP(tblContractGlasgow[[#This Row],[Index]], Contract_Edits[Index], Contract_Edits[Notes]), 0)</f>
        <v/>
      </c>
      <c r="P29">
        <f>IFERROR( _xlfn.XLOOKUP(tblContractGlasgow[[#This Row],[Index]], Contract_Edits[Index],Contract_Edits[Dep]),174)</f>
        <v>170</v>
      </c>
    </row>
    <row r="30" spans="1:16">
      <c r="A30">
        <v>47</v>
      </c>
      <c r="B30" t="s">
        <v>587</v>
      </c>
      <c r="C30" t="s">
        <v>583</v>
      </c>
      <c r="D30" s="458" t="s">
        <v>605</v>
      </c>
      <c r="E30">
        <v>1</v>
      </c>
      <c r="F30">
        <v>507.5</v>
      </c>
      <c r="G30" t="s">
        <v>519</v>
      </c>
      <c r="H30">
        <v>0</v>
      </c>
      <c r="I30">
        <f>IFERROR(_xlfn.XLOOKUP(tblContractGlasgow[[#This Row],[Index]], Contract_Edits[Index], Contract_Edits[Order]), tblContractGlasgow[[#This Row],[Order]])</f>
        <v>125.01050000000001</v>
      </c>
      <c r="J30" t="str">
        <f>_xlfn.XLOOKUP(tblContractGlasgow[[#This Row],[Index]], Contract_Edits[Index], Contract_Edits[Approve])</f>
        <v>Yes</v>
      </c>
      <c r="K30">
        <f>IFERROR(_xlfn.XLOOKUP(tblContractGlasgow[[#This Row],[Index]], Contract_Edits[Index], Contract_Edits[Group]), tblContractGlasgow[[#This Row],[Group]])</f>
        <v>1</v>
      </c>
      <c r="L30" s="11">
        <f>IFERROR( _xlfn.XLOOKUP(tblContractGlasgow[[#This Row],[Index]], Contract_Edits[Index],Contract_Edits[Days]), 1)</f>
        <v>1</v>
      </c>
      <c r="M30" t="str">
        <f>IFERROR(_xlfn.XLOOKUP(tblContractGlasgow[[#This Row],[Index]], Contract_Edits[Index], Contract_Edits[Done],), "No")</f>
        <v>No</v>
      </c>
      <c r="N30">
        <f>IFERROR(_xlfn.XLOOKUP(tblContractGlasgow[[#This Row],[Index]], Contract_Edits[Index], Contract_Edits[Paid]), 0)</f>
        <v>0</v>
      </c>
      <c r="O30" t="str">
        <f>IFERROR(_xlfn.XLOOKUP(tblContractGlasgow[[#This Row],[Index]], Contract_Edits[Index], Contract_Edits[Notes]), 0)</f>
        <v/>
      </c>
      <c r="P30">
        <f>IFERROR( _xlfn.XLOOKUP(tblContractGlasgow[[#This Row],[Index]], Contract_Edits[Index],Contract_Edits[Dep]),174)</f>
        <v>164</v>
      </c>
    </row>
    <row r="31" spans="1:16" ht="30">
      <c r="A31">
        <v>56</v>
      </c>
      <c r="B31" t="s">
        <v>608</v>
      </c>
      <c r="C31" t="s">
        <v>591</v>
      </c>
      <c r="D31" s="458" t="s">
        <v>619</v>
      </c>
      <c r="E31">
        <v>1</v>
      </c>
      <c r="F31">
        <v>7540</v>
      </c>
      <c r="G31" t="s">
        <v>519</v>
      </c>
      <c r="H31">
        <v>0</v>
      </c>
      <c r="I31">
        <f>IFERROR(_xlfn.XLOOKUP(tblContractGlasgow[[#This Row],[Index]], Contract_Edits[Index], Contract_Edits[Order]), tblContractGlasgow[[#This Row],[Order]])</f>
        <v>75.020299999999992</v>
      </c>
      <c r="J31" t="str">
        <f>_xlfn.XLOOKUP(tblContractGlasgow[[#This Row],[Index]], Contract_Edits[Index], Contract_Edits[Approve])</f>
        <v>Yes</v>
      </c>
      <c r="K31">
        <f>IFERROR(_xlfn.XLOOKUP(tblContractGlasgow[[#This Row],[Index]], Contract_Edits[Index], Contract_Edits[Group]), tblContractGlasgow[[#This Row],[Group]])</f>
        <v>1</v>
      </c>
      <c r="L31" s="11">
        <f>IFERROR( _xlfn.XLOOKUP(tblContractGlasgow[[#This Row],[Index]], Contract_Edits[Index],Contract_Edits[Days]), 1)</f>
        <v>1</v>
      </c>
      <c r="M31" t="str">
        <f>IFERROR(_xlfn.XLOOKUP(tblContractGlasgow[[#This Row],[Index]], Contract_Edits[Index], Contract_Edits[Done],), "No")</f>
        <v>No</v>
      </c>
      <c r="N31">
        <f>IFERROR(_xlfn.XLOOKUP(tblContractGlasgow[[#This Row],[Index]], Contract_Edits[Index], Contract_Edits[Paid]), 0)</f>
        <v>0</v>
      </c>
      <c r="O31" t="str">
        <f>IFERROR(_xlfn.XLOOKUP(tblContractGlasgow[[#This Row],[Index]], Contract_Edits[Index], Contract_Edits[Notes]), 0)</f>
        <v/>
      </c>
      <c r="P31">
        <f>IFERROR( _xlfn.XLOOKUP(tblContractGlasgow[[#This Row],[Index]], Contract_Edits[Index],Contract_Edits[Dep]),174)</f>
        <v>157</v>
      </c>
    </row>
    <row r="32" spans="1:16">
      <c r="A32">
        <v>57</v>
      </c>
      <c r="B32" t="s">
        <v>608</v>
      </c>
      <c r="C32" t="s">
        <v>620</v>
      </c>
      <c r="D32" s="458" t="s">
        <v>621</v>
      </c>
      <c r="E32">
        <v>1</v>
      </c>
      <c r="F32">
        <v>3625</v>
      </c>
      <c r="G32" t="s">
        <v>519</v>
      </c>
      <c r="H32">
        <v>0</v>
      </c>
      <c r="I32">
        <f>IFERROR(_xlfn.XLOOKUP(tblContractGlasgow[[#This Row],[Index]], Contract_Edits[Index], Contract_Edits[Order]), tblContractGlasgow[[#This Row],[Order]])</f>
        <v>75.040400000000005</v>
      </c>
      <c r="J32" t="str">
        <f>_xlfn.XLOOKUP(tblContractGlasgow[[#This Row],[Index]], Contract_Edits[Index], Contract_Edits[Approve])</f>
        <v>Yes</v>
      </c>
      <c r="K32">
        <f>IFERROR(_xlfn.XLOOKUP(tblContractGlasgow[[#This Row],[Index]], Contract_Edits[Index], Contract_Edits[Group]), tblContractGlasgow[[#This Row],[Group]])</f>
        <v>1</v>
      </c>
      <c r="L32" s="11">
        <f>IFERROR( _xlfn.XLOOKUP(tblContractGlasgow[[#This Row],[Index]], Contract_Edits[Index],Contract_Edits[Days]), 1)</f>
        <v>1</v>
      </c>
      <c r="M32" t="str">
        <f>IFERROR(_xlfn.XLOOKUP(tblContractGlasgow[[#This Row],[Index]], Contract_Edits[Index], Contract_Edits[Done],), "No")</f>
        <v>No</v>
      </c>
      <c r="N32">
        <f>IFERROR(_xlfn.XLOOKUP(tblContractGlasgow[[#This Row],[Index]], Contract_Edits[Index], Contract_Edits[Paid]), 0)</f>
        <v>0</v>
      </c>
      <c r="O32" t="str">
        <f>IFERROR(_xlfn.XLOOKUP(tblContractGlasgow[[#This Row],[Index]], Contract_Edits[Index], Contract_Edits[Notes]), 0)</f>
        <v/>
      </c>
      <c r="P32">
        <f>IFERROR( _xlfn.XLOOKUP(tblContractGlasgow[[#This Row],[Index]], Contract_Edits[Index],Contract_Edits[Dep]),174)</f>
        <v>159</v>
      </c>
    </row>
    <row r="33" spans="1:16" ht="30">
      <c r="A33">
        <v>58</v>
      </c>
      <c r="B33" t="s">
        <v>608</v>
      </c>
      <c r="C33" t="s">
        <v>570</v>
      </c>
      <c r="D33" s="458" t="s">
        <v>622</v>
      </c>
      <c r="E33">
        <v>1</v>
      </c>
      <c r="F33">
        <v>5425</v>
      </c>
      <c r="G33" t="s">
        <v>519</v>
      </c>
      <c r="H33">
        <v>0</v>
      </c>
      <c r="I33">
        <f>IFERROR(_xlfn.XLOOKUP(tblContractGlasgow[[#This Row],[Index]], Contract_Edits[Index], Contract_Edits[Order]), tblContractGlasgow[[#This Row],[Order]])</f>
        <v>75.030299999999997</v>
      </c>
      <c r="J33" t="str">
        <f>_xlfn.XLOOKUP(tblContractGlasgow[[#This Row],[Index]], Contract_Edits[Index], Contract_Edits[Approve])</f>
        <v>Yes</v>
      </c>
      <c r="K33">
        <f>IFERROR(_xlfn.XLOOKUP(tblContractGlasgow[[#This Row],[Index]], Contract_Edits[Index], Contract_Edits[Group]), tblContractGlasgow[[#This Row],[Group]])</f>
        <v>1</v>
      </c>
      <c r="L33" s="11">
        <f>IFERROR( _xlfn.XLOOKUP(tblContractGlasgow[[#This Row],[Index]], Contract_Edits[Index],Contract_Edits[Days]), 1)</f>
        <v>2</v>
      </c>
      <c r="M33" t="str">
        <f>IFERROR(_xlfn.XLOOKUP(tblContractGlasgow[[#This Row],[Index]], Contract_Edits[Index], Contract_Edits[Done],), "No")</f>
        <v>No</v>
      </c>
      <c r="N33">
        <f>IFERROR(_xlfn.XLOOKUP(tblContractGlasgow[[#This Row],[Index]], Contract_Edits[Index], Contract_Edits[Paid]), 0)</f>
        <v>0</v>
      </c>
      <c r="O33" t="str">
        <f>IFERROR(_xlfn.XLOOKUP(tblContractGlasgow[[#This Row],[Index]], Contract_Edits[Index], Contract_Edits[Notes]), 0)</f>
        <v/>
      </c>
      <c r="P33">
        <f>IFERROR( _xlfn.XLOOKUP(tblContractGlasgow[[#This Row],[Index]], Contract_Edits[Index],Contract_Edits[Dep]),174)</f>
        <v>158</v>
      </c>
    </row>
    <row r="34" spans="1:16">
      <c r="A34">
        <v>64</v>
      </c>
      <c r="B34" t="s">
        <v>608</v>
      </c>
      <c r="C34" t="s">
        <v>600</v>
      </c>
      <c r="D34" s="458" t="s">
        <v>630</v>
      </c>
      <c r="E34">
        <v>72</v>
      </c>
      <c r="F34">
        <v>26.1</v>
      </c>
      <c r="G34" t="s">
        <v>519</v>
      </c>
      <c r="H34">
        <v>0</v>
      </c>
      <c r="I34">
        <f>IFERROR(_xlfn.XLOOKUP(tblContractGlasgow[[#This Row],[Index]], Contract_Edits[Index], Contract_Edits[Order]), tblContractGlasgow[[#This Row],[Order]])</f>
        <v>185.0103</v>
      </c>
      <c r="J34" t="str">
        <f>_xlfn.XLOOKUP(tblContractGlasgow[[#This Row],[Index]], Contract_Edits[Index], Contract_Edits[Approve])</f>
        <v>Yes</v>
      </c>
      <c r="K34">
        <f>IFERROR(_xlfn.XLOOKUP(tblContractGlasgow[[#This Row],[Index]], Contract_Edits[Index], Contract_Edits[Group]), tblContractGlasgow[[#This Row],[Group]])</f>
        <v>1</v>
      </c>
      <c r="L34" s="11">
        <f>IFERROR( _xlfn.XLOOKUP(tblContractGlasgow[[#This Row],[Index]], Contract_Edits[Index],Contract_Edits[Days]), 1)</f>
        <v>2</v>
      </c>
      <c r="M34" t="str">
        <f>IFERROR(_xlfn.XLOOKUP(tblContractGlasgow[[#This Row],[Index]], Contract_Edits[Index], Contract_Edits[Done],), "No")</f>
        <v>No</v>
      </c>
      <c r="N34">
        <f>IFERROR(_xlfn.XLOOKUP(tblContractGlasgow[[#This Row],[Index]], Contract_Edits[Index], Contract_Edits[Paid]), 0)</f>
        <v>0</v>
      </c>
      <c r="O34" t="str">
        <f>IFERROR(_xlfn.XLOOKUP(tblContractGlasgow[[#This Row],[Index]], Contract_Edits[Index], Contract_Edits[Notes]), 0)</f>
        <v/>
      </c>
      <c r="P34">
        <f>IFERROR( _xlfn.XLOOKUP(tblContractGlasgow[[#This Row],[Index]], Contract_Edits[Index],Contract_Edits[Dep]),174)</f>
        <v>170</v>
      </c>
    </row>
    <row r="35" spans="1:16" ht="30">
      <c r="A35">
        <v>66</v>
      </c>
      <c r="B35" t="s">
        <v>608</v>
      </c>
      <c r="C35" t="s">
        <v>602</v>
      </c>
      <c r="D35" s="458" t="s">
        <v>632</v>
      </c>
      <c r="E35">
        <v>1</v>
      </c>
      <c r="F35">
        <v>3253.8</v>
      </c>
      <c r="G35" t="s">
        <v>519</v>
      </c>
      <c r="H35">
        <v>0</v>
      </c>
      <c r="I35">
        <f>IFERROR(_xlfn.XLOOKUP(tblContractGlasgow[[#This Row],[Index]], Contract_Edits[Index], Contract_Edits[Order]), tblContractGlasgow[[#This Row],[Order]])</f>
        <v>185.01049999999998</v>
      </c>
      <c r="J35" t="str">
        <f>_xlfn.XLOOKUP(tblContractGlasgow[[#This Row],[Index]], Contract_Edits[Index], Contract_Edits[Approve])</f>
        <v>Yes</v>
      </c>
      <c r="K35">
        <f>IFERROR(_xlfn.XLOOKUP(tblContractGlasgow[[#This Row],[Index]], Contract_Edits[Index], Contract_Edits[Group]), tblContractGlasgow[[#This Row],[Group]])</f>
        <v>1</v>
      </c>
      <c r="L35" s="11">
        <f>IFERROR( _xlfn.XLOOKUP(tblContractGlasgow[[#This Row],[Index]], Contract_Edits[Index],Contract_Edits[Days]), 1)</f>
        <v>2</v>
      </c>
      <c r="M35" t="str">
        <f>IFERROR(_xlfn.XLOOKUP(tblContractGlasgow[[#This Row],[Index]], Contract_Edits[Index], Contract_Edits[Done],), "No")</f>
        <v>No</v>
      </c>
      <c r="N35">
        <f>IFERROR(_xlfn.XLOOKUP(tblContractGlasgow[[#This Row],[Index]], Contract_Edits[Index], Contract_Edits[Paid]), 0)</f>
        <v>0</v>
      </c>
      <c r="O35" t="str">
        <f>IFERROR(_xlfn.XLOOKUP(tblContractGlasgow[[#This Row],[Index]], Contract_Edits[Index], Contract_Edits[Notes]), 0)</f>
        <v/>
      </c>
      <c r="P35">
        <f>IFERROR( _xlfn.XLOOKUP(tblContractGlasgow[[#This Row],[Index]], Contract_Edits[Index],Contract_Edits[Dep]),174)</f>
        <v>170</v>
      </c>
    </row>
    <row r="36" spans="1:16" ht="30">
      <c r="A36">
        <v>67</v>
      </c>
      <c r="B36" t="s">
        <v>608</v>
      </c>
      <c r="C36" t="s">
        <v>579</v>
      </c>
      <c r="D36" s="458" t="s">
        <v>633</v>
      </c>
      <c r="E36">
        <v>1</v>
      </c>
      <c r="F36">
        <v>1450</v>
      </c>
      <c r="G36" t="s">
        <v>519</v>
      </c>
      <c r="H36">
        <v>0</v>
      </c>
      <c r="I36">
        <f>IFERROR(_xlfn.XLOOKUP(tblContractGlasgow[[#This Row],[Index]], Contract_Edits[Index], Contract_Edits[Order]), tblContractGlasgow[[#This Row],[Order]])</f>
        <v>135.01049999999998</v>
      </c>
      <c r="J36" t="str">
        <f>_xlfn.XLOOKUP(tblContractGlasgow[[#This Row],[Index]], Contract_Edits[Index], Contract_Edits[Approve])</f>
        <v>Yes</v>
      </c>
      <c r="K36">
        <f>IFERROR(_xlfn.XLOOKUP(tblContractGlasgow[[#This Row],[Index]], Contract_Edits[Index], Contract_Edits[Group]), tblContractGlasgow[[#This Row],[Group]])</f>
        <v>1</v>
      </c>
      <c r="L36" s="11">
        <f>IFERROR( _xlfn.XLOOKUP(tblContractGlasgow[[#This Row],[Index]], Contract_Edits[Index],Contract_Edits[Days]), 1)</f>
        <v>1</v>
      </c>
      <c r="M36" t="str">
        <f>IFERROR(_xlfn.XLOOKUP(tblContractGlasgow[[#This Row],[Index]], Contract_Edits[Index], Contract_Edits[Done],), "No")</f>
        <v>No</v>
      </c>
      <c r="N36">
        <f>IFERROR(_xlfn.XLOOKUP(tblContractGlasgow[[#This Row],[Index]], Contract_Edits[Index], Contract_Edits[Paid]), 0)</f>
        <v>0</v>
      </c>
      <c r="O36" t="str">
        <f>IFERROR(_xlfn.XLOOKUP(tblContractGlasgow[[#This Row],[Index]], Contract_Edits[Index], Contract_Edits[Notes]), 0)</f>
        <v/>
      </c>
      <c r="P36">
        <f>IFERROR( _xlfn.XLOOKUP(tblContractGlasgow[[#This Row],[Index]], Contract_Edits[Index],Contract_Edits[Dep]),174)</f>
        <v>165</v>
      </c>
    </row>
    <row r="37" spans="1:16">
      <c r="A37">
        <v>68</v>
      </c>
      <c r="B37" t="s">
        <v>608</v>
      </c>
      <c r="C37" t="s">
        <v>581</v>
      </c>
      <c r="D37" s="458" t="s">
        <v>634</v>
      </c>
      <c r="E37">
        <v>1</v>
      </c>
      <c r="F37">
        <v>362.5</v>
      </c>
      <c r="G37" t="s">
        <v>519</v>
      </c>
      <c r="H37">
        <v>0</v>
      </c>
      <c r="I37">
        <f>IFERROR(_xlfn.XLOOKUP(tblContractGlasgow[[#This Row],[Index]], Contract_Edits[Index], Contract_Edits[Order]), tblContractGlasgow[[#This Row],[Order]])</f>
        <v>145.0102</v>
      </c>
      <c r="J37" t="str">
        <f>_xlfn.XLOOKUP(tblContractGlasgow[[#This Row],[Index]], Contract_Edits[Index], Contract_Edits[Approve])</f>
        <v>Yes</v>
      </c>
      <c r="K37">
        <f>IFERROR(_xlfn.XLOOKUP(tblContractGlasgow[[#This Row],[Index]], Contract_Edits[Index], Contract_Edits[Group]), tblContractGlasgow[[#This Row],[Group]])</f>
        <v>1</v>
      </c>
      <c r="L37" s="11">
        <f>IFERROR( _xlfn.XLOOKUP(tblContractGlasgow[[#This Row],[Index]], Contract_Edits[Index],Contract_Edits[Days]), 1)</f>
        <v>1</v>
      </c>
      <c r="M37" t="str">
        <f>IFERROR(_xlfn.XLOOKUP(tblContractGlasgow[[#This Row],[Index]], Contract_Edits[Index], Contract_Edits[Done],), "No")</f>
        <v>No</v>
      </c>
      <c r="N37">
        <f>IFERROR(_xlfn.XLOOKUP(tblContractGlasgow[[#This Row],[Index]], Contract_Edits[Index], Contract_Edits[Paid]), 0)</f>
        <v>0</v>
      </c>
      <c r="O37" t="str">
        <f>IFERROR(_xlfn.XLOOKUP(tblContractGlasgow[[#This Row],[Index]], Contract_Edits[Index], Contract_Edits[Notes]), 0)</f>
        <v/>
      </c>
      <c r="P37">
        <f>IFERROR( _xlfn.XLOOKUP(tblContractGlasgow[[#This Row],[Index]], Contract_Edits[Index],Contract_Edits[Dep]),174)</f>
        <v>166</v>
      </c>
    </row>
    <row r="38" spans="1:16">
      <c r="A38">
        <v>69</v>
      </c>
      <c r="B38" t="s">
        <v>608</v>
      </c>
      <c r="C38" t="s">
        <v>583</v>
      </c>
      <c r="D38" s="458" t="s">
        <v>635</v>
      </c>
      <c r="E38">
        <v>1</v>
      </c>
      <c r="F38">
        <v>2610</v>
      </c>
      <c r="G38" t="s">
        <v>519</v>
      </c>
      <c r="H38">
        <v>0</v>
      </c>
      <c r="I38">
        <f>IFERROR(_xlfn.XLOOKUP(tblContractGlasgow[[#This Row],[Index]], Contract_Edits[Index], Contract_Edits[Order]), tblContractGlasgow[[#This Row],[Order]])</f>
        <v>125.0104</v>
      </c>
      <c r="J38" t="str">
        <f>_xlfn.XLOOKUP(tblContractGlasgow[[#This Row],[Index]], Contract_Edits[Index], Contract_Edits[Approve])</f>
        <v>Yes</v>
      </c>
      <c r="K38">
        <f>IFERROR(_xlfn.XLOOKUP(tblContractGlasgow[[#This Row],[Index]], Contract_Edits[Index], Contract_Edits[Group]), tblContractGlasgow[[#This Row],[Group]])</f>
        <v>1</v>
      </c>
      <c r="L38" s="11">
        <f>IFERROR( _xlfn.XLOOKUP(tblContractGlasgow[[#This Row],[Index]], Contract_Edits[Index],Contract_Edits[Days]), 1)</f>
        <v>1</v>
      </c>
      <c r="M38" t="str">
        <f>IFERROR(_xlfn.XLOOKUP(tblContractGlasgow[[#This Row],[Index]], Contract_Edits[Index], Contract_Edits[Done],), "No")</f>
        <v>No</v>
      </c>
      <c r="N38">
        <f>IFERROR(_xlfn.XLOOKUP(tblContractGlasgow[[#This Row],[Index]], Contract_Edits[Index], Contract_Edits[Paid]), 0)</f>
        <v>0</v>
      </c>
      <c r="O38" t="str">
        <f>IFERROR(_xlfn.XLOOKUP(tblContractGlasgow[[#This Row],[Index]], Contract_Edits[Index], Contract_Edits[Notes]), 0)</f>
        <v/>
      </c>
      <c r="P38">
        <f>IFERROR( _xlfn.XLOOKUP(tblContractGlasgow[[#This Row],[Index]], Contract_Edits[Index],Contract_Edits[Dep]),174)</f>
        <v>164</v>
      </c>
    </row>
    <row r="39" spans="1:16">
      <c r="A39">
        <v>71</v>
      </c>
      <c r="B39" t="s">
        <v>608</v>
      </c>
      <c r="C39" t="s">
        <v>637</v>
      </c>
      <c r="D39" s="458" t="s">
        <v>638</v>
      </c>
      <c r="E39">
        <v>1</v>
      </c>
      <c r="F39">
        <v>2175</v>
      </c>
      <c r="G39" t="s">
        <v>519</v>
      </c>
      <c r="H39">
        <v>0</v>
      </c>
      <c r="I39">
        <f>IFERROR(_xlfn.XLOOKUP(tblContractGlasgow[[#This Row],[Index]], Contract_Edits[Index], Contract_Edits[Order]), tblContractGlasgow[[#This Row],[Order]])</f>
        <v>185.0104</v>
      </c>
      <c r="J39" t="str">
        <f>_xlfn.XLOOKUP(tblContractGlasgow[[#This Row],[Index]], Contract_Edits[Index], Contract_Edits[Approve])</f>
        <v>Yes</v>
      </c>
      <c r="K39">
        <f>IFERROR(_xlfn.XLOOKUP(tblContractGlasgow[[#This Row],[Index]], Contract_Edits[Index], Contract_Edits[Group]), tblContractGlasgow[[#This Row],[Group]])</f>
        <v>1</v>
      </c>
      <c r="L39" s="11">
        <f>IFERROR( _xlfn.XLOOKUP(tblContractGlasgow[[#This Row],[Index]], Contract_Edits[Index],Contract_Edits[Days]), 1)</f>
        <v>1</v>
      </c>
      <c r="M39" t="str">
        <f>IFERROR(_xlfn.XLOOKUP(tblContractGlasgow[[#This Row],[Index]], Contract_Edits[Index], Contract_Edits[Done],), "No")</f>
        <v>No</v>
      </c>
      <c r="N39">
        <f>IFERROR(_xlfn.XLOOKUP(tblContractGlasgow[[#This Row],[Index]], Contract_Edits[Index], Contract_Edits[Paid]), 0)</f>
        <v>0</v>
      </c>
      <c r="O39" t="str">
        <f>IFERROR(_xlfn.XLOOKUP(tblContractGlasgow[[#This Row],[Index]], Contract_Edits[Index], Contract_Edits[Notes]), 0)</f>
        <v/>
      </c>
      <c r="P39">
        <f>IFERROR( _xlfn.XLOOKUP(tblContractGlasgow[[#This Row],[Index]], Contract_Edits[Index],Contract_Edits[Dep]),174)</f>
        <v>170</v>
      </c>
    </row>
    <row r="40" spans="1:16">
      <c r="A40">
        <v>72</v>
      </c>
      <c r="B40" t="s">
        <v>639</v>
      </c>
      <c r="C40" t="s">
        <v>640</v>
      </c>
      <c r="D40" s="458" t="s">
        <v>641</v>
      </c>
      <c r="E40">
        <v>1</v>
      </c>
      <c r="F40">
        <v>435</v>
      </c>
      <c r="G40" t="s">
        <v>519</v>
      </c>
      <c r="H40">
        <v>0</v>
      </c>
      <c r="I40">
        <f>IFERROR(_xlfn.XLOOKUP(tblContractGlasgow[[#This Row],[Index]], Contract_Edits[Index], Contract_Edits[Order]), tblContractGlasgow[[#This Row],[Order]])</f>
        <v>85.020200000000003</v>
      </c>
      <c r="J40" t="str">
        <f>_xlfn.XLOOKUP(tblContractGlasgow[[#This Row],[Index]], Contract_Edits[Index], Contract_Edits[Approve])</f>
        <v>Yes</v>
      </c>
      <c r="K40">
        <f>IFERROR(_xlfn.XLOOKUP(tblContractGlasgow[[#This Row],[Index]], Contract_Edits[Index], Contract_Edits[Group]), tblContractGlasgow[[#This Row],[Group]])</f>
        <v>1</v>
      </c>
      <c r="L40" s="11">
        <f>IFERROR( _xlfn.XLOOKUP(tblContractGlasgow[[#This Row],[Index]], Contract_Edits[Index],Contract_Edits[Days]), 1)</f>
        <v>1</v>
      </c>
      <c r="M40" t="str">
        <f>IFERROR(_xlfn.XLOOKUP(tblContractGlasgow[[#This Row],[Index]], Contract_Edits[Index], Contract_Edits[Done],), "No")</f>
        <v>Yes</v>
      </c>
      <c r="N40">
        <f>IFERROR(_xlfn.XLOOKUP(tblContractGlasgow[[#This Row],[Index]], Contract_Edits[Index], Contract_Edits[Paid]), 0)</f>
        <v>0</v>
      </c>
      <c r="O40" t="str">
        <f>IFERROR(_xlfn.XLOOKUP(tblContractGlasgow[[#This Row],[Index]], Contract_Edits[Index], Contract_Edits[Notes]), 0)</f>
        <v/>
      </c>
      <c r="P40">
        <f>IFERROR( _xlfn.XLOOKUP(tblContractGlasgow[[#This Row],[Index]], Contract_Edits[Index],Contract_Edits[Dep]),174)</f>
        <v>180</v>
      </c>
    </row>
    <row r="41" spans="1:16">
      <c r="A41">
        <v>73</v>
      </c>
      <c r="B41" t="s">
        <v>639</v>
      </c>
      <c r="C41" t="s">
        <v>642</v>
      </c>
      <c r="D41" s="458" t="s">
        <v>643</v>
      </c>
      <c r="E41">
        <v>1</v>
      </c>
      <c r="F41">
        <v>4785</v>
      </c>
      <c r="G41" t="s">
        <v>519</v>
      </c>
      <c r="H41">
        <v>0</v>
      </c>
      <c r="I41">
        <f>IFERROR(_xlfn.XLOOKUP(tblContractGlasgow[[#This Row],[Index]], Contract_Edits[Index], Contract_Edits[Order]), tblContractGlasgow[[#This Row],[Order]])</f>
        <v>85.020399999999995</v>
      </c>
      <c r="J41" t="str">
        <f>_xlfn.XLOOKUP(tblContractGlasgow[[#This Row],[Index]], Contract_Edits[Index], Contract_Edits[Approve])</f>
        <v>Yes</v>
      </c>
      <c r="K41">
        <f>IFERROR(_xlfn.XLOOKUP(tblContractGlasgow[[#This Row],[Index]], Contract_Edits[Index], Contract_Edits[Group]), tblContractGlasgow[[#This Row],[Group]])</f>
        <v>1</v>
      </c>
      <c r="L41" s="11">
        <f>IFERROR( _xlfn.XLOOKUP(tblContractGlasgow[[#This Row],[Index]], Contract_Edits[Index],Contract_Edits[Days]), 1)</f>
        <v>3</v>
      </c>
      <c r="M41" t="str">
        <f>IFERROR(_xlfn.XLOOKUP(tblContractGlasgow[[#This Row],[Index]], Contract_Edits[Index], Contract_Edits[Done],), "No")</f>
        <v>No</v>
      </c>
      <c r="N41">
        <f>IFERROR(_xlfn.XLOOKUP(tblContractGlasgow[[#This Row],[Index]], Contract_Edits[Index], Contract_Edits[Paid]), 0)</f>
        <v>0</v>
      </c>
      <c r="O41">
        <f>IFERROR(_xlfn.XLOOKUP(tblContractGlasgow[[#This Row],[Index]], Contract_Edits[Index], Contract_Edits[Notes]), 0)</f>
        <v>0</v>
      </c>
      <c r="P41">
        <f>IFERROR( _xlfn.XLOOKUP(tblContractGlasgow[[#This Row],[Index]], Contract_Edits[Index],Contract_Edits[Dep]),174)</f>
        <v>180</v>
      </c>
    </row>
    <row r="42" spans="1:16" ht="30">
      <c r="A42">
        <v>78</v>
      </c>
      <c r="B42" t="s">
        <v>639</v>
      </c>
      <c r="C42" t="s">
        <v>649</v>
      </c>
      <c r="D42" s="458" t="s">
        <v>650</v>
      </c>
      <c r="E42">
        <v>75</v>
      </c>
      <c r="F42">
        <v>72.5</v>
      </c>
      <c r="G42" t="s">
        <v>519</v>
      </c>
      <c r="H42">
        <v>0</v>
      </c>
      <c r="I42">
        <f>IFERROR(_xlfn.XLOOKUP(tblContractGlasgow[[#This Row],[Index]], Contract_Edits[Index], Contract_Edits[Order]), tblContractGlasgow[[#This Row],[Order]])</f>
        <v>25.010100000000001</v>
      </c>
      <c r="J42" t="str">
        <f>_xlfn.XLOOKUP(tblContractGlasgow[[#This Row],[Index]], Contract_Edits[Index], Contract_Edits[Approve])</f>
        <v>Yes</v>
      </c>
      <c r="K42">
        <f>IFERROR(_xlfn.XLOOKUP(tblContractGlasgow[[#This Row],[Index]], Contract_Edits[Index], Contract_Edits[Group]), tblContractGlasgow[[#This Row],[Group]])</f>
        <v>1</v>
      </c>
      <c r="L42" s="11">
        <f>IFERROR( _xlfn.XLOOKUP(tblContractGlasgow[[#This Row],[Index]], Contract_Edits[Index],Contract_Edits[Days]), 1)</f>
        <v>3</v>
      </c>
      <c r="M42" t="str">
        <f>IFERROR(_xlfn.XLOOKUP(tblContractGlasgow[[#This Row],[Index]], Contract_Edits[Index], Contract_Edits[Done],), "No")</f>
        <v>No</v>
      </c>
      <c r="N42">
        <f>IFERROR(_xlfn.XLOOKUP(tblContractGlasgow[[#This Row],[Index]], Contract_Edits[Index], Contract_Edits[Paid]), 0)</f>
        <v>0</v>
      </c>
      <c r="O42">
        <f>IFERROR(_xlfn.XLOOKUP(tblContractGlasgow[[#This Row],[Index]], Contract_Edits[Index], Contract_Edits[Notes]), 0)</f>
        <v>0</v>
      </c>
      <c r="P42">
        <f>IFERROR( _xlfn.XLOOKUP(tblContractGlasgow[[#This Row],[Index]], Contract_Edits[Index],Contract_Edits[Dep]),174)</f>
        <v>152</v>
      </c>
    </row>
    <row r="43" spans="1:16">
      <c r="A43">
        <v>79</v>
      </c>
      <c r="B43" t="s">
        <v>639</v>
      </c>
      <c r="C43" t="s">
        <v>620</v>
      </c>
      <c r="D43" s="458" t="s">
        <v>651</v>
      </c>
      <c r="E43">
        <v>1</v>
      </c>
      <c r="F43">
        <v>1740</v>
      </c>
      <c r="G43" t="s">
        <v>519</v>
      </c>
      <c r="H43">
        <v>0</v>
      </c>
      <c r="I43">
        <f>IFERROR(_xlfn.XLOOKUP(tblContractGlasgow[[#This Row],[Index]], Contract_Edits[Index], Contract_Edits[Order]), tblContractGlasgow[[#This Row],[Order]])</f>
        <v>75.04010000000001</v>
      </c>
      <c r="J43" t="str">
        <f>_xlfn.XLOOKUP(tblContractGlasgow[[#This Row],[Index]], Contract_Edits[Index], Contract_Edits[Approve])</f>
        <v>Yes</v>
      </c>
      <c r="K43">
        <f>IFERROR(_xlfn.XLOOKUP(tblContractGlasgow[[#This Row],[Index]], Contract_Edits[Index], Contract_Edits[Group]), tblContractGlasgow[[#This Row],[Group]])</f>
        <v>1</v>
      </c>
      <c r="L43" s="11">
        <f>IFERROR( _xlfn.XLOOKUP(tblContractGlasgow[[#This Row],[Index]], Contract_Edits[Index],Contract_Edits[Days]), 1)</f>
        <v>1</v>
      </c>
      <c r="M43" t="str">
        <f>IFERROR(_xlfn.XLOOKUP(tblContractGlasgow[[#This Row],[Index]], Contract_Edits[Index], Contract_Edits[Done],), "No")</f>
        <v>No</v>
      </c>
      <c r="N43">
        <f>IFERROR(_xlfn.XLOOKUP(tblContractGlasgow[[#This Row],[Index]], Contract_Edits[Index], Contract_Edits[Paid]), 0)</f>
        <v>0</v>
      </c>
      <c r="O43" t="str">
        <f>IFERROR(_xlfn.XLOOKUP(tblContractGlasgow[[#This Row],[Index]], Contract_Edits[Index], Contract_Edits[Notes]), 0)</f>
        <v/>
      </c>
      <c r="P43">
        <f>IFERROR( _xlfn.XLOOKUP(tblContractGlasgow[[#This Row],[Index]], Contract_Edits[Index],Contract_Edits[Dep]),174)</f>
        <v>159</v>
      </c>
    </row>
    <row r="44" spans="1:16" ht="30">
      <c r="A44">
        <v>80</v>
      </c>
      <c r="B44" t="s">
        <v>639</v>
      </c>
      <c r="C44" t="s">
        <v>570</v>
      </c>
      <c r="D44" s="458" t="s">
        <v>652</v>
      </c>
      <c r="E44">
        <v>1</v>
      </c>
      <c r="F44">
        <v>3625</v>
      </c>
      <c r="G44" t="s">
        <v>519</v>
      </c>
      <c r="H44">
        <v>0</v>
      </c>
      <c r="I44">
        <f>IFERROR(_xlfn.XLOOKUP(tblContractGlasgow[[#This Row],[Index]], Contract_Edits[Index], Contract_Edits[Order]), tblContractGlasgow[[#This Row],[Order]])</f>
        <v>75.030100000000004</v>
      </c>
      <c r="J44" t="str">
        <f>_xlfn.XLOOKUP(tblContractGlasgow[[#This Row],[Index]], Contract_Edits[Index], Contract_Edits[Approve])</f>
        <v>Yes</v>
      </c>
      <c r="K44">
        <f>IFERROR(_xlfn.XLOOKUP(tblContractGlasgow[[#This Row],[Index]], Contract_Edits[Index], Contract_Edits[Group]), tblContractGlasgow[[#This Row],[Group]])</f>
        <v>1</v>
      </c>
      <c r="L44" s="11">
        <f>IFERROR( _xlfn.XLOOKUP(tblContractGlasgow[[#This Row],[Index]], Contract_Edits[Index],Contract_Edits[Days]), 1)</f>
        <v>2</v>
      </c>
      <c r="M44" t="str">
        <f>IFERROR(_xlfn.XLOOKUP(tblContractGlasgow[[#This Row],[Index]], Contract_Edits[Index], Contract_Edits[Done],), "No")</f>
        <v>No</v>
      </c>
      <c r="N44">
        <f>IFERROR(_xlfn.XLOOKUP(tblContractGlasgow[[#This Row],[Index]], Contract_Edits[Index], Contract_Edits[Paid]), 0)</f>
        <v>0</v>
      </c>
      <c r="O44" t="str">
        <f>IFERROR(_xlfn.XLOOKUP(tblContractGlasgow[[#This Row],[Index]], Contract_Edits[Index], Contract_Edits[Notes]), 0)</f>
        <v/>
      </c>
      <c r="P44">
        <f>IFERROR( _xlfn.XLOOKUP(tblContractGlasgow[[#This Row],[Index]], Contract_Edits[Index],Contract_Edits[Dep]),174)</f>
        <v>158</v>
      </c>
    </row>
    <row r="45" spans="1:16">
      <c r="A45">
        <v>81</v>
      </c>
      <c r="B45" t="s">
        <v>639</v>
      </c>
      <c r="C45" t="s">
        <v>591</v>
      </c>
      <c r="D45" s="458" t="s">
        <v>653</v>
      </c>
      <c r="E45">
        <v>1</v>
      </c>
      <c r="F45">
        <v>6090</v>
      </c>
      <c r="G45" t="s">
        <v>519</v>
      </c>
      <c r="H45">
        <v>0</v>
      </c>
      <c r="I45">
        <f>IFERROR(_xlfn.XLOOKUP(tblContractGlasgow[[#This Row],[Index]], Contract_Edits[Index], Contract_Edits[Order]), tblContractGlasgow[[#This Row],[Order]])</f>
        <v>75.020099999999999</v>
      </c>
      <c r="J45" t="str">
        <f>_xlfn.XLOOKUP(tblContractGlasgow[[#This Row],[Index]], Contract_Edits[Index], Contract_Edits[Approve])</f>
        <v>Yes</v>
      </c>
      <c r="K45">
        <f>IFERROR(_xlfn.XLOOKUP(tblContractGlasgow[[#This Row],[Index]], Contract_Edits[Index], Contract_Edits[Group]), tblContractGlasgow[[#This Row],[Group]])</f>
        <v>1</v>
      </c>
      <c r="L45" s="11">
        <f>IFERROR( _xlfn.XLOOKUP(tblContractGlasgow[[#This Row],[Index]], Contract_Edits[Index],Contract_Edits[Days]), 1)</f>
        <v>2</v>
      </c>
      <c r="M45" t="str">
        <f>IFERROR(_xlfn.XLOOKUP(tblContractGlasgow[[#This Row],[Index]], Contract_Edits[Index], Contract_Edits[Done],), "No")</f>
        <v>No</v>
      </c>
      <c r="N45">
        <f>IFERROR(_xlfn.XLOOKUP(tblContractGlasgow[[#This Row],[Index]], Contract_Edits[Index], Contract_Edits[Paid]), 0)</f>
        <v>0</v>
      </c>
      <c r="O45" t="str">
        <f>IFERROR(_xlfn.XLOOKUP(tblContractGlasgow[[#This Row],[Index]], Contract_Edits[Index], Contract_Edits[Notes]), 0)</f>
        <v/>
      </c>
      <c r="P45">
        <f>IFERROR( _xlfn.XLOOKUP(tblContractGlasgow[[#This Row],[Index]], Contract_Edits[Index],Contract_Edits[Dep]),174)</f>
        <v>157</v>
      </c>
    </row>
    <row r="46" spans="1:16" ht="45">
      <c r="A46">
        <v>91</v>
      </c>
      <c r="B46" t="s">
        <v>639</v>
      </c>
      <c r="C46" t="s">
        <v>579</v>
      </c>
      <c r="D46" s="458" t="s">
        <v>668</v>
      </c>
      <c r="E46">
        <v>1</v>
      </c>
      <c r="F46">
        <v>2755</v>
      </c>
      <c r="G46" t="s">
        <v>519</v>
      </c>
      <c r="H46">
        <v>0</v>
      </c>
      <c r="I46">
        <f>IFERROR(_xlfn.XLOOKUP(tblContractGlasgow[[#This Row],[Index]], Contract_Edits[Index], Contract_Edits[Order]), tblContractGlasgow[[#This Row],[Order]])</f>
        <v>135.0104</v>
      </c>
      <c r="J46" t="str">
        <f>_xlfn.XLOOKUP(tblContractGlasgow[[#This Row],[Index]], Contract_Edits[Index], Contract_Edits[Approve])</f>
        <v>Yes</v>
      </c>
      <c r="K46">
        <f>IFERROR(_xlfn.XLOOKUP(tblContractGlasgow[[#This Row],[Index]], Contract_Edits[Index], Contract_Edits[Group]), tblContractGlasgow[[#This Row],[Group]])</f>
        <v>1</v>
      </c>
      <c r="L46" s="11">
        <f>IFERROR( _xlfn.XLOOKUP(tblContractGlasgow[[#This Row],[Index]], Contract_Edits[Index],Contract_Edits[Days]), 1)</f>
        <v>1</v>
      </c>
      <c r="M46" t="str">
        <f>IFERROR(_xlfn.XLOOKUP(tblContractGlasgow[[#This Row],[Index]], Contract_Edits[Index], Contract_Edits[Done],), "No")</f>
        <v>No</v>
      </c>
      <c r="N46">
        <f>IFERROR(_xlfn.XLOOKUP(tblContractGlasgow[[#This Row],[Index]], Contract_Edits[Index], Contract_Edits[Paid]), 0)</f>
        <v>0</v>
      </c>
      <c r="O46" t="str">
        <f>IFERROR(_xlfn.XLOOKUP(tblContractGlasgow[[#This Row],[Index]], Contract_Edits[Index], Contract_Edits[Notes]), 0)</f>
        <v/>
      </c>
      <c r="P46">
        <f>IFERROR( _xlfn.XLOOKUP(tblContractGlasgow[[#This Row],[Index]], Contract_Edits[Index],Contract_Edits[Dep]),174)</f>
        <v>165</v>
      </c>
    </row>
    <row r="47" spans="1:16">
      <c r="A47">
        <v>92</v>
      </c>
      <c r="B47" t="s">
        <v>639</v>
      </c>
      <c r="C47" t="s">
        <v>581</v>
      </c>
      <c r="D47" s="458" t="s">
        <v>669</v>
      </c>
      <c r="E47">
        <v>1</v>
      </c>
      <c r="F47">
        <v>8700</v>
      </c>
      <c r="G47" t="s">
        <v>519</v>
      </c>
      <c r="H47">
        <v>0</v>
      </c>
      <c r="I47">
        <f>IFERROR(_xlfn.XLOOKUP(tblContractGlasgow[[#This Row],[Index]], Contract_Edits[Index], Contract_Edits[Order]), tblContractGlasgow[[#This Row],[Order]])</f>
        <v>145.01009999999999</v>
      </c>
      <c r="J47" t="str">
        <f>_xlfn.XLOOKUP(tblContractGlasgow[[#This Row],[Index]], Contract_Edits[Index], Contract_Edits[Approve])</f>
        <v>Yes</v>
      </c>
      <c r="K47">
        <f>IFERROR(_xlfn.XLOOKUP(tblContractGlasgow[[#This Row],[Index]], Contract_Edits[Index], Contract_Edits[Group]), tblContractGlasgow[[#This Row],[Group]])</f>
        <v>1</v>
      </c>
      <c r="L47" s="11">
        <f>IFERROR( _xlfn.XLOOKUP(tblContractGlasgow[[#This Row],[Index]], Contract_Edits[Index],Contract_Edits[Days]), 1)</f>
        <v>1</v>
      </c>
      <c r="M47" t="str">
        <f>IFERROR(_xlfn.XLOOKUP(tblContractGlasgow[[#This Row],[Index]], Contract_Edits[Index], Contract_Edits[Done],), "No")</f>
        <v>No</v>
      </c>
      <c r="N47">
        <f>IFERROR(_xlfn.XLOOKUP(tblContractGlasgow[[#This Row],[Index]], Contract_Edits[Index], Contract_Edits[Paid]), 0)</f>
        <v>0</v>
      </c>
      <c r="O47" t="str">
        <f>IFERROR(_xlfn.XLOOKUP(tblContractGlasgow[[#This Row],[Index]], Contract_Edits[Index], Contract_Edits[Notes]), 0)</f>
        <v/>
      </c>
      <c r="P47">
        <f>IFERROR( _xlfn.XLOOKUP(tblContractGlasgow[[#This Row],[Index]], Contract_Edits[Index],Contract_Edits[Dep]),174)</f>
        <v>166</v>
      </c>
    </row>
    <row r="48" spans="1:16" ht="60">
      <c r="A48">
        <v>93</v>
      </c>
      <c r="B48" t="s">
        <v>639</v>
      </c>
      <c r="C48" t="s">
        <v>583</v>
      </c>
      <c r="D48" s="458" t="s">
        <v>670</v>
      </c>
      <c r="E48">
        <v>0</v>
      </c>
      <c r="F48">
        <v>0</v>
      </c>
      <c r="G48" t="s">
        <v>519</v>
      </c>
      <c r="H48">
        <v>0</v>
      </c>
      <c r="I48">
        <f>IFERROR(_xlfn.XLOOKUP(tblContractGlasgow[[#This Row],[Index]], Contract_Edits[Index], Contract_Edits[Order]), tblContractGlasgow[[#This Row],[Order]])</f>
        <v>9999</v>
      </c>
      <c r="J48" t="str">
        <f>_xlfn.XLOOKUP(tblContractGlasgow[[#This Row],[Index]], Contract_Edits[Index], Contract_Edits[Approve])</f>
        <v>No</v>
      </c>
      <c r="K48">
        <f>IFERROR(_xlfn.XLOOKUP(tblContractGlasgow[[#This Row],[Index]], Contract_Edits[Index], Contract_Edits[Group]), tblContractGlasgow[[#This Row],[Group]])</f>
        <v>1</v>
      </c>
      <c r="L48" s="11">
        <f>IFERROR( _xlfn.XLOOKUP(tblContractGlasgow[[#This Row],[Index]], Contract_Edits[Index],Contract_Edits[Days]), 1)</f>
        <v>1</v>
      </c>
      <c r="M48" t="str">
        <f>IFERROR(_xlfn.XLOOKUP(tblContractGlasgow[[#This Row],[Index]], Contract_Edits[Index], Contract_Edits[Done],), "No")</f>
        <v>No</v>
      </c>
      <c r="N48">
        <f>IFERROR(_xlfn.XLOOKUP(tblContractGlasgow[[#This Row],[Index]], Contract_Edits[Index], Contract_Edits[Paid]), 0)</f>
        <v>0</v>
      </c>
      <c r="O48" t="str">
        <f>IFERROR(_xlfn.XLOOKUP(tblContractGlasgow[[#This Row],[Index]], Contract_Edits[Index], Contract_Edits[Notes]), 0)</f>
        <v/>
      </c>
      <c r="P48">
        <f>IFERROR( _xlfn.XLOOKUP(tblContractGlasgow[[#This Row],[Index]], Contract_Edits[Index],Contract_Edits[Dep]),174)</f>
        <v>164</v>
      </c>
    </row>
    <row r="49" spans="1:16">
      <c r="A49">
        <v>95</v>
      </c>
      <c r="B49" t="s">
        <v>639</v>
      </c>
      <c r="C49" t="s">
        <v>637</v>
      </c>
      <c r="D49" s="458" t="s">
        <v>672</v>
      </c>
      <c r="E49">
        <v>1</v>
      </c>
      <c r="F49">
        <v>1450</v>
      </c>
      <c r="G49" t="s">
        <v>519</v>
      </c>
      <c r="H49">
        <v>0</v>
      </c>
      <c r="I49">
        <f>IFERROR(_xlfn.XLOOKUP(tblContractGlasgow[[#This Row],[Index]], Contract_Edits[Index], Contract_Edits[Order]), tblContractGlasgow[[#This Row],[Order]])</f>
        <v>185.0102</v>
      </c>
      <c r="J49" t="str">
        <f>_xlfn.XLOOKUP(tblContractGlasgow[[#This Row],[Index]], Contract_Edits[Index], Contract_Edits[Approve])</f>
        <v>Yes</v>
      </c>
      <c r="K49">
        <f>IFERROR(_xlfn.XLOOKUP(tblContractGlasgow[[#This Row],[Index]], Contract_Edits[Index], Contract_Edits[Group]), tblContractGlasgow[[#This Row],[Group]])</f>
        <v>1</v>
      </c>
      <c r="L49" s="11">
        <f>IFERROR( _xlfn.XLOOKUP(tblContractGlasgow[[#This Row],[Index]], Contract_Edits[Index],Contract_Edits[Days]), 1)</f>
        <v>1</v>
      </c>
      <c r="M49" t="str">
        <f>IFERROR(_xlfn.XLOOKUP(tblContractGlasgow[[#This Row],[Index]], Contract_Edits[Index], Contract_Edits[Done],), "No")</f>
        <v>No</v>
      </c>
      <c r="N49">
        <f>IFERROR(_xlfn.XLOOKUP(tblContractGlasgow[[#This Row],[Index]], Contract_Edits[Index], Contract_Edits[Paid]), 0)</f>
        <v>0</v>
      </c>
      <c r="O49" t="str">
        <f>IFERROR(_xlfn.XLOOKUP(tblContractGlasgow[[#This Row],[Index]], Contract_Edits[Index], Contract_Edits[Notes]), 0)</f>
        <v/>
      </c>
      <c r="P49">
        <f>IFERROR( _xlfn.XLOOKUP(tblContractGlasgow[[#This Row],[Index]], Contract_Edits[Index],Contract_Edits[Dep]),174)</f>
        <v>170</v>
      </c>
    </row>
    <row r="50" spans="1:16">
      <c r="A50">
        <v>100</v>
      </c>
      <c r="B50" t="s">
        <v>521</v>
      </c>
      <c r="C50" t="s">
        <v>679</v>
      </c>
      <c r="D50" s="458" t="s">
        <v>680</v>
      </c>
      <c r="E50">
        <v>1</v>
      </c>
      <c r="F50">
        <v>2900</v>
      </c>
      <c r="G50" t="s">
        <v>519</v>
      </c>
      <c r="H50">
        <v>0</v>
      </c>
      <c r="I50">
        <f>IFERROR(_xlfn.XLOOKUP(tblContractGlasgow[[#This Row],[Index]], Contract_Edits[Index], Contract_Edits[Order]), tblContractGlasgow[[#This Row],[Order]])</f>
        <v>75.010100000000008</v>
      </c>
      <c r="J50" t="str">
        <f>_xlfn.XLOOKUP(tblContractGlasgow[[#This Row],[Index]], Contract_Edits[Index], Contract_Edits[Approve])</f>
        <v>Yes</v>
      </c>
      <c r="K50">
        <f>IFERROR(_xlfn.XLOOKUP(tblContractGlasgow[[#This Row],[Index]], Contract_Edits[Index], Contract_Edits[Group]), tblContractGlasgow[[#This Row],[Group]])</f>
        <v>1</v>
      </c>
      <c r="L50" s="11">
        <f>IFERROR( _xlfn.XLOOKUP(tblContractGlasgow[[#This Row],[Index]], Contract_Edits[Index],Contract_Edits[Days]), 1)</f>
        <v>30</v>
      </c>
      <c r="M50" t="str">
        <f>IFERROR(_xlfn.XLOOKUP(tblContractGlasgow[[#This Row],[Index]], Contract_Edits[Index], Contract_Edits[Done],), "No")</f>
        <v>Yes</v>
      </c>
      <c r="N50">
        <f>IFERROR(_xlfn.XLOOKUP(tblContractGlasgow[[#This Row],[Index]], Contract_Edits[Index], Contract_Edits[Paid]), 0)</f>
        <v>0</v>
      </c>
      <c r="O50">
        <f>IFERROR(_xlfn.XLOOKUP(tblContractGlasgow[[#This Row],[Index]], Contract_Edits[Index], Contract_Edits[Notes]), 0)</f>
        <v>0</v>
      </c>
      <c r="P50">
        <f>IFERROR( _xlfn.XLOOKUP(tblContractGlasgow[[#This Row],[Index]], Contract_Edits[Index],Contract_Edits[Dep]),174)</f>
        <v>150</v>
      </c>
    </row>
    <row r="51" spans="1:16" ht="30">
      <c r="A51">
        <v>101</v>
      </c>
      <c r="B51" t="s">
        <v>521</v>
      </c>
      <c r="C51" t="s">
        <v>610</v>
      </c>
      <c r="D51" s="458" t="s">
        <v>681</v>
      </c>
      <c r="E51">
        <v>1</v>
      </c>
      <c r="F51">
        <v>4350</v>
      </c>
      <c r="G51" t="s">
        <v>519</v>
      </c>
      <c r="H51">
        <v>0</v>
      </c>
      <c r="I51">
        <f>IFERROR(_xlfn.XLOOKUP(tblContractGlasgow[[#This Row],[Index]], Contract_Edits[Index], Contract_Edits[Order]), tblContractGlasgow[[#This Row],[Order]])</f>
        <v>85.020699999999991</v>
      </c>
      <c r="J51" t="str">
        <f>_xlfn.XLOOKUP(tblContractGlasgow[[#This Row],[Index]], Contract_Edits[Index], Contract_Edits[Approve])</f>
        <v>Yes</v>
      </c>
      <c r="K51">
        <f>IFERROR(_xlfn.XLOOKUP(tblContractGlasgow[[#This Row],[Index]], Contract_Edits[Index], Contract_Edits[Group]), tblContractGlasgow[[#This Row],[Group]])</f>
        <v>4</v>
      </c>
      <c r="L51" s="11">
        <f>IFERROR( _xlfn.XLOOKUP(tblContractGlasgow[[#This Row],[Index]], Contract_Edits[Index],Contract_Edits[Days]), 1)</f>
        <v>6</v>
      </c>
      <c r="M51" t="str">
        <f>IFERROR(_xlfn.XLOOKUP(tblContractGlasgow[[#This Row],[Index]], Contract_Edits[Index], Contract_Edits[Done],), "No")</f>
        <v>No</v>
      </c>
      <c r="N51">
        <f>IFERROR(_xlfn.XLOOKUP(tblContractGlasgow[[#This Row],[Index]], Contract_Edits[Index], Contract_Edits[Paid]), 0)</f>
        <v>0</v>
      </c>
      <c r="O51">
        <f>IFERROR(_xlfn.XLOOKUP(tblContractGlasgow[[#This Row],[Index]], Contract_Edits[Index], Contract_Edits[Notes]), 0)</f>
        <v>0</v>
      </c>
      <c r="P51">
        <f>IFERROR( _xlfn.XLOOKUP(tblContractGlasgow[[#This Row],[Index]], Contract_Edits[Index],Contract_Edits[Dep]),174)</f>
        <v>180</v>
      </c>
    </row>
    <row r="52" spans="1:16" ht="30">
      <c r="A52">
        <v>102</v>
      </c>
      <c r="B52" t="s">
        <v>521</v>
      </c>
      <c r="C52" t="s">
        <v>550</v>
      </c>
      <c r="D52" s="458" t="s">
        <v>682</v>
      </c>
      <c r="E52">
        <v>1</v>
      </c>
      <c r="F52">
        <v>5220</v>
      </c>
      <c r="G52" t="s">
        <v>519</v>
      </c>
      <c r="H52">
        <v>0</v>
      </c>
      <c r="I52">
        <f>IFERROR(_xlfn.XLOOKUP(tblContractGlasgow[[#This Row],[Index]], Contract_Edits[Index], Contract_Edits[Order]), tblContractGlasgow[[#This Row],[Order]])</f>
        <v>45.020300000000006</v>
      </c>
      <c r="J52" t="str">
        <f>_xlfn.XLOOKUP(tblContractGlasgow[[#This Row],[Index]], Contract_Edits[Index], Contract_Edits[Approve])</f>
        <v>Yes</v>
      </c>
      <c r="K52">
        <f>IFERROR(_xlfn.XLOOKUP(tblContractGlasgow[[#This Row],[Index]], Contract_Edits[Index], Contract_Edits[Group]), tblContractGlasgow[[#This Row],[Group]])</f>
        <v>1</v>
      </c>
      <c r="L52" s="11">
        <f>IFERROR( _xlfn.XLOOKUP(tblContractGlasgow[[#This Row],[Index]], Contract_Edits[Index],Contract_Edits[Days]), 1)</f>
        <v>6</v>
      </c>
      <c r="M52" t="str">
        <f>IFERROR(_xlfn.XLOOKUP(tblContractGlasgow[[#This Row],[Index]], Contract_Edits[Index], Contract_Edits[Done],), "No")</f>
        <v>No</v>
      </c>
      <c r="N52">
        <f>IFERROR(_xlfn.XLOOKUP(tblContractGlasgow[[#This Row],[Index]], Contract_Edits[Index], Contract_Edits[Paid]), 0)</f>
        <v>0</v>
      </c>
      <c r="O52" t="str">
        <f>IFERROR(_xlfn.XLOOKUP(tblContractGlasgow[[#This Row],[Index]], Contract_Edits[Index], Contract_Edits[Notes]), 0)</f>
        <v/>
      </c>
      <c r="P52">
        <f>IFERROR( _xlfn.XLOOKUP(tblContractGlasgow[[#This Row],[Index]], Contract_Edits[Index],Contract_Edits[Dep]),174)</f>
        <v>181</v>
      </c>
    </row>
    <row r="53" spans="1:16">
      <c r="A53">
        <v>104</v>
      </c>
      <c r="B53" t="s">
        <v>521</v>
      </c>
      <c r="C53" t="s">
        <v>684</v>
      </c>
      <c r="D53" s="458" t="s">
        <v>685</v>
      </c>
      <c r="E53">
        <v>1</v>
      </c>
      <c r="F53">
        <v>435</v>
      </c>
      <c r="G53" t="s">
        <v>519</v>
      </c>
      <c r="H53">
        <v>0</v>
      </c>
      <c r="I53">
        <f>IFERROR(_xlfn.XLOOKUP(tblContractGlasgow[[#This Row],[Index]], Contract_Edits[Index], Contract_Edits[Order]), tblContractGlasgow[[#This Row],[Order]])</f>
        <v>115.0104</v>
      </c>
      <c r="J53" t="str">
        <f>_xlfn.XLOOKUP(tblContractGlasgow[[#This Row],[Index]], Contract_Edits[Index], Contract_Edits[Approve])</f>
        <v>Yes</v>
      </c>
      <c r="K53">
        <f>IFERROR(_xlfn.XLOOKUP(tblContractGlasgow[[#This Row],[Index]], Contract_Edits[Index], Contract_Edits[Group]), tblContractGlasgow[[#This Row],[Group]])</f>
        <v>1</v>
      </c>
      <c r="L53" s="11">
        <f>IFERROR( _xlfn.XLOOKUP(tblContractGlasgow[[#This Row],[Index]], Contract_Edits[Index],Contract_Edits[Days]), 1)</f>
        <v>0</v>
      </c>
      <c r="M53" t="str">
        <f>IFERROR(_xlfn.XLOOKUP(tblContractGlasgow[[#This Row],[Index]], Contract_Edits[Index], Contract_Edits[Done],), "No")</f>
        <v>No</v>
      </c>
      <c r="N53">
        <f>IFERROR(_xlfn.XLOOKUP(tblContractGlasgow[[#This Row],[Index]], Contract_Edits[Index], Contract_Edits[Paid]), 0)</f>
        <v>0</v>
      </c>
      <c r="O53" t="str">
        <f>IFERROR(_xlfn.XLOOKUP(tblContractGlasgow[[#This Row],[Index]], Contract_Edits[Index], Contract_Edits[Notes]), 0)</f>
        <v/>
      </c>
      <c r="P53">
        <f>IFERROR( _xlfn.XLOOKUP(tblContractGlasgow[[#This Row],[Index]], Contract_Edits[Index],Contract_Edits[Dep]),174)</f>
        <v>163</v>
      </c>
    </row>
    <row r="54" spans="1:16">
      <c r="A54">
        <v>105</v>
      </c>
      <c r="B54" t="s">
        <v>521</v>
      </c>
      <c r="C54" t="s">
        <v>684</v>
      </c>
      <c r="D54" s="458" t="s">
        <v>686</v>
      </c>
      <c r="E54">
        <v>1</v>
      </c>
      <c r="F54">
        <v>2320</v>
      </c>
      <c r="G54" t="s">
        <v>519</v>
      </c>
      <c r="H54">
        <v>0</v>
      </c>
      <c r="I54">
        <f>IFERROR(_xlfn.XLOOKUP(tblContractGlasgow[[#This Row],[Index]], Contract_Edits[Index], Contract_Edits[Order]), tblContractGlasgow[[#This Row],[Order]])</f>
        <v>115.0108</v>
      </c>
      <c r="J54" t="str">
        <f>_xlfn.XLOOKUP(tblContractGlasgow[[#This Row],[Index]], Contract_Edits[Index], Contract_Edits[Approve])</f>
        <v>Yes</v>
      </c>
      <c r="K54">
        <f>IFERROR(_xlfn.XLOOKUP(tblContractGlasgow[[#This Row],[Index]], Contract_Edits[Index], Contract_Edits[Group]), tblContractGlasgow[[#This Row],[Group]])</f>
        <v>1</v>
      </c>
      <c r="L54" s="11">
        <f>IFERROR( _xlfn.XLOOKUP(tblContractGlasgow[[#This Row],[Index]], Contract_Edits[Index],Contract_Edits[Days]), 1)</f>
        <v>0</v>
      </c>
      <c r="M54" t="str">
        <f>IFERROR(_xlfn.XLOOKUP(tblContractGlasgow[[#This Row],[Index]], Contract_Edits[Index], Contract_Edits[Done],), "No")</f>
        <v>No</v>
      </c>
      <c r="N54">
        <f>IFERROR(_xlfn.XLOOKUP(tblContractGlasgow[[#This Row],[Index]], Contract_Edits[Index], Contract_Edits[Paid]), 0)</f>
        <v>0</v>
      </c>
      <c r="O54" t="str">
        <f>IFERROR(_xlfn.XLOOKUP(tblContractGlasgow[[#This Row],[Index]], Contract_Edits[Index], Contract_Edits[Notes]), 0)</f>
        <v>move to BYH</v>
      </c>
      <c r="P54">
        <f>IFERROR( _xlfn.XLOOKUP(tblContractGlasgow[[#This Row],[Index]], Contract_Edits[Index],Contract_Edits[Dep]),174)</f>
        <v>163</v>
      </c>
    </row>
    <row r="55" spans="1:16">
      <c r="A55">
        <v>106</v>
      </c>
      <c r="B55" t="s">
        <v>521</v>
      </c>
      <c r="C55" t="s">
        <v>654</v>
      </c>
      <c r="D55" s="458" t="s">
        <v>687</v>
      </c>
      <c r="E55">
        <v>1</v>
      </c>
      <c r="F55">
        <v>4495</v>
      </c>
      <c r="G55" t="s">
        <v>519</v>
      </c>
      <c r="H55">
        <v>0</v>
      </c>
      <c r="I55">
        <f>IFERROR(_xlfn.XLOOKUP(tblContractGlasgow[[#This Row],[Index]], Contract_Edits[Index], Contract_Edits[Order]), tblContractGlasgow[[#This Row],[Order]])</f>
        <v>175.0103</v>
      </c>
      <c r="J55" t="str">
        <f>_xlfn.XLOOKUP(tblContractGlasgow[[#This Row],[Index]], Contract_Edits[Index], Contract_Edits[Approve])</f>
        <v>Yes</v>
      </c>
      <c r="K55">
        <f>IFERROR(_xlfn.XLOOKUP(tblContractGlasgow[[#This Row],[Index]], Contract_Edits[Index], Contract_Edits[Group]), tblContractGlasgow[[#This Row],[Group]])</f>
        <v>1</v>
      </c>
      <c r="L55" s="11">
        <f>IFERROR( _xlfn.XLOOKUP(tblContractGlasgow[[#This Row],[Index]], Contract_Edits[Index],Contract_Edits[Days]), 1)</f>
        <v>4</v>
      </c>
      <c r="M55" t="str">
        <f>IFERROR(_xlfn.XLOOKUP(tblContractGlasgow[[#This Row],[Index]], Contract_Edits[Index], Contract_Edits[Done],), "No")</f>
        <v>No</v>
      </c>
      <c r="N55">
        <f>IFERROR(_xlfn.XLOOKUP(tblContractGlasgow[[#This Row],[Index]], Contract_Edits[Index], Contract_Edits[Paid]), 0)</f>
        <v>0</v>
      </c>
      <c r="O55" t="str">
        <f>IFERROR(_xlfn.XLOOKUP(tblContractGlasgow[[#This Row],[Index]], Contract_Edits[Index], Contract_Edits[Notes]), 0)</f>
        <v/>
      </c>
      <c r="P55">
        <f>IFERROR( _xlfn.XLOOKUP(tblContractGlasgow[[#This Row],[Index]], Contract_Edits[Index],Contract_Edits[Dep]),174)</f>
        <v>169</v>
      </c>
    </row>
    <row r="56" spans="1:16">
      <c r="A56">
        <v>107</v>
      </c>
      <c r="B56" t="s">
        <v>521</v>
      </c>
      <c r="C56" t="s">
        <v>688</v>
      </c>
      <c r="D56" s="458" t="s">
        <v>689</v>
      </c>
      <c r="E56">
        <v>1</v>
      </c>
      <c r="F56">
        <v>652.5</v>
      </c>
      <c r="G56" t="s">
        <v>519</v>
      </c>
      <c r="H56">
        <v>0</v>
      </c>
      <c r="I56">
        <f>IFERROR(_xlfn.XLOOKUP(tblContractGlasgow[[#This Row],[Index]], Contract_Edits[Index], Contract_Edits[Order]), tblContractGlasgow[[#This Row],[Order]])</f>
        <v>45.010100000000001</v>
      </c>
      <c r="J56" t="str">
        <f>_xlfn.XLOOKUP(tblContractGlasgow[[#This Row],[Index]], Contract_Edits[Index], Contract_Edits[Approve])</f>
        <v>Yes</v>
      </c>
      <c r="K56">
        <f>IFERROR(_xlfn.XLOOKUP(tblContractGlasgow[[#This Row],[Index]], Contract_Edits[Index], Contract_Edits[Group]), tblContractGlasgow[[#This Row],[Group]])</f>
        <v>1</v>
      </c>
      <c r="L56" s="11">
        <f>IFERROR( _xlfn.XLOOKUP(tblContractGlasgow[[#This Row],[Index]], Contract_Edits[Index],Contract_Edits[Days]), 1)</f>
        <v>1</v>
      </c>
      <c r="M56" t="str">
        <f>IFERROR(_xlfn.XLOOKUP(tblContractGlasgow[[#This Row],[Index]], Contract_Edits[Index], Contract_Edits[Done],), "No")</f>
        <v>No</v>
      </c>
      <c r="N56">
        <f>IFERROR(_xlfn.XLOOKUP(tblContractGlasgow[[#This Row],[Index]], Contract_Edits[Index], Contract_Edits[Paid]), 0)</f>
        <v>0</v>
      </c>
      <c r="O56" t="str">
        <f>IFERROR(_xlfn.XLOOKUP(tblContractGlasgow[[#This Row],[Index]], Contract_Edits[Index], Contract_Edits[Notes]), 0)</f>
        <v/>
      </c>
      <c r="P56">
        <f>IFERROR( _xlfn.XLOOKUP(tblContractGlasgow[[#This Row],[Index]], Contract_Edits[Index],Contract_Edits[Dep]),174)</f>
        <v>154</v>
      </c>
    </row>
    <row r="57" spans="1:16" ht="30">
      <c r="A57">
        <v>108</v>
      </c>
      <c r="B57" t="s">
        <v>521</v>
      </c>
      <c r="C57" t="s">
        <v>654</v>
      </c>
      <c r="D57" s="458" t="s">
        <v>691</v>
      </c>
      <c r="E57">
        <v>1</v>
      </c>
      <c r="F57">
        <v>5075</v>
      </c>
      <c r="G57" t="s">
        <v>519</v>
      </c>
      <c r="H57">
        <v>0</v>
      </c>
      <c r="I57">
        <f>IFERROR(_xlfn.XLOOKUP(tblContractGlasgow[[#This Row],[Index]], Contract_Edits[Index], Contract_Edits[Order]), tblContractGlasgow[[#This Row],[Order]])</f>
        <v>175.0102</v>
      </c>
      <c r="J57" t="str">
        <f>_xlfn.XLOOKUP(tblContractGlasgow[[#This Row],[Index]], Contract_Edits[Index], Contract_Edits[Approve])</f>
        <v>Yes</v>
      </c>
      <c r="K57">
        <f>IFERROR(_xlfn.XLOOKUP(tblContractGlasgow[[#This Row],[Index]], Contract_Edits[Index], Contract_Edits[Group]), tblContractGlasgow[[#This Row],[Group]])</f>
        <v>1</v>
      </c>
      <c r="L57" s="11">
        <f>IFERROR( _xlfn.XLOOKUP(tblContractGlasgow[[#This Row],[Index]], Contract_Edits[Index],Contract_Edits[Days]), 1)</f>
        <v>0</v>
      </c>
      <c r="M57" t="str">
        <f>IFERROR(_xlfn.XLOOKUP(tblContractGlasgow[[#This Row],[Index]], Contract_Edits[Index], Contract_Edits[Done],), "No")</f>
        <v>No</v>
      </c>
      <c r="N57">
        <f>IFERROR(_xlfn.XLOOKUP(tblContractGlasgow[[#This Row],[Index]], Contract_Edits[Index], Contract_Edits[Paid]), 0)</f>
        <v>0</v>
      </c>
      <c r="O57">
        <f>IFERROR(_xlfn.XLOOKUP(tblContractGlasgow[[#This Row],[Index]], Contract_Edits[Index], Contract_Edits[Notes]), 0)</f>
        <v>0</v>
      </c>
      <c r="P57">
        <f>IFERROR( _xlfn.XLOOKUP(tblContractGlasgow[[#This Row],[Index]], Contract_Edits[Index],Contract_Edits[Dep]),174)</f>
        <v>169</v>
      </c>
    </row>
    <row r="58" spans="1:16">
      <c r="A58">
        <v>109</v>
      </c>
      <c r="B58" t="s">
        <v>521</v>
      </c>
      <c r="C58" t="s">
        <v>688</v>
      </c>
      <c r="D58" s="458" t="s">
        <v>692</v>
      </c>
      <c r="E58">
        <v>1</v>
      </c>
      <c r="F58">
        <v>1341.25</v>
      </c>
      <c r="G58" t="s">
        <v>519</v>
      </c>
      <c r="H58">
        <v>0</v>
      </c>
      <c r="I58">
        <f>IFERROR(_xlfn.XLOOKUP(tblContractGlasgow[[#This Row],[Index]], Contract_Edits[Index], Contract_Edits[Order]), tblContractGlasgow[[#This Row],[Order]])</f>
        <v>45.010300000000001</v>
      </c>
      <c r="J58" t="str">
        <f>_xlfn.XLOOKUP(tblContractGlasgow[[#This Row],[Index]], Contract_Edits[Index], Contract_Edits[Approve])</f>
        <v>Yes</v>
      </c>
      <c r="K58">
        <f>IFERROR(_xlfn.XLOOKUP(tblContractGlasgow[[#This Row],[Index]], Contract_Edits[Index], Contract_Edits[Group]), tblContractGlasgow[[#This Row],[Group]])</f>
        <v>1</v>
      </c>
      <c r="L58" s="11">
        <f>IFERROR( _xlfn.XLOOKUP(tblContractGlasgow[[#This Row],[Index]], Contract_Edits[Index],Contract_Edits[Days]), 1)</f>
        <v>0</v>
      </c>
      <c r="M58" t="str">
        <f>IFERROR(_xlfn.XLOOKUP(tblContractGlasgow[[#This Row],[Index]], Contract_Edits[Index], Contract_Edits[Done],), "No")</f>
        <v>No</v>
      </c>
      <c r="N58">
        <f>IFERROR(_xlfn.XLOOKUP(tblContractGlasgow[[#This Row],[Index]], Contract_Edits[Index], Contract_Edits[Paid]), 0)</f>
        <v>0</v>
      </c>
      <c r="O58">
        <f>IFERROR(_xlfn.XLOOKUP(tblContractGlasgow[[#This Row],[Index]], Contract_Edits[Index], Contract_Edits[Notes]), 0)</f>
        <v>0</v>
      </c>
      <c r="P58">
        <f>IFERROR( _xlfn.XLOOKUP(tblContractGlasgow[[#This Row],[Index]], Contract_Edits[Index],Contract_Edits[Dep]),174)</f>
        <v>154</v>
      </c>
    </row>
    <row r="59" spans="1:16" ht="30">
      <c r="A59">
        <v>110</v>
      </c>
      <c r="B59" t="s">
        <v>521</v>
      </c>
      <c r="C59" t="s">
        <v>591</v>
      </c>
      <c r="D59" s="458" t="s">
        <v>693</v>
      </c>
      <c r="E59">
        <v>1</v>
      </c>
      <c r="F59">
        <v>4930</v>
      </c>
      <c r="G59" t="s">
        <v>519</v>
      </c>
      <c r="H59">
        <v>0</v>
      </c>
      <c r="I59">
        <f>IFERROR(_xlfn.XLOOKUP(tblContractGlasgow[[#This Row],[Index]], Contract_Edits[Index], Contract_Edits[Order]), tblContractGlasgow[[#This Row],[Order]])</f>
        <v>75.020200000000003</v>
      </c>
      <c r="J59" t="str">
        <f>_xlfn.XLOOKUP(tblContractGlasgow[[#This Row],[Index]], Contract_Edits[Index], Contract_Edits[Approve])</f>
        <v>Yes</v>
      </c>
      <c r="K59">
        <f>IFERROR(_xlfn.XLOOKUP(tblContractGlasgow[[#This Row],[Index]], Contract_Edits[Index], Contract_Edits[Group]), tblContractGlasgow[[#This Row],[Group]])</f>
        <v>1</v>
      </c>
      <c r="L59" s="11">
        <f>IFERROR( _xlfn.XLOOKUP(tblContractGlasgow[[#This Row],[Index]], Contract_Edits[Index],Contract_Edits[Days]), 1)</f>
        <v>1</v>
      </c>
      <c r="M59" t="str">
        <f>IFERROR(_xlfn.XLOOKUP(tblContractGlasgow[[#This Row],[Index]], Contract_Edits[Index], Contract_Edits[Done],), "No")</f>
        <v>No</v>
      </c>
      <c r="N59">
        <f>IFERROR(_xlfn.XLOOKUP(tblContractGlasgow[[#This Row],[Index]], Contract_Edits[Index], Contract_Edits[Paid]), 0)</f>
        <v>0</v>
      </c>
      <c r="O59" t="str">
        <f>IFERROR(_xlfn.XLOOKUP(tblContractGlasgow[[#This Row],[Index]], Contract_Edits[Index], Contract_Edits[Notes]), 0)</f>
        <v/>
      </c>
      <c r="P59">
        <f>IFERROR( _xlfn.XLOOKUP(tblContractGlasgow[[#This Row],[Index]], Contract_Edits[Index],Contract_Edits[Dep]),174)</f>
        <v>157</v>
      </c>
    </row>
    <row r="60" spans="1:16" ht="30">
      <c r="A60">
        <v>111</v>
      </c>
      <c r="B60" t="s">
        <v>521</v>
      </c>
      <c r="C60" t="s">
        <v>620</v>
      </c>
      <c r="D60" s="458" t="s">
        <v>694</v>
      </c>
      <c r="E60">
        <v>1</v>
      </c>
      <c r="F60">
        <v>1595</v>
      </c>
      <c r="G60" t="s">
        <v>519</v>
      </c>
      <c r="H60">
        <v>0</v>
      </c>
      <c r="I60">
        <f>IFERROR(_xlfn.XLOOKUP(tblContractGlasgow[[#This Row],[Index]], Contract_Edits[Index], Contract_Edits[Order]), tblContractGlasgow[[#This Row],[Order]])</f>
        <v>75.040200000000013</v>
      </c>
      <c r="J60" t="str">
        <f>_xlfn.XLOOKUP(tblContractGlasgow[[#This Row],[Index]], Contract_Edits[Index], Contract_Edits[Approve])</f>
        <v>Yes</v>
      </c>
      <c r="K60">
        <f>IFERROR(_xlfn.XLOOKUP(tblContractGlasgow[[#This Row],[Index]], Contract_Edits[Index], Contract_Edits[Group]), tblContractGlasgow[[#This Row],[Group]])</f>
        <v>1</v>
      </c>
      <c r="L60" s="11">
        <f>IFERROR( _xlfn.XLOOKUP(tblContractGlasgow[[#This Row],[Index]], Contract_Edits[Index],Contract_Edits[Days]), 1)</f>
        <v>1</v>
      </c>
      <c r="M60" t="str">
        <f>IFERROR(_xlfn.XLOOKUP(tblContractGlasgow[[#This Row],[Index]], Contract_Edits[Index], Contract_Edits[Done],), "No")</f>
        <v>No</v>
      </c>
      <c r="N60">
        <f>IFERROR(_xlfn.XLOOKUP(tblContractGlasgow[[#This Row],[Index]], Contract_Edits[Index], Contract_Edits[Paid]), 0)</f>
        <v>0</v>
      </c>
      <c r="O60" t="str">
        <f>IFERROR(_xlfn.XLOOKUP(tblContractGlasgow[[#This Row],[Index]], Contract_Edits[Index], Contract_Edits[Notes]), 0)</f>
        <v/>
      </c>
      <c r="P60">
        <f>IFERROR( _xlfn.XLOOKUP(tblContractGlasgow[[#This Row],[Index]], Contract_Edits[Index],Contract_Edits[Dep]),174)</f>
        <v>159</v>
      </c>
    </row>
    <row r="61" spans="1:16" ht="30">
      <c r="A61">
        <v>112</v>
      </c>
      <c r="B61" t="s">
        <v>521</v>
      </c>
      <c r="C61" t="s">
        <v>570</v>
      </c>
      <c r="D61" s="458" t="s">
        <v>695</v>
      </c>
      <c r="E61">
        <v>1</v>
      </c>
      <c r="F61">
        <v>2753.55</v>
      </c>
      <c r="G61" t="s">
        <v>519</v>
      </c>
      <c r="H61">
        <v>0</v>
      </c>
      <c r="I61">
        <f>IFERROR(_xlfn.XLOOKUP(tblContractGlasgow[[#This Row],[Index]], Contract_Edits[Index], Contract_Edits[Order]), tblContractGlasgow[[#This Row],[Order]])</f>
        <v>75.030200000000008</v>
      </c>
      <c r="J61" t="str">
        <f>_xlfn.XLOOKUP(tblContractGlasgow[[#This Row],[Index]], Contract_Edits[Index], Contract_Edits[Approve])</f>
        <v>Yes</v>
      </c>
      <c r="K61">
        <f>IFERROR(_xlfn.XLOOKUP(tblContractGlasgow[[#This Row],[Index]], Contract_Edits[Index], Contract_Edits[Group]), tblContractGlasgow[[#This Row],[Group]])</f>
        <v>1</v>
      </c>
      <c r="L61" s="11">
        <f>IFERROR( _xlfn.XLOOKUP(tblContractGlasgow[[#This Row],[Index]], Contract_Edits[Index],Contract_Edits[Days]), 1)</f>
        <v>2</v>
      </c>
      <c r="M61" t="str">
        <f>IFERROR(_xlfn.XLOOKUP(tblContractGlasgow[[#This Row],[Index]], Contract_Edits[Index], Contract_Edits[Done],), "No")</f>
        <v>No</v>
      </c>
      <c r="N61">
        <f>IFERROR(_xlfn.XLOOKUP(tblContractGlasgow[[#This Row],[Index]], Contract_Edits[Index], Contract_Edits[Paid]), 0)</f>
        <v>0</v>
      </c>
      <c r="O61" t="str">
        <f>IFERROR(_xlfn.XLOOKUP(tblContractGlasgow[[#This Row],[Index]], Contract_Edits[Index], Contract_Edits[Notes]), 0)</f>
        <v/>
      </c>
      <c r="P61">
        <f>IFERROR( _xlfn.XLOOKUP(tblContractGlasgow[[#This Row],[Index]], Contract_Edits[Index],Contract_Edits[Dep]),174)</f>
        <v>158</v>
      </c>
    </row>
    <row r="62" spans="1:16">
      <c r="A62">
        <v>113</v>
      </c>
      <c r="B62" t="s">
        <v>521</v>
      </c>
      <c r="C62" t="s">
        <v>656</v>
      </c>
      <c r="D62" s="458" t="s">
        <v>696</v>
      </c>
      <c r="E62">
        <v>1</v>
      </c>
      <c r="F62">
        <v>870</v>
      </c>
      <c r="G62" t="s">
        <v>519</v>
      </c>
      <c r="H62">
        <v>0</v>
      </c>
      <c r="I62">
        <f>IFERROR(_xlfn.XLOOKUP(tblContractGlasgow[[#This Row],[Index]], Contract_Edits[Index], Contract_Edits[Order]), tblContractGlasgow[[#This Row],[Order]])</f>
        <v>85.010200000000012</v>
      </c>
      <c r="J62" t="str">
        <f>_xlfn.XLOOKUP(tblContractGlasgow[[#This Row],[Index]], Contract_Edits[Index], Contract_Edits[Approve])</f>
        <v>Yes</v>
      </c>
      <c r="K62">
        <f>IFERROR(_xlfn.XLOOKUP(tblContractGlasgow[[#This Row],[Index]], Contract_Edits[Index], Contract_Edits[Group]), tblContractGlasgow[[#This Row],[Group]])</f>
        <v>1</v>
      </c>
      <c r="L62" s="11">
        <f>IFERROR( _xlfn.XLOOKUP(tblContractGlasgow[[#This Row],[Index]], Contract_Edits[Index],Contract_Edits[Days]), 1)</f>
        <v>1</v>
      </c>
      <c r="M62" t="str">
        <f>IFERROR(_xlfn.XLOOKUP(tblContractGlasgow[[#This Row],[Index]], Contract_Edits[Index], Contract_Edits[Done],), "No")</f>
        <v>No</v>
      </c>
      <c r="N62">
        <f>IFERROR(_xlfn.XLOOKUP(tblContractGlasgow[[#This Row],[Index]], Contract_Edits[Index], Contract_Edits[Paid]), 0)</f>
        <v>0</v>
      </c>
      <c r="O62" t="str">
        <f>IFERROR(_xlfn.XLOOKUP(tblContractGlasgow[[#This Row],[Index]], Contract_Edits[Index], Contract_Edits[Notes]), 0)</f>
        <v>Does this come after wiring?</v>
      </c>
      <c r="P62">
        <f>IFERROR( _xlfn.XLOOKUP(tblContractGlasgow[[#This Row],[Index]], Contract_Edits[Index],Contract_Edits[Dep]),174)</f>
        <v>160</v>
      </c>
    </row>
    <row r="63" spans="1:16" ht="30">
      <c r="A63">
        <v>114</v>
      </c>
      <c r="B63" t="s">
        <v>521</v>
      </c>
      <c r="C63" t="s">
        <v>596</v>
      </c>
      <c r="D63" s="458" t="s">
        <v>697</v>
      </c>
      <c r="E63">
        <v>1</v>
      </c>
      <c r="F63">
        <v>2320</v>
      </c>
      <c r="G63" t="s">
        <v>519</v>
      </c>
      <c r="H63">
        <v>0</v>
      </c>
      <c r="I63">
        <f>IFERROR(_xlfn.XLOOKUP(tblContractGlasgow[[#This Row],[Index]], Contract_Edits[Index], Contract_Edits[Order]), tblContractGlasgow[[#This Row],[Order]])</f>
        <v>95.010400000000004</v>
      </c>
      <c r="J63" t="str">
        <f>_xlfn.XLOOKUP(tblContractGlasgow[[#This Row],[Index]], Contract_Edits[Index], Contract_Edits[Approve])</f>
        <v>Yes</v>
      </c>
      <c r="K63">
        <f>IFERROR(_xlfn.XLOOKUP(tblContractGlasgow[[#This Row],[Index]], Contract_Edits[Index], Contract_Edits[Group]), tblContractGlasgow[[#This Row],[Group]])</f>
        <v>1</v>
      </c>
      <c r="L63" s="11">
        <f>IFERROR( _xlfn.XLOOKUP(tblContractGlasgow[[#This Row],[Index]], Contract_Edits[Index],Contract_Edits[Days]), 1)</f>
        <v>4</v>
      </c>
      <c r="M63" t="str">
        <f>IFERROR(_xlfn.XLOOKUP(tblContractGlasgow[[#This Row],[Index]], Contract_Edits[Index], Contract_Edits[Done],), "No")</f>
        <v>No</v>
      </c>
      <c r="N63">
        <f>IFERROR(_xlfn.XLOOKUP(tblContractGlasgow[[#This Row],[Index]], Contract_Edits[Index], Contract_Edits[Paid]), 0)</f>
        <v>0</v>
      </c>
      <c r="O63" t="str">
        <f>IFERROR(_xlfn.XLOOKUP(tblContractGlasgow[[#This Row],[Index]], Contract_Edits[Index], Contract_Edits[Notes]), 0)</f>
        <v/>
      </c>
      <c r="P63">
        <f>IFERROR( _xlfn.XLOOKUP(tblContractGlasgow[[#This Row],[Index]], Contract_Edits[Index],Contract_Edits[Dep]),174)</f>
        <v>161</v>
      </c>
    </row>
    <row r="64" spans="1:16">
      <c r="A64">
        <v>117</v>
      </c>
      <c r="B64" t="s">
        <v>521</v>
      </c>
      <c r="C64" t="s">
        <v>700</v>
      </c>
      <c r="D64" s="458" t="s">
        <v>701</v>
      </c>
      <c r="E64">
        <v>0</v>
      </c>
      <c r="F64">
        <v>398.75</v>
      </c>
      <c r="G64" t="s">
        <v>519</v>
      </c>
      <c r="H64">
        <v>0</v>
      </c>
      <c r="I64">
        <f>IFERROR(_xlfn.XLOOKUP(tblContractGlasgow[[#This Row],[Index]], Contract_Edits[Index], Contract_Edits[Order]), tblContractGlasgow[[#This Row],[Order]])</f>
        <v>115.0111</v>
      </c>
      <c r="J64" t="str">
        <f>_xlfn.XLOOKUP(tblContractGlasgow[[#This Row],[Index]], Contract_Edits[Index], Contract_Edits[Approve])</f>
        <v>Yes</v>
      </c>
      <c r="K64">
        <f>IFERROR(_xlfn.XLOOKUP(tblContractGlasgow[[#This Row],[Index]], Contract_Edits[Index], Contract_Edits[Group]), tblContractGlasgow[[#This Row],[Group]])</f>
        <v>1</v>
      </c>
      <c r="L64" s="11">
        <f>IFERROR( _xlfn.XLOOKUP(tblContractGlasgow[[#This Row],[Index]], Contract_Edits[Index],Contract_Edits[Days]), 1)</f>
        <v>1</v>
      </c>
      <c r="M64" t="str">
        <f>IFERROR(_xlfn.XLOOKUP(tblContractGlasgow[[#This Row],[Index]], Contract_Edits[Index], Contract_Edits[Done],), "No")</f>
        <v>No</v>
      </c>
      <c r="N64">
        <f>IFERROR(_xlfn.XLOOKUP(tblContractGlasgow[[#This Row],[Index]], Contract_Edits[Index], Contract_Edits[Paid]), 0)</f>
        <v>0</v>
      </c>
      <c r="O64" t="str">
        <f>IFERROR(_xlfn.XLOOKUP(tblContractGlasgow[[#This Row],[Index]], Contract_Edits[Index], Contract_Edits[Notes]), 0)</f>
        <v/>
      </c>
      <c r="P64">
        <f>IFERROR( _xlfn.XLOOKUP(tblContractGlasgow[[#This Row],[Index]], Contract_Edits[Index],Contract_Edits[Dep]),174)</f>
        <v>163</v>
      </c>
    </row>
    <row r="65" spans="1:16">
      <c r="A65">
        <v>118</v>
      </c>
      <c r="B65" t="s">
        <v>521</v>
      </c>
      <c r="C65" t="s">
        <v>575</v>
      </c>
      <c r="D65" s="458" t="s">
        <v>703</v>
      </c>
      <c r="E65">
        <v>0</v>
      </c>
      <c r="F65">
        <v>435</v>
      </c>
      <c r="G65" t="s">
        <v>519</v>
      </c>
      <c r="H65">
        <v>0</v>
      </c>
      <c r="I65">
        <f>IFERROR(_xlfn.XLOOKUP(tblContractGlasgow[[#This Row],[Index]], Contract_Edits[Index], Contract_Edits[Order]), tblContractGlasgow[[#This Row],[Order]])</f>
        <v>115.0112</v>
      </c>
      <c r="J65" t="str">
        <f>_xlfn.XLOOKUP(tblContractGlasgow[[#This Row],[Index]], Contract_Edits[Index], Contract_Edits[Approve])</f>
        <v>Yes</v>
      </c>
      <c r="K65">
        <f>IFERROR(_xlfn.XLOOKUP(tblContractGlasgow[[#This Row],[Index]], Contract_Edits[Index], Contract_Edits[Group]), tblContractGlasgow[[#This Row],[Group]])</f>
        <v>1</v>
      </c>
      <c r="L65" s="11">
        <f>IFERROR( _xlfn.XLOOKUP(tblContractGlasgow[[#This Row],[Index]], Contract_Edits[Index],Contract_Edits[Days]), 1)</f>
        <v>0</v>
      </c>
      <c r="M65" t="str">
        <f>IFERROR(_xlfn.XLOOKUP(tblContractGlasgow[[#This Row],[Index]], Contract_Edits[Index], Contract_Edits[Done],), "No")</f>
        <v>No</v>
      </c>
      <c r="N65">
        <f>IFERROR(_xlfn.XLOOKUP(tblContractGlasgow[[#This Row],[Index]], Contract_Edits[Index], Contract_Edits[Paid]), 0)</f>
        <v>0</v>
      </c>
      <c r="O65" t="str">
        <f>IFERROR(_xlfn.XLOOKUP(tblContractGlasgow[[#This Row],[Index]], Contract_Edits[Index], Contract_Edits[Notes]), 0)</f>
        <v>See Windows &amp; Doors Tab</v>
      </c>
      <c r="P65">
        <f>IFERROR( _xlfn.XLOOKUP(tblContractGlasgow[[#This Row],[Index]], Contract_Edits[Index],Contract_Edits[Dep]),174)</f>
        <v>163</v>
      </c>
    </row>
    <row r="66" spans="1:16">
      <c r="A66">
        <v>120</v>
      </c>
      <c r="B66" t="s">
        <v>521</v>
      </c>
      <c r="C66" t="s">
        <v>705</v>
      </c>
      <c r="D66" s="458" t="s">
        <v>706</v>
      </c>
      <c r="E66">
        <v>1</v>
      </c>
      <c r="F66">
        <v>2610</v>
      </c>
      <c r="G66" t="s">
        <v>519</v>
      </c>
      <c r="H66">
        <v>0</v>
      </c>
      <c r="I66">
        <f>IFERROR(_xlfn.XLOOKUP(tblContractGlasgow[[#This Row],[Index]], Contract_Edits[Index], Contract_Edits[Order]), tblContractGlasgow[[#This Row],[Order]])</f>
        <v>115.01050000000001</v>
      </c>
      <c r="J66" t="str">
        <f>_xlfn.XLOOKUP(tblContractGlasgow[[#This Row],[Index]], Contract_Edits[Index], Contract_Edits[Approve])</f>
        <v>Yes</v>
      </c>
      <c r="K66">
        <f>IFERROR(_xlfn.XLOOKUP(tblContractGlasgow[[#This Row],[Index]], Contract_Edits[Index], Contract_Edits[Group]), tblContractGlasgow[[#This Row],[Group]])</f>
        <v>1</v>
      </c>
      <c r="L66" s="11">
        <f>IFERROR( _xlfn.XLOOKUP(tblContractGlasgow[[#This Row],[Index]], Contract_Edits[Index],Contract_Edits[Days]), 1)</f>
        <v>1</v>
      </c>
      <c r="M66" t="str">
        <f>IFERROR(_xlfn.XLOOKUP(tblContractGlasgow[[#This Row],[Index]], Contract_Edits[Index], Contract_Edits[Done],), "No")</f>
        <v>No</v>
      </c>
      <c r="N66">
        <f>IFERROR(_xlfn.XLOOKUP(tblContractGlasgow[[#This Row],[Index]], Contract_Edits[Index], Contract_Edits[Paid]), 0)</f>
        <v>0</v>
      </c>
      <c r="O66" t="str">
        <f>IFERROR(_xlfn.XLOOKUP(tblContractGlasgow[[#This Row],[Index]], Contract_Edits[Index], Contract_Edits[Notes]), 0)</f>
        <v/>
      </c>
      <c r="P66">
        <f>IFERROR( _xlfn.XLOOKUP(tblContractGlasgow[[#This Row],[Index]], Contract_Edits[Index],Contract_Edits[Dep]),174)</f>
        <v>163</v>
      </c>
    </row>
    <row r="67" spans="1:16" ht="30">
      <c r="A67">
        <v>122</v>
      </c>
      <c r="B67" t="s">
        <v>521</v>
      </c>
      <c r="C67" t="s">
        <v>579</v>
      </c>
      <c r="D67" s="458" t="s">
        <v>1516</v>
      </c>
      <c r="E67">
        <v>1</v>
      </c>
      <c r="F67">
        <v>2900</v>
      </c>
      <c r="G67" t="s">
        <v>519</v>
      </c>
      <c r="H67">
        <v>0</v>
      </c>
      <c r="I67">
        <f>IFERROR(_xlfn.XLOOKUP(tblContractGlasgow[[#This Row],[Index]], Contract_Edits[Index], Contract_Edits[Order]), tblContractGlasgow[[#This Row],[Order]])</f>
        <v>75.020600000000002</v>
      </c>
      <c r="J67" t="str">
        <f>_xlfn.XLOOKUP(tblContractGlasgow[[#This Row],[Index]], Contract_Edits[Index], Contract_Edits[Approve])</f>
        <v>Yes</v>
      </c>
      <c r="K67">
        <f>IFERROR(_xlfn.XLOOKUP(tblContractGlasgow[[#This Row],[Index]], Contract_Edits[Index], Contract_Edits[Group]), tblContractGlasgow[[#This Row],[Group]])</f>
        <v>1</v>
      </c>
      <c r="L67" s="11">
        <f>IFERROR( _xlfn.XLOOKUP(tblContractGlasgow[[#This Row],[Index]], Contract_Edits[Index],Contract_Edits[Days]), 1)</f>
        <v>1</v>
      </c>
      <c r="M67" t="str">
        <f>IFERROR(_xlfn.XLOOKUP(tblContractGlasgow[[#This Row],[Index]], Contract_Edits[Index], Contract_Edits[Done],), "No")</f>
        <v>No</v>
      </c>
      <c r="N67">
        <f>IFERROR(_xlfn.XLOOKUP(tblContractGlasgow[[#This Row],[Index]], Contract_Edits[Index], Contract_Edits[Paid]), 0)</f>
        <v>0</v>
      </c>
      <c r="O67" t="str">
        <f>IFERROR(_xlfn.XLOOKUP(tblContractGlasgow[[#This Row],[Index]], Contract_Edits[Index], Contract_Edits[Notes]), 0)</f>
        <v>This needs to be gas</v>
      </c>
      <c r="P67">
        <f>IFERROR( _xlfn.XLOOKUP(tblContractGlasgow[[#This Row],[Index]], Contract_Edits[Index],Contract_Edits[Dep]),174)</f>
        <v>157</v>
      </c>
    </row>
    <row r="68" spans="1:16" ht="30">
      <c r="A68">
        <v>123</v>
      </c>
      <c r="B68" t="s">
        <v>521</v>
      </c>
      <c r="C68" t="s">
        <v>583</v>
      </c>
      <c r="D68" s="458" t="s">
        <v>709</v>
      </c>
      <c r="E68">
        <v>1</v>
      </c>
      <c r="F68">
        <v>870</v>
      </c>
      <c r="G68" t="s">
        <v>519</v>
      </c>
      <c r="H68">
        <v>0</v>
      </c>
      <c r="I68">
        <f>IFERROR(_xlfn.XLOOKUP(tblContractGlasgow[[#This Row],[Index]], Contract_Edits[Index], Contract_Edits[Order]), tblContractGlasgow[[#This Row],[Order]])</f>
        <v>125.0103</v>
      </c>
      <c r="J68" t="str">
        <f>_xlfn.XLOOKUP(tblContractGlasgow[[#This Row],[Index]], Contract_Edits[Index], Contract_Edits[Approve])</f>
        <v>Yes</v>
      </c>
      <c r="K68">
        <f>IFERROR(_xlfn.XLOOKUP(tblContractGlasgow[[#This Row],[Index]], Contract_Edits[Index], Contract_Edits[Group]), tblContractGlasgow[[#This Row],[Group]])</f>
        <v>1</v>
      </c>
      <c r="L68" s="11">
        <f>IFERROR( _xlfn.XLOOKUP(tblContractGlasgow[[#This Row],[Index]], Contract_Edits[Index],Contract_Edits[Days]), 1)</f>
        <v>1</v>
      </c>
      <c r="M68" t="str">
        <f>IFERROR(_xlfn.XLOOKUP(tblContractGlasgow[[#This Row],[Index]], Contract_Edits[Index], Contract_Edits[Done],), "No")</f>
        <v>No</v>
      </c>
      <c r="N68">
        <f>IFERROR(_xlfn.XLOOKUP(tblContractGlasgow[[#This Row],[Index]], Contract_Edits[Index], Contract_Edits[Paid]), 0)</f>
        <v>0</v>
      </c>
      <c r="O68" t="str">
        <f>IFERROR(_xlfn.XLOOKUP(tblContractGlasgow[[#This Row],[Index]], Contract_Edits[Index], Contract_Edits[Notes]), 0)</f>
        <v/>
      </c>
      <c r="P68">
        <f>IFERROR( _xlfn.XLOOKUP(tblContractGlasgow[[#This Row],[Index]], Contract_Edits[Index],Contract_Edits[Dep]),174)</f>
        <v>164</v>
      </c>
    </row>
    <row r="69" spans="1:16">
      <c r="A69">
        <v>129</v>
      </c>
      <c r="B69" t="s">
        <v>521</v>
      </c>
      <c r="C69" t="s">
        <v>715</v>
      </c>
      <c r="D69" s="458" t="s">
        <v>716</v>
      </c>
      <c r="E69">
        <v>1</v>
      </c>
      <c r="F69">
        <v>6403.2</v>
      </c>
      <c r="G69" t="s">
        <v>519</v>
      </c>
      <c r="H69">
        <v>0</v>
      </c>
      <c r="I69">
        <f>IFERROR(_xlfn.XLOOKUP(tblContractGlasgow[[#This Row],[Index]], Contract_Edits[Index], Contract_Edits[Order]), tblContractGlasgow[[#This Row],[Order]])</f>
        <v>35.010199999999998</v>
      </c>
      <c r="J69" t="str">
        <f>_xlfn.XLOOKUP(tblContractGlasgow[[#This Row],[Index]], Contract_Edits[Index], Contract_Edits[Approve])</f>
        <v>Yes</v>
      </c>
      <c r="K69">
        <f>IFERROR(_xlfn.XLOOKUP(tblContractGlasgow[[#This Row],[Index]], Contract_Edits[Index], Contract_Edits[Group]), tblContractGlasgow[[#This Row],[Group]])</f>
        <v>1</v>
      </c>
      <c r="L69" s="11">
        <f>IFERROR( _xlfn.XLOOKUP(tblContractGlasgow[[#This Row],[Index]], Contract_Edits[Index],Contract_Edits[Days]), 1)</f>
        <v>2</v>
      </c>
      <c r="M69" t="str">
        <f>IFERROR(_xlfn.XLOOKUP(tblContractGlasgow[[#This Row],[Index]], Contract_Edits[Index], Contract_Edits[Done],), "No")</f>
        <v>No</v>
      </c>
      <c r="N69">
        <f>IFERROR(_xlfn.XLOOKUP(tblContractGlasgow[[#This Row],[Index]], Contract_Edits[Index], Contract_Edits[Paid]), 0)</f>
        <v>0</v>
      </c>
      <c r="O69" t="str">
        <f>IFERROR(_xlfn.XLOOKUP(tblContractGlasgow[[#This Row],[Index]], Contract_Edits[Index], Contract_Edits[Notes]), 0)</f>
        <v>shift to end</v>
      </c>
      <c r="P69">
        <f>IFERROR( _xlfn.XLOOKUP(tblContractGlasgow[[#This Row],[Index]], Contract_Edits[Index],Contract_Edits[Dep]),174)</f>
        <v>153</v>
      </c>
    </row>
    <row r="70" spans="1:16">
      <c r="A70">
        <v>130</v>
      </c>
      <c r="B70" t="s">
        <v>523</v>
      </c>
      <c r="C70" t="s">
        <v>688</v>
      </c>
      <c r="D70" s="458" t="s">
        <v>718</v>
      </c>
      <c r="E70">
        <v>1</v>
      </c>
      <c r="F70">
        <v>11890</v>
      </c>
      <c r="G70" t="s">
        <v>519</v>
      </c>
      <c r="H70">
        <v>0</v>
      </c>
      <c r="I70">
        <f>IFERROR(_xlfn.XLOOKUP(tblContractGlasgow[[#This Row],[Index]], Contract_Edits[Index], Contract_Edits[Order]), tblContractGlasgow[[#This Row],[Order]])</f>
        <v>45.010199999999998</v>
      </c>
      <c r="J70" t="str">
        <f>_xlfn.XLOOKUP(tblContractGlasgow[[#This Row],[Index]], Contract_Edits[Index], Contract_Edits[Approve])</f>
        <v>Yes</v>
      </c>
      <c r="K70">
        <f>IFERROR(_xlfn.XLOOKUP(tblContractGlasgow[[#This Row],[Index]], Contract_Edits[Index], Contract_Edits[Group]), tblContractGlasgow[[#This Row],[Group]])</f>
        <v>1</v>
      </c>
      <c r="L70" s="11">
        <f>IFERROR( _xlfn.XLOOKUP(tblContractGlasgow[[#This Row],[Index]], Contract_Edits[Index],Contract_Edits[Days]), 1)</f>
        <v>2</v>
      </c>
      <c r="M70" t="str">
        <f>IFERROR(_xlfn.XLOOKUP(tblContractGlasgow[[#This Row],[Index]], Contract_Edits[Index], Contract_Edits[Done],), "No")</f>
        <v>No</v>
      </c>
      <c r="N70">
        <f>IFERROR(_xlfn.XLOOKUP(tblContractGlasgow[[#This Row],[Index]], Contract_Edits[Index], Contract_Edits[Paid]), 0)</f>
        <v>0</v>
      </c>
      <c r="O70" t="str">
        <f>IFERROR(_xlfn.XLOOKUP(tblContractGlasgow[[#This Row],[Index]], Contract_Edits[Index], Contract_Edits[Notes]), 0)</f>
        <v/>
      </c>
      <c r="P70">
        <f>IFERROR( _xlfn.XLOOKUP(tblContractGlasgow[[#This Row],[Index]], Contract_Edits[Index],Contract_Edits[Dep]),174)</f>
        <v>154</v>
      </c>
    </row>
    <row r="71" spans="1:16" ht="30">
      <c r="A71">
        <v>136</v>
      </c>
      <c r="B71" t="s">
        <v>639</v>
      </c>
      <c r="C71" t="s">
        <v>583</v>
      </c>
      <c r="D71" s="458" t="s">
        <v>727</v>
      </c>
      <c r="E71">
        <v>1</v>
      </c>
      <c r="F71">
        <v>1812.5</v>
      </c>
      <c r="G71" t="s">
        <v>519</v>
      </c>
      <c r="H71">
        <v>0</v>
      </c>
      <c r="I71">
        <f>IFERROR(_xlfn.XLOOKUP(tblContractGlasgow[[#This Row],[Index]], Contract_Edits[Index], Contract_Edits[Order]), tblContractGlasgow[[#This Row],[Order]])</f>
        <v>125.01020000000001</v>
      </c>
      <c r="J71" t="str">
        <f>_xlfn.XLOOKUP(tblContractGlasgow[[#This Row],[Index]], Contract_Edits[Index], Contract_Edits[Approve])</f>
        <v>Yes</v>
      </c>
      <c r="K71">
        <f>IFERROR(_xlfn.XLOOKUP(tblContractGlasgow[[#This Row],[Index]], Contract_Edits[Index], Contract_Edits[Group]), tblContractGlasgow[[#This Row],[Group]])</f>
        <v>1</v>
      </c>
      <c r="L71" s="11">
        <f>IFERROR( _xlfn.XLOOKUP(tblContractGlasgow[[#This Row],[Index]], Contract_Edits[Index],Contract_Edits[Days]), 1)</f>
        <v>2</v>
      </c>
      <c r="M71" t="str">
        <f>IFERROR(_xlfn.XLOOKUP(tblContractGlasgow[[#This Row],[Index]], Contract_Edits[Index], Contract_Edits[Done],), "No")</f>
        <v>No</v>
      </c>
      <c r="N71">
        <f>IFERROR(_xlfn.XLOOKUP(tblContractGlasgow[[#This Row],[Index]], Contract_Edits[Index], Contract_Edits[Paid]), 0)</f>
        <v>0</v>
      </c>
      <c r="O71">
        <f>IFERROR(_xlfn.XLOOKUP(tblContractGlasgow[[#This Row],[Index]], Contract_Edits[Index], Contract_Edits[Notes]), 0)</f>
        <v>0</v>
      </c>
      <c r="P71">
        <f>IFERROR( _xlfn.XLOOKUP(tblContractGlasgow[[#This Row],[Index]], Contract_Edits[Index],Contract_Edits[Dep]),174)</f>
        <v>164</v>
      </c>
    </row>
    <row r="72" spans="1:16">
      <c r="A72">
        <v>137</v>
      </c>
      <c r="B72" t="s">
        <v>639</v>
      </c>
      <c r="C72" t="s">
        <v>728</v>
      </c>
      <c r="D72" s="458" t="s">
        <v>729</v>
      </c>
      <c r="E72">
        <v>0</v>
      </c>
      <c r="G72" t="s">
        <v>519</v>
      </c>
      <c r="H72">
        <v>0</v>
      </c>
      <c r="I72">
        <f>IFERROR(_xlfn.XLOOKUP(tblContractGlasgow[[#This Row],[Index]], Contract_Edits[Index], Contract_Edits[Order]), tblContractGlasgow[[#This Row],[Order]])</f>
        <v>85.020799999999994</v>
      </c>
      <c r="J72" t="str">
        <f>_xlfn.XLOOKUP(tblContractGlasgow[[#This Row],[Index]], Contract_Edits[Index], Contract_Edits[Approve])</f>
        <v>Yes</v>
      </c>
      <c r="K72">
        <f>IFERROR(_xlfn.XLOOKUP(tblContractGlasgow[[#This Row],[Index]], Contract_Edits[Index], Contract_Edits[Group]), tblContractGlasgow[[#This Row],[Group]])</f>
        <v>1</v>
      </c>
      <c r="L72" s="11">
        <f>IFERROR( _xlfn.XLOOKUP(tblContractGlasgow[[#This Row],[Index]], Contract_Edits[Index],Contract_Edits[Days]), 1)</f>
        <v>1</v>
      </c>
      <c r="M72" t="str">
        <f>IFERROR(_xlfn.XLOOKUP(tblContractGlasgow[[#This Row],[Index]], Contract_Edits[Index], Contract_Edits[Done],), "No")</f>
        <v>No</v>
      </c>
      <c r="N72">
        <f>IFERROR(_xlfn.XLOOKUP(tblContractGlasgow[[#This Row],[Index]], Contract_Edits[Index], Contract_Edits[Paid]), 0)</f>
        <v>0</v>
      </c>
      <c r="O72" t="str">
        <f>IFERROR(_xlfn.XLOOKUP(tblContractGlasgow[[#This Row],[Index]], Contract_Edits[Index], Contract_Edits[Notes]), 0)</f>
        <v/>
      </c>
      <c r="P72">
        <f>IFERROR( _xlfn.XLOOKUP(tblContractGlasgow[[#This Row],[Index]], Contract_Edits[Index],Contract_Edits[Dep]),174)</f>
        <v>180</v>
      </c>
    </row>
    <row r="73" spans="1:16">
      <c r="A73">
        <v>145</v>
      </c>
      <c r="B73" t="s">
        <v>523</v>
      </c>
      <c r="C73" t="s">
        <v>620</v>
      </c>
      <c r="D73" s="458" t="s">
        <v>739</v>
      </c>
      <c r="E73">
        <v>0</v>
      </c>
      <c r="G73" t="s">
        <v>519</v>
      </c>
      <c r="H73">
        <v>0</v>
      </c>
      <c r="I73">
        <f>IFERROR(_xlfn.XLOOKUP(tblContractGlasgow[[#This Row],[Index]], Contract_Edits[Index], Contract_Edits[Order]), tblContractGlasgow[[#This Row],[Order]])</f>
        <v>75.040500000000009</v>
      </c>
      <c r="J73" t="str">
        <f>_xlfn.XLOOKUP(tblContractGlasgow[[#This Row],[Index]], Contract_Edits[Index], Contract_Edits[Approve])</f>
        <v>Yes</v>
      </c>
      <c r="K73">
        <f>IFERROR(_xlfn.XLOOKUP(tblContractGlasgow[[#This Row],[Index]], Contract_Edits[Index], Contract_Edits[Group]), tblContractGlasgow[[#This Row],[Group]])</f>
        <v>1</v>
      </c>
      <c r="L73" s="11">
        <f>IFERROR( _xlfn.XLOOKUP(tblContractGlasgow[[#This Row],[Index]], Contract_Edits[Index],Contract_Edits[Days]), 1)</f>
        <v>1</v>
      </c>
      <c r="M73" t="str">
        <f>IFERROR(_xlfn.XLOOKUP(tblContractGlasgow[[#This Row],[Index]], Contract_Edits[Index], Contract_Edits[Done],), "No")</f>
        <v>No</v>
      </c>
      <c r="N73">
        <f>IFERROR(_xlfn.XLOOKUP(tblContractGlasgow[[#This Row],[Index]], Contract_Edits[Index], Contract_Edits[Paid]), 0)</f>
        <v>0</v>
      </c>
      <c r="O73" t="str">
        <f>IFERROR(_xlfn.XLOOKUP(tblContractGlasgow[[#This Row],[Index]], Contract_Edits[Index], Contract_Edits[Notes]), 0)</f>
        <v>See Cabinet Tab</v>
      </c>
      <c r="P73">
        <f>IFERROR( _xlfn.XLOOKUP(tblContractGlasgow[[#This Row],[Index]], Contract_Edits[Index],Contract_Edits[Dep]),174)</f>
        <v>159</v>
      </c>
    </row>
    <row r="74" spans="1:16">
      <c r="A74">
        <v>146</v>
      </c>
      <c r="B74" t="s">
        <v>517</v>
      </c>
      <c r="C74" t="s">
        <v>537</v>
      </c>
      <c r="D74" s="458" t="s">
        <v>740</v>
      </c>
      <c r="E74">
        <v>0</v>
      </c>
      <c r="F74">
        <v>2175</v>
      </c>
      <c r="G74" t="s">
        <v>519</v>
      </c>
      <c r="H74">
        <v>0</v>
      </c>
      <c r="I74">
        <f>IFERROR(_xlfn.XLOOKUP(tblContractGlasgow[[#This Row],[Index]], Contract_Edits[Index], Contract_Edits[Order]), tblContractGlasgow[[#This Row],[Order]])</f>
        <v>5.0103</v>
      </c>
      <c r="J74" t="str">
        <f>_xlfn.XLOOKUP(tblContractGlasgow[[#This Row],[Index]], Contract_Edits[Index], Contract_Edits[Approve])</f>
        <v>Yes</v>
      </c>
      <c r="K74">
        <f>IFERROR(_xlfn.XLOOKUP(tblContractGlasgow[[#This Row],[Index]], Contract_Edits[Index], Contract_Edits[Group]), tblContractGlasgow[[#This Row],[Group]])</f>
        <v>1</v>
      </c>
      <c r="L74" s="11">
        <f>IFERROR( _xlfn.XLOOKUP(tblContractGlasgow[[#This Row],[Index]], Contract_Edits[Index],Contract_Edits[Days]), 1)</f>
        <v>0</v>
      </c>
      <c r="M74" t="str">
        <f>IFERROR(_xlfn.XLOOKUP(tblContractGlasgow[[#This Row],[Index]], Contract_Edits[Index], Contract_Edits[Done],), "No")</f>
        <v>No</v>
      </c>
      <c r="N74">
        <f>IFERROR(_xlfn.XLOOKUP(tblContractGlasgow[[#This Row],[Index]], Contract_Edits[Index], Contract_Edits[Paid]), 0)</f>
        <v>0</v>
      </c>
      <c r="O74">
        <f>IFERROR(_xlfn.XLOOKUP(tblContractGlasgow[[#This Row],[Index]], Contract_Edits[Index], Contract_Edits[Notes]), 0)</f>
        <v>0</v>
      </c>
      <c r="P74">
        <f>IFERROR( _xlfn.XLOOKUP(tblContractGlasgow[[#This Row],[Index]], Contract_Edits[Index],Contract_Edits[Dep]),174)</f>
        <v>149</v>
      </c>
    </row>
    <row r="75" spans="1:16">
      <c r="A75">
        <v>148</v>
      </c>
      <c r="B75" t="s">
        <v>639</v>
      </c>
      <c r="C75" t="s">
        <v>612</v>
      </c>
      <c r="D75" s="458" t="s">
        <v>743</v>
      </c>
      <c r="E75">
        <v>1</v>
      </c>
      <c r="F75">
        <v>9425</v>
      </c>
      <c r="G75" t="s">
        <v>519</v>
      </c>
      <c r="H75">
        <v>0</v>
      </c>
      <c r="I75">
        <f>IFERROR(_xlfn.XLOOKUP(tblContractGlasgow[[#This Row],[Index]], Contract_Edits[Index], Contract_Edits[Order]), tblContractGlasgow[[#This Row],[Order]])</f>
        <v>115.01100000000001</v>
      </c>
      <c r="J75" t="str">
        <f>_xlfn.XLOOKUP(tblContractGlasgow[[#This Row],[Index]], Contract_Edits[Index], Contract_Edits[Approve])</f>
        <v>Yes</v>
      </c>
      <c r="K75">
        <f>IFERROR(_xlfn.XLOOKUP(tblContractGlasgow[[#This Row],[Index]], Contract_Edits[Index], Contract_Edits[Group]), tblContractGlasgow[[#This Row],[Group]])</f>
        <v>1</v>
      </c>
      <c r="L75" s="11">
        <f>IFERROR( _xlfn.XLOOKUP(tblContractGlasgow[[#This Row],[Index]], Contract_Edits[Index],Contract_Edits[Days]), 1)</f>
        <v>1</v>
      </c>
      <c r="M75" t="str">
        <f>IFERROR(_xlfn.XLOOKUP(tblContractGlasgow[[#This Row],[Index]], Contract_Edits[Index], Contract_Edits[Done],), "No")</f>
        <v>No</v>
      </c>
      <c r="N75">
        <f>IFERROR(_xlfn.XLOOKUP(tblContractGlasgow[[#This Row],[Index]], Contract_Edits[Index], Contract_Edits[Paid]), 0)</f>
        <v>0</v>
      </c>
      <c r="O75">
        <f>IFERROR(_xlfn.XLOOKUP(tblContractGlasgow[[#This Row],[Index]], Contract_Edits[Index], Contract_Edits[Notes]), 0)</f>
        <v>0</v>
      </c>
      <c r="P75">
        <f>IFERROR( _xlfn.XLOOKUP(tblContractGlasgow[[#This Row],[Index]], Contract_Edits[Index],Contract_Edits[Dep]),174)</f>
        <v>163</v>
      </c>
    </row>
    <row r="76" spans="1:16">
      <c r="A76">
        <v>177</v>
      </c>
      <c r="B76" t="s">
        <v>523</v>
      </c>
      <c r="C76" t="s">
        <v>776</v>
      </c>
      <c r="D76" s="458" t="s">
        <v>777</v>
      </c>
      <c r="E76">
        <v>1</v>
      </c>
      <c r="F76">
        <v>5000</v>
      </c>
      <c r="G76" t="s">
        <v>519</v>
      </c>
      <c r="H76">
        <v>0</v>
      </c>
      <c r="I76">
        <f>IFERROR(_xlfn.XLOOKUP(tblContractGlasgow[[#This Row],[Index]], Contract_Edits[Index], Contract_Edits[Order]), tblContractGlasgow[[#This Row],[Order]])</f>
        <v>235.011</v>
      </c>
      <c r="J76" t="str">
        <f>_xlfn.XLOOKUP(tblContractGlasgow[[#This Row],[Index]], Contract_Edits[Index], Contract_Edits[Approve])</f>
        <v>Yes</v>
      </c>
      <c r="K76">
        <f>IFERROR(_xlfn.XLOOKUP(tblContractGlasgow[[#This Row],[Index]], Contract_Edits[Index], Contract_Edits[Group]), tblContractGlasgow[[#This Row],[Group]])</f>
        <v>4</v>
      </c>
      <c r="L76" s="11">
        <f>IFERROR( _xlfn.XLOOKUP(tblContractGlasgow[[#This Row],[Index]], Contract_Edits[Index],Contract_Edits[Days]), 1)</f>
        <v>0</v>
      </c>
      <c r="M76" t="str">
        <f>IFERROR(_xlfn.XLOOKUP(tblContractGlasgow[[#This Row],[Index]], Contract_Edits[Index], Contract_Edits[Done],), "No")</f>
        <v>No</v>
      </c>
      <c r="N76">
        <f>IFERROR(_xlfn.XLOOKUP(tblContractGlasgow[[#This Row],[Index]], Contract_Edits[Index], Contract_Edits[Paid]), 0)</f>
        <v>0</v>
      </c>
      <c r="O76">
        <f>IFERROR(_xlfn.XLOOKUP(tblContractGlasgow[[#This Row],[Index]], Contract_Edits[Index], Contract_Edits[Notes]), 0)</f>
        <v>0</v>
      </c>
      <c r="P76">
        <f>IFERROR( _xlfn.XLOOKUP(tblContractGlasgow[[#This Row],[Index]], Contract_Edits[Index],Contract_Edits[Dep]),174)</f>
        <v>175</v>
      </c>
    </row>
    <row r="77" spans="1:16">
      <c r="A77">
        <v>179</v>
      </c>
      <c r="B77" t="s">
        <v>521</v>
      </c>
      <c r="C77" t="s">
        <v>756</v>
      </c>
      <c r="D77" s="458" t="s">
        <v>778</v>
      </c>
      <c r="E77">
        <v>1</v>
      </c>
      <c r="F77">
        <v>0</v>
      </c>
      <c r="G77" t="s">
        <v>519</v>
      </c>
      <c r="H77">
        <v>0</v>
      </c>
      <c r="I77">
        <f>IFERROR(_xlfn.XLOOKUP(tblContractGlasgow[[#This Row],[Index]], Contract_Edits[Index], Contract_Edits[Order]), tblContractGlasgow[[#This Row],[Order]])</f>
        <v>135.01009999999999</v>
      </c>
      <c r="J77" t="str">
        <f>_xlfn.XLOOKUP(tblContractGlasgow[[#This Row],[Index]], Contract_Edits[Index], Contract_Edits[Approve])</f>
        <v>Yes</v>
      </c>
      <c r="K77">
        <f>IFERROR(_xlfn.XLOOKUP(tblContractGlasgow[[#This Row],[Index]], Contract_Edits[Index], Contract_Edits[Group]), tblContractGlasgow[[#This Row],[Group]])</f>
        <v>1</v>
      </c>
      <c r="L77" s="11">
        <f>IFERROR( _xlfn.XLOOKUP(tblContractGlasgow[[#This Row],[Index]], Contract_Edits[Index],Contract_Edits[Days]), 1)</f>
        <v>0</v>
      </c>
      <c r="M77" t="str">
        <f>IFERROR(_xlfn.XLOOKUP(tblContractGlasgow[[#This Row],[Index]], Contract_Edits[Index], Contract_Edits[Done],), "No")</f>
        <v>No</v>
      </c>
      <c r="N77">
        <f>IFERROR(_xlfn.XLOOKUP(tblContractGlasgow[[#This Row],[Index]], Contract_Edits[Index], Contract_Edits[Paid]), 0)</f>
        <v>0</v>
      </c>
      <c r="O77">
        <f>IFERROR(_xlfn.XLOOKUP(tblContractGlasgow[[#This Row],[Index]], Contract_Edits[Index], Contract_Edits[Notes]), 0)</f>
        <v>0</v>
      </c>
      <c r="P77">
        <f>IFERROR( _xlfn.XLOOKUP(tblContractGlasgow[[#This Row],[Index]], Contract_Edits[Index],Contract_Edits[Dep]),174)</f>
        <v>165</v>
      </c>
    </row>
    <row r="78" spans="1:16">
      <c r="A78">
        <v>182</v>
      </c>
      <c r="B78" t="s">
        <v>517</v>
      </c>
      <c r="C78" t="s">
        <v>781</v>
      </c>
      <c r="D78" s="458" t="s">
        <v>782</v>
      </c>
      <c r="E78">
        <v>1</v>
      </c>
      <c r="F78">
        <v>330</v>
      </c>
      <c r="G78" t="s">
        <v>519</v>
      </c>
      <c r="I78">
        <f>IFERROR(_xlfn.XLOOKUP(tblContractGlasgow[[#This Row],[Index]], Contract_Edits[Index], Contract_Edits[Order]), tblContractGlasgow[[#This Row],[Order]])</f>
        <v>235.0102</v>
      </c>
      <c r="J78" t="str">
        <f>_xlfn.XLOOKUP(tblContractGlasgow[[#This Row],[Index]], Contract_Edits[Index], Contract_Edits[Approve])</f>
        <v>Yes</v>
      </c>
      <c r="K78">
        <f>IFERROR(_xlfn.XLOOKUP(tblContractGlasgow[[#This Row],[Index]], Contract_Edits[Index], Contract_Edits[Group]), tblContractGlasgow[[#This Row],[Group]])</f>
        <v>1</v>
      </c>
      <c r="L78" s="11">
        <f>IFERROR( _xlfn.XLOOKUP(tblContractGlasgow[[#This Row],[Index]], Contract_Edits[Index],Contract_Edits[Days]), 1)</f>
        <v>0</v>
      </c>
      <c r="M78" t="str">
        <f>IFERROR(_xlfn.XLOOKUP(tblContractGlasgow[[#This Row],[Index]], Contract_Edits[Index], Contract_Edits[Done],), "No")</f>
        <v>No</v>
      </c>
      <c r="N78">
        <f>IFERROR(_xlfn.XLOOKUP(tblContractGlasgow[[#This Row],[Index]], Contract_Edits[Index], Contract_Edits[Paid]), 0)</f>
        <v>0</v>
      </c>
      <c r="O78">
        <f>IFERROR(_xlfn.XLOOKUP(tblContractGlasgow[[#This Row],[Index]], Contract_Edits[Index], Contract_Edits[Notes]), 0)</f>
        <v>0</v>
      </c>
      <c r="P78">
        <f>IFERROR( _xlfn.XLOOKUP(tblContractGlasgow[[#This Row],[Index]], Contract_Edits[Index],Contract_Edits[Dep]),174)</f>
        <v>175</v>
      </c>
    </row>
    <row r="79" spans="1:16">
      <c r="A79">
        <v>183</v>
      </c>
      <c r="B79" t="s">
        <v>793</v>
      </c>
      <c r="C79" t="s">
        <v>1419</v>
      </c>
      <c r="D79" s="458" t="s">
        <v>1461</v>
      </c>
      <c r="E79">
        <v>1</v>
      </c>
      <c r="G79" t="s">
        <v>519</v>
      </c>
      <c r="I79">
        <f>IFERROR(_xlfn.XLOOKUP(tblContractGlasgow[[#This Row],[Index]], Contract_Edits[Index], Contract_Edits[Order]), tblContractGlasgow[[#This Row],[Order]])</f>
        <v>85.020899999999997</v>
      </c>
      <c r="J79" t="str">
        <f>_xlfn.XLOOKUP(tblContractGlasgow[[#This Row],[Index]], Contract_Edits[Index], Contract_Edits[Approve])</f>
        <v>Yes</v>
      </c>
      <c r="K79">
        <f>IFERROR(_xlfn.XLOOKUP(tblContractGlasgow[[#This Row],[Index]], Contract_Edits[Index], Contract_Edits[Group]), tblContractGlasgow[[#This Row],[Group]])</f>
        <v>1</v>
      </c>
      <c r="L79" s="11">
        <f>IFERROR( _xlfn.XLOOKUP(tblContractGlasgow[[#This Row],[Index]], Contract_Edits[Index],Contract_Edits[Days]), 1)</f>
        <v>1</v>
      </c>
      <c r="M79">
        <f>IFERROR(_xlfn.XLOOKUP(tblContractGlasgow[[#This Row],[Index]], Contract_Edits[Index], Contract_Edits[Done],), "No")</f>
        <v>0</v>
      </c>
      <c r="N79">
        <f>IFERROR(_xlfn.XLOOKUP(tblContractGlasgow[[#This Row],[Index]], Contract_Edits[Index], Contract_Edits[Paid]), 0)</f>
        <v>0</v>
      </c>
      <c r="O79">
        <f>IFERROR(_xlfn.XLOOKUP(tblContractGlasgow[[#This Row],[Index]], Contract_Edits[Index], Contract_Edits[Notes]), 0)</f>
        <v>0</v>
      </c>
      <c r="P79">
        <f>IFERROR( _xlfn.XLOOKUP(tblContractGlasgow[[#This Row],[Index]], Contract_Edits[Index],Contract_Edits[Dep]),174)</f>
        <v>180</v>
      </c>
    </row>
    <row r="80" spans="1:16">
      <c r="A80">
        <v>189</v>
      </c>
      <c r="B80" t="s">
        <v>793</v>
      </c>
      <c r="C80" t="s">
        <v>1452</v>
      </c>
      <c r="D80" s="458" t="s">
        <v>1453</v>
      </c>
      <c r="E80">
        <v>1</v>
      </c>
      <c r="G80" t="s">
        <v>519</v>
      </c>
      <c r="I80">
        <f>IFERROR(_xlfn.XLOOKUP(tblContractGlasgow[[#This Row],[Index]], Contract_Edits[Index], Contract_Edits[Order]), tblContractGlasgow[[#This Row],[Order]])</f>
        <v>9999</v>
      </c>
      <c r="J80" t="str">
        <f>_xlfn.XLOOKUP(tblContractGlasgow[[#This Row],[Index]], Contract_Edits[Index], Contract_Edits[Approve])</f>
        <v>No</v>
      </c>
      <c r="K80">
        <f>IFERROR(_xlfn.XLOOKUP(tblContractGlasgow[[#This Row],[Index]], Contract_Edits[Index], Contract_Edits[Group]), tblContractGlasgow[[#This Row],[Group]])</f>
        <v>0</v>
      </c>
      <c r="L80" s="11">
        <f>IFERROR( _xlfn.XLOOKUP(tblContractGlasgow[[#This Row],[Index]], Contract_Edits[Index],Contract_Edits[Days]), 1)</f>
        <v>0</v>
      </c>
      <c r="M80">
        <f>IFERROR(_xlfn.XLOOKUP(tblContractGlasgow[[#This Row],[Index]], Contract_Edits[Index], Contract_Edits[Done],), "No")</f>
        <v>0</v>
      </c>
      <c r="N80">
        <f>IFERROR(_xlfn.XLOOKUP(tblContractGlasgow[[#This Row],[Index]], Contract_Edits[Index], Contract_Edits[Paid]), 0)</f>
        <v>0</v>
      </c>
      <c r="O80">
        <f>IFERROR(_xlfn.XLOOKUP(tblContractGlasgow[[#This Row],[Index]], Contract_Edits[Index], Contract_Edits[Notes]), 0)</f>
        <v>0</v>
      </c>
      <c r="P80">
        <f>IFERROR( _xlfn.XLOOKUP(tblContractGlasgow[[#This Row],[Index]], Contract_Edits[Index],Contract_Edits[Dep]),174)</f>
        <v>157</v>
      </c>
    </row>
    <row r="81" spans="1:16">
      <c r="A81">
        <v>192</v>
      </c>
      <c r="B81" t="s">
        <v>793</v>
      </c>
      <c r="C81" t="s">
        <v>570</v>
      </c>
      <c r="D81" s="458" t="s">
        <v>1469</v>
      </c>
      <c r="E81">
        <v>1</v>
      </c>
      <c r="G81" t="s">
        <v>519</v>
      </c>
      <c r="I81">
        <f>IFERROR(_xlfn.XLOOKUP(tblContractGlasgow[[#This Row],[Index]], Contract_Edits[Index], Contract_Edits[Order]), tblContractGlasgow[[#This Row],[Order]])</f>
        <v>75.030799999999999</v>
      </c>
      <c r="J81" t="str">
        <f>_xlfn.XLOOKUP(tblContractGlasgow[[#This Row],[Index]], Contract_Edits[Index], Contract_Edits[Approve])</f>
        <v>Yes</v>
      </c>
      <c r="K81">
        <f>IFERROR(_xlfn.XLOOKUP(tblContractGlasgow[[#This Row],[Index]], Contract_Edits[Index], Contract_Edits[Group]), tblContractGlasgow[[#This Row],[Group]])</f>
        <v>0</v>
      </c>
      <c r="L81" s="11">
        <f>IFERROR( _xlfn.XLOOKUP(tblContractGlasgow[[#This Row],[Index]], Contract_Edits[Index],Contract_Edits[Days]), 1)</f>
        <v>0</v>
      </c>
      <c r="M81">
        <f>IFERROR(_xlfn.XLOOKUP(tblContractGlasgow[[#This Row],[Index]], Contract_Edits[Index], Contract_Edits[Done],), "No")</f>
        <v>0</v>
      </c>
      <c r="N81">
        <f>IFERROR(_xlfn.XLOOKUP(tblContractGlasgow[[#This Row],[Index]], Contract_Edits[Index], Contract_Edits[Paid]), 0)</f>
        <v>0</v>
      </c>
      <c r="O81">
        <f>IFERROR(_xlfn.XLOOKUP(tblContractGlasgow[[#This Row],[Index]], Contract_Edits[Index], Contract_Edits[Notes]), 0)</f>
        <v>0</v>
      </c>
      <c r="P81">
        <f>IFERROR( _xlfn.XLOOKUP(tblContractGlasgow[[#This Row],[Index]], Contract_Edits[Index],Contract_Edits[Dep]),174)</f>
        <v>158</v>
      </c>
    </row>
    <row r="82" spans="1:16">
      <c r="A82">
        <v>200</v>
      </c>
      <c r="B82" t="s">
        <v>793</v>
      </c>
      <c r="C82" t="s">
        <v>1452</v>
      </c>
      <c r="D82" s="458" t="s">
        <v>1486</v>
      </c>
      <c r="E82">
        <v>1</v>
      </c>
      <c r="G82" t="s">
        <v>519</v>
      </c>
      <c r="I82">
        <f>IFERROR(_xlfn.XLOOKUP(tblContractGlasgow[[#This Row],[Index]], Contract_Edits[Index], Contract_Edits[Order]), tblContractGlasgow[[#This Row],[Order]])</f>
        <v>75.020699999999991</v>
      </c>
      <c r="J82" t="str">
        <f>_xlfn.XLOOKUP(tblContractGlasgow[[#This Row],[Index]], Contract_Edits[Index], Contract_Edits[Approve])</f>
        <v>Yes</v>
      </c>
      <c r="K82">
        <f>IFERROR(_xlfn.XLOOKUP(tblContractGlasgow[[#This Row],[Index]], Contract_Edits[Index], Contract_Edits[Group]), tblContractGlasgow[[#This Row],[Group]])</f>
        <v>0</v>
      </c>
      <c r="L82" s="11">
        <f>IFERROR( _xlfn.XLOOKUP(tblContractGlasgow[[#This Row],[Index]], Contract_Edits[Index],Contract_Edits[Days]), 1)</f>
        <v>0</v>
      </c>
      <c r="M82">
        <f>IFERROR(_xlfn.XLOOKUP(tblContractGlasgow[[#This Row],[Index]], Contract_Edits[Index], Contract_Edits[Done],), "No")</f>
        <v>0</v>
      </c>
      <c r="N82">
        <f>IFERROR(_xlfn.XLOOKUP(tblContractGlasgow[[#This Row],[Index]], Contract_Edits[Index], Contract_Edits[Paid]), 0)</f>
        <v>0</v>
      </c>
      <c r="O82">
        <f>IFERROR(_xlfn.XLOOKUP(tblContractGlasgow[[#This Row],[Index]], Contract_Edits[Index], Contract_Edits[Notes]), 0)</f>
        <v>0</v>
      </c>
      <c r="P82">
        <f>IFERROR( _xlfn.XLOOKUP(tblContractGlasgow[[#This Row],[Index]], Contract_Edits[Index],Contract_Edits[Dep]),174)</f>
        <v>157</v>
      </c>
    </row>
    <row r="83" spans="1:16">
      <c r="A83">
        <v>209</v>
      </c>
      <c r="B83" t="s">
        <v>793</v>
      </c>
      <c r="C83" t="s">
        <v>579</v>
      </c>
      <c r="D83" s="458" t="s">
        <v>1515</v>
      </c>
      <c r="E83">
        <v>1</v>
      </c>
      <c r="G83" t="s">
        <v>519</v>
      </c>
      <c r="H83">
        <v>0</v>
      </c>
      <c r="I83">
        <f>IFERROR(_xlfn.XLOOKUP(tblContractGlasgow[[#This Row],[Index]], Contract_Edits[Index], Contract_Edits[Order]), tblContractGlasgow[[#This Row],[Order]])</f>
        <v>135.01059999999998</v>
      </c>
      <c r="J83" t="str">
        <f>_xlfn.XLOOKUP(tblContractGlasgow[[#This Row],[Index]], Contract_Edits[Index], Contract_Edits[Approve])</f>
        <v>Yes</v>
      </c>
      <c r="K83">
        <f>IFERROR(_xlfn.XLOOKUP(tblContractGlasgow[[#This Row],[Index]], Contract_Edits[Index], Contract_Edits[Group]), tblContractGlasgow[[#This Row],[Group]])</f>
        <v>0</v>
      </c>
      <c r="L83" s="11">
        <f>IFERROR( _xlfn.XLOOKUP(tblContractGlasgow[[#This Row],[Index]], Contract_Edits[Index],Contract_Edits[Days]), 1)</f>
        <v>0</v>
      </c>
      <c r="M83">
        <f>IFERROR(_xlfn.XLOOKUP(tblContractGlasgow[[#This Row],[Index]], Contract_Edits[Index], Contract_Edits[Done],), "No")</f>
        <v>0</v>
      </c>
      <c r="N83">
        <f>IFERROR(_xlfn.XLOOKUP(tblContractGlasgow[[#This Row],[Index]], Contract_Edits[Index], Contract_Edits[Paid]), 0)</f>
        <v>0</v>
      </c>
      <c r="O83">
        <f>IFERROR(_xlfn.XLOOKUP(tblContractGlasgow[[#This Row],[Index]], Contract_Edits[Index], Contract_Edits[Notes]), 0)</f>
        <v>0</v>
      </c>
      <c r="P83">
        <f>IFERROR( _xlfn.XLOOKUP(tblContractGlasgow[[#This Row],[Index]], Contract_Edits[Index],Contract_Edits[Dep]),174)</f>
        <v>165</v>
      </c>
    </row>
  </sheetData>
  <mergeCells count="2">
    <mergeCell ref="AJ1:AQ3"/>
    <mergeCell ref="AR1:AY3"/>
  </mergeCell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27005-7E74-459F-9A4A-DC2BDD3BC6E2}">
  <sheetPr codeName="Sheet29">
    <tabColor rgb="FFFFC000"/>
  </sheetPr>
  <dimension ref="A1:V52"/>
  <sheetViews>
    <sheetView topLeftCell="B1" workbookViewId="0">
      <pane ySplit="4" topLeftCell="A29" activePane="bottomLeft" state="frozen"/>
      <selection activeCell="K89" sqref="K89:L89"/>
      <selection pane="bottomLeft" activeCell="D52" sqref="D52"/>
    </sheetView>
  </sheetViews>
  <sheetFormatPr defaultRowHeight="15"/>
  <cols>
    <col min="1" max="1" width="8.28515625" bestFit="1" customWidth="1"/>
    <col min="2" max="2" width="28.140625" bestFit="1" customWidth="1"/>
    <col min="3" max="3" width="20.5703125" bestFit="1" customWidth="1"/>
    <col min="4" max="4" width="81.140625" bestFit="1" customWidth="1"/>
    <col min="5" max="5" width="6.42578125" bestFit="1" customWidth="1"/>
    <col min="6" max="6" width="12" bestFit="1" customWidth="1"/>
    <col min="7" max="7" width="13.7109375" bestFit="1" customWidth="1"/>
    <col min="8" max="8" width="13.42578125" bestFit="1" customWidth="1"/>
    <col min="9" max="9" width="9" bestFit="1" customWidth="1"/>
    <col min="10" max="10" width="10.85546875" style="85" bestFit="1" customWidth="1"/>
    <col min="11" max="11" width="8.85546875" style="85" bestFit="1" customWidth="1"/>
    <col min="12" max="12" width="7.42578125" style="464" bestFit="1" customWidth="1"/>
    <col min="13" max="14" width="8" bestFit="1" customWidth="1"/>
    <col min="15" max="15" width="23.140625" bestFit="1" customWidth="1"/>
    <col min="16" max="16" width="6.85546875" bestFit="1" customWidth="1"/>
    <col min="17" max="17" width="9.140625" bestFit="1" customWidth="1"/>
    <col min="19" max="19" width="21.5703125" bestFit="1" customWidth="1"/>
    <col min="20" max="20" width="6" bestFit="1" customWidth="1"/>
    <col min="22" max="22" width="2" bestFit="1" customWidth="1"/>
  </cols>
  <sheetData>
    <row r="1" spans="1:22" ht="15.75" customHeight="1" thickBot="1">
      <c r="A1" s="794" t="str">
        <f>+"These Cells are for the " &amp; 'Gnatt Chart'!D4 &amp; " Contract tab and are protected here. They are modified from the Contract tab."</f>
        <v>These Cells are for the Tim Flemming Contract tab and are protected here. They are modified from the Contract tab.</v>
      </c>
      <c r="B1" s="795"/>
      <c r="C1" s="795"/>
      <c r="D1" s="795"/>
      <c r="E1" s="795"/>
      <c r="F1" s="795"/>
      <c r="G1" s="795"/>
      <c r="H1" s="715"/>
      <c r="I1" s="796" t="s">
        <v>792</v>
      </c>
      <c r="J1" s="795"/>
      <c r="K1" s="795"/>
      <c r="L1" s="795"/>
      <c r="M1" s="795"/>
      <c r="N1" s="795"/>
      <c r="O1" s="795"/>
      <c r="P1" s="715"/>
      <c r="Q1" t="s">
        <v>1381</v>
      </c>
      <c r="R1">
        <v>62.5</v>
      </c>
      <c r="S1" s="30" t="s">
        <v>791</v>
      </c>
      <c r="T1" s="15">
        <v>1</v>
      </c>
      <c r="U1" s="48" t="s">
        <v>170</v>
      </c>
      <c r="V1" s="15">
        <v>4</v>
      </c>
    </row>
    <row r="2" spans="1:22" ht="15" customHeight="1" thickBot="1">
      <c r="A2" s="794" t="s">
        <v>1481</v>
      </c>
      <c r="B2" s="795"/>
      <c r="C2" s="795"/>
      <c r="D2" s="795"/>
      <c r="E2" s="795"/>
      <c r="F2" s="795"/>
      <c r="G2" s="795"/>
      <c r="H2" s="715"/>
      <c r="I2" s="716"/>
      <c r="J2" s="748"/>
      <c r="K2" s="748"/>
      <c r="L2" s="748"/>
      <c r="M2" s="748"/>
      <c r="N2" s="748"/>
      <c r="O2" s="748"/>
      <c r="P2" s="717"/>
      <c r="Q2" t="s">
        <v>1382</v>
      </c>
      <c r="R2">
        <v>5</v>
      </c>
      <c r="S2" s="30" t="s">
        <v>793</v>
      </c>
      <c r="T2" s="15">
        <v>2</v>
      </c>
      <c r="U2" s="30" t="s">
        <v>794</v>
      </c>
      <c r="V2" s="15">
        <v>5</v>
      </c>
    </row>
    <row r="3" spans="1:22" ht="15.75" customHeight="1" thickBot="1">
      <c r="A3" s="794" t="s">
        <v>1482</v>
      </c>
      <c r="B3" s="795"/>
      <c r="C3" s="795"/>
      <c r="D3" s="795"/>
      <c r="E3" s="795"/>
      <c r="F3" s="795"/>
      <c r="G3" s="795"/>
      <c r="H3" s="715"/>
      <c r="I3" s="718"/>
      <c r="J3" s="760"/>
      <c r="K3" s="760"/>
      <c r="L3" s="760"/>
      <c r="M3" s="760"/>
      <c r="N3" s="760"/>
      <c r="O3" s="760"/>
      <c r="P3" s="605"/>
      <c r="S3" s="30" t="s">
        <v>795</v>
      </c>
      <c r="T3" s="30">
        <v>3</v>
      </c>
      <c r="U3" s="30" t="s">
        <v>796</v>
      </c>
      <c r="V3" s="15">
        <v>0</v>
      </c>
    </row>
    <row r="4" spans="1:22">
      <c r="A4" t="s">
        <v>509</v>
      </c>
      <c r="B4" t="s">
        <v>510</v>
      </c>
      <c r="C4" t="s">
        <v>511</v>
      </c>
      <c r="D4" t="s">
        <v>512</v>
      </c>
      <c r="E4" t="s">
        <v>513</v>
      </c>
      <c r="F4" t="s">
        <v>514</v>
      </c>
      <c r="G4" t="s">
        <v>515</v>
      </c>
      <c r="H4" t="s">
        <v>783</v>
      </c>
      <c r="I4" t="s">
        <v>784</v>
      </c>
      <c r="J4" s="85" t="s">
        <v>785</v>
      </c>
      <c r="K4" t="s">
        <v>786</v>
      </c>
      <c r="L4" t="s">
        <v>787</v>
      </c>
      <c r="M4" t="s">
        <v>788</v>
      </c>
      <c r="N4" t="s">
        <v>789</v>
      </c>
      <c r="O4" t="s">
        <v>457</v>
      </c>
      <c r="P4" t="s">
        <v>790</v>
      </c>
    </row>
    <row r="5" spans="1:22" ht="30">
      <c r="A5">
        <v>74</v>
      </c>
      <c r="B5" t="s">
        <v>639</v>
      </c>
      <c r="C5" t="s">
        <v>612</v>
      </c>
      <c r="D5" s="458" t="s">
        <v>644</v>
      </c>
      <c r="E5">
        <v>1</v>
      </c>
      <c r="F5">
        <v>9425</v>
      </c>
      <c r="G5" t="s">
        <v>552</v>
      </c>
      <c r="H5" s="176">
        <f>IF(tblContractTim[[#This Row],[Days]]=0, tblContractTim[[#This Row],[Unit Price]], tblContractTim[[#This Row],[Days]] * $R$2 * $R$1)</f>
        <v>625</v>
      </c>
      <c r="I5">
        <f>IFERROR(_xlfn.XLOOKUP(tblContractTim[[#This Row],[Index]], Contract_Edits[Index], Contract_Edits[Order]), tblContractTim[[#This Row],[Order]])</f>
        <v>85.020600000000002</v>
      </c>
      <c r="J5" s="85" t="str">
        <f>_xlfn.XLOOKUP(tblContractTim[[#This Row],[Index]], Contract_Edits[Index], Contract_Edits[Approve])</f>
        <v>Yes</v>
      </c>
      <c r="K5">
        <f>IFERROR(_xlfn.XLOOKUP(tblContractTim[[#This Row],[Index]], Contract_Edits[Index], Contract_Edits[Group]), tblContractTim[[#This Row],[Group]])</f>
        <v>1</v>
      </c>
      <c r="L5" s="11">
        <f>IFERROR( _xlfn.XLOOKUP(tblContractTim[[#This Row],[Index]], Contract_Edits[Index],Contract_Edits[Days]), 1)</f>
        <v>2</v>
      </c>
      <c r="M5" t="str">
        <f>IFERROR(_xlfn.XLOOKUP(tblContractTim[[#This Row],[Index]], Contract_Edits[Index], Contract_Edits[Done],), "No")</f>
        <v>Yes</v>
      </c>
      <c r="N5">
        <f>IFERROR(_xlfn.XLOOKUP(tblContractTim[[#This Row],[Index]], Contract_Edits[Index], Contract_Edits[Paid]), "")</f>
        <v>0</v>
      </c>
      <c r="O5">
        <f>IFERROR(_xlfn.XLOOKUP(tblContractTim[[#This Row],[Index]], Contract_Edits[Index], Contract_Edits[Notes]), 0)</f>
        <v>0</v>
      </c>
      <c r="P5">
        <f>IFERROR( _xlfn.XLOOKUP(tblContractTim[[#This Row],[Index]], Contract_Edits[Index],Contract_Edits[Dep]),174)</f>
        <v>180</v>
      </c>
    </row>
    <row r="6" spans="1:22">
      <c r="A6">
        <v>75</v>
      </c>
      <c r="B6" t="s">
        <v>639</v>
      </c>
      <c r="C6" t="s">
        <v>560</v>
      </c>
      <c r="D6" s="458" t="s">
        <v>645</v>
      </c>
      <c r="E6">
        <v>1</v>
      </c>
      <c r="F6">
        <v>1450</v>
      </c>
      <c r="G6" t="s">
        <v>552</v>
      </c>
      <c r="H6" s="176">
        <f>IF(tblContractTim[[#This Row],[Days]]=0, tblContractTim[[#This Row],[Unit Price]], tblContractTim[[#This Row],[Days]] * $R$2 * $R$1)</f>
        <v>625</v>
      </c>
      <c r="I6">
        <f>IFERROR(_xlfn.XLOOKUP(tblContractTim[[#This Row],[Index]], Contract_Edits[Index], Contract_Edits[Order]), tblContractTim[[#This Row],[Order]])</f>
        <v>15.0204</v>
      </c>
      <c r="J6" s="85" t="str">
        <f>_xlfn.XLOOKUP(tblContractTim[[#This Row],[Index]], Contract_Edits[Index], Contract_Edits[Approve])</f>
        <v>Yes</v>
      </c>
      <c r="K6">
        <f>IFERROR(_xlfn.XLOOKUP(tblContractTim[[#This Row],[Index]], Contract_Edits[Index], Contract_Edits[Group]), tblContractTim[[#This Row],[Group]])</f>
        <v>1</v>
      </c>
      <c r="L6" s="11">
        <f>IFERROR( _xlfn.XLOOKUP(tblContractTim[[#This Row],[Index]], Contract_Edits[Index],Contract_Edits[Days]), 1)</f>
        <v>2</v>
      </c>
      <c r="M6" t="str">
        <f>IFERROR(_xlfn.XLOOKUP(tblContractTim[[#This Row],[Index]], Contract_Edits[Index], Contract_Edits[Done],), "No")</f>
        <v>Yes</v>
      </c>
      <c r="N6">
        <f>IFERROR(_xlfn.XLOOKUP(tblContractTim[[#This Row],[Index]], Contract_Edits[Index], Contract_Edits[Paid]), "")</f>
        <v>0</v>
      </c>
      <c r="O6">
        <f>IFERROR(_xlfn.XLOOKUP(tblContractTim[[#This Row],[Index]], Contract_Edits[Index], Contract_Edits[Notes]), 0)</f>
        <v>0</v>
      </c>
      <c r="P6">
        <f>IFERROR( _xlfn.XLOOKUP(tblContractTim[[#This Row],[Index]], Contract_Edits[Index],Contract_Edits[Dep]),174)</f>
        <v>151</v>
      </c>
    </row>
    <row r="7" spans="1:22">
      <c r="A7">
        <v>76</v>
      </c>
      <c r="B7" t="s">
        <v>639</v>
      </c>
      <c r="C7" t="s">
        <v>646</v>
      </c>
      <c r="D7" s="458" t="s">
        <v>647</v>
      </c>
      <c r="E7">
        <v>1</v>
      </c>
      <c r="F7">
        <v>1015</v>
      </c>
      <c r="G7" t="s">
        <v>552</v>
      </c>
      <c r="H7" s="176">
        <f>IF(tblContractTim[[#This Row],[Days]]=0, tblContractTim[[#This Row],[Unit Price]], tblContractTim[[#This Row],[Days]] * $R$2 * $R$1)</f>
        <v>625</v>
      </c>
      <c r="I7">
        <f>IFERROR(_xlfn.XLOOKUP(tblContractTim[[#This Row],[Index]], Contract_Edits[Index], Contract_Edits[Order]), tblContractTim[[#This Row],[Order]])</f>
        <v>65.012</v>
      </c>
      <c r="J7" s="85" t="str">
        <f>_xlfn.XLOOKUP(tblContractTim[[#This Row],[Index]], Contract_Edits[Index], Contract_Edits[Approve])</f>
        <v>Yes</v>
      </c>
      <c r="K7">
        <f>IFERROR(_xlfn.XLOOKUP(tblContractTim[[#This Row],[Index]], Contract_Edits[Index], Contract_Edits[Group]), tblContractTim[[#This Row],[Group]])</f>
        <v>1</v>
      </c>
      <c r="L7" s="11">
        <f>IFERROR( _xlfn.XLOOKUP(tblContractTim[[#This Row],[Index]], Contract_Edits[Index],Contract_Edits[Days]), 1)</f>
        <v>2</v>
      </c>
      <c r="M7" t="str">
        <f>IFERROR(_xlfn.XLOOKUP(tblContractTim[[#This Row],[Index]], Contract_Edits[Index], Contract_Edits[Done],), "No")</f>
        <v>No</v>
      </c>
      <c r="N7">
        <f>IFERROR(_xlfn.XLOOKUP(tblContractTim[[#This Row],[Index]], Contract_Edits[Index], Contract_Edits[Paid]), "")</f>
        <v>0</v>
      </c>
      <c r="O7" t="str">
        <f>IFERROR(_xlfn.XLOOKUP(tblContractTim[[#This Row],[Index]], Contract_Edits[Index], Contract_Edits[Notes]), 0)</f>
        <v/>
      </c>
      <c r="P7">
        <f>IFERROR( _xlfn.XLOOKUP(tblContractTim[[#This Row],[Index]], Contract_Edits[Index],Contract_Edits[Dep]),174)</f>
        <v>155</v>
      </c>
    </row>
    <row r="8" spans="1:22">
      <c r="A8">
        <v>82</v>
      </c>
      <c r="B8" t="s">
        <v>639</v>
      </c>
      <c r="C8" t="s">
        <v>654</v>
      </c>
      <c r="D8" s="458" t="s">
        <v>655</v>
      </c>
      <c r="E8">
        <v>1</v>
      </c>
      <c r="F8">
        <v>507.5</v>
      </c>
      <c r="G8" t="s">
        <v>552</v>
      </c>
      <c r="H8" s="176">
        <f>IF(tblContractTim[[#This Row],[Days]]=0, tblContractTim[[#This Row],[Unit Price]], tblContractTim[[#This Row],[Days]] * $R$2 * $R$1)</f>
        <v>312.5</v>
      </c>
      <c r="I8">
        <f>IFERROR(_xlfn.XLOOKUP(tblContractTim[[#This Row],[Index]], Contract_Edits[Index], Contract_Edits[Order]), tblContractTim[[#This Row],[Order]])</f>
        <v>175.01009999999999</v>
      </c>
      <c r="J8" s="85" t="str">
        <f>_xlfn.XLOOKUP(tblContractTim[[#This Row],[Index]], Contract_Edits[Index], Contract_Edits[Approve])</f>
        <v>Yes</v>
      </c>
      <c r="K8">
        <f>IFERROR(_xlfn.XLOOKUP(tblContractTim[[#This Row],[Index]], Contract_Edits[Index], Contract_Edits[Group]), tblContractTim[[#This Row],[Group]])</f>
        <v>1</v>
      </c>
      <c r="L8" s="11">
        <f>IFERROR( _xlfn.XLOOKUP(tblContractTim[[#This Row],[Index]], Contract_Edits[Index],Contract_Edits[Days]), 1)</f>
        <v>1</v>
      </c>
      <c r="M8" t="str">
        <f>IFERROR(_xlfn.XLOOKUP(tblContractTim[[#This Row],[Index]], Contract_Edits[Index], Contract_Edits[Done],), "No")</f>
        <v>No</v>
      </c>
      <c r="N8">
        <f>IFERROR(_xlfn.XLOOKUP(tblContractTim[[#This Row],[Index]], Contract_Edits[Index], Contract_Edits[Paid]), "")</f>
        <v>0</v>
      </c>
      <c r="O8" t="str">
        <f>IFERROR(_xlfn.XLOOKUP(tblContractTim[[#This Row],[Index]], Contract_Edits[Index], Contract_Edits[Notes]), 0)</f>
        <v/>
      </c>
      <c r="P8">
        <f>IFERROR( _xlfn.XLOOKUP(tblContractTim[[#This Row],[Index]], Contract_Edits[Index],Contract_Edits[Dep]),174)</f>
        <v>169</v>
      </c>
    </row>
    <row r="9" spans="1:22">
      <c r="A9">
        <v>83</v>
      </c>
      <c r="B9" t="s">
        <v>639</v>
      </c>
      <c r="C9" t="s">
        <v>656</v>
      </c>
      <c r="D9" s="458" t="s">
        <v>657</v>
      </c>
      <c r="E9">
        <v>1</v>
      </c>
      <c r="F9">
        <v>4060</v>
      </c>
      <c r="G9" t="s">
        <v>552</v>
      </c>
      <c r="H9" s="176">
        <f>IF(tblContractTim[[#This Row],[Days]]=0, tblContractTim[[#This Row],[Unit Price]], tblContractTim[[#This Row],[Days]] * $R$2 * $R$1)</f>
        <v>312.5</v>
      </c>
      <c r="I9">
        <f>IFERROR(_xlfn.XLOOKUP(tblContractTim[[#This Row],[Index]], Contract_Edits[Index], Contract_Edits[Order]), tblContractTim[[#This Row],[Order]])</f>
        <v>85.010100000000008</v>
      </c>
      <c r="J9" s="85" t="str">
        <f>_xlfn.XLOOKUP(tblContractTim[[#This Row],[Index]], Contract_Edits[Index], Contract_Edits[Approve])</f>
        <v>Yes</v>
      </c>
      <c r="K9">
        <f>IFERROR(_xlfn.XLOOKUP(tblContractTim[[#This Row],[Index]], Contract_Edits[Index], Contract_Edits[Group]), tblContractTim[[#This Row],[Group]])</f>
        <v>1</v>
      </c>
      <c r="L9" s="11">
        <f>IFERROR( _xlfn.XLOOKUP(tblContractTim[[#This Row],[Index]], Contract_Edits[Index],Contract_Edits[Days]), 1)</f>
        <v>1</v>
      </c>
      <c r="M9" t="str">
        <f>IFERROR(_xlfn.XLOOKUP(tblContractTim[[#This Row],[Index]], Contract_Edits[Index], Contract_Edits[Done],), "No")</f>
        <v>No</v>
      </c>
      <c r="N9">
        <f>IFERROR(_xlfn.XLOOKUP(tblContractTim[[#This Row],[Index]], Contract_Edits[Index], Contract_Edits[Paid]), "")</f>
        <v>0</v>
      </c>
      <c r="O9" t="str">
        <f>IFERROR(_xlfn.XLOOKUP(tblContractTim[[#This Row],[Index]], Contract_Edits[Index], Contract_Edits[Notes]), 0)</f>
        <v>Confirm this is needed?</v>
      </c>
      <c r="P9">
        <f>IFERROR( _xlfn.XLOOKUP(tblContractTim[[#This Row],[Index]], Contract_Edits[Index],Contract_Edits[Dep]),174)</f>
        <v>160</v>
      </c>
    </row>
    <row r="10" spans="1:22">
      <c r="A10">
        <v>86</v>
      </c>
      <c r="B10" t="s">
        <v>639</v>
      </c>
      <c r="C10" t="s">
        <v>575</v>
      </c>
      <c r="D10" s="458" t="s">
        <v>661</v>
      </c>
      <c r="E10">
        <v>1</v>
      </c>
      <c r="F10">
        <v>870</v>
      </c>
      <c r="G10" t="s">
        <v>552</v>
      </c>
      <c r="H10" s="176">
        <f>IF(tblContractTim[[#This Row],[Days]]=0, tblContractTim[[#This Row],[Unit Price]], tblContractTim[[#This Row],[Days]] * $R$2 * $R$1)</f>
        <v>312.5</v>
      </c>
      <c r="I10">
        <f>IFERROR(_xlfn.XLOOKUP(tblContractTim[[#This Row],[Index]], Contract_Edits[Index], Contract_Edits[Order]), tblContractTim[[#This Row],[Order]])</f>
        <v>115.01020000000001</v>
      </c>
      <c r="J10" s="85" t="str">
        <f>_xlfn.XLOOKUP(tblContractTim[[#This Row],[Index]], Contract_Edits[Index], Contract_Edits[Approve])</f>
        <v>Yes</v>
      </c>
      <c r="K10">
        <f>IFERROR(_xlfn.XLOOKUP(tblContractTim[[#This Row],[Index]], Contract_Edits[Index], Contract_Edits[Group]), tblContractTim[[#This Row],[Group]])</f>
        <v>1</v>
      </c>
      <c r="L10" s="11">
        <f>IFERROR( _xlfn.XLOOKUP(tblContractTim[[#This Row],[Index]], Contract_Edits[Index],Contract_Edits[Days]), 1)</f>
        <v>1</v>
      </c>
      <c r="M10" t="str">
        <f>IFERROR(_xlfn.XLOOKUP(tblContractTim[[#This Row],[Index]], Contract_Edits[Index], Contract_Edits[Done],), "No")</f>
        <v>No</v>
      </c>
      <c r="N10">
        <f>IFERROR(_xlfn.XLOOKUP(tblContractTim[[#This Row],[Index]], Contract_Edits[Index], Contract_Edits[Paid]), "")</f>
        <v>0</v>
      </c>
      <c r="O10" t="str">
        <f>IFERROR(_xlfn.XLOOKUP(tblContractTim[[#This Row],[Index]], Contract_Edits[Index], Contract_Edits[Notes]), 0)</f>
        <v/>
      </c>
      <c r="P10">
        <f>IFERROR( _xlfn.XLOOKUP(tblContractTim[[#This Row],[Index]], Contract_Edits[Index],Contract_Edits[Dep]),174)</f>
        <v>163</v>
      </c>
    </row>
    <row r="11" spans="1:22" ht="30">
      <c r="A11">
        <v>88</v>
      </c>
      <c r="B11" t="s">
        <v>639</v>
      </c>
      <c r="C11" t="s">
        <v>577</v>
      </c>
      <c r="D11" s="458" t="s">
        <v>664</v>
      </c>
      <c r="E11">
        <v>1</v>
      </c>
      <c r="F11">
        <v>2610</v>
      </c>
      <c r="G11" t="s">
        <v>552</v>
      </c>
      <c r="H11" s="176">
        <f>IF(tblContractTim[[#This Row],[Days]]=0, tblContractTim[[#This Row],[Unit Price]], tblContractTim[[#This Row],[Days]] * $R$2 * $R$1)</f>
        <v>937.5</v>
      </c>
      <c r="I11">
        <f>IFERROR(_xlfn.XLOOKUP(tblContractTim[[#This Row],[Index]], Contract_Edits[Index], Contract_Edits[Order]), tblContractTim[[#This Row],[Order]])</f>
        <v>105.0104</v>
      </c>
      <c r="J11" s="85" t="str">
        <f>_xlfn.XLOOKUP(tblContractTim[[#This Row],[Index]], Contract_Edits[Index], Contract_Edits[Approve])</f>
        <v>Yes</v>
      </c>
      <c r="K11">
        <f>IFERROR(_xlfn.XLOOKUP(tblContractTim[[#This Row],[Index]], Contract_Edits[Index], Contract_Edits[Group]), tblContractTim[[#This Row],[Group]])</f>
        <v>1</v>
      </c>
      <c r="L11" s="11">
        <f>IFERROR( _xlfn.XLOOKUP(tblContractTim[[#This Row],[Index]], Contract_Edits[Index],Contract_Edits[Days]), 1)</f>
        <v>3</v>
      </c>
      <c r="M11" t="str">
        <f>IFERROR(_xlfn.XLOOKUP(tblContractTim[[#This Row],[Index]], Contract_Edits[Index], Contract_Edits[Done],), "No")</f>
        <v>No</v>
      </c>
      <c r="N11">
        <f>IFERROR(_xlfn.XLOOKUP(tblContractTim[[#This Row],[Index]], Contract_Edits[Index], Contract_Edits[Paid]), "")</f>
        <v>0</v>
      </c>
      <c r="O11" t="str">
        <f>IFERROR(_xlfn.XLOOKUP(tblContractTim[[#This Row],[Index]], Contract_Edits[Index], Contract_Edits[Notes]), 0)</f>
        <v/>
      </c>
      <c r="P11">
        <f>IFERROR( _xlfn.XLOOKUP(tblContractTim[[#This Row],[Index]], Contract_Edits[Index],Contract_Edits[Dep]),174)</f>
        <v>162</v>
      </c>
    </row>
    <row r="12" spans="1:22">
      <c r="A12">
        <v>94</v>
      </c>
      <c r="B12" t="s">
        <v>639</v>
      </c>
      <c r="C12" t="s">
        <v>606</v>
      </c>
      <c r="D12" s="458" t="s">
        <v>671</v>
      </c>
      <c r="E12">
        <v>1</v>
      </c>
      <c r="F12">
        <v>145</v>
      </c>
      <c r="G12" t="s">
        <v>552</v>
      </c>
      <c r="H12" s="176">
        <f>IF(tblContractTim[[#This Row],[Days]]=0, tblContractTim[[#This Row],[Unit Price]], tblContractTim[[#This Row],[Days]] * $R$2 * $R$1)</f>
        <v>156.25</v>
      </c>
      <c r="I12">
        <f>IFERROR(_xlfn.XLOOKUP(tblContractTim[[#This Row],[Index]], Contract_Edits[Index], Contract_Edits[Order]), tblContractTim[[#This Row],[Order]])</f>
        <v>195.01009999999999</v>
      </c>
      <c r="J12" s="85" t="str">
        <f>_xlfn.XLOOKUP(tblContractTim[[#This Row],[Index]], Contract_Edits[Index], Contract_Edits[Approve])</f>
        <v>Yes</v>
      </c>
      <c r="K12">
        <f>IFERROR(_xlfn.XLOOKUP(tblContractTim[[#This Row],[Index]], Contract_Edits[Index], Contract_Edits[Group]), tblContractTim[[#This Row],[Group]])</f>
        <v>1</v>
      </c>
      <c r="L12" s="11">
        <f>IFERROR( _xlfn.XLOOKUP(tblContractTim[[#This Row],[Index]], Contract_Edits[Index],Contract_Edits[Days]), 1)</f>
        <v>0.5</v>
      </c>
      <c r="M12" t="str">
        <f>IFERROR(_xlfn.XLOOKUP(tblContractTim[[#This Row],[Index]], Contract_Edits[Index], Contract_Edits[Done],), "No")</f>
        <v>No</v>
      </c>
      <c r="N12">
        <f>IFERROR(_xlfn.XLOOKUP(tblContractTim[[#This Row],[Index]], Contract_Edits[Index], Contract_Edits[Paid]), "")</f>
        <v>0</v>
      </c>
      <c r="O12" t="str">
        <f>IFERROR(_xlfn.XLOOKUP(tblContractTim[[#This Row],[Index]], Contract_Edits[Index], Contract_Edits[Notes]), 0)</f>
        <v/>
      </c>
      <c r="P12">
        <f>IFERROR( _xlfn.XLOOKUP(tblContractTim[[#This Row],[Index]], Contract_Edits[Index],Contract_Edits[Dep]),174)</f>
        <v>171</v>
      </c>
    </row>
    <row r="13" spans="1:22" ht="30">
      <c r="A13">
        <v>96</v>
      </c>
      <c r="B13" t="s">
        <v>639</v>
      </c>
      <c r="C13" t="s">
        <v>673</v>
      </c>
      <c r="D13" s="458" t="s">
        <v>674</v>
      </c>
      <c r="E13">
        <v>1</v>
      </c>
      <c r="F13">
        <v>108.75</v>
      </c>
      <c r="G13" t="s">
        <v>552</v>
      </c>
      <c r="H13" s="176">
        <f>IF(tblContractTim[[#This Row],[Days]]=0, tblContractTim[[#This Row],[Unit Price]], tblContractTim[[#This Row],[Days]] * $R$2 * $R$1)</f>
        <v>78.125</v>
      </c>
      <c r="I13">
        <f>IFERROR(_xlfn.XLOOKUP(tblContractTim[[#This Row],[Index]], Contract_Edits[Index], Contract_Edits[Order]), tblContractTim[[#This Row],[Order]])</f>
        <v>115.0103</v>
      </c>
      <c r="J13" s="85" t="str">
        <f>_xlfn.XLOOKUP(tblContractTim[[#This Row],[Index]], Contract_Edits[Index], Contract_Edits[Approve])</f>
        <v>Yes</v>
      </c>
      <c r="K13">
        <f>IFERROR(_xlfn.XLOOKUP(tblContractTim[[#This Row],[Index]], Contract_Edits[Index], Contract_Edits[Group]), tblContractTim[[#This Row],[Group]])</f>
        <v>1</v>
      </c>
      <c r="L13" s="11">
        <f>IFERROR( _xlfn.XLOOKUP(tblContractTim[[#This Row],[Index]], Contract_Edits[Index],Contract_Edits[Days]), 1)</f>
        <v>0.25</v>
      </c>
      <c r="M13" t="str">
        <f>IFERROR(_xlfn.XLOOKUP(tblContractTim[[#This Row],[Index]], Contract_Edits[Index], Contract_Edits[Done],), "No")</f>
        <v>No</v>
      </c>
      <c r="N13">
        <f>IFERROR(_xlfn.XLOOKUP(tblContractTim[[#This Row],[Index]], Contract_Edits[Index], Contract_Edits[Paid]), "")</f>
        <v>0</v>
      </c>
      <c r="O13" t="str">
        <f>IFERROR(_xlfn.XLOOKUP(tblContractTim[[#This Row],[Index]], Contract_Edits[Index], Contract_Edits[Notes]), 0)</f>
        <v/>
      </c>
      <c r="P13">
        <f>IFERROR( _xlfn.XLOOKUP(tblContractTim[[#This Row],[Index]], Contract_Edits[Index],Contract_Edits[Dep]),174)</f>
        <v>163</v>
      </c>
    </row>
    <row r="14" spans="1:22">
      <c r="A14">
        <v>99</v>
      </c>
      <c r="B14" t="s">
        <v>639</v>
      </c>
      <c r="C14" t="s">
        <v>677</v>
      </c>
      <c r="D14" s="458" t="s">
        <v>678</v>
      </c>
      <c r="E14">
        <v>1</v>
      </c>
      <c r="F14">
        <v>362.5</v>
      </c>
      <c r="G14" t="s">
        <v>552</v>
      </c>
      <c r="H14" s="176">
        <f>IF(tblContractTim[[#This Row],[Days]]=0, tblContractTim[[#This Row],[Unit Price]], tblContractTim[[#This Row],[Days]] * $R$2 * $R$1)</f>
        <v>312.5</v>
      </c>
      <c r="I14">
        <f>IFERROR(_xlfn.XLOOKUP(tblContractTim[[#This Row],[Index]], Contract_Edits[Index], Contract_Edits[Order]), tblContractTim[[#This Row],[Order]])</f>
        <v>105.01050000000001</v>
      </c>
      <c r="J14" s="85" t="str">
        <f>_xlfn.XLOOKUP(tblContractTim[[#This Row],[Index]], Contract_Edits[Index], Contract_Edits[Approve])</f>
        <v>Yes</v>
      </c>
      <c r="K14">
        <f>IFERROR(_xlfn.XLOOKUP(tblContractTim[[#This Row],[Index]], Contract_Edits[Index], Contract_Edits[Group]), tblContractTim[[#This Row],[Group]])</f>
        <v>1</v>
      </c>
      <c r="L14" s="11">
        <f>IFERROR( _xlfn.XLOOKUP(tblContractTim[[#This Row],[Index]], Contract_Edits[Index],Contract_Edits[Days]), 1)</f>
        <v>1</v>
      </c>
      <c r="M14" t="str">
        <f>IFERROR(_xlfn.XLOOKUP(tblContractTim[[#This Row],[Index]], Contract_Edits[Index], Contract_Edits[Done],), "No")</f>
        <v>No</v>
      </c>
      <c r="N14">
        <f>IFERROR(_xlfn.XLOOKUP(tblContractTim[[#This Row],[Index]], Contract_Edits[Index], Contract_Edits[Paid]), "")</f>
        <v>0</v>
      </c>
      <c r="O14" t="str">
        <f>IFERROR(_xlfn.XLOOKUP(tblContractTim[[#This Row],[Index]], Contract_Edits[Index], Contract_Edits[Notes]), 0)</f>
        <v/>
      </c>
      <c r="P14">
        <f>IFERROR( _xlfn.XLOOKUP(tblContractTim[[#This Row],[Index]], Contract_Edits[Index],Contract_Edits[Dep]),174)</f>
        <v>162</v>
      </c>
    </row>
    <row r="15" spans="1:22">
      <c r="A15">
        <v>132</v>
      </c>
      <c r="B15" t="s">
        <v>639</v>
      </c>
      <c r="C15" t="s">
        <v>721</v>
      </c>
      <c r="D15" s="458" t="s">
        <v>722</v>
      </c>
      <c r="E15">
        <v>1</v>
      </c>
      <c r="F15">
        <v>2000</v>
      </c>
      <c r="G15" t="s">
        <v>552</v>
      </c>
      <c r="H15" s="176">
        <f>IF(tblContractTim[[#This Row],[Days]]=0, tblContractTim[[#This Row],[Unit Price]], tblContractTim[[#This Row],[Days]] * $R$2 * $R$1)</f>
        <v>312.5</v>
      </c>
      <c r="I15">
        <f>IFERROR(_xlfn.XLOOKUP(tblContractTim[[#This Row],[Index]], Contract_Edits[Index], Contract_Edits[Order]), tblContractTim[[#This Row],[Order]])</f>
        <v>55.010899999999999</v>
      </c>
      <c r="J15" s="85" t="str">
        <f>_xlfn.XLOOKUP(tblContractTim[[#This Row],[Index]], Contract_Edits[Index], Contract_Edits[Approve])</f>
        <v>Yes</v>
      </c>
      <c r="K15">
        <f>IFERROR(_xlfn.XLOOKUP(tblContractTim[[#This Row],[Index]], Contract_Edits[Index], Contract_Edits[Group]), tblContractTim[[#This Row],[Group]])</f>
        <v>1</v>
      </c>
      <c r="L15" s="11">
        <f>IFERROR( _xlfn.XLOOKUP(tblContractTim[[#This Row],[Index]], Contract_Edits[Index],Contract_Edits[Days]), 1)</f>
        <v>1</v>
      </c>
      <c r="M15" t="str">
        <f>IFERROR(_xlfn.XLOOKUP(tblContractTim[[#This Row],[Index]], Contract_Edits[Index], Contract_Edits[Done],), "No")</f>
        <v>No</v>
      </c>
      <c r="N15">
        <f>IFERROR(_xlfn.XLOOKUP(tblContractTim[[#This Row],[Index]], Contract_Edits[Index], Contract_Edits[Paid]), "")</f>
        <v>0</v>
      </c>
      <c r="O15" t="str">
        <f>IFERROR(_xlfn.XLOOKUP(tblContractTim[[#This Row],[Index]], Contract_Edits[Index], Contract_Edits[Notes]), 0)</f>
        <v>add to Lumber tab</v>
      </c>
      <c r="P15">
        <f>IFERROR( _xlfn.XLOOKUP(tblContractTim[[#This Row],[Index]], Contract_Edits[Index],Contract_Edits[Dep]),174)</f>
        <v>156</v>
      </c>
    </row>
    <row r="16" spans="1:22">
      <c r="A16">
        <v>116</v>
      </c>
      <c r="B16" t="s">
        <v>521</v>
      </c>
      <c r="C16" t="s">
        <v>577</v>
      </c>
      <c r="D16" s="458" t="s">
        <v>699</v>
      </c>
      <c r="E16">
        <v>1</v>
      </c>
      <c r="F16">
        <v>507.5</v>
      </c>
      <c r="G16" t="s">
        <v>552</v>
      </c>
      <c r="H16" s="176">
        <f>IF(tblContractTim[[#This Row],[Days]]=0, tblContractTim[[#This Row],[Unit Price]], tblContractTim[[#This Row],[Days]] * $R$2 * $R$1)</f>
        <v>312.5</v>
      </c>
      <c r="I16">
        <f>IFERROR(_xlfn.XLOOKUP(tblContractTim[[#This Row],[Index]], Contract_Edits[Index], Contract_Edits[Order]), tblContractTim[[#This Row],[Order]])</f>
        <v>105.01060000000001</v>
      </c>
      <c r="J16" s="85" t="str">
        <f>_xlfn.XLOOKUP(tblContractTim[[#This Row],[Index]], Contract_Edits[Index], Contract_Edits[Approve])</f>
        <v>Yes</v>
      </c>
      <c r="K16">
        <f>IFERROR(_xlfn.XLOOKUP(tblContractTim[[#This Row],[Index]], Contract_Edits[Index], Contract_Edits[Group]), tblContractTim[[#This Row],[Group]])</f>
        <v>1</v>
      </c>
      <c r="L16" s="11">
        <f>IFERROR( _xlfn.XLOOKUP(tblContractTim[[#This Row],[Index]], Contract_Edits[Index],Contract_Edits[Days]), 1)</f>
        <v>1</v>
      </c>
      <c r="M16" t="str">
        <f>IFERROR(_xlfn.XLOOKUP(tblContractTim[[#This Row],[Index]], Contract_Edits[Index], Contract_Edits[Done],), "No")</f>
        <v>No</v>
      </c>
      <c r="N16">
        <f>IFERROR(_xlfn.XLOOKUP(tblContractTim[[#This Row],[Index]], Contract_Edits[Index], Contract_Edits[Paid]), "")</f>
        <v>0</v>
      </c>
      <c r="O16">
        <f>IFERROR(_xlfn.XLOOKUP(tblContractTim[[#This Row],[Index]], Contract_Edits[Index], Contract_Edits[Notes]), 0)</f>
        <v>0</v>
      </c>
      <c r="P16">
        <f>IFERROR( _xlfn.XLOOKUP(tblContractTim[[#This Row],[Index]], Contract_Edits[Index],Contract_Edits[Dep]),174)</f>
        <v>162</v>
      </c>
    </row>
    <row r="17" spans="1:16" ht="45">
      <c r="A17">
        <v>49</v>
      </c>
      <c r="B17" t="s">
        <v>608</v>
      </c>
      <c r="C17" t="s">
        <v>560</v>
      </c>
      <c r="D17" s="458" t="s">
        <v>609</v>
      </c>
      <c r="E17">
        <v>1</v>
      </c>
      <c r="F17">
        <v>3625</v>
      </c>
      <c r="G17" t="s">
        <v>552</v>
      </c>
      <c r="H17" s="176">
        <f>IF(tblContractTim[[#This Row],[Days]]=0, tblContractTim[[#This Row],[Unit Price]], tblContractTim[[#This Row],[Days]] * $R$2 * $R$1)</f>
        <v>937.5</v>
      </c>
      <c r="I17">
        <f>IFERROR(_xlfn.XLOOKUP(tblContractTim[[#This Row],[Index]], Contract_Edits[Index], Contract_Edits[Order]), tblContractTim[[#This Row],[Order]])</f>
        <v>15.0206</v>
      </c>
      <c r="J17" s="85" t="str">
        <f>_xlfn.XLOOKUP(tblContractTim[[#This Row],[Index]], Contract_Edits[Index], Contract_Edits[Approve])</f>
        <v>Yes</v>
      </c>
      <c r="K17">
        <f>IFERROR(_xlfn.XLOOKUP(tblContractTim[[#This Row],[Index]], Contract_Edits[Index], Contract_Edits[Group]), tblContractTim[[#This Row],[Group]])</f>
        <v>1</v>
      </c>
      <c r="L17" s="11">
        <f>IFERROR( _xlfn.XLOOKUP(tblContractTim[[#This Row],[Index]], Contract_Edits[Index],Contract_Edits[Days]), 1)</f>
        <v>3</v>
      </c>
      <c r="M17" t="str">
        <f>IFERROR(_xlfn.XLOOKUP(tblContractTim[[#This Row],[Index]], Contract_Edits[Index], Contract_Edits[Done],), "No")</f>
        <v>Yes</v>
      </c>
      <c r="N17">
        <f>IFERROR(_xlfn.XLOOKUP(tblContractTim[[#This Row],[Index]], Contract_Edits[Index], Contract_Edits[Paid]), "")</f>
        <v>0</v>
      </c>
      <c r="O17">
        <f>IFERROR(_xlfn.XLOOKUP(tblContractTim[[#This Row],[Index]], Contract_Edits[Index], Contract_Edits[Notes]), 0)</f>
        <v>0</v>
      </c>
      <c r="P17">
        <f>IFERROR( _xlfn.XLOOKUP(tblContractTim[[#This Row],[Index]], Contract_Edits[Index],Contract_Edits[Dep]),174)</f>
        <v>151</v>
      </c>
    </row>
    <row r="18" spans="1:16">
      <c r="A18">
        <v>50</v>
      </c>
      <c r="B18" t="s">
        <v>608</v>
      </c>
      <c r="C18" t="s">
        <v>610</v>
      </c>
      <c r="D18" s="458" t="s">
        <v>611</v>
      </c>
      <c r="E18">
        <v>1</v>
      </c>
      <c r="F18">
        <v>1305</v>
      </c>
      <c r="G18" t="s">
        <v>552</v>
      </c>
      <c r="H18" s="176">
        <f>IF(tblContractTim[[#This Row],[Days]]=0, tblContractTim[[#This Row],[Unit Price]], tblContractTim[[#This Row],[Days]] * $R$2 * $R$1)</f>
        <v>1305</v>
      </c>
      <c r="I18">
        <f>IFERROR(_xlfn.XLOOKUP(tblContractTim[[#This Row],[Index]], Contract_Edits[Index], Contract_Edits[Order]), tblContractTim[[#This Row],[Order]])</f>
        <v>9999</v>
      </c>
      <c r="J18" s="85" t="str">
        <f>_xlfn.XLOOKUP(tblContractTim[[#This Row],[Index]], Contract_Edits[Index], Contract_Edits[Approve])</f>
        <v>No</v>
      </c>
      <c r="K18">
        <f>IFERROR(_xlfn.XLOOKUP(tblContractTim[[#This Row],[Index]], Contract_Edits[Index], Contract_Edits[Group]), tblContractTim[[#This Row],[Group]])</f>
        <v>1</v>
      </c>
      <c r="L18" s="11">
        <f>IFERROR( _xlfn.XLOOKUP(tblContractTim[[#This Row],[Index]], Contract_Edits[Index],Contract_Edits[Days]), 1)</f>
        <v>0</v>
      </c>
      <c r="M18" t="str">
        <f>IFERROR(_xlfn.XLOOKUP(tblContractTim[[#This Row],[Index]], Contract_Edits[Index], Contract_Edits[Done],), "No")</f>
        <v>Yes</v>
      </c>
      <c r="N18">
        <f>IFERROR(_xlfn.XLOOKUP(tblContractTim[[#This Row],[Index]], Contract_Edits[Index], Contract_Edits[Paid]), "")</f>
        <v>0</v>
      </c>
      <c r="O18" t="str">
        <f>IFERROR(_xlfn.XLOOKUP(tblContractTim[[#This Row],[Index]], Contract_Edits[Index], Contract_Edits[Notes]), 0)</f>
        <v>remove</v>
      </c>
      <c r="P18">
        <f>IFERROR( _xlfn.XLOOKUP(tblContractTim[[#This Row],[Index]], Contract_Edits[Index],Contract_Edits[Dep]),174)</f>
        <v>153</v>
      </c>
    </row>
    <row r="19" spans="1:16">
      <c r="A19">
        <v>51</v>
      </c>
      <c r="B19" t="s">
        <v>608</v>
      </c>
      <c r="C19" t="s">
        <v>612</v>
      </c>
      <c r="D19" s="458" t="s">
        <v>1466</v>
      </c>
      <c r="E19">
        <v>1</v>
      </c>
      <c r="F19">
        <v>21750</v>
      </c>
      <c r="G19" t="s">
        <v>552</v>
      </c>
      <c r="H19" s="176">
        <f>IF(tblContractTim[[#This Row],[Days]]=0, tblContractTim[[#This Row],[Unit Price]], tblContractTim[[#This Row],[Days]] * $R$2 * $R$1)</f>
        <v>21750</v>
      </c>
      <c r="I19">
        <f>IFERROR(_xlfn.XLOOKUP(tblContractTim[[#This Row],[Index]], Contract_Edits[Index], Contract_Edits[Order]), tblContractTim[[#This Row],[Order]])</f>
        <v>9999</v>
      </c>
      <c r="J19" s="85" t="str">
        <f>_xlfn.XLOOKUP(tblContractTim[[#This Row],[Index]], Contract_Edits[Index], Contract_Edits[Approve])</f>
        <v>No</v>
      </c>
      <c r="K19">
        <f>IFERROR(_xlfn.XLOOKUP(tblContractTim[[#This Row],[Index]], Contract_Edits[Index], Contract_Edits[Group]), tblContractTim[[#This Row],[Group]])</f>
        <v>1</v>
      </c>
      <c r="L19" s="11">
        <f>IFERROR( _xlfn.XLOOKUP(tblContractTim[[#This Row],[Index]], Contract_Edits[Index],Contract_Edits[Days]), 1)</f>
        <v>0</v>
      </c>
      <c r="M19" t="str">
        <f>IFERROR(_xlfn.XLOOKUP(tblContractTim[[#This Row],[Index]], Contract_Edits[Index], Contract_Edits[Done],), "No")</f>
        <v>No</v>
      </c>
      <c r="N19">
        <f>IFERROR(_xlfn.XLOOKUP(tblContractTim[[#This Row],[Index]], Contract_Edits[Index], Contract_Edits[Paid]), "")</f>
        <v>0</v>
      </c>
      <c r="O19" t="str">
        <f>IFERROR(_xlfn.XLOOKUP(tblContractTim[[#This Row],[Index]], Contract_Edits[Index], Contract_Edits[Notes]), 0)</f>
        <v/>
      </c>
      <c r="P19">
        <f>IFERROR( _xlfn.XLOOKUP(tblContractTim[[#This Row],[Index]], Contract_Edits[Index],Contract_Edits[Dep]),174)</f>
        <v>154</v>
      </c>
    </row>
    <row r="20" spans="1:16">
      <c r="A20">
        <v>52</v>
      </c>
      <c r="B20" t="s">
        <v>608</v>
      </c>
      <c r="C20" t="s">
        <v>613</v>
      </c>
      <c r="D20" s="458" t="s">
        <v>614</v>
      </c>
      <c r="E20">
        <v>1</v>
      </c>
      <c r="F20">
        <v>1450</v>
      </c>
      <c r="G20" t="s">
        <v>552</v>
      </c>
      <c r="H20" s="176">
        <f>IF(tblContractTim[[#This Row],[Days]]=0, tblContractTim[[#This Row],[Unit Price]], tblContractTim[[#This Row],[Days]] * $R$2 * $R$1)</f>
        <v>312.5</v>
      </c>
      <c r="I20">
        <f>IFERROR(_xlfn.XLOOKUP(tblContractTim[[#This Row],[Index]], Contract_Edits[Index], Contract_Edits[Order]), tblContractTim[[#This Row],[Order]])</f>
        <v>85.021000000000001</v>
      </c>
      <c r="J20" s="85" t="str">
        <f>_xlfn.XLOOKUP(tblContractTim[[#This Row],[Index]], Contract_Edits[Index], Contract_Edits[Approve])</f>
        <v>Yes</v>
      </c>
      <c r="K20">
        <f>IFERROR(_xlfn.XLOOKUP(tblContractTim[[#This Row],[Index]], Contract_Edits[Index], Contract_Edits[Group]), tblContractTim[[#This Row],[Group]])</f>
        <v>1</v>
      </c>
      <c r="L20" s="11">
        <f>IFERROR( _xlfn.XLOOKUP(tblContractTim[[#This Row],[Index]], Contract_Edits[Index],Contract_Edits[Days]), 1)</f>
        <v>1</v>
      </c>
      <c r="M20" t="str">
        <f>IFERROR(_xlfn.XLOOKUP(tblContractTim[[#This Row],[Index]], Contract_Edits[Index], Contract_Edits[Done],), "No")</f>
        <v>Yes</v>
      </c>
      <c r="N20">
        <f>IFERROR(_xlfn.XLOOKUP(tblContractTim[[#This Row],[Index]], Contract_Edits[Index], Contract_Edits[Paid]), "")</f>
        <v>0</v>
      </c>
      <c r="O20" t="str">
        <f>IFERROR(_xlfn.XLOOKUP(tblContractTim[[#This Row],[Index]], Contract_Edits[Index], Contract_Edits[Notes]), 0)</f>
        <v/>
      </c>
      <c r="P20">
        <f>IFERROR( _xlfn.XLOOKUP(tblContractTim[[#This Row],[Index]], Contract_Edits[Index],Contract_Edits[Dep]),174)</f>
        <v>180</v>
      </c>
    </row>
    <row r="21" spans="1:16" ht="30">
      <c r="A21">
        <v>54</v>
      </c>
      <c r="B21" t="s">
        <v>608</v>
      </c>
      <c r="C21" t="s">
        <v>550</v>
      </c>
      <c r="D21" s="458" t="s">
        <v>617</v>
      </c>
      <c r="E21">
        <v>1</v>
      </c>
      <c r="F21">
        <v>6525</v>
      </c>
      <c r="G21" t="s">
        <v>552</v>
      </c>
      <c r="H21" s="176">
        <f>IF(tblContractTim[[#This Row],[Days]]=0, tblContractTim[[#This Row],[Unit Price]], tblContractTim[[#This Row],[Days]] * $R$2 * $R$1)</f>
        <v>1250</v>
      </c>
      <c r="I21">
        <f>IFERROR(_xlfn.XLOOKUP(tblContractTim[[#This Row],[Index]], Contract_Edits[Index], Contract_Edits[Order]), tblContractTim[[#This Row],[Order]])</f>
        <v>65.010100000000008</v>
      </c>
      <c r="J21" s="85" t="str">
        <f>_xlfn.XLOOKUP(tblContractTim[[#This Row],[Index]], Contract_Edits[Index], Contract_Edits[Approve])</f>
        <v>Yes</v>
      </c>
      <c r="K21">
        <f>IFERROR(_xlfn.XLOOKUP(tblContractTim[[#This Row],[Index]], Contract_Edits[Index], Contract_Edits[Group]), tblContractTim[[#This Row],[Group]])</f>
        <v>1</v>
      </c>
      <c r="L21" s="11">
        <f>IFERROR( _xlfn.XLOOKUP(tblContractTim[[#This Row],[Index]], Contract_Edits[Index],Contract_Edits[Days]), 1)</f>
        <v>4</v>
      </c>
      <c r="M21" t="str">
        <f>IFERROR(_xlfn.XLOOKUP(tblContractTim[[#This Row],[Index]], Contract_Edits[Index], Contract_Edits[Done],), "No")</f>
        <v>No</v>
      </c>
      <c r="N21">
        <f>IFERROR(_xlfn.XLOOKUP(tblContractTim[[#This Row],[Index]], Contract_Edits[Index], Contract_Edits[Paid]), "")</f>
        <v>0</v>
      </c>
      <c r="O21" t="str">
        <f>IFERROR(_xlfn.XLOOKUP(tblContractTim[[#This Row],[Index]], Contract_Edits[Index], Contract_Edits[Notes]), 0)</f>
        <v/>
      </c>
      <c r="P21">
        <f>IFERROR( _xlfn.XLOOKUP(tblContractTim[[#This Row],[Index]], Contract_Edits[Index],Contract_Edits[Dep]),174)</f>
        <v>155</v>
      </c>
    </row>
    <row r="22" spans="1:16">
      <c r="A22">
        <v>61</v>
      </c>
      <c r="B22" t="s">
        <v>608</v>
      </c>
      <c r="C22" t="s">
        <v>625</v>
      </c>
      <c r="D22" s="458" t="s">
        <v>626</v>
      </c>
      <c r="E22">
        <v>1</v>
      </c>
      <c r="F22">
        <v>1450</v>
      </c>
      <c r="G22" t="s">
        <v>552</v>
      </c>
      <c r="H22" s="176">
        <f>IF(tblContractTim[[#This Row],[Days]]=0, tblContractTim[[#This Row],[Unit Price]], tblContractTim[[#This Row],[Days]] * $R$2 * $R$1)</f>
        <v>625</v>
      </c>
      <c r="I22">
        <f>IFERROR(_xlfn.XLOOKUP(tblContractTim[[#This Row],[Index]], Contract_Edits[Index], Contract_Edits[Order]), tblContractTim[[#This Row],[Order]])</f>
        <v>65.0107</v>
      </c>
      <c r="J22" s="85" t="str">
        <f>_xlfn.XLOOKUP(tblContractTim[[#This Row],[Index]], Contract_Edits[Index], Contract_Edits[Approve])</f>
        <v>Yes</v>
      </c>
      <c r="K22">
        <f>IFERROR(_xlfn.XLOOKUP(tblContractTim[[#This Row],[Index]], Contract_Edits[Index], Contract_Edits[Group]), tblContractTim[[#This Row],[Group]])</f>
        <v>1</v>
      </c>
      <c r="L22" s="11">
        <f>IFERROR( _xlfn.XLOOKUP(tblContractTim[[#This Row],[Index]], Contract_Edits[Index],Contract_Edits[Days]), 1)</f>
        <v>2</v>
      </c>
      <c r="M22" t="str">
        <f>IFERROR(_xlfn.XLOOKUP(tblContractTim[[#This Row],[Index]], Contract_Edits[Index], Contract_Edits[Done],), "No")</f>
        <v>Yes</v>
      </c>
      <c r="N22">
        <f>IFERROR(_xlfn.XLOOKUP(tblContractTim[[#This Row],[Index]], Contract_Edits[Index], Contract_Edits[Paid]), "")</f>
        <v>0</v>
      </c>
      <c r="O22" t="str">
        <f>IFERROR(_xlfn.XLOOKUP(tblContractTim[[#This Row],[Index]], Contract_Edits[Index], Contract_Edits[Notes]), 0)</f>
        <v/>
      </c>
      <c r="P22">
        <f>IFERROR( _xlfn.XLOOKUP(tblContractTim[[#This Row],[Index]], Contract_Edits[Index],Contract_Edits[Dep]),174)</f>
        <v>155</v>
      </c>
    </row>
    <row r="23" spans="1:16">
      <c r="A23">
        <v>62</v>
      </c>
      <c r="B23" t="s">
        <v>608</v>
      </c>
      <c r="C23" t="s">
        <v>575</v>
      </c>
      <c r="D23" s="458" t="s">
        <v>627</v>
      </c>
      <c r="E23">
        <v>1</v>
      </c>
      <c r="F23">
        <v>3552.5</v>
      </c>
      <c r="G23" t="s">
        <v>552</v>
      </c>
      <c r="H23" s="176">
        <f>IF(tblContractTim[[#This Row],[Days]]=0, tblContractTim[[#This Row],[Unit Price]], tblContractTim[[#This Row],[Days]] * $R$2 * $R$1)</f>
        <v>312.5</v>
      </c>
      <c r="I23">
        <f>IFERROR(_xlfn.XLOOKUP(tblContractTim[[#This Row],[Index]], Contract_Edits[Index], Contract_Edits[Order]), tblContractTim[[#This Row],[Order]])</f>
        <v>115.0107</v>
      </c>
      <c r="J23" s="85" t="str">
        <f>_xlfn.XLOOKUP(tblContractTim[[#This Row],[Index]], Contract_Edits[Index], Contract_Edits[Approve])</f>
        <v>Yes</v>
      </c>
      <c r="K23">
        <f>IFERROR(_xlfn.XLOOKUP(tblContractTim[[#This Row],[Index]], Contract_Edits[Index], Contract_Edits[Group]), tblContractTim[[#This Row],[Group]])</f>
        <v>1</v>
      </c>
      <c r="L23" s="11">
        <f>IFERROR( _xlfn.XLOOKUP(tblContractTim[[#This Row],[Index]], Contract_Edits[Index],Contract_Edits[Days]), 1)</f>
        <v>1</v>
      </c>
      <c r="M23" t="str">
        <f>IFERROR(_xlfn.XLOOKUP(tblContractTim[[#This Row],[Index]], Contract_Edits[Index], Contract_Edits[Done],), "No")</f>
        <v>No</v>
      </c>
      <c r="N23">
        <f>IFERROR(_xlfn.XLOOKUP(tblContractTim[[#This Row],[Index]], Contract_Edits[Index], Contract_Edits[Paid]), "")</f>
        <v>0</v>
      </c>
      <c r="O23" t="str">
        <f>IFERROR(_xlfn.XLOOKUP(tblContractTim[[#This Row],[Index]], Contract_Edits[Index], Contract_Edits[Notes]), 0)</f>
        <v/>
      </c>
      <c r="P23">
        <f>IFERROR( _xlfn.XLOOKUP(tblContractTim[[#This Row],[Index]], Contract_Edits[Index],Contract_Edits[Dep]),174)</f>
        <v>163</v>
      </c>
    </row>
    <row r="24" spans="1:16">
      <c r="A24">
        <v>65</v>
      </c>
      <c r="B24" t="s">
        <v>608</v>
      </c>
      <c r="C24" t="s">
        <v>577</v>
      </c>
      <c r="D24" s="458" t="s">
        <v>631</v>
      </c>
      <c r="E24">
        <v>1</v>
      </c>
      <c r="F24">
        <v>870</v>
      </c>
      <c r="G24" t="s">
        <v>552</v>
      </c>
      <c r="H24" s="176">
        <f>IF(tblContractTim[[#This Row],[Days]]=0, tblContractTim[[#This Row],[Unit Price]], tblContractTim[[#This Row],[Days]] * $R$2 * $R$1)</f>
        <v>312.5</v>
      </c>
      <c r="I24">
        <f>IFERROR(_xlfn.XLOOKUP(tblContractTim[[#This Row],[Index]], Contract_Edits[Index], Contract_Edits[Order]), tblContractTim[[#This Row],[Order]])</f>
        <v>105.01010000000001</v>
      </c>
      <c r="J24" s="85" t="str">
        <f>_xlfn.XLOOKUP(tblContractTim[[#This Row],[Index]], Contract_Edits[Index], Contract_Edits[Approve])</f>
        <v>Yes</v>
      </c>
      <c r="K24">
        <f>IFERROR(_xlfn.XLOOKUP(tblContractTim[[#This Row],[Index]], Contract_Edits[Index], Contract_Edits[Group]), tblContractTim[[#This Row],[Group]])</f>
        <v>1</v>
      </c>
      <c r="L24" s="11">
        <f>IFERROR( _xlfn.XLOOKUP(tblContractTim[[#This Row],[Index]], Contract_Edits[Index],Contract_Edits[Days]), 1)</f>
        <v>1</v>
      </c>
      <c r="M24" t="str">
        <f>IFERROR(_xlfn.XLOOKUP(tblContractTim[[#This Row],[Index]], Contract_Edits[Index], Contract_Edits[Done],), "No")</f>
        <v>No</v>
      </c>
      <c r="N24">
        <f>IFERROR(_xlfn.XLOOKUP(tblContractTim[[#This Row],[Index]], Contract_Edits[Index], Contract_Edits[Paid]), "")</f>
        <v>0</v>
      </c>
      <c r="O24" t="str">
        <f>IFERROR(_xlfn.XLOOKUP(tblContractTim[[#This Row],[Index]], Contract_Edits[Index], Contract_Edits[Notes]), 0)</f>
        <v/>
      </c>
      <c r="P24">
        <f>IFERROR( _xlfn.XLOOKUP(tblContractTim[[#This Row],[Index]], Contract_Edits[Index],Contract_Edits[Dep]),174)</f>
        <v>162</v>
      </c>
    </row>
    <row r="25" spans="1:16" ht="30">
      <c r="A25">
        <v>70</v>
      </c>
      <c r="B25" t="s">
        <v>608</v>
      </c>
      <c r="C25" t="s">
        <v>606</v>
      </c>
      <c r="D25" s="458" t="s">
        <v>636</v>
      </c>
      <c r="E25">
        <v>1</v>
      </c>
      <c r="F25">
        <v>217.5</v>
      </c>
      <c r="G25" t="s">
        <v>552</v>
      </c>
      <c r="H25" s="176">
        <f>IF(tblContractTim[[#This Row],[Days]]=0, tblContractTim[[#This Row],[Unit Price]], tblContractTim[[#This Row],[Days]] * $R$2 * $R$1)</f>
        <v>156.25</v>
      </c>
      <c r="I25">
        <f>IFERROR(_xlfn.XLOOKUP(tblContractTim[[#This Row],[Index]], Contract_Edits[Index], Contract_Edits[Order]), tblContractTim[[#This Row],[Order]])</f>
        <v>195.0102</v>
      </c>
      <c r="J25" s="85" t="str">
        <f>_xlfn.XLOOKUP(tblContractTim[[#This Row],[Index]], Contract_Edits[Index], Contract_Edits[Approve])</f>
        <v>Yes</v>
      </c>
      <c r="K25">
        <f>IFERROR(_xlfn.XLOOKUP(tblContractTim[[#This Row],[Index]], Contract_Edits[Index], Contract_Edits[Group]), tblContractTim[[#This Row],[Group]])</f>
        <v>1</v>
      </c>
      <c r="L25" s="11">
        <f>IFERROR( _xlfn.XLOOKUP(tblContractTim[[#This Row],[Index]], Contract_Edits[Index],Contract_Edits[Days]), 1)</f>
        <v>0.5</v>
      </c>
      <c r="M25" t="str">
        <f>IFERROR(_xlfn.XLOOKUP(tblContractTim[[#This Row],[Index]], Contract_Edits[Index], Contract_Edits[Done],), "No")</f>
        <v>No</v>
      </c>
      <c r="N25">
        <f>IFERROR(_xlfn.XLOOKUP(tblContractTim[[#This Row],[Index]], Contract_Edits[Index], Contract_Edits[Paid]), "")</f>
        <v>0</v>
      </c>
      <c r="O25" t="str">
        <f>IFERROR(_xlfn.XLOOKUP(tblContractTim[[#This Row],[Index]], Contract_Edits[Index], Contract_Edits[Notes]), 0)</f>
        <v/>
      </c>
      <c r="P25">
        <f>IFERROR( _xlfn.XLOOKUP(tblContractTim[[#This Row],[Index]], Contract_Edits[Index],Contract_Edits[Dep]),174)</f>
        <v>171</v>
      </c>
    </row>
    <row r="26" spans="1:16">
      <c r="A26">
        <v>143</v>
      </c>
      <c r="B26" t="s">
        <v>608</v>
      </c>
      <c r="C26" t="s">
        <v>736</v>
      </c>
      <c r="D26" s="458" t="s">
        <v>737</v>
      </c>
      <c r="E26">
        <v>1</v>
      </c>
      <c r="F26">
        <v>937.5</v>
      </c>
      <c r="G26" t="s">
        <v>552</v>
      </c>
      <c r="H26" s="176">
        <f>IF(tblContractTim[[#This Row],[Days]]=0, tblContractTim[[#This Row],[Unit Price]], tblContractTim[[#This Row],[Days]] * $R$2 * $R$1)</f>
        <v>937.5</v>
      </c>
      <c r="I26">
        <f>IFERROR(_xlfn.XLOOKUP(tblContractTim[[#This Row],[Index]], Contract_Edits[Index], Contract_Edits[Order]), tblContractTim[[#This Row],[Order]])</f>
        <v>15.0205</v>
      </c>
      <c r="J26" s="85" t="str">
        <f>_xlfn.XLOOKUP(tblContractTim[[#This Row],[Index]], Contract_Edits[Index], Contract_Edits[Approve])</f>
        <v>Yes</v>
      </c>
      <c r="K26">
        <f>IFERROR(_xlfn.XLOOKUP(tblContractTim[[#This Row],[Index]], Contract_Edits[Index], Contract_Edits[Group]), tblContractTim[[#This Row],[Group]])</f>
        <v>1</v>
      </c>
      <c r="L26" s="11">
        <f>IFERROR( _xlfn.XLOOKUP(tblContractTim[[#This Row],[Index]], Contract_Edits[Index],Contract_Edits[Days]), 1)</f>
        <v>3</v>
      </c>
      <c r="M26" t="str">
        <f>IFERROR(_xlfn.XLOOKUP(tblContractTim[[#This Row],[Index]], Contract_Edits[Index], Contract_Edits[Done],), "No")</f>
        <v>Yes</v>
      </c>
      <c r="N26">
        <f>IFERROR(_xlfn.XLOOKUP(tblContractTim[[#This Row],[Index]], Contract_Edits[Index], Contract_Edits[Paid]), "")</f>
        <v>0</v>
      </c>
      <c r="O26">
        <f>IFERROR(_xlfn.XLOOKUP(tblContractTim[[#This Row],[Index]], Contract_Edits[Index], Contract_Edits[Notes]), 0)</f>
        <v>0</v>
      </c>
      <c r="P26">
        <f>IFERROR( _xlfn.XLOOKUP(tblContractTim[[#This Row],[Index]], Contract_Edits[Index],Contract_Edits[Dep]),174)</f>
        <v>151</v>
      </c>
    </row>
    <row r="27" spans="1:16" ht="30">
      <c r="A27">
        <v>36</v>
      </c>
      <c r="B27" t="s">
        <v>587</v>
      </c>
      <c r="C27" t="s">
        <v>560</v>
      </c>
      <c r="D27" s="458" t="s">
        <v>588</v>
      </c>
      <c r="E27">
        <v>1</v>
      </c>
      <c r="F27">
        <v>1160</v>
      </c>
      <c r="G27" t="s">
        <v>552</v>
      </c>
      <c r="H27" s="176">
        <f>IF(tblContractTim[[#This Row],[Days]]=0, tblContractTim[[#This Row],[Unit Price]], tblContractTim[[#This Row],[Days]] * $R$2 * $R$1)</f>
        <v>312.5</v>
      </c>
      <c r="I27">
        <f>IFERROR(_xlfn.XLOOKUP(tblContractTim[[#This Row],[Index]], Contract_Edits[Index], Contract_Edits[Order]), tblContractTim[[#This Row],[Order]])</f>
        <v>15.0207</v>
      </c>
      <c r="J27" s="85" t="str">
        <f>_xlfn.XLOOKUP(tblContractTim[[#This Row],[Index]], Contract_Edits[Index], Contract_Edits[Approve])</f>
        <v>Yes</v>
      </c>
      <c r="K27">
        <f>IFERROR(_xlfn.XLOOKUP(tblContractTim[[#This Row],[Index]], Contract_Edits[Index], Contract_Edits[Group]), tblContractTim[[#This Row],[Group]])</f>
        <v>1</v>
      </c>
      <c r="L27" s="11">
        <f>IFERROR( _xlfn.XLOOKUP(tblContractTim[[#This Row],[Index]], Contract_Edits[Index],Contract_Edits[Days]), 1)</f>
        <v>1</v>
      </c>
      <c r="M27" t="str">
        <f>IFERROR(_xlfn.XLOOKUP(tblContractTim[[#This Row],[Index]], Contract_Edits[Index], Contract_Edits[Done],), "No")</f>
        <v>Yes</v>
      </c>
      <c r="N27">
        <f>IFERROR(_xlfn.XLOOKUP(tblContractTim[[#This Row],[Index]], Contract_Edits[Index], Contract_Edits[Paid]), "")</f>
        <v>0</v>
      </c>
      <c r="O27">
        <f>IFERROR(_xlfn.XLOOKUP(tblContractTim[[#This Row],[Index]], Contract_Edits[Index], Contract_Edits[Notes]), 0)</f>
        <v>0</v>
      </c>
      <c r="P27">
        <f>IFERROR( _xlfn.XLOOKUP(tblContractTim[[#This Row],[Index]], Contract_Edits[Index],Contract_Edits[Dep]),174)</f>
        <v>151</v>
      </c>
    </row>
    <row r="28" spans="1:16">
      <c r="A28">
        <v>38</v>
      </c>
      <c r="B28" t="s">
        <v>587</v>
      </c>
      <c r="C28" t="s">
        <v>550</v>
      </c>
      <c r="D28" s="458" t="s">
        <v>590</v>
      </c>
      <c r="E28">
        <v>1</v>
      </c>
      <c r="F28">
        <v>1087.5</v>
      </c>
      <c r="G28" t="s">
        <v>552</v>
      </c>
      <c r="H28" s="176">
        <f>IF(tblContractTim[[#This Row],[Days]]=0, tblContractTim[[#This Row],[Unit Price]], tblContractTim[[#This Row],[Days]] * $R$2 * $R$1)</f>
        <v>625</v>
      </c>
      <c r="I28">
        <f>IFERROR(_xlfn.XLOOKUP(tblContractTim[[#This Row],[Index]], Contract_Edits[Index], Contract_Edits[Order]), tblContractTim[[#This Row],[Order]])</f>
        <v>65.011099999999999</v>
      </c>
      <c r="J28" s="85" t="str">
        <f>_xlfn.XLOOKUP(tblContractTim[[#This Row],[Index]], Contract_Edits[Index], Contract_Edits[Approve])</f>
        <v>Yes</v>
      </c>
      <c r="K28">
        <f>IFERROR(_xlfn.XLOOKUP(tblContractTim[[#This Row],[Index]], Contract_Edits[Index], Contract_Edits[Group]), tblContractTim[[#This Row],[Group]])</f>
        <v>1</v>
      </c>
      <c r="L28" s="11">
        <f>IFERROR( _xlfn.XLOOKUP(tblContractTim[[#This Row],[Index]], Contract_Edits[Index],Contract_Edits[Days]), 1)</f>
        <v>2</v>
      </c>
      <c r="M28">
        <f>IFERROR(_xlfn.XLOOKUP(tblContractTim[[#This Row],[Index]], Contract_Edits[Index], Contract_Edits[Done],), "No")</f>
        <v>0</v>
      </c>
      <c r="N28">
        <f>IFERROR(_xlfn.XLOOKUP(tblContractTim[[#This Row],[Index]], Contract_Edits[Index], Contract_Edits[Paid]), "")</f>
        <v>0</v>
      </c>
      <c r="O28" t="str">
        <f>IFERROR(_xlfn.XLOOKUP(tblContractTim[[#This Row],[Index]], Contract_Edits[Index], Contract_Edits[Notes]), 0)</f>
        <v/>
      </c>
      <c r="P28">
        <f>IFERROR( _xlfn.XLOOKUP(tblContractTim[[#This Row],[Index]], Contract_Edits[Index],Contract_Edits[Dep]),174)</f>
        <v>155</v>
      </c>
    </row>
    <row r="29" spans="1:16" ht="30">
      <c r="A29">
        <v>43</v>
      </c>
      <c r="B29" t="s">
        <v>587</v>
      </c>
      <c r="C29" t="s">
        <v>598</v>
      </c>
      <c r="D29" s="458" t="s">
        <v>599</v>
      </c>
      <c r="E29">
        <v>1</v>
      </c>
      <c r="F29">
        <v>362.5</v>
      </c>
      <c r="G29" t="s">
        <v>552</v>
      </c>
      <c r="H29" s="176">
        <f>IF(tblContractTim[[#This Row],[Days]]=0, tblContractTim[[#This Row],[Unit Price]], tblContractTim[[#This Row],[Days]] * $R$2 * $R$1)</f>
        <v>312.5</v>
      </c>
      <c r="I29">
        <f>IFERROR(_xlfn.XLOOKUP(tblContractTim[[#This Row],[Index]], Contract_Edits[Index], Contract_Edits[Order]), tblContractTim[[#This Row],[Order]])</f>
        <v>105.0107</v>
      </c>
      <c r="J29" s="85" t="str">
        <f>_xlfn.XLOOKUP(tblContractTim[[#This Row],[Index]], Contract_Edits[Index], Contract_Edits[Approve])</f>
        <v>Yes</v>
      </c>
      <c r="K29">
        <f>IFERROR(_xlfn.XLOOKUP(tblContractTim[[#This Row],[Index]], Contract_Edits[Index], Contract_Edits[Group]), tblContractTim[[#This Row],[Group]])</f>
        <v>1</v>
      </c>
      <c r="L29" s="11">
        <f>IFERROR( _xlfn.XLOOKUP(tblContractTim[[#This Row],[Index]], Contract_Edits[Index],Contract_Edits[Days]), 1)</f>
        <v>1</v>
      </c>
      <c r="M29" t="str">
        <f>IFERROR(_xlfn.XLOOKUP(tblContractTim[[#This Row],[Index]], Contract_Edits[Index], Contract_Edits[Done],), "No")</f>
        <v>No</v>
      </c>
      <c r="N29">
        <f>IFERROR(_xlfn.XLOOKUP(tblContractTim[[#This Row],[Index]], Contract_Edits[Index], Contract_Edits[Paid]), "")</f>
        <v>0</v>
      </c>
      <c r="O29" t="str">
        <f>IFERROR(_xlfn.XLOOKUP(tblContractTim[[#This Row],[Index]], Contract_Edits[Index], Contract_Edits[Notes]), 0)</f>
        <v/>
      </c>
      <c r="P29">
        <f>IFERROR( _xlfn.XLOOKUP(tblContractTim[[#This Row],[Index]], Contract_Edits[Index],Contract_Edits[Dep]),174)</f>
        <v>162</v>
      </c>
    </row>
    <row r="30" spans="1:16" ht="30">
      <c r="A30">
        <v>48</v>
      </c>
      <c r="B30" t="s">
        <v>587</v>
      </c>
      <c r="C30" t="s">
        <v>606</v>
      </c>
      <c r="D30" s="458" t="s">
        <v>607</v>
      </c>
      <c r="E30">
        <v>1</v>
      </c>
      <c r="F30">
        <v>145</v>
      </c>
      <c r="G30" t="s">
        <v>552</v>
      </c>
      <c r="H30" s="176">
        <f>IF(tblContractTim[[#This Row],[Days]]=0, tblContractTim[[#This Row],[Unit Price]], tblContractTim[[#This Row],[Days]] * $R$2 * $R$1)</f>
        <v>156.25</v>
      </c>
      <c r="I30">
        <f>IFERROR(_xlfn.XLOOKUP(tblContractTim[[#This Row],[Index]], Contract_Edits[Index], Contract_Edits[Order]), tblContractTim[[#This Row],[Order]])</f>
        <v>195.0103</v>
      </c>
      <c r="J30" s="85" t="str">
        <f>_xlfn.XLOOKUP(tblContractTim[[#This Row],[Index]], Contract_Edits[Index], Contract_Edits[Approve])</f>
        <v>Yes</v>
      </c>
      <c r="K30">
        <f>IFERROR(_xlfn.XLOOKUP(tblContractTim[[#This Row],[Index]], Contract_Edits[Index], Contract_Edits[Group]), tblContractTim[[#This Row],[Group]])</f>
        <v>1</v>
      </c>
      <c r="L30" s="11">
        <f>IFERROR( _xlfn.XLOOKUP(tblContractTim[[#This Row],[Index]], Contract_Edits[Index],Contract_Edits[Days]), 1)</f>
        <v>0.5</v>
      </c>
      <c r="M30" t="str">
        <f>IFERROR(_xlfn.XLOOKUP(tblContractTim[[#This Row],[Index]], Contract_Edits[Index], Contract_Edits[Done],), "No")</f>
        <v>No</v>
      </c>
      <c r="N30">
        <f>IFERROR(_xlfn.XLOOKUP(tblContractTim[[#This Row],[Index]], Contract_Edits[Index], Contract_Edits[Paid]), "")</f>
        <v>0</v>
      </c>
      <c r="O30" t="str">
        <f>IFERROR(_xlfn.XLOOKUP(tblContractTim[[#This Row],[Index]], Contract_Edits[Index], Contract_Edits[Notes]), 0)</f>
        <v/>
      </c>
      <c r="P30">
        <f>IFERROR( _xlfn.XLOOKUP(tblContractTim[[#This Row],[Index]], Contract_Edits[Index],Contract_Edits[Dep]),174)</f>
        <v>171</v>
      </c>
    </row>
    <row r="31" spans="1:16" ht="30">
      <c r="A31">
        <v>21</v>
      </c>
      <c r="B31" t="s">
        <v>555</v>
      </c>
      <c r="C31" t="s">
        <v>560</v>
      </c>
      <c r="D31" s="458" t="s">
        <v>561</v>
      </c>
      <c r="E31">
        <v>1</v>
      </c>
      <c r="F31">
        <v>4060</v>
      </c>
      <c r="G31" t="s">
        <v>552</v>
      </c>
      <c r="H31" s="176">
        <f>IF(tblContractTim[[#This Row],[Days]]=0, tblContractTim[[#This Row],[Unit Price]], tblContractTim[[#This Row],[Days]] * $R$2 * $R$1)</f>
        <v>468.75</v>
      </c>
      <c r="I31">
        <f>IFERROR(_xlfn.XLOOKUP(tblContractTim[[#This Row],[Index]], Contract_Edits[Index], Contract_Edits[Order]), tblContractTim[[#This Row],[Order]])</f>
        <v>15.020799999999999</v>
      </c>
      <c r="J31" s="85" t="str">
        <f>_xlfn.XLOOKUP(tblContractTim[[#This Row],[Index]], Contract_Edits[Index], Contract_Edits[Approve])</f>
        <v>Yes</v>
      </c>
      <c r="K31">
        <f>IFERROR(_xlfn.XLOOKUP(tblContractTim[[#This Row],[Index]], Contract_Edits[Index], Contract_Edits[Group]), tblContractTim[[#This Row],[Group]])</f>
        <v>1</v>
      </c>
      <c r="L31" s="11">
        <f>IFERROR( _xlfn.XLOOKUP(tblContractTim[[#This Row],[Index]], Contract_Edits[Index],Contract_Edits[Days]), 1)</f>
        <v>1.5</v>
      </c>
      <c r="M31" t="str">
        <f>IFERROR(_xlfn.XLOOKUP(tblContractTim[[#This Row],[Index]], Contract_Edits[Index], Contract_Edits[Done],), "No")</f>
        <v>Yes</v>
      </c>
      <c r="N31">
        <f>IFERROR(_xlfn.XLOOKUP(tblContractTim[[#This Row],[Index]], Contract_Edits[Index], Contract_Edits[Paid]), "")</f>
        <v>0</v>
      </c>
      <c r="O31">
        <f>IFERROR(_xlfn.XLOOKUP(tblContractTim[[#This Row],[Index]], Contract_Edits[Index], Contract_Edits[Notes]), 0)</f>
        <v>0</v>
      </c>
      <c r="P31">
        <f>IFERROR( _xlfn.XLOOKUP(tblContractTim[[#This Row],[Index]], Contract_Edits[Index],Contract_Edits[Dep]),174)</f>
        <v>151</v>
      </c>
    </row>
    <row r="32" spans="1:16" ht="30">
      <c r="A32">
        <v>30</v>
      </c>
      <c r="B32" t="s">
        <v>555</v>
      </c>
      <c r="C32" t="s">
        <v>575</v>
      </c>
      <c r="D32" s="458" t="s">
        <v>576</v>
      </c>
      <c r="E32">
        <v>1</v>
      </c>
      <c r="F32">
        <v>3480</v>
      </c>
      <c r="G32" t="s">
        <v>552</v>
      </c>
      <c r="H32" s="176">
        <f>IF(tblContractTim[[#This Row],[Days]]=0, tblContractTim[[#This Row],[Unit Price]], tblContractTim[[#This Row],[Days]] * $R$2 * $R$1)</f>
        <v>468.75</v>
      </c>
      <c r="I32">
        <f>IFERROR(_xlfn.XLOOKUP(tblContractTim[[#This Row],[Index]], Contract_Edits[Index], Contract_Edits[Order]), tblContractTim[[#This Row],[Order]])</f>
        <v>195.0104</v>
      </c>
      <c r="J32" s="85" t="str">
        <f>_xlfn.XLOOKUP(tblContractTim[[#This Row],[Index]], Contract_Edits[Index], Contract_Edits[Approve])</f>
        <v>Yes</v>
      </c>
      <c r="K32">
        <f>IFERROR(_xlfn.XLOOKUP(tblContractTim[[#This Row],[Index]], Contract_Edits[Index], Contract_Edits[Group]), tblContractTim[[#This Row],[Group]])</f>
        <v>1</v>
      </c>
      <c r="L32" s="11">
        <f>IFERROR( _xlfn.XLOOKUP(tblContractTim[[#This Row],[Index]], Contract_Edits[Index],Contract_Edits[Days]), 1)</f>
        <v>1.5</v>
      </c>
      <c r="M32" t="str">
        <f>IFERROR(_xlfn.XLOOKUP(tblContractTim[[#This Row],[Index]], Contract_Edits[Index], Contract_Edits[Done],), "No")</f>
        <v>No</v>
      </c>
      <c r="N32">
        <f>IFERROR(_xlfn.XLOOKUP(tblContractTim[[#This Row],[Index]], Contract_Edits[Index], Contract_Edits[Paid]), "")</f>
        <v>0</v>
      </c>
      <c r="O32" t="str">
        <f>IFERROR(_xlfn.XLOOKUP(tblContractTim[[#This Row],[Index]], Contract_Edits[Index], Contract_Edits[Notes]), 0)</f>
        <v/>
      </c>
      <c r="P32">
        <f>IFERROR( _xlfn.XLOOKUP(tblContractTim[[#This Row],[Index]], Contract_Edits[Index],Contract_Edits[Dep]),174)</f>
        <v>171</v>
      </c>
    </row>
    <row r="33" spans="1:18" ht="30">
      <c r="A33">
        <v>31</v>
      </c>
      <c r="B33" t="s">
        <v>555</v>
      </c>
      <c r="C33" t="s">
        <v>577</v>
      </c>
      <c r="D33" s="458" t="s">
        <v>578</v>
      </c>
      <c r="E33">
        <v>1</v>
      </c>
      <c r="F33">
        <v>4350</v>
      </c>
      <c r="G33" t="s">
        <v>552</v>
      </c>
      <c r="H33" s="176">
        <f>IF(tblContractTim[[#This Row],[Days]]=0, tblContractTim[[#This Row],[Unit Price]], tblContractTim[[#This Row],[Days]] * $R$2 * $R$1)</f>
        <v>937.5</v>
      </c>
      <c r="I33">
        <f>IFERROR(_xlfn.XLOOKUP(tblContractTim[[#This Row],[Index]], Contract_Edits[Index], Contract_Edits[Order]), tblContractTim[[#This Row],[Order]])</f>
        <v>105.0108</v>
      </c>
      <c r="J33" s="85" t="str">
        <f>_xlfn.XLOOKUP(tblContractTim[[#This Row],[Index]], Contract_Edits[Index], Contract_Edits[Approve])</f>
        <v>Yes</v>
      </c>
      <c r="K33">
        <f>IFERROR(_xlfn.XLOOKUP(tblContractTim[[#This Row],[Index]], Contract_Edits[Index], Contract_Edits[Group]), tblContractTim[[#This Row],[Group]])</f>
        <v>1</v>
      </c>
      <c r="L33" s="11">
        <f>IFERROR( _xlfn.XLOOKUP(tblContractTim[[#This Row],[Index]], Contract_Edits[Index],Contract_Edits[Days]), 1)</f>
        <v>3</v>
      </c>
      <c r="M33" t="str">
        <f>IFERROR(_xlfn.XLOOKUP(tblContractTim[[#This Row],[Index]], Contract_Edits[Index], Contract_Edits[Done],), "No")</f>
        <v>No</v>
      </c>
      <c r="N33">
        <f>IFERROR(_xlfn.XLOOKUP(tblContractTim[[#This Row],[Index]], Contract_Edits[Index], Contract_Edits[Paid]), "")</f>
        <v>0</v>
      </c>
      <c r="O33" t="str">
        <f>IFERROR(_xlfn.XLOOKUP(tblContractTim[[#This Row],[Index]], Contract_Edits[Index], Contract_Edits[Notes]), 0)</f>
        <v/>
      </c>
      <c r="P33">
        <f>IFERROR( _xlfn.XLOOKUP(tblContractTim[[#This Row],[Index]], Contract_Edits[Index],Contract_Edits[Dep]),174)</f>
        <v>162</v>
      </c>
    </row>
    <row r="34" spans="1:18">
      <c r="A34">
        <v>126</v>
      </c>
      <c r="B34" t="s">
        <v>523</v>
      </c>
      <c r="C34" t="s">
        <v>712</v>
      </c>
      <c r="D34" s="458" t="s">
        <v>1491</v>
      </c>
      <c r="E34">
        <v>1</v>
      </c>
      <c r="F34">
        <v>1</v>
      </c>
      <c r="G34" t="s">
        <v>552</v>
      </c>
      <c r="H34" s="176">
        <f>IF(tblContractTim[[#This Row],[Days]]=0, tblContractTim[[#This Row],[Unit Price]], tblContractTim[[#This Row],[Days]] * $R$2 * $R$1)</f>
        <v>312.5</v>
      </c>
      <c r="I34">
        <f>IFERROR(_xlfn.XLOOKUP(tblContractTim[[#This Row],[Index]], Contract_Edits[Index], Contract_Edits[Order]), tblContractTim[[#This Row],[Order]])</f>
        <v>15.020899999999999</v>
      </c>
      <c r="J34" s="85" t="str">
        <f>_xlfn.XLOOKUP(tblContractTim[[#This Row],[Index]], Contract_Edits[Index], Contract_Edits[Approve])</f>
        <v>Yes</v>
      </c>
      <c r="K34">
        <f>IFERROR(_xlfn.XLOOKUP(tblContractTim[[#This Row],[Index]], Contract_Edits[Index], Contract_Edits[Group]), tblContractTim[[#This Row],[Group]])</f>
        <v>1</v>
      </c>
      <c r="L34" s="11">
        <f>IFERROR( _xlfn.XLOOKUP(tblContractTim[[#This Row],[Index]], Contract_Edits[Index],Contract_Edits[Days]), 1)</f>
        <v>1</v>
      </c>
      <c r="M34" t="str">
        <f>IFERROR(_xlfn.XLOOKUP(tblContractTim[[#This Row],[Index]], Contract_Edits[Index], Contract_Edits[Done],), "No")</f>
        <v>No</v>
      </c>
      <c r="N34">
        <f>IFERROR(_xlfn.XLOOKUP(tblContractTim[[#This Row],[Index]], Contract_Edits[Index], Contract_Edits[Paid]), "")</f>
        <v>0</v>
      </c>
      <c r="O34" t="str">
        <f>IFERROR(_xlfn.XLOOKUP(tblContractTim[[#This Row],[Index]], Contract_Edits[Index], Contract_Edits[Notes]), 0)</f>
        <v/>
      </c>
      <c r="P34">
        <f>IFERROR( _xlfn.XLOOKUP(tblContractTim[[#This Row],[Index]], Contract_Edits[Index],Contract_Edits[Dep]),174)</f>
        <v>151</v>
      </c>
    </row>
    <row r="35" spans="1:18">
      <c r="A35">
        <v>133</v>
      </c>
      <c r="B35" t="s">
        <v>523</v>
      </c>
      <c r="C35" t="s">
        <v>723</v>
      </c>
      <c r="D35" s="458" t="s">
        <v>1383</v>
      </c>
      <c r="E35">
        <v>62</v>
      </c>
      <c r="F35">
        <v>169</v>
      </c>
      <c r="G35" t="s">
        <v>552</v>
      </c>
      <c r="H35" s="176">
        <f>IF(tblContractTim[[#This Row],[Days]]=0, tblContractTim[[#This Row],[Unit Price]], tblContractTim[[#This Row],[Days]] * $R$2 * $R$1)</f>
        <v>169</v>
      </c>
      <c r="I35">
        <f>IFERROR(_xlfn.XLOOKUP(tblContractTim[[#This Row],[Index]], Contract_Edits[Index], Contract_Edits[Order]), tblContractTim[[#This Row],[Order]])</f>
        <v>235.01299999999998</v>
      </c>
      <c r="J35" s="85" t="str">
        <f>_xlfn.XLOOKUP(tblContractTim[[#This Row],[Index]], Contract_Edits[Index], Contract_Edits[Approve])</f>
        <v>Yes</v>
      </c>
      <c r="K35">
        <f>IFERROR(_xlfn.XLOOKUP(tblContractTim[[#This Row],[Index]], Contract_Edits[Index], Contract_Edits[Group]), tblContractTim[[#This Row],[Group]])</f>
        <v>4</v>
      </c>
      <c r="L35" s="11">
        <f>IFERROR( _xlfn.XLOOKUP(tblContractTim[[#This Row],[Index]], Contract_Edits[Index],Contract_Edits[Days]), 1)</f>
        <v>0</v>
      </c>
      <c r="M35" t="str">
        <f>IFERROR(_xlfn.XLOOKUP(tblContractTim[[#This Row],[Index]], Contract_Edits[Index], Contract_Edits[Done],), "No")</f>
        <v>No</v>
      </c>
      <c r="N35">
        <f>IFERROR(_xlfn.XLOOKUP(tblContractTim[[#This Row],[Index]], Contract_Edits[Index], Contract_Edits[Paid]), "")</f>
        <v>0</v>
      </c>
      <c r="O35" t="str">
        <f>IFERROR(_xlfn.XLOOKUP(tblContractTim[[#This Row],[Index]], Contract_Edits[Index], Contract_Edits[Notes]), 0)</f>
        <v>35 days * 5 hours per day</v>
      </c>
      <c r="P35">
        <f>IFERROR( _xlfn.XLOOKUP(tblContractTim[[#This Row],[Index]], Contract_Edits[Index],Contract_Edits[Dep]),174)</f>
        <v>175</v>
      </c>
      <c r="R35" s="14"/>
    </row>
    <row r="36" spans="1:18">
      <c r="A36">
        <v>178</v>
      </c>
      <c r="B36" t="s">
        <v>523</v>
      </c>
      <c r="C36" t="s">
        <v>772</v>
      </c>
      <c r="D36" s="458" t="s">
        <v>777</v>
      </c>
      <c r="E36">
        <v>1</v>
      </c>
      <c r="F36">
        <v>750</v>
      </c>
      <c r="G36" t="s">
        <v>552</v>
      </c>
      <c r="H36" s="176">
        <f>IF(tblContractTim[[#This Row],[Days]]=0, tblContractTim[[#This Row],[Unit Price]], tblContractTim[[#This Row],[Days]] * $R$2 * $R$1)</f>
        <v>750</v>
      </c>
      <c r="I36">
        <f>IFERROR(_xlfn.XLOOKUP(tblContractTim[[#This Row],[Index]], Contract_Edits[Index], Contract_Edits[Order]), tblContractTim[[#This Row],[Order]])</f>
        <v>235.01249999999999</v>
      </c>
      <c r="J36" s="85" t="str">
        <f>_xlfn.XLOOKUP(tblContractTim[[#This Row],[Index]], Contract_Edits[Index], Contract_Edits[Approve])</f>
        <v>Yes</v>
      </c>
      <c r="K36">
        <f>IFERROR(_xlfn.XLOOKUP(tblContractTim[[#This Row],[Index]], Contract_Edits[Index], Contract_Edits[Group]), tblContractTim[[#This Row],[Group]])</f>
        <v>4</v>
      </c>
      <c r="L36" s="11">
        <f>IFERROR( _xlfn.XLOOKUP(tblContractTim[[#This Row],[Index]], Contract_Edits[Index],Contract_Edits[Days]), 1)</f>
        <v>0</v>
      </c>
      <c r="M36" t="str">
        <f>IFERROR(_xlfn.XLOOKUP(tblContractTim[[#This Row],[Index]], Contract_Edits[Index], Contract_Edits[Done],), "No")</f>
        <v>No</v>
      </c>
      <c r="N36">
        <f>IFERROR(_xlfn.XLOOKUP(tblContractTim[[#This Row],[Index]], Contract_Edits[Index], Contract_Edits[Paid]), "")</f>
        <v>0</v>
      </c>
      <c r="O36">
        <f>IFERROR(_xlfn.XLOOKUP(tblContractTim[[#This Row],[Index]], Contract_Edits[Index], Contract_Edits[Notes]), 0)</f>
        <v>0</v>
      </c>
      <c r="P36">
        <f>IFERROR( _xlfn.XLOOKUP(tblContractTim[[#This Row],[Index]], Contract_Edits[Index],Contract_Edits[Dep]),174)</f>
        <v>175</v>
      </c>
    </row>
    <row r="37" spans="1:18" ht="45">
      <c r="A37">
        <v>16</v>
      </c>
      <c r="B37" t="s">
        <v>549</v>
      </c>
      <c r="C37" t="s">
        <v>550</v>
      </c>
      <c r="D37" s="458" t="s">
        <v>551</v>
      </c>
      <c r="E37">
        <v>1</v>
      </c>
      <c r="F37">
        <v>3045</v>
      </c>
      <c r="G37" t="s">
        <v>552</v>
      </c>
      <c r="H37" s="176">
        <f>IF(tblContractTim[[#This Row],[Days]]=0, tblContractTim[[#This Row],[Unit Price]], tblContractTim[[#This Row],[Days]] * $R$2 * $R$1)</f>
        <v>1250</v>
      </c>
      <c r="I37">
        <f>IFERROR(_xlfn.XLOOKUP(tblContractTim[[#This Row],[Index]], Contract_Edits[Index], Contract_Edits[Order]), tblContractTim[[#This Row],[Order]])</f>
        <v>65.011200000000002</v>
      </c>
      <c r="J37" s="85" t="str">
        <f>_xlfn.XLOOKUP(tblContractTim[[#This Row],[Index]], Contract_Edits[Index], Contract_Edits[Approve])</f>
        <v>Yes</v>
      </c>
      <c r="K37">
        <f>IFERROR(_xlfn.XLOOKUP(tblContractTim[[#This Row],[Index]], Contract_Edits[Index], Contract_Edits[Group]), tblContractTim[[#This Row],[Group]])</f>
        <v>1</v>
      </c>
      <c r="L37" s="11">
        <f>IFERROR( _xlfn.XLOOKUP(tblContractTim[[#This Row],[Index]], Contract_Edits[Index],Contract_Edits[Days]), 1)</f>
        <v>4</v>
      </c>
      <c r="M37" t="str">
        <f>IFERROR(_xlfn.XLOOKUP(tblContractTim[[#This Row],[Index]], Contract_Edits[Index], Contract_Edits[Done],), "No")</f>
        <v>No</v>
      </c>
      <c r="N37">
        <f>IFERROR(_xlfn.XLOOKUP(tblContractTim[[#This Row],[Index]], Contract_Edits[Index], Contract_Edits[Paid]), "")</f>
        <v>0</v>
      </c>
      <c r="O37" t="str">
        <f>IFERROR(_xlfn.XLOOKUP(tblContractTim[[#This Row],[Index]], Contract_Edits[Index], Contract_Edits[Notes]), 0)</f>
        <v/>
      </c>
      <c r="P37">
        <f>IFERROR( _xlfn.XLOOKUP(tblContractTim[[#This Row],[Index]], Contract_Edits[Index],Contract_Edits[Dep]),174)</f>
        <v>155</v>
      </c>
    </row>
    <row r="38" spans="1:18">
      <c r="A38">
        <v>188</v>
      </c>
      <c r="B38" t="s">
        <v>793</v>
      </c>
      <c r="C38" t="s">
        <v>560</v>
      </c>
      <c r="D38" s="458" t="s">
        <v>1484</v>
      </c>
      <c r="E38">
        <v>1</v>
      </c>
      <c r="G38" t="s">
        <v>552</v>
      </c>
      <c r="H38" s="176">
        <f>IF(tblContractTim[[#This Row],[Days]]=0, tblContractTim[[#This Row],[Unit Price]], tblContractTim[[#This Row],[Days]] * $R$2 * $R$1)</f>
        <v>0</v>
      </c>
      <c r="I38">
        <f>IFERROR(_xlfn.XLOOKUP(tblContractTim[[#This Row],[Index]], Contract_Edits[Index], Contract_Edits[Order]), tblContractTim[[#This Row],[Order]])</f>
        <v>245.02010000000001</v>
      </c>
      <c r="J38" s="85" t="str">
        <f>_xlfn.XLOOKUP(tblContractTim[[#This Row],[Index]], Contract_Edits[Index], Contract_Edits[Approve])</f>
        <v>Yes</v>
      </c>
      <c r="K38">
        <f>IFERROR(_xlfn.XLOOKUP(tblContractTim[[#This Row],[Index]], Contract_Edits[Index], Contract_Edits[Group]), tblContractTim[[#This Row],[Group]])</f>
        <v>0</v>
      </c>
      <c r="L38" s="11">
        <f>IFERROR( _xlfn.XLOOKUP(tblContractTim[[#This Row],[Index]], Contract_Edits[Index],Contract_Edits[Days]), 1)</f>
        <v>0</v>
      </c>
      <c r="M38">
        <f>IFERROR(_xlfn.XLOOKUP(tblContractTim[[#This Row],[Index]], Contract_Edits[Index], Contract_Edits[Done],), "No")</f>
        <v>0</v>
      </c>
      <c r="N38">
        <f>IFERROR(_xlfn.XLOOKUP(tblContractTim[[#This Row],[Index]], Contract_Edits[Index], Contract_Edits[Paid]), "")</f>
        <v>0</v>
      </c>
      <c r="O38">
        <f>IFERROR(_xlfn.XLOOKUP(tblContractTim[[#This Row],[Index]], Contract_Edits[Index], Contract_Edits[Notes]), 0)</f>
        <v>0</v>
      </c>
      <c r="P38">
        <f>IFERROR( _xlfn.XLOOKUP(tblContractTim[[#This Row],[Index]], Contract_Edits[Index],Contract_Edits[Dep]),174)</f>
        <v>196</v>
      </c>
    </row>
    <row r="39" spans="1:18">
      <c r="A39">
        <v>190</v>
      </c>
      <c r="B39" t="s">
        <v>793</v>
      </c>
      <c r="C39" t="s">
        <v>774</v>
      </c>
      <c r="D39" s="458" t="s">
        <v>1456</v>
      </c>
      <c r="E39">
        <v>1</v>
      </c>
      <c r="G39" t="s">
        <v>552</v>
      </c>
      <c r="H39" s="176">
        <f>IF(tblContractTim[[#This Row],[Days]]=0, tblContractTim[[#This Row],[Unit Price]], tblContractTim[[#This Row],[Days]] * $R$2 * $R$1)</f>
        <v>0</v>
      </c>
      <c r="I39">
        <f>IFERROR(_xlfn.XLOOKUP(tblContractTim[[#This Row],[Index]], Contract_Edits[Index], Contract_Edits[Order]), tblContractTim[[#This Row],[Order]])</f>
        <v>175.0104</v>
      </c>
      <c r="J39" s="85" t="str">
        <f>_xlfn.XLOOKUP(tblContractTim[[#This Row],[Index]], Contract_Edits[Index], Contract_Edits[Approve])</f>
        <v>Yes</v>
      </c>
      <c r="K39">
        <f>IFERROR(_xlfn.XLOOKUP(tblContractTim[[#This Row],[Index]], Contract_Edits[Index], Contract_Edits[Group]), tblContractTim[[#This Row],[Group]])</f>
        <v>0</v>
      </c>
      <c r="L39" s="11">
        <f>IFERROR( _xlfn.XLOOKUP(tblContractTim[[#This Row],[Index]], Contract_Edits[Index],Contract_Edits[Days]), 1)</f>
        <v>0</v>
      </c>
      <c r="M39">
        <f>IFERROR(_xlfn.XLOOKUP(tblContractTim[[#This Row],[Index]], Contract_Edits[Index], Contract_Edits[Done],), "No")</f>
        <v>0</v>
      </c>
      <c r="N39">
        <f>IFERROR(_xlfn.XLOOKUP(tblContractTim[[#This Row],[Index]], Contract_Edits[Index], Contract_Edits[Paid]), "")</f>
        <v>0</v>
      </c>
      <c r="O39">
        <f>IFERROR(_xlfn.XLOOKUP(tblContractTim[[#This Row],[Index]], Contract_Edits[Index], Contract_Edits[Notes]), 0)</f>
        <v>0</v>
      </c>
      <c r="P39">
        <f>IFERROR( _xlfn.XLOOKUP(tblContractTim[[#This Row],[Index]], Contract_Edits[Index],Contract_Edits[Dep]),174)</f>
        <v>169</v>
      </c>
    </row>
    <row r="40" spans="1:18">
      <c r="A40">
        <v>197</v>
      </c>
      <c r="B40" t="s">
        <v>793</v>
      </c>
      <c r="C40" t="s">
        <v>560</v>
      </c>
      <c r="D40" s="458" t="s">
        <v>1479</v>
      </c>
      <c r="E40">
        <v>1</v>
      </c>
      <c r="G40" t="s">
        <v>552</v>
      </c>
      <c r="H40" s="176">
        <f>IF(tblContractTim[[#This Row],[Days]]=0, tblContractTim[[#This Row],[Unit Price]], tblContractTim[[#This Row],[Days]] * $R$2 * $R$1)</f>
        <v>0</v>
      </c>
      <c r="I40">
        <f>IFERROR(_xlfn.XLOOKUP(tblContractTim[[#This Row],[Index]], Contract_Edits[Index], Contract_Edits[Order]), tblContractTim[[#This Row],[Order]])</f>
        <v>235.02010000000001</v>
      </c>
      <c r="K40">
        <f>IFERROR(_xlfn.XLOOKUP(tblContractTim[[#This Row],[Index]], Contract_Edits[Index], Contract_Edits[Group]), tblContractTim[[#This Row],[Group]])</f>
        <v>0</v>
      </c>
      <c r="L40" s="11">
        <f>IFERROR( _xlfn.XLOOKUP(tblContractTim[[#This Row],[Index]], Contract_Edits[Index],Contract_Edits[Days]), 1)</f>
        <v>0</v>
      </c>
      <c r="M40">
        <f>IFERROR(_xlfn.XLOOKUP(tblContractTim[[#This Row],[Index]], Contract_Edits[Index], Contract_Edits[Done],), "No")</f>
        <v>0</v>
      </c>
      <c r="N40">
        <f>IFERROR(_xlfn.XLOOKUP(tblContractTim[[#This Row],[Index]], Contract_Edits[Index], Contract_Edits[Paid]), "")</f>
        <v>0</v>
      </c>
      <c r="O40">
        <f>IFERROR(_xlfn.XLOOKUP(tblContractTim[[#This Row],[Index]], Contract_Edits[Index], Contract_Edits[Notes]), 0)</f>
        <v>0</v>
      </c>
      <c r="P40">
        <f>IFERROR( _xlfn.XLOOKUP(tblContractTim[[#This Row],[Index]], Contract_Edits[Index],Contract_Edits[Dep]),174)</f>
        <v>195</v>
      </c>
    </row>
    <row r="41" spans="1:18">
      <c r="A41">
        <v>198</v>
      </c>
      <c r="B41" t="s">
        <v>793</v>
      </c>
      <c r="C41" t="s">
        <v>560</v>
      </c>
      <c r="D41" s="458" t="s">
        <v>1480</v>
      </c>
      <c r="E41">
        <v>1</v>
      </c>
      <c r="G41" t="s">
        <v>552</v>
      </c>
      <c r="H41" s="176">
        <f>IF(tblContractTim[[#This Row],[Days]]=0, tblContractTim[[#This Row],[Unit Price]], tblContractTim[[#This Row],[Days]] * $R$2 * $R$1)</f>
        <v>0</v>
      </c>
      <c r="I41">
        <f>IFERROR(_xlfn.XLOOKUP(tblContractTim[[#This Row],[Index]], Contract_Edits[Index], Contract_Edits[Order]), tblContractTim[[#This Row],[Order]])</f>
        <v>15.020999999999999</v>
      </c>
      <c r="J41" s="85" t="str">
        <f>_xlfn.XLOOKUP(tblContractTim[[#This Row],[Index]], Contract_Edits[Index], Contract_Edits[Approve])</f>
        <v>Yes</v>
      </c>
      <c r="K41">
        <f>IFERROR(_xlfn.XLOOKUP(tblContractTim[[#This Row],[Index]], Contract_Edits[Index], Contract_Edits[Group]), tblContractTim[[#This Row],[Group]])</f>
        <v>0</v>
      </c>
      <c r="L41" s="11">
        <f>IFERROR( _xlfn.XLOOKUP(tblContractTim[[#This Row],[Index]], Contract_Edits[Index],Contract_Edits[Days]), 1)</f>
        <v>0</v>
      </c>
      <c r="M41" t="str">
        <f>IFERROR(_xlfn.XLOOKUP(tblContractTim[[#This Row],[Index]], Contract_Edits[Index], Contract_Edits[Done],), "No")</f>
        <v>Yes</v>
      </c>
      <c r="N41">
        <f>IFERROR(_xlfn.XLOOKUP(tblContractTim[[#This Row],[Index]], Contract_Edits[Index], Contract_Edits[Paid]), "")</f>
        <v>0</v>
      </c>
      <c r="O41">
        <f>IFERROR(_xlfn.XLOOKUP(tblContractTim[[#This Row],[Index]], Contract_Edits[Index], Contract_Edits[Notes]), 0)</f>
        <v>0</v>
      </c>
      <c r="P41">
        <f>IFERROR( _xlfn.XLOOKUP(tblContractTim[[#This Row],[Index]], Contract_Edits[Index],Contract_Edits[Dep]),174)</f>
        <v>151</v>
      </c>
    </row>
    <row r="42" spans="1:18">
      <c r="A42">
        <v>199</v>
      </c>
      <c r="B42" t="s">
        <v>793</v>
      </c>
      <c r="C42" t="s">
        <v>560</v>
      </c>
      <c r="D42" s="458" t="s">
        <v>1483</v>
      </c>
      <c r="E42">
        <v>1</v>
      </c>
      <c r="G42" t="s">
        <v>552</v>
      </c>
      <c r="H42" s="176">
        <f>IF(tblContractTim[[#This Row],[Days]]=0, tblContractTim[[#This Row],[Unit Price]], tblContractTim[[#This Row],[Days]] * $R$2 * $R$1)</f>
        <v>0</v>
      </c>
      <c r="I42">
        <f>IFERROR(_xlfn.XLOOKUP(tblContractTim[[#This Row],[Index]], Contract_Edits[Index], Contract_Edits[Order]), tblContractTim[[#This Row],[Order]])</f>
        <v>235.02020000000002</v>
      </c>
      <c r="J42" s="85" t="str">
        <f>_xlfn.XLOOKUP(tblContractTim[[#This Row],[Index]], Contract_Edits[Index], Contract_Edits[Approve])</f>
        <v>Yes</v>
      </c>
      <c r="K42">
        <f>IFERROR(_xlfn.XLOOKUP(tblContractTim[[#This Row],[Index]], Contract_Edits[Index], Contract_Edits[Group]), tblContractTim[[#This Row],[Group]])</f>
        <v>0</v>
      </c>
      <c r="L42" s="11">
        <f>IFERROR( _xlfn.XLOOKUP(tblContractTim[[#This Row],[Index]], Contract_Edits[Index],Contract_Edits[Days]), 1)</f>
        <v>0</v>
      </c>
      <c r="M42">
        <f>IFERROR(_xlfn.XLOOKUP(tblContractTim[[#This Row],[Index]], Contract_Edits[Index], Contract_Edits[Done],), "No")</f>
        <v>0</v>
      </c>
      <c r="N42">
        <f>IFERROR(_xlfn.XLOOKUP(tblContractTim[[#This Row],[Index]], Contract_Edits[Index], Contract_Edits[Paid]), "")</f>
        <v>0</v>
      </c>
      <c r="O42">
        <f>IFERROR(_xlfn.XLOOKUP(tblContractTim[[#This Row],[Index]], Contract_Edits[Index], Contract_Edits[Notes]), 0)</f>
        <v>0</v>
      </c>
      <c r="P42">
        <f>IFERROR( _xlfn.XLOOKUP(tblContractTim[[#This Row],[Index]], Contract_Edits[Index],Contract_Edits[Dep]),174)</f>
        <v>195</v>
      </c>
    </row>
    <row r="43" spans="1:18">
      <c r="A43">
        <v>206</v>
      </c>
      <c r="B43" t="s">
        <v>793</v>
      </c>
      <c r="C43" t="s">
        <v>625</v>
      </c>
      <c r="D43" s="458" t="s">
        <v>1512</v>
      </c>
      <c r="E43">
        <v>1</v>
      </c>
      <c r="F43">
        <v>1450</v>
      </c>
      <c r="G43" t="s">
        <v>552</v>
      </c>
      <c r="H43" s="176">
        <f>IF(tblContractTim[[#This Row],[Days]]=0, tblContractTim[[#This Row],[Unit Price]], tblContractTim[[#This Row],[Days]] * $R$2 * $R$1)</f>
        <v>1450</v>
      </c>
      <c r="I43">
        <f>IFERROR(_xlfn.XLOOKUP(tblContractTim[[#This Row],[Index]], Contract_Edits[Index], Contract_Edits[Order]), tblContractTim[[#This Row],[Order]])</f>
        <v>65.010900000000007</v>
      </c>
      <c r="K43">
        <f>IFERROR(_xlfn.XLOOKUP(tblContractTim[[#This Row],[Index]], Contract_Edits[Index], Contract_Edits[Group]), tblContractTim[[#This Row],[Group]])</f>
        <v>0</v>
      </c>
      <c r="L43" s="11">
        <f>IFERROR( _xlfn.XLOOKUP(tblContractTim[[#This Row],[Index]], Contract_Edits[Index],Contract_Edits[Days]), 1)</f>
        <v>0</v>
      </c>
      <c r="M43">
        <f>IFERROR(_xlfn.XLOOKUP(tblContractTim[[#This Row],[Index]], Contract_Edits[Index], Contract_Edits[Done],), "No")</f>
        <v>0</v>
      </c>
      <c r="N43">
        <f>IFERROR(_xlfn.XLOOKUP(tblContractTim[[#This Row],[Index]], Contract_Edits[Index], Contract_Edits[Paid]), "")</f>
        <v>0</v>
      </c>
      <c r="O43">
        <f>IFERROR(_xlfn.XLOOKUP(tblContractTim[[#This Row],[Index]], Contract_Edits[Index], Contract_Edits[Notes]), 0)</f>
        <v>0</v>
      </c>
      <c r="P43">
        <f>IFERROR( _xlfn.XLOOKUP(tblContractTim[[#This Row],[Index]], Contract_Edits[Index],Contract_Edits[Dep]),174)</f>
        <v>155</v>
      </c>
    </row>
    <row r="44" spans="1:18">
      <c r="A44">
        <v>207</v>
      </c>
      <c r="B44" t="s">
        <v>793</v>
      </c>
      <c r="C44" t="s">
        <v>625</v>
      </c>
      <c r="D44" s="458" t="s">
        <v>1513</v>
      </c>
      <c r="E44">
        <v>1</v>
      </c>
      <c r="F44">
        <v>125</v>
      </c>
      <c r="G44" t="s">
        <v>552</v>
      </c>
      <c r="H44" s="176">
        <f>IF(tblContractTim[[#This Row],[Days]]=0, tblContractTim[[#This Row],[Unit Price]], tblContractTim[[#This Row],[Days]] * $R$2 * $R$1)</f>
        <v>125</v>
      </c>
      <c r="I44">
        <f>IFERROR(_xlfn.XLOOKUP(tblContractTim[[#This Row],[Index]], Contract_Edits[Index], Contract_Edits[Order]), tblContractTim[[#This Row],[Order]])</f>
        <v>65.010800000000003</v>
      </c>
      <c r="K44">
        <f>IFERROR(_xlfn.XLOOKUP(tblContractTim[[#This Row],[Index]], Contract_Edits[Index], Contract_Edits[Group]), tblContractTim[[#This Row],[Group]])</f>
        <v>0</v>
      </c>
      <c r="L44" s="11">
        <f>IFERROR( _xlfn.XLOOKUP(tblContractTim[[#This Row],[Index]], Contract_Edits[Index],Contract_Edits[Days]), 1)</f>
        <v>0</v>
      </c>
      <c r="M44" t="str">
        <f>IFERROR(_xlfn.XLOOKUP(tblContractTim[[#This Row],[Index]], Contract_Edits[Index], Contract_Edits[Done],), "No")</f>
        <v>Yes</v>
      </c>
      <c r="N44">
        <f>IFERROR(_xlfn.XLOOKUP(tblContractTim[[#This Row],[Index]], Contract_Edits[Index], Contract_Edits[Paid]), "")</f>
        <v>0</v>
      </c>
      <c r="O44">
        <f>IFERROR(_xlfn.XLOOKUP(tblContractTim[[#This Row],[Index]], Contract_Edits[Index], Contract_Edits[Notes]), 0)</f>
        <v>0</v>
      </c>
      <c r="P44">
        <f>IFERROR( _xlfn.XLOOKUP(tblContractTim[[#This Row],[Index]], Contract_Edits[Index],Contract_Edits[Dep]),174)</f>
        <v>155</v>
      </c>
    </row>
    <row r="45" spans="1:18">
      <c r="A45">
        <v>185</v>
      </c>
      <c r="B45" t="s">
        <v>170</v>
      </c>
      <c r="C45" t="s">
        <v>772</v>
      </c>
      <c r="D45" s="458" t="s">
        <v>1444</v>
      </c>
      <c r="E45">
        <v>1</v>
      </c>
      <c r="F45">
        <v>1781.25</v>
      </c>
      <c r="G45" t="s">
        <v>552</v>
      </c>
      <c r="H45" s="176">
        <f>IF(tblContractTim[[#This Row],[Days]]=0, tblContractTim[[#This Row],[Unit Price]], tblContractTim[[#This Row],[Days]] * $R$2 * $R$1)</f>
        <v>1781.25</v>
      </c>
      <c r="I45">
        <f>IFERROR(_xlfn.XLOOKUP(tblContractTim[[#This Row],[Index]], Contract_Edits[Index], Contract_Edits[Order]), tblContractTim[[#This Row],[Order]])</f>
        <v>235.0112</v>
      </c>
      <c r="J45" s="85" t="str">
        <f>_xlfn.XLOOKUP(tblContractTim[[#This Row],[Index]], Contract_Edits[Index], Contract_Edits[Approve])</f>
        <v>Yes</v>
      </c>
      <c r="K45">
        <f>IFERROR(_xlfn.XLOOKUP(tblContractTim[[#This Row],[Index]], Contract_Edits[Index], Contract_Edits[Group]), tblContractTim[[#This Row],[Group]])</f>
        <v>4</v>
      </c>
      <c r="L45" s="11">
        <f>IFERROR( _xlfn.XLOOKUP(tblContractTim[[#This Row],[Index]], Contract_Edits[Index],Contract_Edits[Days]), 1)</f>
        <v>0</v>
      </c>
      <c r="M45">
        <f>IFERROR(_xlfn.XLOOKUP(tblContractTim[[#This Row],[Index]], Contract_Edits[Index], Contract_Edits[Done],), "No")</f>
        <v>0</v>
      </c>
      <c r="N45">
        <f>IFERROR(_xlfn.XLOOKUP(tblContractTim[[#This Row],[Index]], Contract_Edits[Index], Contract_Edits[Paid]), "")</f>
        <v>1781.25</v>
      </c>
      <c r="O45">
        <f>IFERROR(_xlfn.XLOOKUP(tblContractTim[[#This Row],[Index]], Contract_Edits[Index], Contract_Edits[Notes]), 0)</f>
        <v>0</v>
      </c>
      <c r="P45">
        <f>IFERROR( _xlfn.XLOOKUP(tblContractTim[[#This Row],[Index]], Contract_Edits[Index],Contract_Edits[Dep]),174)</f>
        <v>175</v>
      </c>
    </row>
    <row r="46" spans="1:18">
      <c r="A46">
        <v>186</v>
      </c>
      <c r="B46" t="s">
        <v>170</v>
      </c>
      <c r="C46" t="s">
        <v>772</v>
      </c>
      <c r="D46" s="458" t="s">
        <v>1445</v>
      </c>
      <c r="E46">
        <v>1</v>
      </c>
      <c r="F46">
        <v>2375</v>
      </c>
      <c r="G46" t="s">
        <v>552</v>
      </c>
      <c r="H46" s="176">
        <f>IF(tblContractTim[[#This Row],[Days]]=0, tblContractTim[[#This Row],[Unit Price]], tblContractTim[[#This Row],[Days]] * $R$2 * $R$1)</f>
        <v>2375</v>
      </c>
      <c r="I46">
        <f>IFERROR(_xlfn.XLOOKUP(tblContractTim[[#This Row],[Index]], Contract_Edits[Index], Contract_Edits[Order]), tblContractTim[[#This Row],[Order]])</f>
        <v>235.01139999999998</v>
      </c>
      <c r="J46" s="85" t="str">
        <f>_xlfn.XLOOKUP(tblContractTim[[#This Row],[Index]], Contract_Edits[Index], Contract_Edits[Approve])</f>
        <v>Yes</v>
      </c>
      <c r="K46">
        <f>IFERROR(_xlfn.XLOOKUP(tblContractTim[[#This Row],[Index]], Contract_Edits[Index], Contract_Edits[Group]), tblContractTim[[#This Row],[Group]])</f>
        <v>4</v>
      </c>
      <c r="L46" s="11">
        <f>IFERROR( _xlfn.XLOOKUP(tblContractTim[[#This Row],[Index]], Contract_Edits[Index],Contract_Edits[Days]), 1)</f>
        <v>0</v>
      </c>
      <c r="M46">
        <f>IFERROR(_xlfn.XLOOKUP(tblContractTim[[#This Row],[Index]], Contract_Edits[Index], Contract_Edits[Done],), "No")</f>
        <v>0</v>
      </c>
      <c r="N46">
        <f>IFERROR(_xlfn.XLOOKUP(tblContractTim[[#This Row],[Index]], Contract_Edits[Index], Contract_Edits[Paid]), "")</f>
        <v>2375</v>
      </c>
      <c r="O46">
        <f>IFERROR(_xlfn.XLOOKUP(tblContractTim[[#This Row],[Index]], Contract_Edits[Index], Contract_Edits[Notes]), 0)</f>
        <v>0</v>
      </c>
      <c r="P46">
        <f>IFERROR( _xlfn.XLOOKUP(tblContractTim[[#This Row],[Index]], Contract_Edits[Index],Contract_Edits[Dep]),174)</f>
        <v>175</v>
      </c>
    </row>
    <row r="47" spans="1:18">
      <c r="A47">
        <v>187</v>
      </c>
      <c r="B47" t="s">
        <v>170</v>
      </c>
      <c r="C47" t="s">
        <v>772</v>
      </c>
      <c r="D47" s="458" t="s">
        <v>1446</v>
      </c>
      <c r="E47">
        <v>1</v>
      </c>
      <c r="F47">
        <v>1437.5</v>
      </c>
      <c r="G47" t="s">
        <v>552</v>
      </c>
      <c r="H47" s="176">
        <f>IF(tblContractTim[[#This Row],[Days]]=0, tblContractTim[[#This Row],[Unit Price]], tblContractTim[[#This Row],[Days]] * $R$2 * $R$1)</f>
        <v>1437.5</v>
      </c>
      <c r="I47">
        <f>IFERROR(_xlfn.XLOOKUP(tblContractTim[[#This Row],[Index]], Contract_Edits[Index], Contract_Edits[Order]), tblContractTim[[#This Row],[Order]])</f>
        <v>235.01159999999999</v>
      </c>
      <c r="J47" s="85" t="str">
        <f>_xlfn.XLOOKUP(tblContractTim[[#This Row],[Index]], Contract_Edits[Index], Contract_Edits[Approve])</f>
        <v>Yes</v>
      </c>
      <c r="K47">
        <f>IFERROR(_xlfn.XLOOKUP(tblContractTim[[#This Row],[Index]], Contract_Edits[Index], Contract_Edits[Group]), tblContractTim[[#This Row],[Group]])</f>
        <v>4</v>
      </c>
      <c r="L47" s="11">
        <f>IFERROR( _xlfn.XLOOKUP(tblContractTim[[#This Row],[Index]], Contract_Edits[Index],Contract_Edits[Days]), 1)</f>
        <v>0</v>
      </c>
      <c r="M47">
        <f>IFERROR(_xlfn.XLOOKUP(tblContractTim[[#This Row],[Index]], Contract_Edits[Index], Contract_Edits[Done],), "No")</f>
        <v>0</v>
      </c>
      <c r="N47">
        <f>IFERROR(_xlfn.XLOOKUP(tblContractTim[[#This Row],[Index]], Contract_Edits[Index], Contract_Edits[Paid]), "")</f>
        <v>1437.5</v>
      </c>
      <c r="O47">
        <f>IFERROR(_xlfn.XLOOKUP(tblContractTim[[#This Row],[Index]], Contract_Edits[Index], Contract_Edits[Notes]), 0)</f>
        <v>0</v>
      </c>
      <c r="P47">
        <f>IFERROR( _xlfn.XLOOKUP(tblContractTim[[#This Row],[Index]], Contract_Edits[Index],Contract_Edits[Dep]),174)</f>
        <v>175</v>
      </c>
    </row>
    <row r="48" spans="1:18">
      <c r="A48">
        <v>201</v>
      </c>
      <c r="B48" t="s">
        <v>170</v>
      </c>
      <c r="C48" t="s">
        <v>772</v>
      </c>
      <c r="D48" s="458" t="s">
        <v>1487</v>
      </c>
      <c r="E48">
        <v>1</v>
      </c>
      <c r="F48">
        <v>1250</v>
      </c>
      <c r="G48" t="s">
        <v>552</v>
      </c>
      <c r="H48" s="176">
        <f>IF(tblContractTim[[#This Row],[Days]]=0, tblContractTim[[#This Row],[Unit Price]], tblContractTim[[#This Row],[Days]] * $R$2 * $R$1)</f>
        <v>1250</v>
      </c>
      <c r="I48">
        <f>IFERROR(_xlfn.XLOOKUP(tblContractTim[[#This Row],[Index]], Contract_Edits[Index], Contract_Edits[Order]), tblContractTim[[#This Row],[Order]])</f>
        <v>235.01169999999999</v>
      </c>
      <c r="J48" s="85" t="str">
        <f>_xlfn.XLOOKUP(tblContractTim[[#This Row],[Index]], Contract_Edits[Index], Contract_Edits[Approve])</f>
        <v>Yes</v>
      </c>
      <c r="K48">
        <f>IFERROR(_xlfn.XLOOKUP(tblContractTim[[#This Row],[Index]], Contract_Edits[Index], Contract_Edits[Group]), tblContractTim[[#This Row],[Group]])</f>
        <v>0</v>
      </c>
      <c r="L48" s="11">
        <f>IFERROR( _xlfn.XLOOKUP(tblContractTim[[#This Row],[Index]], Contract_Edits[Index],Contract_Edits[Days]), 1)</f>
        <v>0</v>
      </c>
      <c r="M48">
        <f>IFERROR(_xlfn.XLOOKUP(tblContractTim[[#This Row],[Index]], Contract_Edits[Index], Contract_Edits[Done],), "No")</f>
        <v>0</v>
      </c>
      <c r="N48">
        <f>IFERROR(_xlfn.XLOOKUP(tblContractTim[[#This Row],[Index]], Contract_Edits[Index], Contract_Edits[Paid]), "")</f>
        <v>1250</v>
      </c>
      <c r="O48">
        <f>IFERROR(_xlfn.XLOOKUP(tblContractTim[[#This Row],[Index]], Contract_Edits[Index], Contract_Edits[Notes]), 0)</f>
        <v>0</v>
      </c>
      <c r="P48">
        <f>IFERROR( _xlfn.XLOOKUP(tblContractTim[[#This Row],[Index]], Contract_Edits[Index],Contract_Edits[Dep]),174)</f>
        <v>175</v>
      </c>
    </row>
    <row r="49" spans="1:16">
      <c r="A49">
        <v>203</v>
      </c>
      <c r="B49" t="s">
        <v>170</v>
      </c>
      <c r="C49" t="s">
        <v>772</v>
      </c>
      <c r="D49" s="458" t="s">
        <v>1498</v>
      </c>
      <c r="E49">
        <v>1</v>
      </c>
      <c r="F49">
        <v>1250</v>
      </c>
      <c r="G49" t="s">
        <v>552</v>
      </c>
      <c r="H49" s="176">
        <f>IF(tblContractTim[[#This Row],[Days]]=0, tblContractTim[[#This Row],[Unit Price]], tblContractTim[[#This Row],[Days]] * $R$2 * $R$1)</f>
        <v>1250</v>
      </c>
      <c r="I49">
        <f>IFERROR(_xlfn.XLOOKUP(tblContractTim[[#This Row],[Index]], Contract_Edits[Index], Contract_Edits[Order]), tblContractTim[[#This Row],[Order]])</f>
        <v>235.0119</v>
      </c>
      <c r="J49" s="85" t="str">
        <f>_xlfn.XLOOKUP(tblContractTim[[#This Row],[Index]], Contract_Edits[Index], Contract_Edits[Approve])</f>
        <v>Yes</v>
      </c>
      <c r="K49">
        <f>IFERROR(_xlfn.XLOOKUP(tblContractTim[[#This Row],[Index]], Contract_Edits[Index], Contract_Edits[Group]), tblContractTim[[#This Row],[Group]])</f>
        <v>0</v>
      </c>
      <c r="L49" s="11">
        <f>IFERROR( _xlfn.XLOOKUP(tblContractTim[[#This Row],[Index]], Contract_Edits[Index],Contract_Edits[Days]), 1)</f>
        <v>0</v>
      </c>
      <c r="M49">
        <f>IFERROR(_xlfn.XLOOKUP(tblContractTim[[#This Row],[Index]], Contract_Edits[Index], Contract_Edits[Done],), "No")</f>
        <v>0</v>
      </c>
      <c r="N49">
        <f>IFERROR(_xlfn.XLOOKUP(tblContractTim[[#This Row],[Index]], Contract_Edits[Index], Contract_Edits[Paid]), "")</f>
        <v>1250</v>
      </c>
      <c r="O49">
        <f>IFERROR(_xlfn.XLOOKUP(tblContractTim[[#This Row],[Index]], Contract_Edits[Index], Contract_Edits[Notes]), 0)</f>
        <v>0</v>
      </c>
      <c r="P49">
        <f>IFERROR( _xlfn.XLOOKUP(tblContractTim[[#This Row],[Index]], Contract_Edits[Index],Contract_Edits[Dep]),174)</f>
        <v>175</v>
      </c>
    </row>
    <row r="50" spans="1:16">
      <c r="A50">
        <v>204</v>
      </c>
      <c r="B50" t="s">
        <v>170</v>
      </c>
      <c r="C50" t="s">
        <v>772</v>
      </c>
      <c r="D50" s="458" t="s">
        <v>1499</v>
      </c>
      <c r="E50">
        <v>1</v>
      </c>
      <c r="F50">
        <v>593.75</v>
      </c>
      <c r="G50" t="s">
        <v>552</v>
      </c>
      <c r="H50" s="176">
        <f>IF(tblContractTim[[#This Row],[Days]]=0, tblContractTim[[#This Row],[Unit Price]], tblContractTim[[#This Row],[Days]] * $R$2 * $R$1)</f>
        <v>593.75</v>
      </c>
      <c r="I50">
        <f>IFERROR(_xlfn.XLOOKUP(tblContractTim[[#This Row],[Index]], Contract_Edits[Index], Contract_Edits[Order]), tblContractTim[[#This Row],[Order]])</f>
        <v>235.012</v>
      </c>
      <c r="J50" s="85" t="str">
        <f>_xlfn.XLOOKUP(tblContractTim[[#This Row],[Index]], Contract_Edits[Index], Contract_Edits[Approve])</f>
        <v>Yes</v>
      </c>
      <c r="K50">
        <f>IFERROR(_xlfn.XLOOKUP(tblContractTim[[#This Row],[Index]], Contract_Edits[Index], Contract_Edits[Group]), tblContractTim[[#This Row],[Group]])</f>
        <v>0</v>
      </c>
      <c r="L50" s="11">
        <f>IFERROR( _xlfn.XLOOKUP(tblContractTim[[#This Row],[Index]], Contract_Edits[Index],Contract_Edits[Days]), 1)</f>
        <v>0</v>
      </c>
      <c r="M50">
        <f>IFERROR(_xlfn.XLOOKUP(tblContractTim[[#This Row],[Index]], Contract_Edits[Index], Contract_Edits[Done],), "No")</f>
        <v>0</v>
      </c>
      <c r="N50">
        <f>IFERROR(_xlfn.XLOOKUP(tblContractTim[[#This Row],[Index]], Contract_Edits[Index], Contract_Edits[Paid]), "")</f>
        <v>593.75</v>
      </c>
      <c r="O50">
        <f>IFERROR(_xlfn.XLOOKUP(tblContractTim[[#This Row],[Index]], Contract_Edits[Index], Contract_Edits[Notes]), 0)</f>
        <v>0</v>
      </c>
      <c r="P50">
        <f>IFERROR( _xlfn.XLOOKUP(tblContractTim[[#This Row],[Index]], Contract_Edits[Index],Contract_Edits[Dep]),174)</f>
        <v>175</v>
      </c>
    </row>
    <row r="51" spans="1:16">
      <c r="A51">
        <v>205</v>
      </c>
      <c r="B51" t="s">
        <v>170</v>
      </c>
      <c r="C51" t="s">
        <v>772</v>
      </c>
      <c r="D51" s="458" t="s">
        <v>1506</v>
      </c>
      <c r="E51">
        <v>1</v>
      </c>
      <c r="F51">
        <v>1125</v>
      </c>
      <c r="G51" t="s">
        <v>552</v>
      </c>
      <c r="H51" s="176">
        <f>IF(tblContractTim[[#This Row],[Days]]=0, tblContractTim[[#This Row],[Unit Price]], tblContractTim[[#This Row],[Days]] * $R$2 * $R$1)</f>
        <v>1125</v>
      </c>
      <c r="I51">
        <f>IFERROR(_xlfn.XLOOKUP(tblContractTim[[#This Row],[Index]], Contract_Edits[Index], Contract_Edits[Order]), tblContractTim[[#This Row],[Order]])</f>
        <v>235.0121</v>
      </c>
      <c r="K51">
        <f>IFERROR(_xlfn.XLOOKUP(tblContractTim[[#This Row],[Index]], Contract_Edits[Index], Contract_Edits[Group]), tblContractTim[[#This Row],[Group]])</f>
        <v>0</v>
      </c>
      <c r="L51" s="11">
        <f>IFERROR( _xlfn.XLOOKUP(tblContractTim[[#This Row],[Index]], Contract_Edits[Index],Contract_Edits[Days]), 1)</f>
        <v>0</v>
      </c>
      <c r="M51">
        <f>IFERROR(_xlfn.XLOOKUP(tblContractTim[[#This Row],[Index]], Contract_Edits[Index], Contract_Edits[Done],), "No")</f>
        <v>0</v>
      </c>
      <c r="N51">
        <f>IFERROR(_xlfn.XLOOKUP(tblContractTim[[#This Row],[Index]], Contract_Edits[Index], Contract_Edits[Paid]), "")</f>
        <v>0</v>
      </c>
      <c r="O51">
        <f>IFERROR(_xlfn.XLOOKUP(tblContractTim[[#This Row],[Index]], Contract_Edits[Index], Contract_Edits[Notes]), 0)</f>
        <v>0</v>
      </c>
      <c r="P51">
        <f>IFERROR( _xlfn.XLOOKUP(tblContractTim[[#This Row],[Index]], Contract_Edits[Index],Contract_Edits[Dep]),174)</f>
        <v>175</v>
      </c>
    </row>
    <row r="52" spans="1:16">
      <c r="A52">
        <v>211</v>
      </c>
      <c r="B52" t="s">
        <v>508</v>
      </c>
      <c r="C52" t="s">
        <v>772</v>
      </c>
      <c r="D52" s="458" t="s">
        <v>1521</v>
      </c>
      <c r="E52">
        <v>12</v>
      </c>
      <c r="F52">
        <v>62.5</v>
      </c>
      <c r="G52" t="s">
        <v>552</v>
      </c>
      <c r="H52" s="176">
        <f>IF(tblContractTim[[#This Row],[Days]]=0, tblContractTim[[#This Row],[Unit Price]], tblContractTim[[#This Row],[Days]] * $R$2 * $R$1)</f>
        <v>62.5</v>
      </c>
      <c r="I52">
        <f>IFERROR(_xlfn.XLOOKUP(tblContractTim[[#This Row],[Index]], Contract_Edits[Index], Contract_Edits[Order]), tblContractTim[[#This Row],[Order]])</f>
        <v>235.0103</v>
      </c>
      <c r="K52">
        <f>IFERROR(_xlfn.XLOOKUP(tblContractTim[[#This Row],[Index]], Contract_Edits[Index], Contract_Edits[Group]), tblContractTim[[#This Row],[Group]])</f>
        <v>0</v>
      </c>
      <c r="L52" s="11">
        <f>IFERROR( _xlfn.XLOOKUP(tblContractTim[[#This Row],[Index]], Contract_Edits[Index],Contract_Edits[Days]), 1)</f>
        <v>0</v>
      </c>
      <c r="M52" t="str">
        <f>IFERROR(_xlfn.XLOOKUP(tblContractTim[[#This Row],[Index]], Contract_Edits[Index], Contract_Edits[Done],), "No")</f>
        <v>yes</v>
      </c>
      <c r="N52">
        <f>IFERROR(_xlfn.XLOOKUP(tblContractTim[[#This Row],[Index]], Contract_Edits[Index], Contract_Edits[Paid]), "")</f>
        <v>750</v>
      </c>
      <c r="O52">
        <f>IFERROR(_xlfn.XLOOKUP(tblContractTim[[#This Row],[Index]], Contract_Edits[Index], Contract_Edits[Notes]), 0)</f>
        <v>0</v>
      </c>
      <c r="P52">
        <f>IFERROR( _xlfn.XLOOKUP(tblContractTim[[#This Row],[Index]], Contract_Edits[Index],Contract_Edits[Dep]),174)</f>
        <v>175</v>
      </c>
    </row>
  </sheetData>
  <mergeCells count="4">
    <mergeCell ref="I1:P3"/>
    <mergeCell ref="A1:H1"/>
    <mergeCell ref="A2:H2"/>
    <mergeCell ref="A3:H3"/>
  </mergeCell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65AE3-502D-4596-8A7A-D8B365C6FA60}">
  <sheetPr codeName="Sheet30">
    <tabColor rgb="FFFFC000"/>
  </sheetPr>
  <dimension ref="A1:Z74"/>
  <sheetViews>
    <sheetView workbookViewId="0">
      <pane ySplit="4" topLeftCell="A29" activePane="bottomLeft" state="frozen"/>
      <selection activeCell="K89" sqref="K89:L89"/>
      <selection pane="bottomLeft" activeCell="J30" sqref="J30"/>
    </sheetView>
  </sheetViews>
  <sheetFormatPr defaultRowHeight="15"/>
  <cols>
    <col min="1" max="1" width="8.28515625" bestFit="1" customWidth="1"/>
    <col min="2" max="2" width="28.28515625" bestFit="1" customWidth="1"/>
    <col min="3" max="3" width="22.140625" bestFit="1" customWidth="1"/>
    <col min="4" max="4" width="81.140625" bestFit="1" customWidth="1"/>
    <col min="5" max="5" width="6.42578125" bestFit="1" customWidth="1"/>
    <col min="6" max="6" width="12" bestFit="1" customWidth="1"/>
    <col min="7" max="7" width="14.7109375" bestFit="1" customWidth="1"/>
    <col min="8" max="8" width="13.42578125" bestFit="1" customWidth="1"/>
    <col min="9" max="9" width="10.7109375" style="85" bestFit="1" customWidth="1"/>
    <col min="10" max="10" width="10.85546875" bestFit="1" customWidth="1"/>
    <col min="11" max="11" width="8.85546875" bestFit="1" customWidth="1"/>
    <col min="12" max="12" width="7.42578125" style="464" bestFit="1" customWidth="1"/>
    <col min="13" max="13" width="8" bestFit="1" customWidth="1"/>
    <col min="14" max="14" width="7.140625" bestFit="1" customWidth="1"/>
    <col min="15" max="15" width="22.28515625" bestFit="1" customWidth="1"/>
    <col min="16" max="17" width="6.85546875" bestFit="1" customWidth="1"/>
    <col min="18" max="18" width="28.28515625" bestFit="1" customWidth="1"/>
    <col min="19" max="19" width="7.7109375" bestFit="1" customWidth="1"/>
    <col min="20" max="21" width="6.85546875" bestFit="1" customWidth="1"/>
    <col min="22" max="22" width="12.85546875" bestFit="1" customWidth="1"/>
    <col min="23" max="23" width="11" bestFit="1" customWidth="1"/>
    <col min="24" max="29" width="7.140625" bestFit="1" customWidth="1"/>
    <col min="30" max="30" width="11" bestFit="1" customWidth="1"/>
    <col min="31" max="31" width="7.140625" bestFit="1" customWidth="1"/>
  </cols>
  <sheetData>
    <row r="1" spans="1:26" ht="15.75" customHeight="1">
      <c r="A1" s="794" t="str">
        <f>+"These Cells are for the " &amp; 'Gnatt Chart'!D3 &amp; " Contract tab and are protected here. They are modified from the Contract tab"</f>
        <v>These Cells are for the Glasgow DB Contract tab and are protected here. They are modified from the Contract tab</v>
      </c>
      <c r="B1" s="797"/>
      <c r="C1" s="797"/>
      <c r="D1" s="797"/>
      <c r="E1" s="797"/>
      <c r="F1" s="797"/>
      <c r="G1" s="797"/>
      <c r="H1" s="798"/>
      <c r="I1" s="796" t="s">
        <v>792</v>
      </c>
      <c r="J1" s="805"/>
      <c r="K1" s="805"/>
      <c r="L1" s="805"/>
      <c r="M1" s="805"/>
      <c r="N1" s="805"/>
      <c r="O1" s="805"/>
      <c r="P1" s="806"/>
      <c r="S1" s="30" t="s">
        <v>791</v>
      </c>
      <c r="T1" s="15">
        <v>1</v>
      </c>
      <c r="U1" s="48" t="s">
        <v>170</v>
      </c>
      <c r="V1" s="15">
        <v>4</v>
      </c>
      <c r="W1" s="30"/>
      <c r="X1" s="30"/>
      <c r="Y1" s="30"/>
      <c r="Z1" s="30"/>
    </row>
    <row r="2" spans="1:26" ht="15" customHeight="1">
      <c r="A2" s="799"/>
      <c r="B2" s="800"/>
      <c r="C2" s="800"/>
      <c r="D2" s="800"/>
      <c r="E2" s="800"/>
      <c r="F2" s="800"/>
      <c r="G2" s="800"/>
      <c r="H2" s="801"/>
      <c r="I2" s="807"/>
      <c r="J2" s="808"/>
      <c r="K2" s="808"/>
      <c r="L2" s="808"/>
      <c r="M2" s="808"/>
      <c r="N2" s="808"/>
      <c r="O2" s="808"/>
      <c r="P2" s="809"/>
      <c r="S2" s="30" t="s">
        <v>793</v>
      </c>
      <c r="T2" s="15">
        <v>2</v>
      </c>
      <c r="U2" s="30" t="s">
        <v>794</v>
      </c>
      <c r="V2" s="15">
        <v>5</v>
      </c>
      <c r="W2" s="30"/>
      <c r="X2" s="30"/>
      <c r="Y2" s="30"/>
      <c r="Z2" s="30"/>
    </row>
    <row r="3" spans="1:26" ht="15.75" customHeight="1" thickBot="1">
      <c r="A3" s="802"/>
      <c r="B3" s="803"/>
      <c r="C3" s="803"/>
      <c r="D3" s="803"/>
      <c r="E3" s="803"/>
      <c r="F3" s="803"/>
      <c r="G3" s="803"/>
      <c r="H3" s="804"/>
      <c r="I3" s="810"/>
      <c r="J3" s="811"/>
      <c r="K3" s="811"/>
      <c r="L3" s="811"/>
      <c r="M3" s="811"/>
      <c r="N3" s="811"/>
      <c r="O3" s="811"/>
      <c r="P3" s="812"/>
      <c r="S3" s="30" t="s">
        <v>795</v>
      </c>
      <c r="T3" s="30">
        <v>3</v>
      </c>
      <c r="U3" s="30" t="s">
        <v>796</v>
      </c>
      <c r="V3" s="15">
        <v>6</v>
      </c>
      <c r="W3" s="30"/>
      <c r="X3" s="30"/>
      <c r="Y3" s="30"/>
      <c r="Z3" s="30"/>
    </row>
    <row r="4" spans="1:26">
      <c r="A4" t="s">
        <v>509</v>
      </c>
      <c r="B4" t="s">
        <v>510</v>
      </c>
      <c r="C4" t="s">
        <v>511</v>
      </c>
      <c r="D4" t="s">
        <v>512</v>
      </c>
      <c r="E4" t="s">
        <v>513</v>
      </c>
      <c r="F4" t="s">
        <v>514</v>
      </c>
      <c r="G4" t="s">
        <v>515</v>
      </c>
      <c r="H4" t="s">
        <v>783</v>
      </c>
      <c r="I4" s="503" t="s">
        <v>784</v>
      </c>
      <c r="J4" t="s">
        <v>785</v>
      </c>
      <c r="K4" t="s">
        <v>786</v>
      </c>
      <c r="L4" t="s">
        <v>787</v>
      </c>
      <c r="M4" t="s">
        <v>788</v>
      </c>
      <c r="N4" t="s">
        <v>789</v>
      </c>
      <c r="O4" t="s">
        <v>457</v>
      </c>
      <c r="P4" t="s">
        <v>790</v>
      </c>
    </row>
    <row r="5" spans="1:26">
      <c r="A5">
        <v>4</v>
      </c>
      <c r="B5" t="s">
        <v>523</v>
      </c>
      <c r="C5" t="s">
        <v>524</v>
      </c>
      <c r="D5" s="458" t="s">
        <v>525</v>
      </c>
      <c r="E5">
        <v>1</v>
      </c>
      <c r="G5" t="s">
        <v>467</v>
      </c>
      <c r="H5" s="176">
        <v>0</v>
      </c>
      <c r="I5" s="85">
        <f>IFERROR(_xlfn.XLOOKUP(tblContractOthers[[#This Row],[Index]], Contract_Edits[Index], Contract_Edits[Order]), tblContractOthers[[#This Row],[Order]])</f>
        <v>205.01079999999999</v>
      </c>
      <c r="J5" t="str">
        <f>_xlfn.XLOOKUP(tblContractOthers[[#This Row],[Index]], Contract_Edits[Index], Contract_Edits[Approve])</f>
        <v>Yes</v>
      </c>
      <c r="K5">
        <f>IFERROR(_xlfn.XLOOKUP(tblContractOthers[[#This Row],[Index]], Contract_Edits[Index], Contract_Edits[Group]), tblContractOthers[[#This Row],[Group]])</f>
        <v>1</v>
      </c>
      <c r="L5" s="11">
        <f>IFERROR( _xlfn.XLOOKUP(tblContractOthers[[#This Row],[Index]], Contract_Edits[Index],Contract_Edits[Days]), 1)</f>
        <v>1</v>
      </c>
      <c r="M5" t="str">
        <f>IFERROR(_xlfn.XLOOKUP(tblContractOthers[[#This Row],[Index]], Contract_Edits[Index], Contract_Edits[Done],), "No")</f>
        <v>No</v>
      </c>
      <c r="N5">
        <f>IFERROR(_xlfn.XLOOKUP(tblContractOthers[[#This Row],[Index]], Contract_Edits[Index], Contract_Edits[Paid]), 0)</f>
        <v>0</v>
      </c>
      <c r="O5" t="str">
        <f>IFERROR(_xlfn.XLOOKUP(tblContractOthers[[#This Row],[Index]], Contract_Edits[Index], Contract_Edits[Notes]), 0)</f>
        <v>See Profit Tab</v>
      </c>
      <c r="P5">
        <f>IFERROR( _xlfn.XLOOKUP(tblContractOthers[[#This Row],[Index]], Contract_Edits[Index],Contract_Edits[Dep]),174)</f>
        <v>172</v>
      </c>
    </row>
    <row r="6" spans="1:26">
      <c r="A6">
        <v>5</v>
      </c>
      <c r="B6" t="s">
        <v>526</v>
      </c>
      <c r="C6" t="s">
        <v>527</v>
      </c>
      <c r="D6" s="458" t="s">
        <v>528</v>
      </c>
      <c r="E6">
        <v>0</v>
      </c>
      <c r="F6">
        <v>0</v>
      </c>
      <c r="G6" t="s">
        <v>467</v>
      </c>
      <c r="H6" s="176">
        <v>0</v>
      </c>
      <c r="I6" s="85">
        <f>IFERROR(_xlfn.XLOOKUP(tblContractOthers[[#This Row],[Index]], Contract_Edits[Index], Contract_Edits[Order]), tblContractOthers[[#This Row],[Order]])</f>
        <v>9999</v>
      </c>
      <c r="J6" t="str">
        <f>_xlfn.XLOOKUP(tblContractOthers[[#This Row],[Index]], Contract_Edits[Index], Contract_Edits[Approve])</f>
        <v>No</v>
      </c>
      <c r="K6">
        <f>IFERROR(_xlfn.XLOOKUP(tblContractOthers[[#This Row],[Index]], Contract_Edits[Index], Contract_Edits[Group]), tblContractOthers[[#This Row],[Group]])</f>
        <v>1</v>
      </c>
      <c r="L6" s="11">
        <f>IFERROR( _xlfn.XLOOKUP(tblContractOthers[[#This Row],[Index]], Contract_Edits[Index],Contract_Edits[Days]), 1)</f>
        <v>0</v>
      </c>
      <c r="M6" t="str">
        <f>IFERROR(_xlfn.XLOOKUP(tblContractOthers[[#This Row],[Index]], Contract_Edits[Index], Contract_Edits[Done],), "No")</f>
        <v>No</v>
      </c>
      <c r="N6">
        <f>IFERROR(_xlfn.XLOOKUP(tblContractOthers[[#This Row],[Index]], Contract_Edits[Index], Contract_Edits[Paid]), 0)</f>
        <v>0</v>
      </c>
      <c r="O6">
        <f>IFERROR(_xlfn.XLOOKUP(tblContractOthers[[#This Row],[Index]], Contract_Edits[Index], Contract_Edits[Notes]), 0)</f>
        <v>0</v>
      </c>
      <c r="P6">
        <f>IFERROR( _xlfn.XLOOKUP(tblContractOthers[[#This Row],[Index]], Contract_Edits[Index],Contract_Edits[Dep]),174)</f>
        <v>0</v>
      </c>
      <c r="R6" t="s">
        <v>510</v>
      </c>
      <c r="S6" t="s">
        <v>798</v>
      </c>
      <c r="T6" t="s">
        <v>790</v>
      </c>
      <c r="U6" t="s">
        <v>799</v>
      </c>
      <c r="V6" t="s">
        <v>800</v>
      </c>
      <c r="W6" t="s">
        <v>801</v>
      </c>
      <c r="X6" t="s">
        <v>802</v>
      </c>
    </row>
    <row r="7" spans="1:26">
      <c r="A7">
        <v>6</v>
      </c>
      <c r="B7" t="s">
        <v>526</v>
      </c>
      <c r="C7" t="s">
        <v>529</v>
      </c>
      <c r="D7" s="458" t="s">
        <v>530</v>
      </c>
      <c r="E7">
        <v>0</v>
      </c>
      <c r="F7">
        <v>0</v>
      </c>
      <c r="G7" t="s">
        <v>467</v>
      </c>
      <c r="H7" s="176">
        <v>0</v>
      </c>
      <c r="I7" s="85">
        <f>IFERROR(_xlfn.XLOOKUP(tblContractOthers[[#This Row],[Index]], Contract_Edits[Index], Contract_Edits[Order]), tblContractOthers[[#This Row],[Order]])</f>
        <v>9999</v>
      </c>
      <c r="J7" t="str">
        <f>_xlfn.XLOOKUP(tblContractOthers[[#This Row],[Index]], Contract_Edits[Index], Contract_Edits[Approve])</f>
        <v>No</v>
      </c>
      <c r="K7">
        <f>IFERROR(_xlfn.XLOOKUP(tblContractOthers[[#This Row],[Index]], Contract_Edits[Index], Contract_Edits[Group]), tblContractOthers[[#This Row],[Group]])</f>
        <v>1</v>
      </c>
      <c r="L7" s="11">
        <f>IFERROR( _xlfn.XLOOKUP(tblContractOthers[[#This Row],[Index]], Contract_Edits[Index],Contract_Edits[Days]), 1)</f>
        <v>0</v>
      </c>
      <c r="M7">
        <f>IFERROR(_xlfn.XLOOKUP(tblContractOthers[[#This Row],[Index]], Contract_Edits[Index], Contract_Edits[Done],), "No")</f>
        <v>0</v>
      </c>
      <c r="N7">
        <f>IFERROR(_xlfn.XLOOKUP(tblContractOthers[[#This Row],[Index]], Contract_Edits[Index], Contract_Edits[Paid]), 0)</f>
        <v>0</v>
      </c>
      <c r="O7">
        <f>IFERROR(_xlfn.XLOOKUP(tblContractOthers[[#This Row],[Index]], Contract_Edits[Index], Contract_Edits[Notes]), 0)</f>
        <v>0</v>
      </c>
      <c r="P7">
        <f>IFERROR( _xlfn.XLOOKUP(tblContractOthers[[#This Row],[Index]], Contract_Edits[Index],Contract_Edits[Dep]),174)</f>
        <v>0</v>
      </c>
      <c r="R7" t="s">
        <v>744</v>
      </c>
      <c r="S7">
        <v>0</v>
      </c>
      <c r="T7">
        <v>149</v>
      </c>
      <c r="V7" s="465" t="e">
        <f>_xlfn.MAXIFS(#REF!,#REF!,qryCostSummary[[#This Row],[Cost Code]])</f>
        <v>#REF!</v>
      </c>
      <c r="W7" s="465" t="e">
        <f>_xlfn.MAXIFS(#REF!,#REF!,qryCostSummary[[#This Row],[Cost Code]])</f>
        <v>#REF!</v>
      </c>
      <c r="X7" s="185" t="e">
        <f>SUMIFS(#REF!,#REF!,qryCostSummary[[#This Row],[Cost Code]])</f>
        <v>#REF!</v>
      </c>
    </row>
    <row r="8" spans="1:26">
      <c r="A8">
        <v>7</v>
      </c>
      <c r="B8" t="s">
        <v>526</v>
      </c>
      <c r="C8" t="s">
        <v>531</v>
      </c>
      <c r="D8" s="458" t="s">
        <v>532</v>
      </c>
      <c r="E8">
        <v>0</v>
      </c>
      <c r="F8">
        <v>0</v>
      </c>
      <c r="G8" t="s">
        <v>467</v>
      </c>
      <c r="H8" s="176">
        <v>0</v>
      </c>
      <c r="I8" s="85">
        <f>IFERROR(_xlfn.XLOOKUP(tblContractOthers[[#This Row],[Index]], Contract_Edits[Index], Contract_Edits[Order]), tblContractOthers[[#This Row],[Order]])</f>
        <v>9999</v>
      </c>
      <c r="J8" t="str">
        <f>_xlfn.XLOOKUP(tblContractOthers[[#This Row],[Index]], Contract_Edits[Index], Contract_Edits[Approve])</f>
        <v>No</v>
      </c>
      <c r="K8">
        <f>IFERROR(_xlfn.XLOOKUP(tblContractOthers[[#This Row],[Index]], Contract_Edits[Index], Contract_Edits[Group]), tblContractOthers[[#This Row],[Group]])</f>
        <v>1</v>
      </c>
      <c r="L8" s="11">
        <f>IFERROR( _xlfn.XLOOKUP(tblContractOthers[[#This Row],[Index]], Contract_Edits[Index],Contract_Edits[Days]), 1)</f>
        <v>0</v>
      </c>
      <c r="M8">
        <f>IFERROR(_xlfn.XLOOKUP(tblContractOthers[[#This Row],[Index]], Contract_Edits[Index], Contract_Edits[Done],), "No")</f>
        <v>0</v>
      </c>
      <c r="N8">
        <f>IFERROR(_xlfn.XLOOKUP(tblContractOthers[[#This Row],[Index]], Contract_Edits[Index], Contract_Edits[Paid]), 0)</f>
        <v>0</v>
      </c>
      <c r="O8">
        <f>IFERROR(_xlfn.XLOOKUP(tblContractOthers[[#This Row],[Index]], Contract_Edits[Index], Contract_Edits[Notes]), 0)</f>
        <v>0</v>
      </c>
      <c r="P8">
        <f>IFERROR( _xlfn.XLOOKUP(tblContractOthers[[#This Row],[Index]], Contract_Edits[Index],Contract_Edits[Dep]),174)</f>
        <v>0</v>
      </c>
      <c r="R8" t="s">
        <v>517</v>
      </c>
      <c r="S8">
        <v>330</v>
      </c>
      <c r="T8">
        <v>149</v>
      </c>
      <c r="V8" s="465" t="e">
        <f>_xlfn.MAXIFS(#REF!,#REF!,qryCostSummary[[#This Row],[Cost Code]])</f>
        <v>#REF!</v>
      </c>
      <c r="W8" s="465" t="e">
        <f>_xlfn.MAXIFS(#REF!,#REF!,qryCostSummary[[#This Row],[Cost Code]])</f>
        <v>#REF!</v>
      </c>
      <c r="X8" s="185" t="e">
        <f>SUMIFS(#REF!,#REF!,qryCostSummary[[#This Row],[Cost Code]])</f>
        <v>#REF!</v>
      </c>
    </row>
    <row r="9" spans="1:26">
      <c r="A9">
        <v>8</v>
      </c>
      <c r="B9" t="s">
        <v>526</v>
      </c>
      <c r="C9" t="s">
        <v>533</v>
      </c>
      <c r="D9" s="458" t="s">
        <v>534</v>
      </c>
      <c r="E9">
        <v>0</v>
      </c>
      <c r="F9">
        <v>0</v>
      </c>
      <c r="G9" t="s">
        <v>467</v>
      </c>
      <c r="H9" s="176">
        <v>0</v>
      </c>
      <c r="I9" s="85">
        <f>IFERROR(_xlfn.XLOOKUP(tblContractOthers[[#This Row],[Index]], Contract_Edits[Index], Contract_Edits[Order]), tblContractOthers[[#This Row],[Order]])</f>
        <v>9999</v>
      </c>
      <c r="J9" t="str">
        <f>_xlfn.XLOOKUP(tblContractOthers[[#This Row],[Index]], Contract_Edits[Index], Contract_Edits[Approve])</f>
        <v>No</v>
      </c>
      <c r="K9">
        <f>IFERROR(_xlfn.XLOOKUP(tblContractOthers[[#This Row],[Index]], Contract_Edits[Index], Contract_Edits[Group]), tblContractOthers[[#This Row],[Group]])</f>
        <v>1</v>
      </c>
      <c r="L9" s="11">
        <f>IFERROR( _xlfn.XLOOKUP(tblContractOthers[[#This Row],[Index]], Contract_Edits[Index],Contract_Edits[Days]), 1)</f>
        <v>0</v>
      </c>
      <c r="M9">
        <f>IFERROR(_xlfn.XLOOKUP(tblContractOthers[[#This Row],[Index]], Contract_Edits[Index], Contract_Edits[Done],), "No")</f>
        <v>0</v>
      </c>
      <c r="N9">
        <f>IFERROR(_xlfn.XLOOKUP(tblContractOthers[[#This Row],[Index]], Contract_Edits[Index], Contract_Edits[Paid]), 0)</f>
        <v>0</v>
      </c>
      <c r="O9">
        <f>IFERROR(_xlfn.XLOOKUP(tblContractOthers[[#This Row],[Index]], Contract_Edits[Index], Contract_Edits[Notes]), 0)</f>
        <v>0</v>
      </c>
      <c r="P9">
        <f>IFERROR( _xlfn.XLOOKUP(tblContractOthers[[#This Row],[Index]], Contract_Edits[Index],Contract_Edits[Dep]),174)</f>
        <v>0</v>
      </c>
      <c r="R9" t="s">
        <v>521</v>
      </c>
      <c r="S9">
        <v>2900</v>
      </c>
      <c r="T9">
        <v>150</v>
      </c>
      <c r="V9" s="465" t="e">
        <f>_xlfn.MAXIFS(#REF!,#REF!,qryCostSummary[[#This Row],[Cost Code]])</f>
        <v>#REF!</v>
      </c>
      <c r="W9" s="465" t="e">
        <f>_xlfn.MAXIFS(#REF!,#REF!,qryCostSummary[[#This Row],[Cost Code]])</f>
        <v>#REF!</v>
      </c>
      <c r="X9" s="185" t="e">
        <f>SUMIFS(#REF!,#REF!,qryCostSummary[[#This Row],[Cost Code]])</f>
        <v>#REF!</v>
      </c>
    </row>
    <row r="10" spans="1:26">
      <c r="A10">
        <v>9</v>
      </c>
      <c r="B10" t="s">
        <v>526</v>
      </c>
      <c r="C10" t="s">
        <v>535</v>
      </c>
      <c r="D10" s="458" t="s">
        <v>536</v>
      </c>
      <c r="E10">
        <v>0</v>
      </c>
      <c r="F10">
        <v>0</v>
      </c>
      <c r="G10" t="s">
        <v>467</v>
      </c>
      <c r="H10" s="176">
        <v>0</v>
      </c>
      <c r="I10" s="85">
        <f>IFERROR(_xlfn.XLOOKUP(tblContractOthers[[#This Row],[Index]], Contract_Edits[Index], Contract_Edits[Order]), tblContractOthers[[#This Row],[Order]])</f>
        <v>9999</v>
      </c>
      <c r="J10" t="str">
        <f>_xlfn.XLOOKUP(tblContractOthers[[#This Row],[Index]], Contract_Edits[Index], Contract_Edits[Approve])</f>
        <v>No</v>
      </c>
      <c r="K10">
        <f>IFERROR(_xlfn.XLOOKUP(tblContractOthers[[#This Row],[Index]], Contract_Edits[Index], Contract_Edits[Group]), tblContractOthers[[#This Row],[Group]])</f>
        <v>9</v>
      </c>
      <c r="L10" s="11">
        <f>IFERROR( _xlfn.XLOOKUP(tblContractOthers[[#This Row],[Index]], Contract_Edits[Index],Contract_Edits[Days]), 1)</f>
        <v>0</v>
      </c>
      <c r="M10">
        <f>IFERROR(_xlfn.XLOOKUP(tblContractOthers[[#This Row],[Index]], Contract_Edits[Index], Contract_Edits[Done],), "No")</f>
        <v>0</v>
      </c>
      <c r="N10">
        <f>IFERROR(_xlfn.XLOOKUP(tblContractOthers[[#This Row],[Index]], Contract_Edits[Index], Contract_Edits[Paid]), 0)</f>
        <v>0</v>
      </c>
      <c r="O10">
        <f>IFERROR(_xlfn.XLOOKUP(tblContractOthers[[#This Row],[Index]], Contract_Edits[Index], Contract_Edits[Notes]), 0)</f>
        <v>0</v>
      </c>
      <c r="P10">
        <f>IFERROR( _xlfn.XLOOKUP(tblContractOthers[[#This Row],[Index]], Contract_Edits[Index],Contract_Edits[Dep]),174)</f>
        <v>0</v>
      </c>
      <c r="R10" t="s">
        <v>555</v>
      </c>
      <c r="S10">
        <v>870</v>
      </c>
      <c r="T10">
        <v>150</v>
      </c>
      <c r="V10" s="465" t="e">
        <f>_xlfn.MAXIFS(#REF!,#REF!,qryCostSummary[[#This Row],[Cost Code]])</f>
        <v>#REF!</v>
      </c>
      <c r="W10" s="465" t="e">
        <f>_xlfn.MAXIFS(#REF!,#REF!,qryCostSummary[[#This Row],[Cost Code]])</f>
        <v>#REF!</v>
      </c>
      <c r="X10" s="185" t="e">
        <f>SUMIFS(#REF!,#REF!,qryCostSummary[[#This Row],[Cost Code]])</f>
        <v>#REF!</v>
      </c>
    </row>
    <row r="11" spans="1:26" ht="30">
      <c r="A11">
        <v>11</v>
      </c>
      <c r="B11" t="s">
        <v>523</v>
      </c>
      <c r="C11" t="s">
        <v>539</v>
      </c>
      <c r="D11" s="458" t="s">
        <v>540</v>
      </c>
      <c r="E11">
        <v>2250</v>
      </c>
      <c r="F11">
        <v>5.8</v>
      </c>
      <c r="G11" t="s">
        <v>467</v>
      </c>
      <c r="H11" s="176">
        <v>0</v>
      </c>
      <c r="I11" s="85">
        <f>IFERROR(_xlfn.XLOOKUP(tblContractOthers[[#This Row],[Index]], Contract_Edits[Index], Contract_Edits[Order]), tblContractOthers[[#This Row],[Order]])</f>
        <v>195.01079999999999</v>
      </c>
      <c r="J11" t="str">
        <f>_xlfn.XLOOKUP(tblContractOthers[[#This Row],[Index]], Contract_Edits[Index], Contract_Edits[Approve])</f>
        <v>Yes</v>
      </c>
      <c r="K11">
        <f>IFERROR(_xlfn.XLOOKUP(tblContractOthers[[#This Row],[Index]], Contract_Edits[Index], Contract_Edits[Group]), tblContractOthers[[#This Row],[Group]])</f>
        <v>1</v>
      </c>
      <c r="L11" s="11">
        <f>IFERROR( _xlfn.XLOOKUP(tblContractOthers[[#This Row],[Index]], Contract_Edits[Index],Contract_Edits[Days]), 1)</f>
        <v>1</v>
      </c>
      <c r="M11" t="str">
        <f>IFERROR(_xlfn.XLOOKUP(tblContractOthers[[#This Row],[Index]], Contract_Edits[Index], Contract_Edits[Done],), "No")</f>
        <v>No</v>
      </c>
      <c r="N11">
        <f>IFERROR(_xlfn.XLOOKUP(tblContractOthers[[#This Row],[Index]], Contract_Edits[Index], Contract_Edits[Paid]), 0)</f>
        <v>0</v>
      </c>
      <c r="O11" t="str">
        <f>IFERROR(_xlfn.XLOOKUP(tblContractOthers[[#This Row],[Index]], Contract_Edits[Index], Contract_Edits[Notes]), 0)</f>
        <v>See Paint Tab</v>
      </c>
      <c r="P11">
        <f>IFERROR( _xlfn.XLOOKUP(tblContractOthers[[#This Row],[Index]], Contract_Edits[Index],Contract_Edits[Dep]),174)</f>
        <v>171</v>
      </c>
      <c r="R11" t="s">
        <v>639</v>
      </c>
      <c r="S11">
        <v>0</v>
      </c>
      <c r="T11">
        <v>151</v>
      </c>
      <c r="V11" s="465" t="e">
        <f>_xlfn.MAXIFS(#REF!,#REF!,qryCostSummary[[#This Row],[Cost Code]])</f>
        <v>#REF!</v>
      </c>
      <c r="W11" s="465" t="e">
        <f>_xlfn.MAXIFS(#REF!,#REF!,qryCostSummary[[#This Row],[Cost Code]])</f>
        <v>#REF!</v>
      </c>
      <c r="X11" s="185" t="e">
        <f>SUMIFS(#REF!,#REF!,qryCostSummary[[#This Row],[Cost Code]])</f>
        <v>#REF!</v>
      </c>
    </row>
    <row r="12" spans="1:26" ht="30">
      <c r="A12">
        <v>12</v>
      </c>
      <c r="B12" t="s">
        <v>523</v>
      </c>
      <c r="C12" t="s">
        <v>541</v>
      </c>
      <c r="D12" s="458" t="s">
        <v>542</v>
      </c>
      <c r="E12">
        <v>2100</v>
      </c>
      <c r="F12">
        <v>8.6999999999999993</v>
      </c>
      <c r="G12" t="s">
        <v>467</v>
      </c>
      <c r="H12" s="176">
        <v>0</v>
      </c>
      <c r="I12" s="85">
        <f>IFERROR(_xlfn.XLOOKUP(tblContractOthers[[#This Row],[Index]], Contract_Edits[Index], Contract_Edits[Order]), tblContractOthers[[#This Row],[Order]])</f>
        <v>165.0103</v>
      </c>
      <c r="J12" t="str">
        <f>_xlfn.XLOOKUP(tblContractOthers[[#This Row],[Index]], Contract_Edits[Index], Contract_Edits[Approve])</f>
        <v>Yes</v>
      </c>
      <c r="K12">
        <f>IFERROR(_xlfn.XLOOKUP(tblContractOthers[[#This Row],[Index]], Contract_Edits[Index], Contract_Edits[Group]), tblContractOthers[[#This Row],[Group]])</f>
        <v>1</v>
      </c>
      <c r="L12" s="11">
        <f>IFERROR( _xlfn.XLOOKUP(tblContractOthers[[#This Row],[Index]], Contract_Edits[Index],Contract_Edits[Days]), 1)</f>
        <v>1</v>
      </c>
      <c r="M12" t="str">
        <f>IFERROR(_xlfn.XLOOKUP(tblContractOthers[[#This Row],[Index]], Contract_Edits[Index], Contract_Edits[Done],), "No")</f>
        <v>No</v>
      </c>
      <c r="N12">
        <f>IFERROR(_xlfn.XLOOKUP(tblContractOthers[[#This Row],[Index]], Contract_Edits[Index], Contract_Edits[Paid]), 0)</f>
        <v>0</v>
      </c>
      <c r="O12" t="str">
        <f>IFERROR(_xlfn.XLOOKUP(tblContractOthers[[#This Row],[Index]], Contract_Edits[Index], Contract_Edits[Notes]), 0)</f>
        <v>See Flooring Tab</v>
      </c>
      <c r="P12">
        <f>IFERROR( _xlfn.XLOOKUP(tblContractOthers[[#This Row],[Index]], Contract_Edits[Index],Contract_Edits[Dep]),174)</f>
        <v>168</v>
      </c>
      <c r="R12" t="s">
        <v>608</v>
      </c>
      <c r="S12">
        <v>0</v>
      </c>
      <c r="T12">
        <v>151</v>
      </c>
      <c r="V12" s="465" t="e">
        <f>_xlfn.MAXIFS(#REF!,#REF!,qryCostSummary[[#This Row],[Cost Code]])</f>
        <v>#REF!</v>
      </c>
      <c r="W12" s="465" t="e">
        <f>_xlfn.MAXIFS(#REF!,#REF!,qryCostSummary[[#This Row],[Cost Code]])</f>
        <v>#REF!</v>
      </c>
      <c r="X12" s="185" t="e">
        <f>SUMIFS(#REF!,#REF!,qryCostSummary[[#This Row],[Cost Code]])</f>
        <v>#REF!</v>
      </c>
    </row>
    <row r="13" spans="1:26">
      <c r="A13">
        <v>13</v>
      </c>
      <c r="B13" t="s">
        <v>517</v>
      </c>
      <c r="C13" t="s">
        <v>543</v>
      </c>
      <c r="D13" s="458" t="s">
        <v>544</v>
      </c>
      <c r="E13">
        <v>2</v>
      </c>
      <c r="F13">
        <v>362.5</v>
      </c>
      <c r="G13" t="s">
        <v>467</v>
      </c>
      <c r="H13" s="176">
        <v>0</v>
      </c>
      <c r="I13" s="85">
        <f>IFERROR(_xlfn.XLOOKUP(tblContractOthers[[#This Row],[Index]], Contract_Edits[Index], Contract_Edits[Order]), tblContractOthers[[#This Row],[Order]])</f>
        <v>9999</v>
      </c>
      <c r="J13" t="str">
        <f>_xlfn.XLOOKUP(tblContractOthers[[#This Row],[Index]], Contract_Edits[Index], Contract_Edits[Approve])</f>
        <v>No</v>
      </c>
      <c r="K13">
        <f>IFERROR(_xlfn.XLOOKUP(tblContractOthers[[#This Row],[Index]], Contract_Edits[Index], Contract_Edits[Group]), tblContractOthers[[#This Row],[Group]])</f>
        <v>1</v>
      </c>
      <c r="L13" s="11">
        <f>IFERROR( _xlfn.XLOOKUP(tblContractOthers[[#This Row],[Index]], Contract_Edits[Index],Contract_Edits[Days]), 1)</f>
        <v>1</v>
      </c>
      <c r="M13" t="str">
        <f>IFERROR(_xlfn.XLOOKUP(tblContractOthers[[#This Row],[Index]], Contract_Edits[Index], Contract_Edits[Done],), "No")</f>
        <v>No</v>
      </c>
      <c r="N13">
        <f>IFERROR(_xlfn.XLOOKUP(tblContractOthers[[#This Row],[Index]], Contract_Edits[Index], Contract_Edits[Paid]), 0)</f>
        <v>0</v>
      </c>
      <c r="O13" t="str">
        <f>IFERROR(_xlfn.XLOOKUP(tblContractOthers[[#This Row],[Index]], Contract_Edits[Index], Contract_Edits[Notes]), 0)</f>
        <v/>
      </c>
      <c r="P13">
        <f>IFERROR( _xlfn.XLOOKUP(tblContractOthers[[#This Row],[Index]], Contract_Edits[Index],Contract_Edits[Dep]),174)</f>
        <v>0</v>
      </c>
      <c r="R13" t="s">
        <v>587</v>
      </c>
      <c r="S13">
        <v>0</v>
      </c>
      <c r="T13">
        <v>151</v>
      </c>
      <c r="V13" s="465" t="e">
        <f>_xlfn.MAXIFS(#REF!,#REF!,qryCostSummary[[#This Row],[Cost Code]])</f>
        <v>#REF!</v>
      </c>
      <c r="W13" s="465" t="e">
        <f>_xlfn.MAXIFS(#REF!,#REF!,qryCostSummary[[#This Row],[Cost Code]])</f>
        <v>#REF!</v>
      </c>
      <c r="X13" s="185" t="e">
        <f>SUMIFS(#REF!,#REF!,qryCostSummary[[#This Row],[Cost Code]])</f>
        <v>#REF!</v>
      </c>
    </row>
    <row r="14" spans="1:26">
      <c r="A14">
        <v>14</v>
      </c>
      <c r="B14" t="s">
        <v>517</v>
      </c>
      <c r="C14" t="s">
        <v>545</v>
      </c>
      <c r="D14" s="458" t="s">
        <v>546</v>
      </c>
      <c r="E14">
        <v>1</v>
      </c>
      <c r="F14">
        <v>1740</v>
      </c>
      <c r="G14" t="s">
        <v>467</v>
      </c>
      <c r="H14" s="176">
        <v>0</v>
      </c>
      <c r="I14" s="85">
        <f>IFERROR(_xlfn.XLOOKUP(tblContractOthers[[#This Row],[Index]], Contract_Edits[Index], Contract_Edits[Order]), tblContractOthers[[#This Row],[Order]])</f>
        <v>15.020099999999999</v>
      </c>
      <c r="J14" t="str">
        <f>_xlfn.XLOOKUP(tblContractOthers[[#This Row],[Index]], Contract_Edits[Index], Contract_Edits[Approve])</f>
        <v>Yes</v>
      </c>
      <c r="K14">
        <f>IFERROR(_xlfn.XLOOKUP(tblContractOthers[[#This Row],[Index]], Contract_Edits[Index], Contract_Edits[Group]), tblContractOthers[[#This Row],[Group]])</f>
        <v>1</v>
      </c>
      <c r="L14" s="11">
        <f>IFERROR( _xlfn.XLOOKUP(tblContractOthers[[#This Row],[Index]], Contract_Edits[Index],Contract_Edits[Days]), 1)</f>
        <v>0</v>
      </c>
      <c r="M14" t="str">
        <f>IFERROR(_xlfn.XLOOKUP(tblContractOthers[[#This Row],[Index]], Contract_Edits[Index], Contract_Edits[Done],), "No")</f>
        <v>Yes</v>
      </c>
      <c r="N14">
        <f>IFERROR(_xlfn.XLOOKUP(tblContractOthers[[#This Row],[Index]], Contract_Edits[Index], Contract_Edits[Paid]), 0)</f>
        <v>0</v>
      </c>
      <c r="O14" t="str">
        <f>IFERROR(_xlfn.XLOOKUP(tblContractOthers[[#This Row],[Index]], Contract_Edits[Index], Contract_Edits[Notes]), 0)</f>
        <v>See  Demo Tab</v>
      </c>
      <c r="P14">
        <f>IFERROR( _xlfn.XLOOKUP(tblContractOthers[[#This Row],[Index]], Contract_Edits[Index],Contract_Edits[Dep]),174)</f>
        <v>151</v>
      </c>
      <c r="R14" t="s">
        <v>523</v>
      </c>
      <c r="S14">
        <v>11890</v>
      </c>
      <c r="T14">
        <v>154</v>
      </c>
      <c r="V14" s="465" t="e">
        <f>_xlfn.MAXIFS(#REF!,#REF!,qryCostSummary[[#This Row],[Cost Code]])</f>
        <v>#REF!</v>
      </c>
      <c r="W14" s="465" t="e">
        <f>_xlfn.MAXIFS(#REF!,#REF!,qryCostSummary[[#This Row],[Cost Code]])</f>
        <v>#REF!</v>
      </c>
      <c r="X14" s="185" t="e">
        <f>SUMIFS(#REF!,#REF!,qryCostSummary[[#This Row],[Cost Code]])</f>
        <v>#REF!</v>
      </c>
    </row>
    <row r="15" spans="1:26">
      <c r="A15">
        <v>17</v>
      </c>
      <c r="B15" t="s">
        <v>549</v>
      </c>
      <c r="C15" t="s">
        <v>553</v>
      </c>
      <c r="D15" s="458" t="s">
        <v>554</v>
      </c>
      <c r="E15">
        <v>140</v>
      </c>
      <c r="F15">
        <v>17.399999999999999</v>
      </c>
      <c r="G15" t="s">
        <v>467</v>
      </c>
      <c r="H15" s="176">
        <v>0</v>
      </c>
      <c r="I15" s="85">
        <f>IFERROR(_xlfn.XLOOKUP(tblContractOthers[[#This Row],[Index]], Contract_Edits[Index], Contract_Edits[Order]), tblContractOthers[[#This Row],[Order]])</f>
        <v>65.010200000000012</v>
      </c>
      <c r="J15" t="str">
        <f>_xlfn.XLOOKUP(tblContractOthers[[#This Row],[Index]], Contract_Edits[Index], Contract_Edits[Approve])</f>
        <v>Yes</v>
      </c>
      <c r="K15">
        <f>IFERROR(_xlfn.XLOOKUP(tblContractOthers[[#This Row],[Index]], Contract_Edits[Index], Contract_Edits[Group]), tblContractOthers[[#This Row],[Group]])</f>
        <v>1</v>
      </c>
      <c r="L15" s="11">
        <f>IFERROR( _xlfn.XLOOKUP(tblContractOthers[[#This Row],[Index]], Contract_Edits[Index],Contract_Edits[Days]), 1)</f>
        <v>1</v>
      </c>
      <c r="M15" t="str">
        <f>IFERROR(_xlfn.XLOOKUP(tblContractOthers[[#This Row],[Index]], Contract_Edits[Index], Contract_Edits[Done],), "No")</f>
        <v>No</v>
      </c>
      <c r="N15">
        <f>IFERROR(_xlfn.XLOOKUP(tblContractOthers[[#This Row],[Index]], Contract_Edits[Index], Contract_Edits[Paid]), 0)</f>
        <v>0</v>
      </c>
      <c r="O15" t="str">
        <f>IFERROR(_xlfn.XLOOKUP(tblContractOthers[[#This Row],[Index]], Contract_Edits[Index], Contract_Edits[Notes]), 0)</f>
        <v>See Lumber Tab</v>
      </c>
      <c r="P15">
        <f>IFERROR( _xlfn.XLOOKUP(tblContractOthers[[#This Row],[Index]], Contract_Edits[Index],Contract_Edits[Dep]),174)</f>
        <v>155</v>
      </c>
      <c r="R15" t="s">
        <v>549</v>
      </c>
      <c r="S15">
        <v>0</v>
      </c>
      <c r="T15">
        <v>155</v>
      </c>
      <c r="V15" s="465" t="e">
        <f>_xlfn.MAXIFS(#REF!,#REF!,qryCostSummary[[#This Row],[Cost Code]])</f>
        <v>#REF!</v>
      </c>
      <c r="W15" s="465" t="e">
        <f>_xlfn.MAXIFS(#REF!,#REF!,qryCostSummary[[#This Row],[Cost Code]])</f>
        <v>#REF!</v>
      </c>
      <c r="X15" s="185" t="e">
        <f>SUMIFS(#REF!,#REF!,qryCostSummary[[#This Row],[Cost Code]])</f>
        <v>#REF!</v>
      </c>
    </row>
    <row r="16" spans="1:26">
      <c r="A16">
        <v>19</v>
      </c>
      <c r="B16" t="s">
        <v>555</v>
      </c>
      <c r="C16" t="s">
        <v>557</v>
      </c>
      <c r="D16" s="458" t="s">
        <v>558</v>
      </c>
      <c r="E16">
        <v>1</v>
      </c>
      <c r="F16">
        <v>1450</v>
      </c>
      <c r="G16" t="s">
        <v>467</v>
      </c>
      <c r="H16" s="176">
        <v>0</v>
      </c>
      <c r="I16" s="85">
        <f>IFERROR(_xlfn.XLOOKUP(tblContractOthers[[#This Row],[Index]], Contract_Edits[Index], Contract_Edits[Order]), tblContractOthers[[#This Row],[Order]])</f>
        <v>9999</v>
      </c>
      <c r="J16" t="str">
        <f>_xlfn.XLOOKUP(tblContractOthers[[#This Row],[Index]], Contract_Edits[Index], Contract_Edits[Approve])</f>
        <v>No</v>
      </c>
      <c r="K16">
        <f>IFERROR(_xlfn.XLOOKUP(tblContractOthers[[#This Row],[Index]], Contract_Edits[Index], Contract_Edits[Group]), tblContractOthers[[#This Row],[Group]])</f>
        <v>1</v>
      </c>
      <c r="L16" s="11">
        <f>IFERROR( _xlfn.XLOOKUP(tblContractOthers[[#This Row],[Index]], Contract_Edits[Index],Contract_Edits[Days]), 1)</f>
        <v>1</v>
      </c>
      <c r="M16" t="str">
        <f>IFERROR(_xlfn.XLOOKUP(tblContractOthers[[#This Row],[Index]], Contract_Edits[Index], Contract_Edits[Done],), "No")</f>
        <v>No</v>
      </c>
      <c r="N16">
        <f>IFERROR(_xlfn.XLOOKUP(tblContractOthers[[#This Row],[Index]], Contract_Edits[Index], Contract_Edits[Paid]), 0)</f>
        <v>0</v>
      </c>
      <c r="O16" t="str">
        <f>IFERROR(_xlfn.XLOOKUP(tblContractOthers[[#This Row],[Index]], Contract_Edits[Index], Contract_Edits[Notes]), 0)</f>
        <v/>
      </c>
      <c r="P16">
        <f>IFERROR( _xlfn.XLOOKUP(tblContractOthers[[#This Row],[Index]], Contract_Edits[Index],Contract_Edits[Dep]),174)</f>
        <v>170</v>
      </c>
    </row>
    <row r="17" spans="1:16">
      <c r="A17">
        <v>37</v>
      </c>
      <c r="B17" t="s">
        <v>587</v>
      </c>
      <c r="C17" t="s">
        <v>553</v>
      </c>
      <c r="D17" s="458" t="s">
        <v>589</v>
      </c>
      <c r="E17">
        <v>1</v>
      </c>
      <c r="F17">
        <v>290</v>
      </c>
      <c r="G17" t="s">
        <v>467</v>
      </c>
      <c r="H17" s="176">
        <v>0</v>
      </c>
      <c r="I17" s="85">
        <f>IFERROR(_xlfn.XLOOKUP(tblContractOthers[[#This Row],[Index]], Contract_Edits[Index], Contract_Edits[Order]), tblContractOthers[[#This Row],[Order]])</f>
        <v>65.011499999999998</v>
      </c>
      <c r="J17" t="str">
        <f>_xlfn.XLOOKUP(tblContractOthers[[#This Row],[Index]], Contract_Edits[Index], Contract_Edits[Approve])</f>
        <v>Yes</v>
      </c>
      <c r="K17">
        <f>IFERROR(_xlfn.XLOOKUP(tblContractOthers[[#This Row],[Index]], Contract_Edits[Index], Contract_Edits[Group]), tblContractOthers[[#This Row],[Group]])</f>
        <v>1</v>
      </c>
      <c r="L17" s="11">
        <f>IFERROR( _xlfn.XLOOKUP(tblContractOthers[[#This Row],[Index]], Contract_Edits[Index],Contract_Edits[Days]), 1)</f>
        <v>0</v>
      </c>
      <c r="M17" t="str">
        <f>IFERROR(_xlfn.XLOOKUP(tblContractOthers[[#This Row],[Index]], Contract_Edits[Index], Contract_Edits[Done],), "No")</f>
        <v>Yes</v>
      </c>
      <c r="N17">
        <f>IFERROR(_xlfn.XLOOKUP(tblContractOthers[[#This Row],[Index]], Contract_Edits[Index], Contract_Edits[Paid]), 0)</f>
        <v>0</v>
      </c>
      <c r="O17" t="str">
        <f>IFERROR(_xlfn.XLOOKUP(tblContractOthers[[#This Row],[Index]], Contract_Edits[Index], Contract_Edits[Notes]), 0)</f>
        <v>See Lumber Tab</v>
      </c>
      <c r="P17">
        <f>IFERROR( _xlfn.XLOOKUP(tblContractOthers[[#This Row],[Index]], Contract_Edits[Index],Contract_Edits[Dep]),174)</f>
        <v>155</v>
      </c>
    </row>
    <row r="18" spans="1:16">
      <c r="A18">
        <v>42</v>
      </c>
      <c r="B18" t="s">
        <v>587</v>
      </c>
      <c r="C18" t="s">
        <v>596</v>
      </c>
      <c r="D18" s="458" t="s">
        <v>597</v>
      </c>
      <c r="E18">
        <v>1</v>
      </c>
      <c r="F18">
        <v>1181.75</v>
      </c>
      <c r="G18" t="s">
        <v>467</v>
      </c>
      <c r="H18" s="176">
        <v>1181.75</v>
      </c>
      <c r="I18" s="85">
        <f>IFERROR(_xlfn.XLOOKUP(tblContractOthers[[#This Row],[Index]], Contract_Edits[Index], Contract_Edits[Order]), tblContractOthers[[#This Row],[Order]])</f>
        <v>95.0107</v>
      </c>
      <c r="J18" t="str">
        <f>_xlfn.XLOOKUP(tblContractOthers[[#This Row],[Index]], Contract_Edits[Index], Contract_Edits[Approve])</f>
        <v>Yes</v>
      </c>
      <c r="K18">
        <f>IFERROR(_xlfn.XLOOKUP(tblContractOthers[[#This Row],[Index]], Contract_Edits[Index], Contract_Edits[Group]), tblContractOthers[[#This Row],[Group]])</f>
        <v>1</v>
      </c>
      <c r="L18" s="11">
        <f>IFERROR( _xlfn.XLOOKUP(tblContractOthers[[#This Row],[Index]], Contract_Edits[Index],Contract_Edits[Days]), 1)</f>
        <v>1</v>
      </c>
      <c r="M18" t="str">
        <f>IFERROR(_xlfn.XLOOKUP(tblContractOthers[[#This Row],[Index]], Contract_Edits[Index], Contract_Edits[Done],), "No")</f>
        <v>No</v>
      </c>
      <c r="N18">
        <f>IFERROR(_xlfn.XLOOKUP(tblContractOthers[[#This Row],[Index]], Contract_Edits[Index], Contract_Edits[Paid]), 0)</f>
        <v>0</v>
      </c>
      <c r="O18" t="str">
        <f>IFERROR(_xlfn.XLOOKUP(tblContractOthers[[#This Row],[Index]], Contract_Edits[Index], Contract_Edits[Notes]), 0)</f>
        <v/>
      </c>
      <c r="P18">
        <f>IFERROR( _xlfn.XLOOKUP(tblContractOthers[[#This Row],[Index]], Contract_Edits[Index],Contract_Edits[Dep]),174)</f>
        <v>161</v>
      </c>
    </row>
    <row r="19" spans="1:16" ht="45">
      <c r="A19">
        <v>53</v>
      </c>
      <c r="B19" t="s">
        <v>608</v>
      </c>
      <c r="C19" t="s">
        <v>615</v>
      </c>
      <c r="D19" s="458" t="s">
        <v>616</v>
      </c>
      <c r="E19">
        <v>1</v>
      </c>
      <c r="F19">
        <v>5655</v>
      </c>
      <c r="G19" t="s">
        <v>467</v>
      </c>
      <c r="H19" s="176">
        <v>7155</v>
      </c>
      <c r="I19" s="85">
        <f>IFERROR(_xlfn.XLOOKUP(tblContractOthers[[#This Row],[Index]], Contract_Edits[Index], Contract_Edits[Order]), tblContractOthers[[#This Row],[Order]])</f>
        <v>85.020499999999998</v>
      </c>
      <c r="J19" t="str">
        <f>_xlfn.XLOOKUP(tblContractOthers[[#This Row],[Index]], Contract_Edits[Index], Contract_Edits[Approve])</f>
        <v>Yes</v>
      </c>
      <c r="K19">
        <f>IFERROR(_xlfn.XLOOKUP(tblContractOthers[[#This Row],[Index]], Contract_Edits[Index], Contract_Edits[Group]), tblContractOthers[[#This Row],[Group]])</f>
        <v>1</v>
      </c>
      <c r="L19" s="11">
        <f>IFERROR( _xlfn.XLOOKUP(tblContractOthers[[#This Row],[Index]], Contract_Edits[Index],Contract_Edits[Days]), 1)</f>
        <v>3</v>
      </c>
      <c r="M19" t="str">
        <f>IFERROR(_xlfn.XLOOKUP(tblContractOthers[[#This Row],[Index]], Contract_Edits[Index], Contract_Edits[Done],), "No")</f>
        <v>Yes</v>
      </c>
      <c r="N19">
        <f>IFERROR(_xlfn.XLOOKUP(tblContractOthers[[#This Row],[Index]], Contract_Edits[Index], Contract_Edits[Paid]), 0)</f>
        <v>0</v>
      </c>
      <c r="O19" t="str">
        <f>IFERROR(_xlfn.XLOOKUP(tblContractOthers[[#This Row],[Index]], Contract_Edits[Index], Contract_Edits[Notes]), 0)</f>
        <v>add 5000 for excavation</v>
      </c>
      <c r="P19">
        <f>IFERROR( _xlfn.XLOOKUP(tblContractOthers[[#This Row],[Index]], Contract_Edits[Index],Contract_Edits[Dep]),174)</f>
        <v>180</v>
      </c>
    </row>
    <row r="20" spans="1:16">
      <c r="A20">
        <v>55</v>
      </c>
      <c r="B20" t="s">
        <v>608</v>
      </c>
      <c r="C20" t="s">
        <v>553</v>
      </c>
      <c r="D20" s="458" t="s">
        <v>618</v>
      </c>
      <c r="E20">
        <v>1</v>
      </c>
      <c r="F20">
        <v>2537.5</v>
      </c>
      <c r="G20" t="s">
        <v>467</v>
      </c>
      <c r="H20" s="176">
        <v>0</v>
      </c>
      <c r="I20" s="85">
        <f>IFERROR(_xlfn.XLOOKUP(tblContractOthers[[#This Row],[Index]], Contract_Edits[Index], Contract_Edits[Order]), tblContractOthers[[#This Row],[Order]])</f>
        <v>65.010400000000004</v>
      </c>
      <c r="J20" t="str">
        <f>_xlfn.XLOOKUP(tblContractOthers[[#This Row],[Index]], Contract_Edits[Index], Contract_Edits[Approve])</f>
        <v>Yes</v>
      </c>
      <c r="K20">
        <f>IFERROR(_xlfn.XLOOKUP(tblContractOthers[[#This Row],[Index]], Contract_Edits[Index], Contract_Edits[Group]), tblContractOthers[[#This Row],[Group]])</f>
        <v>1</v>
      </c>
      <c r="L20" s="11">
        <f>IFERROR( _xlfn.XLOOKUP(tblContractOthers[[#This Row],[Index]], Contract_Edits[Index],Contract_Edits[Days]), 1)</f>
        <v>0</v>
      </c>
      <c r="M20" t="str">
        <f>IFERROR(_xlfn.XLOOKUP(tblContractOthers[[#This Row],[Index]], Contract_Edits[Index], Contract_Edits[Done],), "No")</f>
        <v>yes</v>
      </c>
      <c r="N20">
        <f>IFERROR(_xlfn.XLOOKUP(tblContractOthers[[#This Row],[Index]], Contract_Edits[Index], Contract_Edits[Paid]), 0)</f>
        <v>0</v>
      </c>
      <c r="O20" t="str">
        <f>IFERROR(_xlfn.XLOOKUP(tblContractOthers[[#This Row],[Index]], Contract_Edits[Index], Contract_Edits[Notes]), 0)</f>
        <v>See Lumber Tab</v>
      </c>
      <c r="P20">
        <f>IFERROR( _xlfn.XLOOKUP(tblContractOthers[[#This Row],[Index]], Contract_Edits[Index],Contract_Edits[Dep]),174)</f>
        <v>155</v>
      </c>
    </row>
    <row r="21" spans="1:16" ht="30">
      <c r="A21">
        <v>59</v>
      </c>
      <c r="B21" t="s">
        <v>608</v>
      </c>
      <c r="C21" t="s">
        <v>596</v>
      </c>
      <c r="D21" s="458" t="s">
        <v>623</v>
      </c>
      <c r="E21">
        <v>1</v>
      </c>
      <c r="F21">
        <v>4640</v>
      </c>
      <c r="G21" t="s">
        <v>467</v>
      </c>
      <c r="H21" s="176">
        <v>4640</v>
      </c>
      <c r="I21" s="85">
        <f>IFERROR(_xlfn.XLOOKUP(tblContractOthers[[#This Row],[Index]], Contract_Edits[Index], Contract_Edits[Order]), tblContractOthers[[#This Row],[Order]])</f>
        <v>95.010600000000011</v>
      </c>
      <c r="J21" t="str">
        <f>_xlfn.XLOOKUP(tblContractOthers[[#This Row],[Index]], Contract_Edits[Index], Contract_Edits[Approve])</f>
        <v>Yes</v>
      </c>
      <c r="K21">
        <f>IFERROR(_xlfn.XLOOKUP(tblContractOthers[[#This Row],[Index]], Contract_Edits[Index], Contract_Edits[Group]), tblContractOthers[[#This Row],[Group]])</f>
        <v>1</v>
      </c>
      <c r="L21" s="11">
        <f>IFERROR( _xlfn.XLOOKUP(tblContractOthers[[#This Row],[Index]], Contract_Edits[Index],Contract_Edits[Days]), 1)</f>
        <v>3</v>
      </c>
      <c r="M21" t="str">
        <f>IFERROR(_xlfn.XLOOKUP(tblContractOthers[[#This Row],[Index]], Contract_Edits[Index], Contract_Edits[Done],), "No")</f>
        <v>No</v>
      </c>
      <c r="N21">
        <f>IFERROR(_xlfn.XLOOKUP(tblContractOthers[[#This Row],[Index]], Contract_Edits[Index], Contract_Edits[Paid]), 0)</f>
        <v>0</v>
      </c>
      <c r="O21" t="str">
        <f>IFERROR(_xlfn.XLOOKUP(tblContractOthers[[#This Row],[Index]], Contract_Edits[Index], Contract_Edits[Notes]), 0)</f>
        <v/>
      </c>
      <c r="P21">
        <f>IFERROR( _xlfn.XLOOKUP(tblContractOthers[[#This Row],[Index]], Contract_Edits[Index],Contract_Edits[Dep]),174)</f>
        <v>161</v>
      </c>
    </row>
    <row r="22" spans="1:16">
      <c r="A22">
        <v>60</v>
      </c>
      <c r="B22" t="s">
        <v>608</v>
      </c>
      <c r="C22" t="s">
        <v>596</v>
      </c>
      <c r="D22" s="458" t="s">
        <v>624</v>
      </c>
      <c r="E22">
        <v>25</v>
      </c>
      <c r="F22">
        <v>36.25</v>
      </c>
      <c r="G22" t="s">
        <v>467</v>
      </c>
      <c r="H22" s="176">
        <v>36.25</v>
      </c>
      <c r="I22" s="85">
        <f>IFERROR(_xlfn.XLOOKUP(tblContractOthers[[#This Row],[Index]], Contract_Edits[Index], Contract_Edits[Order]), tblContractOthers[[#This Row],[Order]])</f>
        <v>95.010300000000001</v>
      </c>
      <c r="J22" t="str">
        <f>_xlfn.XLOOKUP(tblContractOthers[[#This Row],[Index]], Contract_Edits[Index], Contract_Edits[Approve])</f>
        <v>Yes</v>
      </c>
      <c r="K22">
        <f>IFERROR(_xlfn.XLOOKUP(tblContractOthers[[#This Row],[Index]], Contract_Edits[Index], Contract_Edits[Group]), tblContractOthers[[#This Row],[Group]])</f>
        <v>1</v>
      </c>
      <c r="L22" s="11">
        <f>IFERROR( _xlfn.XLOOKUP(tblContractOthers[[#This Row],[Index]], Contract_Edits[Index],Contract_Edits[Days]), 1)</f>
        <v>1</v>
      </c>
      <c r="M22" t="str">
        <f>IFERROR(_xlfn.XLOOKUP(tblContractOthers[[#This Row],[Index]], Contract_Edits[Index], Contract_Edits[Done],), "No")</f>
        <v>No</v>
      </c>
      <c r="N22">
        <f>IFERROR(_xlfn.XLOOKUP(tblContractOthers[[#This Row],[Index]], Contract_Edits[Index], Contract_Edits[Paid]), 0)</f>
        <v>0</v>
      </c>
      <c r="O22" t="str">
        <f>IFERROR(_xlfn.XLOOKUP(tblContractOthers[[#This Row],[Index]], Contract_Edits[Index], Contract_Edits[Notes]), 0)</f>
        <v>See Lumber Tab</v>
      </c>
      <c r="P22">
        <f>IFERROR( _xlfn.XLOOKUP(tblContractOthers[[#This Row],[Index]], Contract_Edits[Index],Contract_Edits[Dep]),174)</f>
        <v>161</v>
      </c>
    </row>
    <row r="23" spans="1:16" ht="30">
      <c r="A23">
        <v>63</v>
      </c>
      <c r="B23" t="s">
        <v>608</v>
      </c>
      <c r="C23" t="s">
        <v>628</v>
      </c>
      <c r="D23" s="458" t="s">
        <v>629</v>
      </c>
      <c r="E23">
        <v>1</v>
      </c>
      <c r="F23">
        <v>5655</v>
      </c>
      <c r="G23" t="s">
        <v>467</v>
      </c>
      <c r="H23" s="176">
        <v>0</v>
      </c>
      <c r="I23" s="85">
        <f>IFERROR(_xlfn.XLOOKUP(tblContractOthers[[#This Row],[Index]], Contract_Edits[Index], Contract_Edits[Order]), tblContractOthers[[#This Row],[Order]])</f>
        <v>115.01060000000001</v>
      </c>
      <c r="J23" t="str">
        <f>_xlfn.XLOOKUP(tblContractOthers[[#This Row],[Index]], Contract_Edits[Index], Contract_Edits[Approve])</f>
        <v>Yes</v>
      </c>
      <c r="K23">
        <f>IFERROR(_xlfn.XLOOKUP(tblContractOthers[[#This Row],[Index]], Contract_Edits[Index], Contract_Edits[Group]), tblContractOthers[[#This Row],[Group]])</f>
        <v>1</v>
      </c>
      <c r="L23" s="11">
        <f>IFERROR( _xlfn.XLOOKUP(tblContractOthers[[#This Row],[Index]], Contract_Edits[Index],Contract_Edits[Days]), 1)</f>
        <v>0</v>
      </c>
      <c r="M23" t="str">
        <f>IFERROR(_xlfn.XLOOKUP(tblContractOthers[[#This Row],[Index]], Contract_Edits[Index], Contract_Edits[Done],), "No")</f>
        <v>No</v>
      </c>
      <c r="N23">
        <f>IFERROR(_xlfn.XLOOKUP(tblContractOthers[[#This Row],[Index]], Contract_Edits[Index], Contract_Edits[Paid]), 0)</f>
        <v>0</v>
      </c>
      <c r="O23" t="str">
        <f>IFERROR(_xlfn.XLOOKUP(tblContractOthers[[#This Row],[Index]], Contract_Edits[Index], Contract_Edits[Notes]), 0)</f>
        <v>See doors Tab</v>
      </c>
      <c r="P23">
        <f>IFERROR( _xlfn.XLOOKUP(tblContractOthers[[#This Row],[Index]], Contract_Edits[Index],Contract_Edits[Dep]),174)</f>
        <v>163</v>
      </c>
    </row>
    <row r="24" spans="1:16">
      <c r="A24">
        <v>77</v>
      </c>
      <c r="B24" t="s">
        <v>639</v>
      </c>
      <c r="C24" t="s">
        <v>553</v>
      </c>
      <c r="D24" s="458" t="s">
        <v>648</v>
      </c>
      <c r="E24">
        <v>1</v>
      </c>
      <c r="F24">
        <v>580</v>
      </c>
      <c r="G24" t="s">
        <v>467</v>
      </c>
      <c r="H24" s="176">
        <v>0</v>
      </c>
      <c r="I24" s="85">
        <f>IFERROR(_xlfn.XLOOKUP(tblContractOthers[[#This Row],[Index]], Contract_Edits[Index], Contract_Edits[Order]), tblContractOthers[[#This Row],[Order]])</f>
        <v>65.01100000000001</v>
      </c>
      <c r="J24" t="str">
        <f>_xlfn.XLOOKUP(tblContractOthers[[#This Row],[Index]], Contract_Edits[Index], Contract_Edits[Approve])</f>
        <v>Yes</v>
      </c>
      <c r="K24">
        <f>IFERROR(_xlfn.XLOOKUP(tblContractOthers[[#This Row],[Index]], Contract_Edits[Index], Contract_Edits[Group]), tblContractOthers[[#This Row],[Group]])</f>
        <v>1</v>
      </c>
      <c r="L24" s="11">
        <f>IFERROR( _xlfn.XLOOKUP(tblContractOthers[[#This Row],[Index]], Contract_Edits[Index],Contract_Edits[Days]), 1)</f>
        <v>0</v>
      </c>
      <c r="M24" t="str">
        <f>IFERROR(_xlfn.XLOOKUP(tblContractOthers[[#This Row],[Index]], Contract_Edits[Index], Contract_Edits[Done],), "No")</f>
        <v>Yes</v>
      </c>
      <c r="N24">
        <f>IFERROR(_xlfn.XLOOKUP(tblContractOthers[[#This Row],[Index]], Contract_Edits[Index], Contract_Edits[Paid]), 0)</f>
        <v>0</v>
      </c>
      <c r="O24" t="str">
        <f>IFERROR(_xlfn.XLOOKUP(tblContractOthers[[#This Row],[Index]], Contract_Edits[Index], Contract_Edits[Notes]), 0)</f>
        <v>See Lumber Tab</v>
      </c>
      <c r="P24">
        <f>IFERROR( _xlfn.XLOOKUP(tblContractOthers[[#This Row],[Index]], Contract_Edits[Index],Contract_Edits[Dep]),174)</f>
        <v>155</v>
      </c>
    </row>
    <row r="25" spans="1:16">
      <c r="A25">
        <v>84</v>
      </c>
      <c r="B25" t="s">
        <v>639</v>
      </c>
      <c r="C25" t="s">
        <v>658</v>
      </c>
      <c r="D25" s="458" t="s">
        <v>659</v>
      </c>
      <c r="E25">
        <v>24</v>
      </c>
      <c r="F25">
        <v>145</v>
      </c>
      <c r="G25" t="s">
        <v>467</v>
      </c>
      <c r="H25" s="176">
        <v>145</v>
      </c>
      <c r="I25" s="85">
        <f>IFERROR(_xlfn.XLOOKUP(tblContractOthers[[#This Row],[Index]], Contract_Edits[Index], Contract_Edits[Order]), tblContractOthers[[#This Row],[Order]])</f>
        <v>95.010500000000008</v>
      </c>
      <c r="J25" t="str">
        <f>_xlfn.XLOOKUP(tblContractOthers[[#This Row],[Index]], Contract_Edits[Index], Contract_Edits[Approve])</f>
        <v>Yes</v>
      </c>
      <c r="K25">
        <f>IFERROR(_xlfn.XLOOKUP(tblContractOthers[[#This Row],[Index]], Contract_Edits[Index], Contract_Edits[Group]), tblContractOthers[[#This Row],[Group]])</f>
        <v>1</v>
      </c>
      <c r="L25" s="11">
        <f>IFERROR( _xlfn.XLOOKUP(tblContractOthers[[#This Row],[Index]], Contract_Edits[Index],Contract_Edits[Days]), 1)</f>
        <v>5</v>
      </c>
      <c r="M25" t="str">
        <f>IFERROR(_xlfn.XLOOKUP(tblContractOthers[[#This Row],[Index]], Contract_Edits[Index], Contract_Edits[Done],), "No")</f>
        <v>No</v>
      </c>
      <c r="N25">
        <f>IFERROR(_xlfn.XLOOKUP(tblContractOthers[[#This Row],[Index]], Contract_Edits[Index], Contract_Edits[Paid]), 0)</f>
        <v>0</v>
      </c>
      <c r="O25" t="str">
        <f>IFERROR(_xlfn.XLOOKUP(tblContractOthers[[#This Row],[Index]], Contract_Edits[Index], Contract_Edits[Notes]), 0)</f>
        <v/>
      </c>
      <c r="P25">
        <f>IFERROR( _xlfn.XLOOKUP(tblContractOthers[[#This Row],[Index]], Contract_Edits[Index],Contract_Edits[Dep]),174)</f>
        <v>161</v>
      </c>
    </row>
    <row r="26" spans="1:16">
      <c r="A26">
        <v>85</v>
      </c>
      <c r="B26" t="s">
        <v>639</v>
      </c>
      <c r="C26" t="s">
        <v>658</v>
      </c>
      <c r="D26" s="458" t="s">
        <v>660</v>
      </c>
      <c r="E26">
        <v>1</v>
      </c>
      <c r="F26">
        <v>870</v>
      </c>
      <c r="G26" t="s">
        <v>467</v>
      </c>
      <c r="H26" s="176">
        <v>870</v>
      </c>
      <c r="I26" s="85">
        <f>IFERROR(_xlfn.XLOOKUP(tblContractOthers[[#This Row],[Index]], Contract_Edits[Index], Contract_Edits[Order]), tblContractOthers[[#This Row],[Order]])</f>
        <v>95.010100000000008</v>
      </c>
      <c r="J26" t="str">
        <f>_xlfn.XLOOKUP(tblContractOthers[[#This Row],[Index]], Contract_Edits[Index], Contract_Edits[Approve])</f>
        <v>Yes</v>
      </c>
      <c r="K26">
        <f>IFERROR(_xlfn.XLOOKUP(tblContractOthers[[#This Row],[Index]], Contract_Edits[Index], Contract_Edits[Group]), tblContractOthers[[#This Row],[Group]])</f>
        <v>1</v>
      </c>
      <c r="L26" s="11">
        <f>IFERROR( _xlfn.XLOOKUP(tblContractOthers[[#This Row],[Index]], Contract_Edits[Index],Contract_Edits[Days]), 1)</f>
        <v>0</v>
      </c>
      <c r="M26" t="str">
        <f>IFERROR(_xlfn.XLOOKUP(tblContractOthers[[#This Row],[Index]], Contract_Edits[Index], Contract_Edits[Done],), "No")</f>
        <v>No</v>
      </c>
      <c r="N26">
        <f>IFERROR(_xlfn.XLOOKUP(tblContractOthers[[#This Row],[Index]], Contract_Edits[Index], Contract_Edits[Paid]), 0)</f>
        <v>0</v>
      </c>
      <c r="O26" t="str">
        <f>IFERROR(_xlfn.XLOOKUP(tblContractOthers[[#This Row],[Index]], Contract_Edits[Index], Contract_Edits[Notes]), 0)</f>
        <v>See Lumber Tab</v>
      </c>
      <c r="P26">
        <f>IFERROR( _xlfn.XLOOKUP(tblContractOthers[[#This Row],[Index]], Contract_Edits[Index],Contract_Edits[Dep]),174)</f>
        <v>161</v>
      </c>
    </row>
    <row r="27" spans="1:16">
      <c r="A27">
        <v>87</v>
      </c>
      <c r="B27" t="s">
        <v>639</v>
      </c>
      <c r="C27" t="s">
        <v>662</v>
      </c>
      <c r="D27" s="458" t="s">
        <v>663</v>
      </c>
      <c r="E27">
        <v>1</v>
      </c>
      <c r="F27">
        <v>2610</v>
      </c>
      <c r="G27" t="s">
        <v>467</v>
      </c>
      <c r="H27" s="176">
        <v>0</v>
      </c>
      <c r="I27" s="85">
        <f>IFERROR(_xlfn.XLOOKUP(tblContractOthers[[#This Row],[Index]], Contract_Edits[Index], Contract_Edits[Order]), tblContractOthers[[#This Row],[Order]])</f>
        <v>115.01090000000001</v>
      </c>
      <c r="J27" t="str">
        <f>_xlfn.XLOOKUP(tblContractOthers[[#This Row],[Index]], Contract_Edits[Index], Contract_Edits[Approve])</f>
        <v>Yes</v>
      </c>
      <c r="K27">
        <f>IFERROR(_xlfn.XLOOKUP(tblContractOthers[[#This Row],[Index]], Contract_Edits[Index], Contract_Edits[Group]), tblContractOthers[[#This Row],[Group]])</f>
        <v>1</v>
      </c>
      <c r="L27" s="11">
        <f>IFERROR( _xlfn.XLOOKUP(tblContractOthers[[#This Row],[Index]], Contract_Edits[Index],Contract_Edits[Days]), 1)</f>
        <v>1</v>
      </c>
      <c r="M27" t="str">
        <f>IFERROR(_xlfn.XLOOKUP(tblContractOthers[[#This Row],[Index]], Contract_Edits[Index], Contract_Edits[Done],), "No")</f>
        <v>No</v>
      </c>
      <c r="N27">
        <f>IFERROR(_xlfn.XLOOKUP(tblContractOthers[[#This Row],[Index]], Contract_Edits[Index], Contract_Edits[Paid]), 0)</f>
        <v>0</v>
      </c>
      <c r="O27" t="str">
        <f>IFERROR(_xlfn.XLOOKUP(tblContractOthers[[#This Row],[Index]], Contract_Edits[Index], Contract_Edits[Notes]), 0)</f>
        <v>See Lumber Tab</v>
      </c>
      <c r="P27">
        <f>IFERROR( _xlfn.XLOOKUP(tblContractOthers[[#This Row],[Index]], Contract_Edits[Index],Contract_Edits[Dep]),174)</f>
        <v>163</v>
      </c>
    </row>
    <row r="28" spans="1:16">
      <c r="A28">
        <v>89</v>
      </c>
      <c r="B28" t="s">
        <v>523</v>
      </c>
      <c r="C28" t="s">
        <v>665</v>
      </c>
      <c r="D28" s="458" t="s">
        <v>666</v>
      </c>
      <c r="E28">
        <v>400</v>
      </c>
      <c r="F28">
        <v>8.6999999999999993</v>
      </c>
      <c r="G28" t="s">
        <v>467</v>
      </c>
      <c r="H28" s="176">
        <v>0</v>
      </c>
      <c r="I28" s="85">
        <f>IFERROR(_xlfn.XLOOKUP(tblContractOthers[[#This Row],[Index]], Contract_Edits[Index], Contract_Edits[Order]), tblContractOthers[[#This Row],[Order]])</f>
        <v>165.0102</v>
      </c>
      <c r="J28" t="str">
        <f>_xlfn.XLOOKUP(tblContractOthers[[#This Row],[Index]], Contract_Edits[Index], Contract_Edits[Approve])</f>
        <v>Yes</v>
      </c>
      <c r="K28">
        <f>IFERROR(_xlfn.XLOOKUP(tblContractOthers[[#This Row],[Index]], Contract_Edits[Index], Contract_Edits[Group]), tblContractOthers[[#This Row],[Group]])</f>
        <v>1</v>
      </c>
      <c r="L28" s="11">
        <f>IFERROR( _xlfn.XLOOKUP(tblContractOthers[[#This Row],[Index]], Contract_Edits[Index],Contract_Edits[Days]), 1)</f>
        <v>1</v>
      </c>
      <c r="M28" t="str">
        <f>IFERROR(_xlfn.XLOOKUP(tblContractOthers[[#This Row],[Index]], Contract_Edits[Index], Contract_Edits[Done],), "No")</f>
        <v>No</v>
      </c>
      <c r="N28">
        <f>IFERROR(_xlfn.XLOOKUP(tblContractOthers[[#This Row],[Index]], Contract_Edits[Index], Contract_Edits[Paid]), 0)</f>
        <v>0</v>
      </c>
      <c r="O28" t="str">
        <f>IFERROR(_xlfn.XLOOKUP(tblContractOthers[[#This Row],[Index]], Contract_Edits[Index], Contract_Edits[Notes]), 0)</f>
        <v>See Flooring Tab</v>
      </c>
      <c r="P28">
        <f>IFERROR( _xlfn.XLOOKUP(tblContractOthers[[#This Row],[Index]], Contract_Edits[Index],Contract_Edits[Dep]),174)</f>
        <v>168</v>
      </c>
    </row>
    <row r="29" spans="1:16" ht="30">
      <c r="A29">
        <v>90</v>
      </c>
      <c r="B29" t="s">
        <v>523</v>
      </c>
      <c r="C29" t="s">
        <v>531</v>
      </c>
      <c r="D29" s="458" t="s">
        <v>667</v>
      </c>
      <c r="E29">
        <v>400</v>
      </c>
      <c r="F29">
        <v>7.25</v>
      </c>
      <c r="G29" t="s">
        <v>467</v>
      </c>
      <c r="H29" s="176">
        <v>0</v>
      </c>
      <c r="I29" s="85">
        <f>IFERROR(_xlfn.XLOOKUP(tblContractOthers[[#This Row],[Index]], Contract_Edits[Index], Contract_Edits[Order]), tblContractOthers[[#This Row],[Order]])</f>
        <v>195.01069999999999</v>
      </c>
      <c r="J29" t="str">
        <f>_xlfn.XLOOKUP(tblContractOthers[[#This Row],[Index]], Contract_Edits[Index], Contract_Edits[Approve])</f>
        <v>Yes</v>
      </c>
      <c r="K29">
        <f>IFERROR(_xlfn.XLOOKUP(tblContractOthers[[#This Row],[Index]], Contract_Edits[Index], Contract_Edits[Group]), tblContractOthers[[#This Row],[Group]])</f>
        <v>1</v>
      </c>
      <c r="L29" s="11">
        <f>IFERROR( _xlfn.XLOOKUP(tblContractOthers[[#This Row],[Index]], Contract_Edits[Index],Contract_Edits[Days]), 1)</f>
        <v>5</v>
      </c>
      <c r="M29" t="str">
        <f>IFERROR(_xlfn.XLOOKUP(tblContractOthers[[#This Row],[Index]], Contract_Edits[Index], Contract_Edits[Done],), "No")</f>
        <v>No</v>
      </c>
      <c r="N29">
        <f>IFERROR(_xlfn.XLOOKUP(tblContractOthers[[#This Row],[Index]], Contract_Edits[Index], Contract_Edits[Paid]), 0)</f>
        <v>0</v>
      </c>
      <c r="O29" t="str">
        <f>IFERROR(_xlfn.XLOOKUP(tblContractOthers[[#This Row],[Index]], Contract_Edits[Index], Contract_Edits[Notes]), 0)</f>
        <v>See Paint Tab</v>
      </c>
      <c r="P29">
        <f>IFERROR( _xlfn.XLOOKUP(tblContractOthers[[#This Row],[Index]], Contract_Edits[Index],Contract_Edits[Dep]),174)</f>
        <v>171</v>
      </c>
    </row>
    <row r="30" spans="1:16" ht="30">
      <c r="A30">
        <v>97</v>
      </c>
      <c r="B30" t="s">
        <v>523</v>
      </c>
      <c r="C30" t="s">
        <v>675</v>
      </c>
      <c r="D30" s="458" t="s">
        <v>676</v>
      </c>
      <c r="E30">
        <v>1</v>
      </c>
      <c r="F30">
        <v>290</v>
      </c>
      <c r="G30" t="s">
        <v>467</v>
      </c>
      <c r="H30" s="176">
        <v>0</v>
      </c>
      <c r="I30" s="85">
        <f>IFERROR(_xlfn.XLOOKUP(tblContractOthers[[#This Row],[Index]], Contract_Edits[Index], Contract_Edits[Order]), tblContractOthers[[#This Row],[Order]])</f>
        <v>225.0102</v>
      </c>
      <c r="J30" t="str">
        <f>_xlfn.XLOOKUP(tblContractOthers[[#This Row],[Index]], Contract_Edits[Index], Contract_Edits[Approve])</f>
        <v>Yes</v>
      </c>
      <c r="K30">
        <f>IFERROR(_xlfn.XLOOKUP(tblContractOthers[[#This Row],[Index]], Contract_Edits[Index], Contract_Edits[Group]), tblContractOthers[[#This Row],[Group]])</f>
        <v>1</v>
      </c>
      <c r="L30" s="11">
        <f>IFERROR( _xlfn.XLOOKUP(tblContractOthers[[#This Row],[Index]], Contract_Edits[Index],Contract_Edits[Days]), 1)</f>
        <v>1</v>
      </c>
      <c r="M30" t="str">
        <f>IFERROR(_xlfn.XLOOKUP(tblContractOthers[[#This Row],[Index]], Contract_Edits[Index], Contract_Edits[Done],), "No")</f>
        <v>No</v>
      </c>
      <c r="N30">
        <f>IFERROR(_xlfn.XLOOKUP(tblContractOthers[[#This Row],[Index]], Contract_Edits[Index], Contract_Edits[Paid]), 0)</f>
        <v>0</v>
      </c>
      <c r="O30" t="str">
        <f>IFERROR(_xlfn.XLOOKUP(tblContractOthers[[#This Row],[Index]], Contract_Edits[Index], Contract_Edits[Notes]), 0)</f>
        <v>See  Demo Tab</v>
      </c>
      <c r="P30">
        <f>IFERROR( _xlfn.XLOOKUP(tblContractOthers[[#This Row],[Index]], Contract_Edits[Index],Contract_Edits[Dep]),174)</f>
        <v>174</v>
      </c>
    </row>
    <row r="31" spans="1:16">
      <c r="A31">
        <v>98</v>
      </c>
      <c r="B31" t="s">
        <v>639</v>
      </c>
      <c r="C31" t="s">
        <v>545</v>
      </c>
      <c r="D31" s="458"/>
      <c r="E31">
        <v>1</v>
      </c>
      <c r="F31">
        <v>1015</v>
      </c>
      <c r="G31" t="s">
        <v>467</v>
      </c>
      <c r="H31" s="176">
        <v>0</v>
      </c>
      <c r="I31" s="85">
        <f>IFERROR(_xlfn.XLOOKUP(tblContractOthers[[#This Row],[Index]], Contract_Edits[Index], Contract_Edits[Order]), tblContractOthers[[#This Row],[Order]])</f>
        <v>15.020299999999999</v>
      </c>
      <c r="J31" t="str">
        <f>_xlfn.XLOOKUP(tblContractOthers[[#This Row],[Index]], Contract_Edits[Index], Contract_Edits[Approve])</f>
        <v>Yes</v>
      </c>
      <c r="K31">
        <f>IFERROR(_xlfn.XLOOKUP(tblContractOthers[[#This Row],[Index]], Contract_Edits[Index], Contract_Edits[Group]), tblContractOthers[[#This Row],[Group]])</f>
        <v>1</v>
      </c>
      <c r="L31" s="11">
        <f>IFERROR( _xlfn.XLOOKUP(tblContractOthers[[#This Row],[Index]], Contract_Edits[Index],Contract_Edits[Days]), 1)</f>
        <v>0</v>
      </c>
      <c r="M31" t="str">
        <f>IFERROR(_xlfn.XLOOKUP(tblContractOthers[[#This Row],[Index]], Contract_Edits[Index], Contract_Edits[Done],), "No")</f>
        <v>Yes</v>
      </c>
      <c r="N31">
        <f>IFERROR(_xlfn.XLOOKUP(tblContractOthers[[#This Row],[Index]], Contract_Edits[Index], Contract_Edits[Paid]), 0)</f>
        <v>0</v>
      </c>
      <c r="O31" t="str">
        <f>IFERROR(_xlfn.XLOOKUP(tblContractOthers[[#This Row],[Index]], Contract_Edits[Index], Contract_Edits[Notes]), 0)</f>
        <v>see Demo Tab</v>
      </c>
      <c r="P31">
        <f>IFERROR( _xlfn.XLOOKUP(tblContractOthers[[#This Row],[Index]], Contract_Edits[Index],Contract_Edits[Dep]),174)</f>
        <v>151</v>
      </c>
    </row>
    <row r="32" spans="1:16">
      <c r="A32">
        <v>103</v>
      </c>
      <c r="B32" t="s">
        <v>521</v>
      </c>
      <c r="C32" t="s">
        <v>553</v>
      </c>
      <c r="D32" s="458" t="s">
        <v>683</v>
      </c>
      <c r="E32">
        <v>1</v>
      </c>
      <c r="F32">
        <v>6525</v>
      </c>
      <c r="G32" t="s">
        <v>467</v>
      </c>
      <c r="H32" s="176">
        <v>0</v>
      </c>
      <c r="I32" s="85">
        <f>IFERROR(_xlfn.XLOOKUP(tblContractOthers[[#This Row],[Index]], Contract_Edits[Index], Contract_Edits[Order]), tblContractOthers[[#This Row],[Order]])</f>
        <v>65.010300000000001</v>
      </c>
      <c r="J32" t="str">
        <f>_xlfn.XLOOKUP(tblContractOthers[[#This Row],[Index]], Contract_Edits[Index], Contract_Edits[Approve])</f>
        <v>Yes</v>
      </c>
      <c r="K32">
        <f>IFERROR(_xlfn.XLOOKUP(tblContractOthers[[#This Row],[Index]], Contract_Edits[Index], Contract_Edits[Group]), tblContractOthers[[#This Row],[Group]])</f>
        <v>1</v>
      </c>
      <c r="L32" s="11">
        <f>IFERROR( _xlfn.XLOOKUP(tblContractOthers[[#This Row],[Index]], Contract_Edits[Index],Contract_Edits[Days]), 1)</f>
        <v>0</v>
      </c>
      <c r="M32" t="str">
        <f>IFERROR(_xlfn.XLOOKUP(tblContractOthers[[#This Row],[Index]], Contract_Edits[Index], Contract_Edits[Done],), "No")</f>
        <v>No</v>
      </c>
      <c r="N32">
        <f>IFERROR(_xlfn.XLOOKUP(tblContractOthers[[#This Row],[Index]], Contract_Edits[Index], Contract_Edits[Paid]), 0)</f>
        <v>0</v>
      </c>
      <c r="O32" t="str">
        <f>IFERROR(_xlfn.XLOOKUP(tblContractOthers[[#This Row],[Index]], Contract_Edits[Index], Contract_Edits[Notes]), 0)</f>
        <v>See Lumber Tab</v>
      </c>
      <c r="P32">
        <f>IFERROR( _xlfn.XLOOKUP(tblContractOthers[[#This Row],[Index]], Contract_Edits[Index],Contract_Edits[Dep]),174)</f>
        <v>155</v>
      </c>
    </row>
    <row r="33" spans="1:16">
      <c r="A33">
        <v>115</v>
      </c>
      <c r="B33" t="s">
        <v>521</v>
      </c>
      <c r="C33" t="s">
        <v>596</v>
      </c>
      <c r="D33" s="458" t="s">
        <v>698</v>
      </c>
      <c r="E33">
        <v>1</v>
      </c>
      <c r="F33">
        <v>580</v>
      </c>
      <c r="G33" t="s">
        <v>467</v>
      </c>
      <c r="H33" s="176">
        <v>0</v>
      </c>
      <c r="I33" s="85">
        <f>IFERROR(_xlfn.XLOOKUP(tblContractOthers[[#This Row],[Index]], Contract_Edits[Index], Contract_Edits[Order]), tblContractOthers[[#This Row],[Order]])</f>
        <v>95.010200000000012</v>
      </c>
      <c r="J33" t="str">
        <f>_xlfn.XLOOKUP(tblContractOthers[[#This Row],[Index]], Contract_Edits[Index], Contract_Edits[Approve])</f>
        <v>Yes</v>
      </c>
      <c r="K33">
        <f>IFERROR(_xlfn.XLOOKUP(tblContractOthers[[#This Row],[Index]], Contract_Edits[Index], Contract_Edits[Group]), tblContractOthers[[#This Row],[Group]])</f>
        <v>1</v>
      </c>
      <c r="L33" s="11">
        <f>IFERROR( _xlfn.XLOOKUP(tblContractOthers[[#This Row],[Index]], Contract_Edits[Index],Contract_Edits[Days]), 1)</f>
        <v>1</v>
      </c>
      <c r="M33" t="str">
        <f>IFERROR(_xlfn.XLOOKUP(tblContractOthers[[#This Row],[Index]], Contract_Edits[Index], Contract_Edits[Done],), "No")</f>
        <v>No</v>
      </c>
      <c r="N33">
        <f>IFERROR(_xlfn.XLOOKUP(tblContractOthers[[#This Row],[Index]], Contract_Edits[Index], Contract_Edits[Paid]), 0)</f>
        <v>0</v>
      </c>
      <c r="O33" t="str">
        <f>IFERROR(_xlfn.XLOOKUP(tblContractOthers[[#This Row],[Index]], Contract_Edits[Index], Contract_Edits[Notes]), 0)</f>
        <v>See Lumber Tab</v>
      </c>
      <c r="P33">
        <f>IFERROR( _xlfn.XLOOKUP(tblContractOthers[[#This Row],[Index]], Contract_Edits[Index],Contract_Edits[Dep]),174)</f>
        <v>161</v>
      </c>
    </row>
    <row r="34" spans="1:16" ht="30">
      <c r="A34">
        <v>119</v>
      </c>
      <c r="B34" t="s">
        <v>523</v>
      </c>
      <c r="C34" t="s">
        <v>531</v>
      </c>
      <c r="D34" s="458" t="s">
        <v>704</v>
      </c>
      <c r="E34">
        <v>1</v>
      </c>
      <c r="F34">
        <v>6090</v>
      </c>
      <c r="G34" t="s">
        <v>467</v>
      </c>
      <c r="H34" s="176">
        <v>0</v>
      </c>
      <c r="I34" s="85">
        <f>IFERROR(_xlfn.XLOOKUP(tblContractOthers[[#This Row],[Index]], Contract_Edits[Index], Contract_Edits[Order]), tblContractOthers[[#This Row],[Order]])</f>
        <v>195.01049999999998</v>
      </c>
      <c r="J34" t="str">
        <f>_xlfn.XLOOKUP(tblContractOthers[[#This Row],[Index]], Contract_Edits[Index], Contract_Edits[Approve])</f>
        <v>Yes</v>
      </c>
      <c r="K34">
        <f>IFERROR(_xlfn.XLOOKUP(tblContractOthers[[#This Row],[Index]], Contract_Edits[Index], Contract_Edits[Group]), tblContractOthers[[#This Row],[Group]])</f>
        <v>1</v>
      </c>
      <c r="L34" s="11">
        <f>IFERROR( _xlfn.XLOOKUP(tblContractOthers[[#This Row],[Index]], Contract_Edits[Index],Contract_Edits[Days]), 1)</f>
        <v>1</v>
      </c>
      <c r="M34" t="str">
        <f>IFERROR(_xlfn.XLOOKUP(tblContractOthers[[#This Row],[Index]], Contract_Edits[Index], Contract_Edits[Done],), "No")</f>
        <v>No</v>
      </c>
      <c r="N34">
        <f>IFERROR(_xlfn.XLOOKUP(tblContractOthers[[#This Row],[Index]], Contract_Edits[Index], Contract_Edits[Paid]), 0)</f>
        <v>0</v>
      </c>
      <c r="O34" t="str">
        <f>IFERROR(_xlfn.XLOOKUP(tblContractOthers[[#This Row],[Index]], Contract_Edits[Index], Contract_Edits[Notes]), 0)</f>
        <v>See Paint Tab</v>
      </c>
      <c r="P34">
        <f>IFERROR( _xlfn.XLOOKUP(tblContractOthers[[#This Row],[Index]], Contract_Edits[Index],Contract_Edits[Dep]),174)</f>
        <v>171</v>
      </c>
    </row>
    <row r="35" spans="1:16">
      <c r="A35">
        <v>121</v>
      </c>
      <c r="B35" t="s">
        <v>523</v>
      </c>
      <c r="C35" t="s">
        <v>665</v>
      </c>
      <c r="D35" s="458" t="s">
        <v>708</v>
      </c>
      <c r="E35">
        <v>1</v>
      </c>
      <c r="F35">
        <v>870</v>
      </c>
      <c r="G35" t="s">
        <v>467</v>
      </c>
      <c r="H35" s="176">
        <v>0</v>
      </c>
      <c r="I35" s="85">
        <f>IFERROR(_xlfn.XLOOKUP(tblContractOthers[[#This Row],[Index]], Contract_Edits[Index], Contract_Edits[Order]), tblContractOthers[[#This Row],[Order]])</f>
        <v>165.01009999999999</v>
      </c>
      <c r="J35" t="str">
        <f>_xlfn.XLOOKUP(tblContractOthers[[#This Row],[Index]], Contract_Edits[Index], Contract_Edits[Approve])</f>
        <v>Yes</v>
      </c>
      <c r="K35">
        <f>IFERROR(_xlfn.XLOOKUP(tblContractOthers[[#This Row],[Index]], Contract_Edits[Index], Contract_Edits[Group]), tblContractOthers[[#This Row],[Group]])</f>
        <v>1</v>
      </c>
      <c r="L35" s="11">
        <f>IFERROR( _xlfn.XLOOKUP(tblContractOthers[[#This Row],[Index]], Contract_Edits[Index],Contract_Edits[Days]), 1)</f>
        <v>2</v>
      </c>
      <c r="M35" t="str">
        <f>IFERROR(_xlfn.XLOOKUP(tblContractOthers[[#This Row],[Index]], Contract_Edits[Index], Contract_Edits[Done],), "No")</f>
        <v>No</v>
      </c>
      <c r="N35">
        <f>IFERROR(_xlfn.XLOOKUP(tblContractOthers[[#This Row],[Index]], Contract_Edits[Index], Contract_Edits[Paid]), 0)</f>
        <v>0</v>
      </c>
      <c r="O35" t="str">
        <f>IFERROR(_xlfn.XLOOKUP(tblContractOthers[[#This Row],[Index]], Contract_Edits[Index], Contract_Edits[Notes]), 0)</f>
        <v>See Flooring Tab</v>
      </c>
      <c r="P35">
        <f>IFERROR( _xlfn.XLOOKUP(tblContractOthers[[#This Row],[Index]], Contract_Edits[Index],Contract_Edits[Dep]),174)</f>
        <v>168</v>
      </c>
    </row>
    <row r="36" spans="1:16">
      <c r="A36">
        <v>124</v>
      </c>
      <c r="B36" t="s">
        <v>521</v>
      </c>
      <c r="C36" t="s">
        <v>545</v>
      </c>
      <c r="D36" s="458" t="s">
        <v>710</v>
      </c>
      <c r="E36">
        <v>1</v>
      </c>
      <c r="F36">
        <v>1450</v>
      </c>
      <c r="G36" t="s">
        <v>467</v>
      </c>
      <c r="H36" s="176">
        <v>0</v>
      </c>
      <c r="I36" s="85">
        <f>IFERROR(_xlfn.XLOOKUP(tblContractOthers[[#This Row],[Index]], Contract_Edits[Index], Contract_Edits[Order]), tblContractOthers[[#This Row],[Order]])</f>
        <v>225.0103</v>
      </c>
      <c r="J36" t="str">
        <f>_xlfn.XLOOKUP(tblContractOthers[[#This Row],[Index]], Contract_Edits[Index], Contract_Edits[Approve])</f>
        <v>Yes</v>
      </c>
      <c r="K36">
        <f>IFERROR(_xlfn.XLOOKUP(tblContractOthers[[#This Row],[Index]], Contract_Edits[Index], Contract_Edits[Group]), tblContractOthers[[#This Row],[Group]])</f>
        <v>1</v>
      </c>
      <c r="L36" s="11">
        <f>IFERROR( _xlfn.XLOOKUP(tblContractOthers[[#This Row],[Index]], Contract_Edits[Index],Contract_Edits[Days]), 1)</f>
        <v>0</v>
      </c>
      <c r="M36" t="str">
        <f>IFERROR(_xlfn.XLOOKUP(tblContractOthers[[#This Row],[Index]], Contract_Edits[Index], Contract_Edits[Done],), "No")</f>
        <v>No</v>
      </c>
      <c r="N36">
        <f>IFERROR(_xlfn.XLOOKUP(tblContractOthers[[#This Row],[Index]], Contract_Edits[Index], Contract_Edits[Paid]), 0)</f>
        <v>0</v>
      </c>
      <c r="O36">
        <f>IFERROR(_xlfn.XLOOKUP(tblContractOthers[[#This Row],[Index]], Contract_Edits[Index], Contract_Edits[Notes]), 0)</f>
        <v>0</v>
      </c>
      <c r="P36">
        <f>IFERROR( _xlfn.XLOOKUP(tblContractOthers[[#This Row],[Index]], Contract_Edits[Index],Contract_Edits[Dep]),174)</f>
        <v>174</v>
      </c>
    </row>
    <row r="37" spans="1:16">
      <c r="A37">
        <v>125</v>
      </c>
      <c r="B37" t="s">
        <v>523</v>
      </c>
      <c r="C37" t="s">
        <v>675</v>
      </c>
      <c r="D37" s="458" t="s">
        <v>711</v>
      </c>
      <c r="E37">
        <v>1</v>
      </c>
      <c r="F37">
        <v>108.75</v>
      </c>
      <c r="G37" t="s">
        <v>467</v>
      </c>
      <c r="H37" s="176">
        <v>0</v>
      </c>
      <c r="I37" s="85">
        <f>IFERROR(_xlfn.XLOOKUP(tblContractOthers[[#This Row],[Index]], Contract_Edits[Index], Contract_Edits[Order]), tblContractOthers[[#This Row],[Order]])</f>
        <v>225.01009999999999</v>
      </c>
      <c r="J37" t="str">
        <f>_xlfn.XLOOKUP(tblContractOthers[[#This Row],[Index]], Contract_Edits[Index], Contract_Edits[Approve])</f>
        <v>Yes</v>
      </c>
      <c r="K37">
        <f>IFERROR(_xlfn.XLOOKUP(tblContractOthers[[#This Row],[Index]], Contract_Edits[Index], Contract_Edits[Group]), tblContractOthers[[#This Row],[Group]])</f>
        <v>1</v>
      </c>
      <c r="L37" s="11">
        <f>IFERROR( _xlfn.XLOOKUP(tblContractOthers[[#This Row],[Index]], Contract_Edits[Index],Contract_Edits[Days]), 1)</f>
        <v>1</v>
      </c>
      <c r="M37" t="str">
        <f>IFERROR(_xlfn.XLOOKUP(tblContractOthers[[#This Row],[Index]], Contract_Edits[Index], Contract_Edits[Done],), "No")</f>
        <v>No</v>
      </c>
      <c r="N37">
        <f>IFERROR(_xlfn.XLOOKUP(tblContractOthers[[#This Row],[Index]], Contract_Edits[Index], Contract_Edits[Paid]), 0)</f>
        <v>0</v>
      </c>
      <c r="O37" t="str">
        <f>IFERROR(_xlfn.XLOOKUP(tblContractOthers[[#This Row],[Index]], Contract_Edits[Index], Contract_Edits[Notes]), 0)</f>
        <v>see Demo Tab</v>
      </c>
      <c r="P37">
        <f>IFERROR( _xlfn.XLOOKUP(tblContractOthers[[#This Row],[Index]], Contract_Edits[Index],Contract_Edits[Dep]),174)</f>
        <v>174</v>
      </c>
    </row>
    <row r="38" spans="1:16">
      <c r="A38">
        <v>127</v>
      </c>
      <c r="B38" t="s">
        <v>608</v>
      </c>
      <c r="C38" t="s">
        <v>577</v>
      </c>
      <c r="D38" s="458" t="s">
        <v>713</v>
      </c>
      <c r="E38">
        <v>1</v>
      </c>
      <c r="F38">
        <v>870</v>
      </c>
      <c r="G38" t="s">
        <v>467</v>
      </c>
      <c r="H38" s="176">
        <v>0</v>
      </c>
      <c r="I38" s="85">
        <f>IFERROR(_xlfn.XLOOKUP(tblContractOthers[[#This Row],[Index]], Contract_Edits[Index], Contract_Edits[Order]), tblContractOthers[[#This Row],[Order]])</f>
        <v>205.0103</v>
      </c>
      <c r="J38" t="str">
        <f>_xlfn.XLOOKUP(tblContractOthers[[#This Row],[Index]], Contract_Edits[Index], Contract_Edits[Approve])</f>
        <v>Yes</v>
      </c>
      <c r="K38">
        <f>IFERROR(_xlfn.XLOOKUP(tblContractOthers[[#This Row],[Index]], Contract_Edits[Index], Contract_Edits[Group]), tblContractOthers[[#This Row],[Group]])</f>
        <v>1</v>
      </c>
      <c r="L38" s="11">
        <f>IFERROR( _xlfn.XLOOKUP(tblContractOthers[[#This Row],[Index]], Contract_Edits[Index],Contract_Edits[Days]), 1)</f>
        <v>1</v>
      </c>
      <c r="M38" t="str">
        <f>IFERROR(_xlfn.XLOOKUP(tblContractOthers[[#This Row],[Index]], Contract_Edits[Index], Contract_Edits[Done],), "No")</f>
        <v>No</v>
      </c>
      <c r="N38">
        <f>IFERROR(_xlfn.XLOOKUP(tblContractOthers[[#This Row],[Index]], Contract_Edits[Index], Contract_Edits[Paid]), 0)</f>
        <v>0</v>
      </c>
      <c r="O38" t="str">
        <f>IFERROR(_xlfn.XLOOKUP(tblContractOthers[[#This Row],[Index]], Contract_Edits[Index], Contract_Edits[Notes]), 0)</f>
        <v>See Cabinet Tab</v>
      </c>
      <c r="P38">
        <f>IFERROR( _xlfn.XLOOKUP(tblContractOthers[[#This Row],[Index]], Contract_Edits[Index],Contract_Edits[Dep]),174)</f>
        <v>172</v>
      </c>
    </row>
    <row r="39" spans="1:16">
      <c r="A39">
        <v>128</v>
      </c>
      <c r="B39" t="s">
        <v>639</v>
      </c>
      <c r="C39" t="s">
        <v>649</v>
      </c>
      <c r="D39" s="458" t="s">
        <v>714</v>
      </c>
      <c r="E39">
        <v>75</v>
      </c>
      <c r="F39">
        <v>72.5</v>
      </c>
      <c r="G39" t="s">
        <v>467</v>
      </c>
      <c r="H39" s="176">
        <v>72.5</v>
      </c>
      <c r="I39" s="85">
        <f>IFERROR(_xlfn.XLOOKUP(tblContractOthers[[#This Row],[Index]], Contract_Edits[Index], Contract_Edits[Order]), tblContractOthers[[#This Row],[Order]])</f>
        <v>85.020099999999999</v>
      </c>
      <c r="J39" t="str">
        <f>_xlfn.XLOOKUP(tblContractOthers[[#This Row],[Index]], Contract_Edits[Index], Contract_Edits[Approve])</f>
        <v>Yes</v>
      </c>
      <c r="K39">
        <f>IFERROR(_xlfn.XLOOKUP(tblContractOthers[[#This Row],[Index]], Contract_Edits[Index], Contract_Edits[Group]), tblContractOthers[[#This Row],[Group]])</f>
        <v>2</v>
      </c>
      <c r="L39" s="11">
        <f>IFERROR( _xlfn.XLOOKUP(tblContractOthers[[#This Row],[Index]], Contract_Edits[Index],Contract_Edits[Days]), 1)</f>
        <v>0</v>
      </c>
      <c r="M39" t="str">
        <f>IFERROR(_xlfn.XLOOKUP(tblContractOthers[[#This Row],[Index]], Contract_Edits[Index], Contract_Edits[Done],), "No")</f>
        <v>No</v>
      </c>
      <c r="N39">
        <f>IFERROR(_xlfn.XLOOKUP(tblContractOthers[[#This Row],[Index]], Contract_Edits[Index], Contract_Edits[Paid]), 0)</f>
        <v>0</v>
      </c>
      <c r="O39">
        <f>IFERROR(_xlfn.XLOOKUP(tblContractOthers[[#This Row],[Index]], Contract_Edits[Index], Contract_Edits[Notes]), 0)</f>
        <v>0</v>
      </c>
      <c r="P39">
        <f>IFERROR( _xlfn.XLOOKUP(tblContractOthers[[#This Row],[Index]], Contract_Edits[Index],Contract_Edits[Dep]),174)</f>
        <v>180</v>
      </c>
    </row>
    <row r="40" spans="1:16">
      <c r="A40">
        <v>131</v>
      </c>
      <c r="B40" t="s">
        <v>608</v>
      </c>
      <c r="C40" t="s">
        <v>719</v>
      </c>
      <c r="D40" s="458" t="s">
        <v>720</v>
      </c>
      <c r="E40">
        <v>1</v>
      </c>
      <c r="F40">
        <v>1000</v>
      </c>
      <c r="G40" t="s">
        <v>467</v>
      </c>
      <c r="H40" s="176">
        <v>1000</v>
      </c>
      <c r="I40" s="85">
        <f>IFERROR(_xlfn.XLOOKUP(tblContractOthers[[#This Row],[Index]], Contract_Edits[Index], Contract_Edits[Order]), tblContractOthers[[#This Row],[Order]])</f>
        <v>65.010500000000008</v>
      </c>
      <c r="J40" t="str">
        <f>_xlfn.XLOOKUP(tblContractOthers[[#This Row],[Index]], Contract_Edits[Index], Contract_Edits[Approve])</f>
        <v>Yes</v>
      </c>
      <c r="K40">
        <f>IFERROR(_xlfn.XLOOKUP(tblContractOthers[[#This Row],[Index]], Contract_Edits[Index], Contract_Edits[Group]), tblContractOthers[[#This Row],[Group]])</f>
        <v>1</v>
      </c>
      <c r="L40" s="11">
        <f>IFERROR( _xlfn.XLOOKUP(tblContractOthers[[#This Row],[Index]], Contract_Edits[Index],Contract_Edits[Days]), 1)</f>
        <v>0</v>
      </c>
      <c r="M40" t="str">
        <f>IFERROR(_xlfn.XLOOKUP(tblContractOthers[[#This Row],[Index]], Contract_Edits[Index], Contract_Edits[Done],), "No")</f>
        <v>Yes</v>
      </c>
      <c r="N40">
        <f>IFERROR(_xlfn.XLOOKUP(tblContractOthers[[#This Row],[Index]], Contract_Edits[Index], Contract_Edits[Paid]), 0)</f>
        <v>1000</v>
      </c>
      <c r="O40">
        <f>IFERROR(_xlfn.XLOOKUP(tblContractOthers[[#This Row],[Index]], Contract_Edits[Index], Contract_Edits[Notes]), 0)</f>
        <v>0</v>
      </c>
      <c r="P40">
        <f>IFERROR( _xlfn.XLOOKUP(tblContractOthers[[#This Row],[Index]], Contract_Edits[Index],Contract_Edits[Dep]),174)</f>
        <v>155</v>
      </c>
    </row>
    <row r="41" spans="1:16">
      <c r="A41">
        <v>134</v>
      </c>
      <c r="B41" t="s">
        <v>587</v>
      </c>
      <c r="C41" t="s">
        <v>598</v>
      </c>
      <c r="D41" s="458" t="s">
        <v>724</v>
      </c>
      <c r="E41">
        <v>1</v>
      </c>
      <c r="G41" t="s">
        <v>467</v>
      </c>
      <c r="H41" s="176">
        <v>0</v>
      </c>
      <c r="I41" s="85">
        <f>IFERROR(_xlfn.XLOOKUP(tblContractOthers[[#This Row],[Index]], Contract_Edits[Index], Contract_Edits[Order]), tblContractOthers[[#This Row],[Order]])</f>
        <v>205.01059999999998</v>
      </c>
      <c r="J41" t="str">
        <f>_xlfn.XLOOKUP(tblContractOthers[[#This Row],[Index]], Contract_Edits[Index], Contract_Edits[Approve])</f>
        <v>Yes</v>
      </c>
      <c r="K41">
        <f>IFERROR(_xlfn.XLOOKUP(tblContractOthers[[#This Row],[Index]], Contract_Edits[Index], Contract_Edits[Group]), tblContractOthers[[#This Row],[Group]])</f>
        <v>1</v>
      </c>
      <c r="L41" s="11">
        <f>IFERROR( _xlfn.XLOOKUP(tblContractOthers[[#This Row],[Index]], Contract_Edits[Index],Contract_Edits[Days]), 1)</f>
        <v>1</v>
      </c>
      <c r="M41" t="str">
        <f>IFERROR(_xlfn.XLOOKUP(tblContractOthers[[#This Row],[Index]], Contract_Edits[Index], Contract_Edits[Done],), "No")</f>
        <v>No</v>
      </c>
      <c r="N41">
        <f>IFERROR(_xlfn.XLOOKUP(tblContractOthers[[#This Row],[Index]], Contract_Edits[Index], Contract_Edits[Paid]), 0)</f>
        <v>0</v>
      </c>
      <c r="O41" t="str">
        <f>IFERROR(_xlfn.XLOOKUP(tblContractOthers[[#This Row],[Index]], Contract_Edits[Index], Contract_Edits[Notes]), 0)</f>
        <v>See Cabinet Tab</v>
      </c>
      <c r="P41">
        <f>IFERROR( _xlfn.XLOOKUP(tblContractOthers[[#This Row],[Index]], Contract_Edits[Index],Contract_Edits[Dep]),174)</f>
        <v>172</v>
      </c>
    </row>
    <row r="42" spans="1:16">
      <c r="A42">
        <v>135</v>
      </c>
      <c r="B42" t="s">
        <v>639</v>
      </c>
      <c r="C42" t="s">
        <v>725</v>
      </c>
      <c r="D42" s="458" t="s">
        <v>726</v>
      </c>
      <c r="E42">
        <v>1</v>
      </c>
      <c r="G42" t="s">
        <v>467</v>
      </c>
      <c r="H42" s="176">
        <v>0</v>
      </c>
      <c r="I42" s="85">
        <f>IFERROR(_xlfn.XLOOKUP(tblContractOthers[[#This Row],[Index]], Contract_Edits[Index], Contract_Edits[Order]), tblContractOthers[[#This Row],[Order]])</f>
        <v>105.0103</v>
      </c>
      <c r="J42" t="str">
        <f>_xlfn.XLOOKUP(tblContractOthers[[#This Row],[Index]], Contract_Edits[Index], Contract_Edits[Approve])</f>
        <v>Yes</v>
      </c>
      <c r="K42">
        <f>IFERROR(_xlfn.XLOOKUP(tblContractOthers[[#This Row],[Index]], Contract_Edits[Index], Contract_Edits[Group]), tblContractOthers[[#This Row],[Group]])</f>
        <v>1</v>
      </c>
      <c r="L42" s="11">
        <f>IFERROR( _xlfn.XLOOKUP(tblContractOthers[[#This Row],[Index]], Contract_Edits[Index],Contract_Edits[Days]), 1)</f>
        <v>1</v>
      </c>
      <c r="M42" t="str">
        <f>IFERROR(_xlfn.XLOOKUP(tblContractOthers[[#This Row],[Index]], Contract_Edits[Index], Contract_Edits[Done],), "No")</f>
        <v>No</v>
      </c>
      <c r="N42">
        <f>IFERROR(_xlfn.XLOOKUP(tblContractOthers[[#This Row],[Index]], Contract_Edits[Index], Contract_Edits[Paid]), 0)</f>
        <v>0</v>
      </c>
      <c r="O42" t="str">
        <f>IFERROR(_xlfn.XLOOKUP(tblContractOthers[[#This Row],[Index]], Contract_Edits[Index], Contract_Edits[Notes]), 0)</f>
        <v>See Cabinet Tab</v>
      </c>
      <c r="P42">
        <f>IFERROR( _xlfn.XLOOKUP(tblContractOthers[[#This Row],[Index]], Contract_Edits[Index],Contract_Edits[Dep]),174)</f>
        <v>162</v>
      </c>
    </row>
    <row r="43" spans="1:16">
      <c r="A43">
        <v>138</v>
      </c>
      <c r="B43" t="s">
        <v>555</v>
      </c>
      <c r="C43" t="s">
        <v>730</v>
      </c>
      <c r="D43" s="458" t="s">
        <v>731</v>
      </c>
      <c r="E43">
        <v>1</v>
      </c>
      <c r="F43">
        <v>2500</v>
      </c>
      <c r="G43" t="s">
        <v>467</v>
      </c>
      <c r="H43" s="176">
        <v>0</v>
      </c>
      <c r="I43" s="85">
        <f>IFERROR(_xlfn.XLOOKUP(tblContractOthers[[#This Row],[Index]], Contract_Edits[Index], Contract_Edits[Order]), tblContractOthers[[#This Row],[Order]])</f>
        <v>205.01069999999999</v>
      </c>
      <c r="J43" t="str">
        <f>_xlfn.XLOOKUP(tblContractOthers[[#This Row],[Index]], Contract_Edits[Index], Contract_Edits[Approve])</f>
        <v>Yes</v>
      </c>
      <c r="K43">
        <f>IFERROR(_xlfn.XLOOKUP(tblContractOthers[[#This Row],[Index]], Contract_Edits[Index], Contract_Edits[Group]), tblContractOthers[[#This Row],[Group]])</f>
        <v>1</v>
      </c>
      <c r="L43" s="11">
        <f>IFERROR( _xlfn.XLOOKUP(tblContractOthers[[#This Row],[Index]], Contract_Edits[Index],Contract_Edits[Days]), 1)</f>
        <v>1</v>
      </c>
      <c r="M43" t="str">
        <f>IFERROR(_xlfn.XLOOKUP(tblContractOthers[[#This Row],[Index]], Contract_Edits[Index], Contract_Edits[Done],), "No")</f>
        <v>No</v>
      </c>
      <c r="N43">
        <f>IFERROR(_xlfn.XLOOKUP(tblContractOthers[[#This Row],[Index]], Contract_Edits[Index], Contract_Edits[Paid]), 0)</f>
        <v>0</v>
      </c>
      <c r="O43" t="str">
        <f>IFERROR(_xlfn.XLOOKUP(tblContractOthers[[#This Row],[Index]], Contract_Edits[Index], Contract_Edits[Notes]), 0)</f>
        <v>See Cabinet Tab</v>
      </c>
      <c r="P43">
        <f>IFERROR( _xlfn.XLOOKUP(tblContractOthers[[#This Row],[Index]], Contract_Edits[Index],Contract_Edits[Dep]),174)</f>
        <v>172</v>
      </c>
    </row>
    <row r="44" spans="1:16">
      <c r="A44">
        <v>139</v>
      </c>
      <c r="B44" t="s">
        <v>639</v>
      </c>
      <c r="C44" t="s">
        <v>730</v>
      </c>
      <c r="D44" s="458" t="s">
        <v>733</v>
      </c>
      <c r="E44">
        <v>1</v>
      </c>
      <c r="F44">
        <v>362.5</v>
      </c>
      <c r="G44" t="s">
        <v>467</v>
      </c>
      <c r="H44" s="176">
        <v>0</v>
      </c>
      <c r="I44" s="85">
        <f>IFERROR(_xlfn.XLOOKUP(tblContractOthers[[#This Row],[Index]], Contract_Edits[Index], Contract_Edits[Order]), tblContractOthers[[#This Row],[Order]])</f>
        <v>205.01009999999999</v>
      </c>
      <c r="J44" t="str">
        <f>_xlfn.XLOOKUP(tblContractOthers[[#This Row],[Index]], Contract_Edits[Index], Contract_Edits[Approve])</f>
        <v>Yes</v>
      </c>
      <c r="K44">
        <f>IFERROR(_xlfn.XLOOKUP(tblContractOthers[[#This Row],[Index]], Contract_Edits[Index], Contract_Edits[Group]), tblContractOthers[[#This Row],[Group]])</f>
        <v>1</v>
      </c>
      <c r="L44" s="11">
        <f>IFERROR( _xlfn.XLOOKUP(tblContractOthers[[#This Row],[Index]], Contract_Edits[Index],Contract_Edits[Days]), 1)</f>
        <v>1</v>
      </c>
      <c r="M44" t="str">
        <f>IFERROR(_xlfn.XLOOKUP(tblContractOthers[[#This Row],[Index]], Contract_Edits[Index], Contract_Edits[Done],), "No")</f>
        <v>No</v>
      </c>
      <c r="N44">
        <f>IFERROR(_xlfn.XLOOKUP(tblContractOthers[[#This Row],[Index]], Contract_Edits[Index], Contract_Edits[Paid]), 0)</f>
        <v>0</v>
      </c>
      <c r="O44" t="str">
        <f>IFERROR(_xlfn.XLOOKUP(tblContractOthers[[#This Row],[Index]], Contract_Edits[Index], Contract_Edits[Notes]), 0)</f>
        <v>See Cabinet Tab</v>
      </c>
      <c r="P44">
        <f>IFERROR( _xlfn.XLOOKUP(tblContractOthers[[#This Row],[Index]], Contract_Edits[Index],Contract_Edits[Dep]),174)</f>
        <v>172</v>
      </c>
    </row>
    <row r="45" spans="1:16">
      <c r="A45">
        <v>140</v>
      </c>
      <c r="B45" t="s">
        <v>587</v>
      </c>
      <c r="C45" t="s">
        <v>730</v>
      </c>
      <c r="D45" s="458" t="s">
        <v>734</v>
      </c>
      <c r="E45">
        <v>1</v>
      </c>
      <c r="F45">
        <v>362.5</v>
      </c>
      <c r="G45" t="s">
        <v>467</v>
      </c>
      <c r="H45" s="176">
        <v>0</v>
      </c>
      <c r="I45" s="85">
        <f>IFERROR(_xlfn.XLOOKUP(tblContractOthers[[#This Row],[Index]], Contract_Edits[Index], Contract_Edits[Order]), tblContractOthers[[#This Row],[Order]])</f>
        <v>205.01049999999998</v>
      </c>
      <c r="J45" t="str">
        <f>_xlfn.XLOOKUP(tblContractOthers[[#This Row],[Index]], Contract_Edits[Index], Contract_Edits[Approve])</f>
        <v>Yes</v>
      </c>
      <c r="K45">
        <f>IFERROR(_xlfn.XLOOKUP(tblContractOthers[[#This Row],[Index]], Contract_Edits[Index], Contract_Edits[Group]), tblContractOthers[[#This Row],[Group]])</f>
        <v>1</v>
      </c>
      <c r="L45" s="11">
        <f>IFERROR( _xlfn.XLOOKUP(tblContractOthers[[#This Row],[Index]], Contract_Edits[Index],Contract_Edits[Days]), 1)</f>
        <v>0</v>
      </c>
      <c r="M45" t="str">
        <f>IFERROR(_xlfn.XLOOKUP(tblContractOthers[[#This Row],[Index]], Contract_Edits[Index], Contract_Edits[Done],), "No")</f>
        <v>No</v>
      </c>
      <c r="N45">
        <f>IFERROR(_xlfn.XLOOKUP(tblContractOthers[[#This Row],[Index]], Contract_Edits[Index], Contract_Edits[Paid]), 0)</f>
        <v>0</v>
      </c>
      <c r="O45" t="str">
        <f>IFERROR(_xlfn.XLOOKUP(tblContractOthers[[#This Row],[Index]], Contract_Edits[Index], Contract_Edits[Notes]), 0)</f>
        <v>See Cabinet Tab</v>
      </c>
      <c r="P45">
        <f>IFERROR( _xlfn.XLOOKUP(tblContractOthers[[#This Row],[Index]], Contract_Edits[Index],Contract_Edits[Dep]),174)</f>
        <v>172</v>
      </c>
    </row>
    <row r="46" spans="1:16">
      <c r="A46">
        <v>141</v>
      </c>
      <c r="B46" t="s">
        <v>608</v>
      </c>
      <c r="C46" t="s">
        <v>730</v>
      </c>
      <c r="D46" s="458" t="s">
        <v>734</v>
      </c>
      <c r="E46">
        <v>1</v>
      </c>
      <c r="F46">
        <v>362.5</v>
      </c>
      <c r="G46" t="s">
        <v>467</v>
      </c>
      <c r="H46" s="176">
        <v>0</v>
      </c>
      <c r="I46" s="85">
        <f>IFERROR(_xlfn.XLOOKUP(tblContractOthers[[#This Row],[Index]], Contract_Edits[Index], Contract_Edits[Order]), tblContractOthers[[#This Row],[Order]])</f>
        <v>205.0104</v>
      </c>
      <c r="J46" t="str">
        <f>_xlfn.XLOOKUP(tblContractOthers[[#This Row],[Index]], Contract_Edits[Index], Contract_Edits[Approve])</f>
        <v>Yes</v>
      </c>
      <c r="K46">
        <f>IFERROR(_xlfn.XLOOKUP(tblContractOthers[[#This Row],[Index]], Contract_Edits[Index], Contract_Edits[Group]), tblContractOthers[[#This Row],[Group]])</f>
        <v>1</v>
      </c>
      <c r="L46" s="11">
        <f>IFERROR( _xlfn.XLOOKUP(tblContractOthers[[#This Row],[Index]], Contract_Edits[Index],Contract_Edits[Days]), 1)</f>
        <v>0</v>
      </c>
      <c r="M46" t="str">
        <f>IFERROR(_xlfn.XLOOKUP(tblContractOthers[[#This Row],[Index]], Contract_Edits[Index], Contract_Edits[Done],), "No")</f>
        <v>No</v>
      </c>
      <c r="N46">
        <f>IFERROR(_xlfn.XLOOKUP(tblContractOthers[[#This Row],[Index]], Contract_Edits[Index], Contract_Edits[Paid]), 0)</f>
        <v>0</v>
      </c>
      <c r="O46" t="str">
        <f>IFERROR(_xlfn.XLOOKUP(tblContractOthers[[#This Row],[Index]], Contract_Edits[Index], Contract_Edits[Notes]), 0)</f>
        <v>See Cabinet Tab</v>
      </c>
      <c r="P46">
        <f>IFERROR( _xlfn.XLOOKUP(tblContractOthers[[#This Row],[Index]], Contract_Edits[Index],Contract_Edits[Dep]),174)</f>
        <v>172</v>
      </c>
    </row>
    <row r="47" spans="1:16">
      <c r="A47">
        <v>142</v>
      </c>
      <c r="B47" t="s">
        <v>608</v>
      </c>
      <c r="C47" t="s">
        <v>730</v>
      </c>
      <c r="D47" s="458" t="s">
        <v>735</v>
      </c>
      <c r="E47">
        <v>1</v>
      </c>
      <c r="F47">
        <v>362.5</v>
      </c>
      <c r="G47" t="s">
        <v>467</v>
      </c>
      <c r="H47" s="176">
        <v>0</v>
      </c>
      <c r="I47" s="85">
        <f>IFERROR(_xlfn.XLOOKUP(tblContractOthers[[#This Row],[Index]], Contract_Edits[Index], Contract_Edits[Order]), tblContractOthers[[#This Row],[Order]])</f>
        <v>205.0102</v>
      </c>
      <c r="J47" t="str">
        <f>_xlfn.XLOOKUP(tblContractOthers[[#This Row],[Index]], Contract_Edits[Index], Contract_Edits[Approve])</f>
        <v>Yes</v>
      </c>
      <c r="K47">
        <f>IFERROR(_xlfn.XLOOKUP(tblContractOthers[[#This Row],[Index]], Contract_Edits[Index], Contract_Edits[Group]), tblContractOthers[[#This Row],[Group]])</f>
        <v>1</v>
      </c>
      <c r="L47" s="11">
        <f>IFERROR( _xlfn.XLOOKUP(tblContractOthers[[#This Row],[Index]], Contract_Edits[Index],Contract_Edits[Days]), 1)</f>
        <v>0</v>
      </c>
      <c r="M47" t="str">
        <f>IFERROR(_xlfn.XLOOKUP(tblContractOthers[[#This Row],[Index]], Contract_Edits[Index], Contract_Edits[Done],), "No")</f>
        <v>No</v>
      </c>
      <c r="N47">
        <f>IFERROR(_xlfn.XLOOKUP(tblContractOthers[[#This Row],[Index]], Contract_Edits[Index], Contract_Edits[Paid]), 0)</f>
        <v>0</v>
      </c>
      <c r="O47" t="str">
        <f>IFERROR(_xlfn.XLOOKUP(tblContractOthers[[#This Row],[Index]], Contract_Edits[Index], Contract_Edits[Notes]), 0)</f>
        <v>See Cabinet Tab</v>
      </c>
      <c r="P47">
        <f>IFERROR( _xlfn.XLOOKUP(tblContractOthers[[#This Row],[Index]], Contract_Edits[Index],Contract_Edits[Dep]),174)</f>
        <v>172</v>
      </c>
    </row>
    <row r="48" spans="1:16">
      <c r="A48">
        <v>144</v>
      </c>
      <c r="B48" t="s">
        <v>608</v>
      </c>
      <c r="C48" t="s">
        <v>602</v>
      </c>
      <c r="D48" s="458" t="s">
        <v>738</v>
      </c>
      <c r="E48">
        <v>1</v>
      </c>
      <c r="G48" t="s">
        <v>467</v>
      </c>
      <c r="H48" s="176">
        <v>2000</v>
      </c>
      <c r="I48" s="85">
        <f>IFERROR(_xlfn.XLOOKUP(tblContractOthers[[#This Row],[Index]], Contract_Edits[Index], Contract_Edits[Order]), tblContractOthers[[#This Row],[Order]])</f>
        <v>185.01079999999999</v>
      </c>
      <c r="J48" t="str">
        <f>_xlfn.XLOOKUP(tblContractOthers[[#This Row],[Index]], Contract_Edits[Index], Contract_Edits[Approve])</f>
        <v>Yes</v>
      </c>
      <c r="K48">
        <f>IFERROR(_xlfn.XLOOKUP(tblContractOthers[[#This Row],[Index]], Contract_Edits[Index], Contract_Edits[Group]), tblContractOthers[[#This Row],[Group]])</f>
        <v>1</v>
      </c>
      <c r="L48" s="11">
        <f>IFERROR( _xlfn.XLOOKUP(tblContractOthers[[#This Row],[Index]], Contract_Edits[Index],Contract_Edits[Days]), 1)</f>
        <v>1</v>
      </c>
      <c r="M48" t="str">
        <f>IFERROR(_xlfn.XLOOKUP(tblContractOthers[[#This Row],[Index]], Contract_Edits[Index], Contract_Edits[Done],), "No")</f>
        <v>No</v>
      </c>
      <c r="N48">
        <f>IFERROR(_xlfn.XLOOKUP(tblContractOthers[[#This Row],[Index]], Contract_Edits[Index], Contract_Edits[Paid]), 0)</f>
        <v>0</v>
      </c>
      <c r="O48">
        <f>IFERROR(_xlfn.XLOOKUP(tblContractOthers[[#This Row],[Index]], Contract_Edits[Index], Contract_Edits[Notes]), 0)</f>
        <v>0</v>
      </c>
      <c r="P48">
        <f>IFERROR( _xlfn.XLOOKUP(tblContractOthers[[#This Row],[Index]], Contract_Edits[Index],Contract_Edits[Dep]),174)</f>
        <v>170</v>
      </c>
    </row>
    <row r="49" spans="1:16">
      <c r="A49">
        <v>147</v>
      </c>
      <c r="B49" t="s">
        <v>517</v>
      </c>
      <c r="C49" t="s">
        <v>741</v>
      </c>
      <c r="D49" s="458" t="s">
        <v>742</v>
      </c>
      <c r="E49">
        <v>1</v>
      </c>
      <c r="F49">
        <v>30000</v>
      </c>
      <c r="G49" t="s">
        <v>467</v>
      </c>
      <c r="H49" s="176">
        <v>0</v>
      </c>
      <c r="I49" s="85">
        <f>IFERROR(_xlfn.XLOOKUP(tblContractOthers[[#This Row],[Index]], Contract_Edits[Index], Contract_Edits[Order]), tblContractOthers[[#This Row],[Order]])</f>
        <v>9999</v>
      </c>
      <c r="J49" t="str">
        <f>_xlfn.XLOOKUP(tblContractOthers[[#This Row],[Index]], Contract_Edits[Index], Contract_Edits[Approve])</f>
        <v>No</v>
      </c>
      <c r="K49">
        <f>IFERROR(_xlfn.XLOOKUP(tblContractOthers[[#This Row],[Index]], Contract_Edits[Index], Contract_Edits[Group]), tblContractOthers[[#This Row],[Group]])</f>
        <v>1</v>
      </c>
      <c r="L49" s="11">
        <f>IFERROR( _xlfn.XLOOKUP(tblContractOthers[[#This Row],[Index]], Contract_Edits[Index],Contract_Edits[Days]), 1)</f>
        <v>0</v>
      </c>
      <c r="M49" t="str">
        <f>IFERROR(_xlfn.XLOOKUP(tblContractOthers[[#This Row],[Index]], Contract_Edits[Index], Contract_Edits[Done],), "No")</f>
        <v>No</v>
      </c>
      <c r="N49">
        <f>IFERROR(_xlfn.XLOOKUP(tblContractOthers[[#This Row],[Index]], Contract_Edits[Index], Contract_Edits[Paid]), 0)</f>
        <v>0</v>
      </c>
      <c r="O49">
        <f>IFERROR(_xlfn.XLOOKUP(tblContractOthers[[#This Row],[Index]], Contract_Edits[Index], Contract_Edits[Notes]), 0)</f>
        <v>0</v>
      </c>
      <c r="P49">
        <f>IFERROR( _xlfn.XLOOKUP(tblContractOthers[[#This Row],[Index]], Contract_Edits[Index],Contract_Edits[Dep]),174)</f>
        <v>0</v>
      </c>
    </row>
    <row r="50" spans="1:16">
      <c r="A50">
        <v>184</v>
      </c>
      <c r="B50" t="s">
        <v>517</v>
      </c>
      <c r="C50" t="s">
        <v>1420</v>
      </c>
      <c r="D50" s="458" t="s">
        <v>1468</v>
      </c>
      <c r="E50">
        <v>1</v>
      </c>
      <c r="F50">
        <v>1500</v>
      </c>
      <c r="G50" t="s">
        <v>467</v>
      </c>
      <c r="H50" s="176">
        <v>1359.72</v>
      </c>
      <c r="I50" s="85">
        <f>IFERROR(_xlfn.XLOOKUP(tblContractOthers[[#This Row],[Index]], Contract_Edits[Index], Contract_Edits[Order]), tblContractOthers[[#This Row],[Order]])</f>
        <v>85.02109999999999</v>
      </c>
      <c r="J50" t="str">
        <f>_xlfn.XLOOKUP(tblContractOthers[[#This Row],[Index]], Contract_Edits[Index], Contract_Edits[Approve])</f>
        <v>Yes</v>
      </c>
      <c r="K50">
        <f>IFERROR(_xlfn.XLOOKUP(tblContractOthers[[#This Row],[Index]], Contract_Edits[Index], Contract_Edits[Group]), tblContractOthers[[#This Row],[Group]])</f>
        <v>1</v>
      </c>
      <c r="L50" s="11">
        <f>IFERROR( _xlfn.XLOOKUP(tblContractOthers[[#This Row],[Index]], Contract_Edits[Index],Contract_Edits[Days]), 1)</f>
        <v>0</v>
      </c>
      <c r="M50">
        <f>IFERROR(_xlfn.XLOOKUP(tblContractOthers[[#This Row],[Index]], Contract_Edits[Index], Contract_Edits[Done],), "No")</f>
        <v>0</v>
      </c>
      <c r="N50">
        <f>IFERROR(_xlfn.XLOOKUP(tblContractOthers[[#This Row],[Index]], Contract_Edits[Index], Contract_Edits[Paid]), 0)</f>
        <v>0</v>
      </c>
      <c r="O50">
        <f>IFERROR(_xlfn.XLOOKUP(tblContractOthers[[#This Row],[Index]], Contract_Edits[Index], Contract_Edits[Notes]), 0)</f>
        <v>0</v>
      </c>
      <c r="P50">
        <f>IFERROR( _xlfn.XLOOKUP(tblContractOthers[[#This Row],[Index]], Contract_Edits[Index],Contract_Edits[Dep]),174)</f>
        <v>180</v>
      </c>
    </row>
    <row r="51" spans="1:16">
      <c r="A51">
        <v>191</v>
      </c>
      <c r="B51" t="s">
        <v>793</v>
      </c>
      <c r="C51" t="s">
        <v>1457</v>
      </c>
      <c r="D51" s="458" t="s">
        <v>1458</v>
      </c>
      <c r="E51">
        <v>1</v>
      </c>
      <c r="G51" t="s">
        <v>467</v>
      </c>
      <c r="H51" s="176"/>
      <c r="I51" s="85">
        <f>IFERROR(_xlfn.XLOOKUP(tblContractOthers[[#This Row],[Index]], Contract_Edits[Index], Contract_Edits[Order]), tblContractOthers[[#This Row],[Order]])</f>
        <v>65.012500000000003</v>
      </c>
      <c r="K51">
        <f>IFERROR(_xlfn.XLOOKUP(tblContractOthers[[#This Row],[Index]], Contract_Edits[Index], Contract_Edits[Group]), tblContractOthers[[#This Row],[Group]])</f>
        <v>0</v>
      </c>
      <c r="L51" s="11">
        <f>IFERROR( _xlfn.XLOOKUP(tblContractOthers[[#This Row],[Index]], Contract_Edits[Index],Contract_Edits[Days]), 1)</f>
        <v>0</v>
      </c>
      <c r="M51">
        <f>IFERROR(_xlfn.XLOOKUP(tblContractOthers[[#This Row],[Index]], Contract_Edits[Index], Contract_Edits[Done],), "No")</f>
        <v>0</v>
      </c>
      <c r="N51">
        <f>IFERROR(_xlfn.XLOOKUP(tblContractOthers[[#This Row],[Index]], Contract_Edits[Index], Contract_Edits[Paid]), 0)</f>
        <v>0</v>
      </c>
      <c r="O51">
        <f>IFERROR(_xlfn.XLOOKUP(tblContractOthers[[#This Row],[Index]], Contract_Edits[Index], Contract_Edits[Notes]), 0)</f>
        <v>0</v>
      </c>
      <c r="P51">
        <f>IFERROR( _xlfn.XLOOKUP(tblContractOthers[[#This Row],[Index]], Contract_Edits[Index],Contract_Edits[Dep]),174)</f>
        <v>155</v>
      </c>
    </row>
    <row r="52" spans="1:16">
      <c r="A52">
        <v>193</v>
      </c>
      <c r="B52" t="s">
        <v>793</v>
      </c>
      <c r="C52" t="s">
        <v>570</v>
      </c>
      <c r="D52" s="458" t="s">
        <v>1459</v>
      </c>
      <c r="E52">
        <v>1</v>
      </c>
      <c r="G52" t="s">
        <v>467</v>
      </c>
      <c r="H52" s="176"/>
      <c r="I52" s="85">
        <f>IFERROR(_xlfn.XLOOKUP(tblContractOthers[[#This Row],[Index]], Contract_Edits[Index], Contract_Edits[Order]), tblContractOthers[[#This Row],[Order]])</f>
        <v>75.030699999999996</v>
      </c>
      <c r="K52">
        <f>IFERROR(_xlfn.XLOOKUP(tblContractOthers[[#This Row],[Index]], Contract_Edits[Index], Contract_Edits[Group]), tblContractOthers[[#This Row],[Group]])</f>
        <v>0</v>
      </c>
      <c r="L52" s="11">
        <f>IFERROR( _xlfn.XLOOKUP(tblContractOthers[[#This Row],[Index]], Contract_Edits[Index],Contract_Edits[Days]), 1)</f>
        <v>0</v>
      </c>
      <c r="M52">
        <f>IFERROR(_xlfn.XLOOKUP(tblContractOthers[[#This Row],[Index]], Contract_Edits[Index], Contract_Edits[Done],), "No")</f>
        <v>0</v>
      </c>
      <c r="N52">
        <f>IFERROR(_xlfn.XLOOKUP(tblContractOthers[[#This Row],[Index]], Contract_Edits[Index], Contract_Edits[Paid]), 0)</f>
        <v>0</v>
      </c>
      <c r="O52">
        <f>IFERROR(_xlfn.XLOOKUP(tblContractOthers[[#This Row],[Index]], Contract_Edits[Index], Contract_Edits[Notes]), 0)</f>
        <v>0</v>
      </c>
      <c r="P52">
        <f>IFERROR( _xlfn.XLOOKUP(tblContractOthers[[#This Row],[Index]], Contract_Edits[Index],Contract_Edits[Dep]),174)</f>
        <v>158</v>
      </c>
    </row>
    <row r="53" spans="1:16">
      <c r="A53">
        <v>194</v>
      </c>
      <c r="B53" t="s">
        <v>793</v>
      </c>
      <c r="C53" t="s">
        <v>583</v>
      </c>
      <c r="D53" s="458" t="s">
        <v>1460</v>
      </c>
      <c r="E53">
        <v>1</v>
      </c>
      <c r="G53" t="s">
        <v>467</v>
      </c>
      <c r="H53" s="176"/>
      <c r="I53" s="85">
        <f>IFERROR(_xlfn.XLOOKUP(tblContractOthers[[#This Row],[Index]], Contract_Edits[Index], Contract_Edits[Order]), tblContractOthers[[#This Row],[Order]])</f>
        <v>125.0108</v>
      </c>
      <c r="K53">
        <f>IFERROR(_xlfn.XLOOKUP(tblContractOthers[[#This Row],[Index]], Contract_Edits[Index], Contract_Edits[Group]), tblContractOthers[[#This Row],[Group]])</f>
        <v>0</v>
      </c>
      <c r="L53" s="11">
        <f>IFERROR( _xlfn.XLOOKUP(tblContractOthers[[#This Row],[Index]], Contract_Edits[Index],Contract_Edits[Days]), 1)</f>
        <v>0</v>
      </c>
      <c r="M53">
        <f>IFERROR(_xlfn.XLOOKUP(tblContractOthers[[#This Row],[Index]], Contract_Edits[Index], Contract_Edits[Done],), "No")</f>
        <v>0</v>
      </c>
      <c r="N53">
        <f>IFERROR(_xlfn.XLOOKUP(tblContractOthers[[#This Row],[Index]], Contract_Edits[Index], Contract_Edits[Paid]), 0)</f>
        <v>0</v>
      </c>
      <c r="O53">
        <f>IFERROR(_xlfn.XLOOKUP(tblContractOthers[[#This Row],[Index]], Contract_Edits[Index], Contract_Edits[Notes]), 0)</f>
        <v>0</v>
      </c>
      <c r="P53">
        <f>IFERROR( _xlfn.XLOOKUP(tblContractOthers[[#This Row],[Index]], Contract_Edits[Index],Contract_Edits[Dep]),174)</f>
        <v>164</v>
      </c>
    </row>
    <row r="54" spans="1:16">
      <c r="A54">
        <v>208</v>
      </c>
      <c r="B54" t="s">
        <v>793</v>
      </c>
      <c r="C54" t="s">
        <v>719</v>
      </c>
      <c r="D54" s="458" t="s">
        <v>1514</v>
      </c>
      <c r="E54">
        <v>1</v>
      </c>
      <c r="F54">
        <v>2000</v>
      </c>
      <c r="G54" t="s">
        <v>467</v>
      </c>
      <c r="H54" s="176"/>
      <c r="I54" s="85">
        <f>IFERROR(_xlfn.XLOOKUP(tblContractOthers[[#This Row],[Index]], Contract_Edits[Index], Contract_Edits[Order]), tblContractOthers[[#This Row],[Order]])</f>
        <v>65.010600000000011</v>
      </c>
      <c r="K54">
        <f>IFERROR(_xlfn.XLOOKUP(tblContractOthers[[#This Row],[Index]], Contract_Edits[Index], Contract_Edits[Group]), tblContractOthers[[#This Row],[Group]])</f>
        <v>0</v>
      </c>
      <c r="L54" s="11">
        <f>IFERROR( _xlfn.XLOOKUP(tblContractOthers[[#This Row],[Index]], Contract_Edits[Index],Contract_Edits[Days]), 1)</f>
        <v>0</v>
      </c>
      <c r="M54">
        <f>IFERROR(_xlfn.XLOOKUP(tblContractOthers[[#This Row],[Index]], Contract_Edits[Index], Contract_Edits[Done],), "No")</f>
        <v>0</v>
      </c>
      <c r="N54">
        <f>IFERROR(_xlfn.XLOOKUP(tblContractOthers[[#This Row],[Index]], Contract_Edits[Index], Contract_Edits[Paid]), 0)</f>
        <v>0</v>
      </c>
      <c r="O54">
        <f>IFERROR(_xlfn.XLOOKUP(tblContractOthers[[#This Row],[Index]], Contract_Edits[Index], Contract_Edits[Notes]), 0)</f>
        <v>0</v>
      </c>
      <c r="P54">
        <f>IFERROR( _xlfn.XLOOKUP(tblContractOthers[[#This Row],[Index]], Contract_Edits[Index],Contract_Edits[Dep]),174)</f>
        <v>155</v>
      </c>
    </row>
    <row r="55" spans="1:16">
      <c r="A55">
        <v>210</v>
      </c>
      <c r="B55" t="s">
        <v>793</v>
      </c>
      <c r="C55" t="s">
        <v>579</v>
      </c>
      <c r="D55" s="458" t="s">
        <v>1517</v>
      </c>
      <c r="E55">
        <v>1</v>
      </c>
      <c r="F55">
        <v>1800</v>
      </c>
      <c r="G55" t="s">
        <v>467</v>
      </c>
      <c r="H55" s="176"/>
      <c r="I55" s="85">
        <f>IFERROR(_xlfn.XLOOKUP(tblContractOthers[[#This Row],[Index]], Contract_Edits[Index], Contract_Edits[Order]), tblContractOthers[[#This Row],[Order]])</f>
        <v>135.01069999999999</v>
      </c>
      <c r="K55">
        <f>IFERROR(_xlfn.XLOOKUP(tblContractOthers[[#This Row],[Index]], Contract_Edits[Index], Contract_Edits[Group]), tblContractOthers[[#This Row],[Group]])</f>
        <v>0</v>
      </c>
      <c r="L55" s="11">
        <f>IFERROR( _xlfn.XLOOKUP(tblContractOthers[[#This Row],[Index]], Contract_Edits[Index],Contract_Edits[Days]), 1)</f>
        <v>0</v>
      </c>
      <c r="M55">
        <f>IFERROR(_xlfn.XLOOKUP(tblContractOthers[[#This Row],[Index]], Contract_Edits[Index], Contract_Edits[Done],), "No")</f>
        <v>0</v>
      </c>
      <c r="N55">
        <f>IFERROR(_xlfn.XLOOKUP(tblContractOthers[[#This Row],[Index]], Contract_Edits[Index], Contract_Edits[Paid]), 0)</f>
        <v>0</v>
      </c>
      <c r="O55">
        <f>IFERROR(_xlfn.XLOOKUP(tblContractOthers[[#This Row],[Index]], Contract_Edits[Index], Contract_Edits[Notes]), 0)</f>
        <v>0</v>
      </c>
      <c r="P55">
        <f>IFERROR( _xlfn.XLOOKUP(tblContractOthers[[#This Row],[Index]], Contract_Edits[Index],Contract_Edits[Dep]),174)</f>
        <v>165</v>
      </c>
    </row>
    <row r="56" spans="1:16">
      <c r="D56" s="458"/>
      <c r="H56" s="176"/>
      <c r="M56" s="11"/>
    </row>
    <row r="57" spans="1:16">
      <c r="D57" s="458"/>
      <c r="H57" s="176"/>
      <c r="M57" s="11"/>
    </row>
    <row r="58" spans="1:16">
      <c r="D58" s="458"/>
      <c r="H58" s="176"/>
      <c r="M58" s="11"/>
    </row>
    <row r="59" spans="1:16">
      <c r="D59" s="458"/>
      <c r="H59" s="176"/>
      <c r="M59" s="11"/>
    </row>
    <row r="60" spans="1:16">
      <c r="D60" s="458"/>
      <c r="H60" s="176"/>
      <c r="M60" s="11"/>
    </row>
    <row r="61" spans="1:16">
      <c r="D61" s="458"/>
      <c r="H61" s="176"/>
      <c r="M61" s="11"/>
    </row>
    <row r="62" spans="1:16">
      <c r="D62" s="458"/>
      <c r="H62" s="176"/>
      <c r="M62" s="11"/>
    </row>
    <row r="63" spans="1:16">
      <c r="D63" s="458"/>
      <c r="H63" s="176"/>
      <c r="M63" s="11"/>
    </row>
    <row r="64" spans="1:16">
      <c r="D64" s="458"/>
      <c r="H64" s="176"/>
      <c r="M64" s="11"/>
    </row>
    <row r="65" spans="4:13">
      <c r="D65" s="458"/>
      <c r="H65" s="176"/>
      <c r="M65" s="11"/>
    </row>
    <row r="66" spans="4:13">
      <c r="D66" s="458"/>
      <c r="H66" s="176"/>
      <c r="M66" s="11"/>
    </row>
    <row r="67" spans="4:13">
      <c r="D67" s="458"/>
      <c r="H67" s="176"/>
      <c r="M67" s="11"/>
    </row>
    <row r="68" spans="4:13">
      <c r="D68" s="458"/>
      <c r="H68" s="176"/>
      <c r="M68" s="11"/>
    </row>
    <row r="69" spans="4:13">
      <c r="D69" s="458"/>
      <c r="H69" s="176"/>
      <c r="M69" s="11"/>
    </row>
    <row r="70" spans="4:13">
      <c r="D70" s="458"/>
      <c r="H70" s="176"/>
      <c r="M70" s="11"/>
    </row>
    <row r="71" spans="4:13">
      <c r="D71" s="458"/>
      <c r="H71" s="176"/>
      <c r="M71" s="11"/>
    </row>
    <row r="72" spans="4:13">
      <c r="D72" s="458"/>
      <c r="H72" s="176"/>
      <c r="M72" s="11"/>
    </row>
    <row r="73" spans="4:13">
      <c r="D73" s="458"/>
      <c r="H73" s="176"/>
      <c r="M73" s="11"/>
    </row>
    <row r="74" spans="4:13">
      <c r="D74" s="458"/>
      <c r="H74" s="176"/>
      <c r="M74" s="11"/>
    </row>
  </sheetData>
  <mergeCells count="2">
    <mergeCell ref="A1:H3"/>
    <mergeCell ref="I1:P3"/>
  </mergeCells>
  <phoneticPr fontId="22" type="noConversion"/>
  <pageMargins left="0.7" right="0.7" top="0.75" bottom="0.75" header="0.3" footer="0.3"/>
  <tableParts count="2">
    <tablePart r:id="rId1"/>
    <tablePart r:id="rId2"/>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rgb="FFFFC000"/>
    <pageSetUpPr fitToPage="1"/>
  </sheetPr>
  <dimension ref="A1:FA321"/>
  <sheetViews>
    <sheetView zoomScaleNormal="100" workbookViewId="0">
      <pane ySplit="8" topLeftCell="A12" activePane="bottomLeft" state="frozen"/>
      <selection activeCell="O27" sqref="O27"/>
      <selection pane="bottomLeft" activeCell="L25" sqref="L25:AN303"/>
    </sheetView>
  </sheetViews>
  <sheetFormatPr defaultColWidth="9.140625" defaultRowHeight="18" customHeight="1"/>
  <cols>
    <col min="1" max="1" width="14.5703125" style="52" bestFit="1" customWidth="1"/>
    <col min="2" max="2" width="28.140625" style="53" bestFit="1" customWidth="1"/>
    <col min="3" max="3" width="22" style="54" bestFit="1" customWidth="1"/>
    <col min="4" max="4" width="81.140625" style="556" bestFit="1" customWidth="1"/>
    <col min="5" max="5" width="8.7109375" style="550" bestFit="1" customWidth="1"/>
    <col min="6" max="6" width="14.28515625" style="34" bestFit="1" customWidth="1"/>
    <col min="7" max="7" width="12" style="190" bestFit="1" customWidth="1"/>
    <col min="8" max="8" width="9.140625" style="190" customWidth="1"/>
    <col min="9" max="9" width="9.140625" style="190" bestFit="1" customWidth="1"/>
    <col min="10" max="10" width="8.28515625" style="190" customWidth="1"/>
    <col min="11" max="11" width="5" style="190" bestFit="1" customWidth="1"/>
    <col min="12" max="12" width="7" style="475" customWidth="1"/>
    <col min="13" max="13" width="6.5703125" style="34" customWidth="1"/>
    <col min="14" max="14" width="6" style="34" customWidth="1"/>
    <col min="15" max="15" width="8.5703125" style="34" customWidth="1"/>
    <col min="16" max="16" width="8.85546875" style="34" customWidth="1"/>
    <col min="17" max="17" width="9.7109375" style="34" customWidth="1"/>
    <col min="18" max="18" width="6.42578125" style="34" customWidth="1"/>
    <col min="19" max="19" width="7.28515625" style="34" customWidth="1"/>
    <col min="20" max="20" width="6.5703125" style="190" customWidth="1"/>
    <col min="21" max="21" width="5.7109375" style="190" customWidth="1"/>
    <col min="22" max="22" width="9.7109375" style="499" customWidth="1"/>
    <col min="23" max="23" width="8.7109375" style="499" customWidth="1"/>
    <col min="24" max="24" width="20.42578125" style="499" customWidth="1"/>
    <col min="25" max="25" width="19.140625" style="499" customWidth="1"/>
    <col min="26" max="26" width="9.5703125" style="190" customWidth="1"/>
    <col min="27" max="27" width="10.140625" style="475" bestFit="1" customWidth="1"/>
    <col min="28" max="28" width="8" style="190" hidden="1" customWidth="1"/>
    <col min="29" max="29" width="8.140625" style="190" hidden="1" customWidth="1"/>
    <col min="30" max="30" width="10.140625" style="190" hidden="1" customWidth="1"/>
    <col min="31" max="31" width="15.85546875" style="495" hidden="1" customWidth="1"/>
    <col min="32" max="32" width="11.28515625" style="495" hidden="1" customWidth="1"/>
    <col min="33" max="33" width="8.7109375" style="495" hidden="1" customWidth="1"/>
    <col min="34" max="34" width="8.42578125" style="495" hidden="1" customWidth="1"/>
    <col min="35" max="35" width="7.7109375" style="495" hidden="1" customWidth="1"/>
    <col min="36" max="36" width="11" style="495" hidden="1" customWidth="1"/>
    <col min="37" max="37" width="9.28515625" style="495" hidden="1" customWidth="1"/>
    <col min="38" max="39" width="15.28515625" style="495" hidden="1" customWidth="1"/>
    <col min="40" max="40" width="9.5703125" style="495" hidden="1" customWidth="1"/>
    <col min="41" max="41" width="15.28515625" style="495" customWidth="1"/>
    <col min="42" max="44" width="15.85546875" style="495" customWidth="1"/>
    <col min="45" max="45" width="15.28515625" style="190" bestFit="1" customWidth="1"/>
    <col min="46" max="55" width="8.5703125" style="190" customWidth="1"/>
    <col min="56" max="56" width="11" style="190" bestFit="1" customWidth="1"/>
    <col min="57" max="58" width="8.5703125" style="190" customWidth="1"/>
    <col min="59" max="69" width="2.7109375" style="34" customWidth="1"/>
    <col min="70" max="71" width="6" style="34" bestFit="1" customWidth="1"/>
    <col min="72" max="72" width="2.7109375" style="34" customWidth="1"/>
    <col min="73" max="73" width="10.85546875" style="34" bestFit="1" customWidth="1"/>
    <col min="74" max="81" width="2.7109375" style="34" customWidth="1"/>
    <col min="82" max="142" width="2.7109375" customWidth="1"/>
    <col min="143" max="164" width="3.5703125" customWidth="1"/>
    <col min="165" max="168" width="2" bestFit="1" customWidth="1"/>
  </cols>
  <sheetData>
    <row r="1" spans="1:157" ht="21">
      <c r="A1" s="40"/>
      <c r="B1" s="823" t="s">
        <v>803</v>
      </c>
      <c r="C1" s="748"/>
      <c r="D1" s="549" t="str">
        <f>+Profit!B2</f>
        <v>908 Pond St</v>
      </c>
      <c r="F1" s="828" t="str">
        <f>Profit!$E$1&amp; " Your Home"</f>
        <v>Buy Your Home</v>
      </c>
      <c r="G1" s="790"/>
      <c r="H1" s="790"/>
      <c r="I1" s="817" t="s">
        <v>804</v>
      </c>
      <c r="J1" s="748"/>
      <c r="K1" s="748"/>
      <c r="L1" s="817" t="s">
        <v>799</v>
      </c>
      <c r="M1" s="748"/>
      <c r="N1" s="748"/>
      <c r="O1" s="817" t="s">
        <v>805</v>
      </c>
      <c r="P1" s="748"/>
      <c r="Q1" s="748"/>
      <c r="T1" s="507">
        <v>1</v>
      </c>
      <c r="U1" s="505"/>
      <c r="AD1" s="35"/>
      <c r="AE1" s="35" t="str">
        <f>IFERROR(+IF('Gnatt Chart'!AF$24=#REF!,Milestone_Marker,IF(AND('Gnatt Chart'!AF$24&gt;#REF!,'Gnatt Chart'!AF$24&lt;#REF!+#REF!),#REF!,"")),"")</f>
        <v/>
      </c>
      <c r="AF1" s="35"/>
      <c r="AG1" s="35"/>
      <c r="AH1" s="35"/>
      <c r="AI1" s="35"/>
      <c r="AJ1" s="35"/>
      <c r="AK1" s="35"/>
      <c r="AP1" s="35"/>
      <c r="AQ1" s="35"/>
      <c r="AR1" s="35"/>
      <c r="AS1" s="35" t="str">
        <f>IFERROR(+IF(#REF!=#REF!,Milestone_Marker,IF(AND(#REF!&gt;#REF!,#REF!&lt;#REF!+#REF!),#REF!,"")),"")</f>
        <v/>
      </c>
      <c r="AU1" s="35" t="str">
        <f>IFERROR(+IF(AO$24=#REF!,Milestone_Marker,IF(AND(AO$24&gt;#REF!,AO$24&lt;#REF!+#REF!),#REF!,"")),"")</f>
        <v/>
      </c>
      <c r="BI1"/>
      <c r="BJ1"/>
      <c r="BK1"/>
      <c r="BL1"/>
      <c r="BM1"/>
      <c r="BN1"/>
    </row>
    <row r="2" spans="1:157" ht="18.75">
      <c r="A2" s="40"/>
      <c r="B2" s="824">
        <v>45943</v>
      </c>
      <c r="C2" s="748"/>
      <c r="D2" s="551" t="s">
        <v>806</v>
      </c>
      <c r="E2" s="552"/>
      <c r="F2" s="825" t="s">
        <v>807</v>
      </c>
      <c r="G2" s="826"/>
      <c r="H2" s="826"/>
      <c r="I2" s="821">
        <f>SUMIF(qryContractsToGnatt[Assigned],$D2,qryContractsToGnatt[Price])</f>
        <v>72595.785504750005</v>
      </c>
      <c r="J2" s="822"/>
      <c r="K2" s="822"/>
      <c r="L2" s="821" cm="1">
        <f t="array" ref="L2">SUM(TabsSummary[Due]-TabsSummary[Paid])</f>
        <v>0</v>
      </c>
      <c r="M2" s="822"/>
      <c r="N2" s="822"/>
      <c r="O2" s="813">
        <f>+I2-N2</f>
        <v>72595.785504750005</v>
      </c>
      <c r="P2" s="814"/>
      <c r="Q2" s="814"/>
      <c r="T2" s="499"/>
      <c r="U2" s="506" t="s">
        <v>808</v>
      </c>
      <c r="W2"/>
      <c r="AD2" s="35"/>
      <c r="AE2" s="35" t="str">
        <f>IFERROR(+IF('Gnatt Chart'!AF$24=#REF!,Milestone_Marker,IF(AND('Gnatt Chart'!AF$24&gt;#REF!,'Gnatt Chart'!AF$24&lt;#REF!+#REF!),#REF!,"")),"")</f>
        <v/>
      </c>
      <c r="AF2" s="35"/>
      <c r="AG2" s="35"/>
      <c r="AH2" s="35"/>
      <c r="AI2" s="35"/>
      <c r="AJ2" s="35"/>
      <c r="AK2" s="35"/>
      <c r="AP2" s="35"/>
      <c r="AQ2" s="35"/>
      <c r="AR2" s="35"/>
      <c r="AS2" s="35" t="str">
        <f>IFERROR(+IF(#REF!=#REF!,Milestone_Marker,IF(AND(#REF!&gt;#REF!,#REF!&lt;#REF!+#REF!),#REF!,"")),"")</f>
        <v/>
      </c>
      <c r="AT2" s="35" t="str">
        <f>IFERROR(+IF(#REF!=#REF!,Milestone_Marker,IF(AND(#REF!&gt;#REF!,#REF!&lt;#REF!+#REF!),#REF!,"")),"")</f>
        <v/>
      </c>
      <c r="AU2" s="35" t="str">
        <f>IFERROR(+IF(AO$24=#REF!,Milestone_Marker,IF(AND(AO$24&gt;#REF!,AO$24&lt;#REF!+#REF!),#REF!,"")),"")</f>
        <v/>
      </c>
      <c r="BI2" s="465"/>
      <c r="BJ2" s="465"/>
      <c r="BK2" s="465"/>
      <c r="BL2" s="465"/>
      <c r="BM2" s="465"/>
      <c r="BN2" s="465"/>
      <c r="BO2" s="47"/>
      <c r="BP2" s="47"/>
      <c r="BQ2" s="47"/>
      <c r="BR2" s="47"/>
      <c r="BS2" s="47"/>
      <c r="BT2" s="47"/>
      <c r="BU2" s="47"/>
      <c r="BV2" s="47"/>
      <c r="BW2" s="47"/>
      <c r="BX2" s="47"/>
      <c r="BY2" s="47"/>
      <c r="BZ2" s="47"/>
      <c r="CA2" s="48"/>
      <c r="CB2" s="48"/>
      <c r="CG2" s="15"/>
      <c r="CH2" s="15"/>
      <c r="CI2" s="15"/>
    </row>
    <row r="3" spans="1:157" ht="18.75">
      <c r="A3" s="2"/>
      <c r="B3" s="2"/>
      <c r="C3" s="53"/>
      <c r="D3" s="551" t="s">
        <v>519</v>
      </c>
      <c r="E3" s="552"/>
      <c r="F3" s="827" t="str">
        <f>+D3 &amp; " Total:"</f>
        <v>Glasgow DB Total:</v>
      </c>
      <c r="G3" s="816"/>
      <c r="H3" s="816"/>
      <c r="I3" s="818" cm="1">
        <f t="array" ref="I3">SUM(
  _xlfn._xlws.FILTER(
    qryContractsToGnatt[Price],
    (qryContractsToGnatt[Assigned]=$D3) *
    (ISNA(MATCH(LOWER(qryContractsToGnatt[Title]), {"bonus","deposit","draws"}, 0)))
  )
)</f>
        <v>189900.95</v>
      </c>
      <c r="J3" s="819"/>
      <c r="K3" s="819"/>
      <c r="L3" s="821">
        <f>SUMIF(qryContractsToGnatt[Assigned],$D3,qryContractsToGnatt[Due])-SUM(tblContractGlasgow[Paid])</f>
        <v>-7665</v>
      </c>
      <c r="M3" s="822"/>
      <c r="N3" s="822"/>
      <c r="O3" s="813">
        <f>+I3-N3</f>
        <v>189900.95</v>
      </c>
      <c r="P3" s="814"/>
      <c r="Q3" s="814"/>
      <c r="T3" s="499"/>
      <c r="U3" s="506" t="s">
        <v>809</v>
      </c>
      <c r="AD3" s="35"/>
      <c r="AE3" s="35"/>
      <c r="AF3" s="35"/>
      <c r="AG3" s="35"/>
      <c r="AH3" s="35"/>
      <c r="AI3" s="35"/>
      <c r="AJ3" s="35"/>
      <c r="AK3" s="35"/>
      <c r="AL3" s="504"/>
      <c r="AM3" s="504"/>
      <c r="AN3" s="504"/>
      <c r="AO3" s="504"/>
      <c r="AP3" s="35"/>
      <c r="AQ3" s="35"/>
      <c r="AR3" s="35"/>
      <c r="AS3" s="35" t="str">
        <f>IFERROR(+IF(#REF!=#REF!,Milestone_Marker,IF(AND(#REF!&gt;#REF!,#REF!&lt;#REF!+#REF!),#REF!,"")),"")</f>
        <v/>
      </c>
      <c r="AT3" s="35" t="str">
        <f>IFERROR(+IF(#REF!=#REF!,Milestone_Marker,IF(AND(#REF!&gt;#REF!,#REF!&lt;#REF!+#REF!),#REF!,"")),"")</f>
        <v/>
      </c>
      <c r="AU3" s="35" t="str">
        <f>IFERROR(+IF(AO$24=#REF!,Milestone_Marker,IF(AND(AO$24&gt;#REF!,AO$24&lt;#REF!+#REF!),#REF!,"")),"")</f>
        <v/>
      </c>
      <c r="CG3" s="15"/>
      <c r="CH3" s="15"/>
      <c r="CI3" s="15"/>
    </row>
    <row r="4" spans="1:157" ht="18.75">
      <c r="A4" s="2"/>
      <c r="B4" s="2"/>
      <c r="C4" s="452"/>
      <c r="D4" s="551" t="s">
        <v>552</v>
      </c>
      <c r="E4" s="552"/>
      <c r="F4" s="820" t="str">
        <f>+D4 &amp; " Total:"</f>
        <v>Tim Flemming Total:</v>
      </c>
      <c r="G4" s="816"/>
      <c r="H4" s="816"/>
      <c r="I4" s="818" cm="1">
        <f t="array" ref="I4">SUM(
  _xlfn._xlws.FILTER(
    qryContractsToGnatt[Price],
    (qryContractsToGnatt[Assigned]=$D4) *
    (ISNA(MATCH(LOWER(qryContractsToGnatt[Title]), {"bonus","deposit","Draws","Tim's Hourly Wage"}, 0)))
  )
)</f>
        <v>16184.375</v>
      </c>
      <c r="J4" s="819"/>
      <c r="K4" s="819"/>
      <c r="L4" s="821">
        <f>SUMIF(qryContractsToGnatt[Assigned],$D4,qryContractsToGnatt[Due])-SUM(tblContractTim[Paid])</f>
        <v>-4468.75</v>
      </c>
      <c r="M4" s="822"/>
      <c r="N4" s="822"/>
      <c r="O4" s="813">
        <f>+I4-N4</f>
        <v>16184.375</v>
      </c>
      <c r="P4" s="814"/>
      <c r="Q4" s="814"/>
      <c r="T4" s="499"/>
      <c r="U4" s="506" t="s">
        <v>810</v>
      </c>
      <c r="AD4"/>
      <c r="AE4" s="35"/>
      <c r="AF4" s="35"/>
      <c r="AG4" s="35"/>
      <c r="AH4" s="35"/>
      <c r="AI4" s="35"/>
      <c r="AJ4" s="35"/>
      <c r="AK4" s="35"/>
      <c r="AL4" s="504"/>
      <c r="AM4" s="504"/>
      <c r="AN4" s="504"/>
      <c r="AO4" s="504"/>
      <c r="AP4" s="35"/>
      <c r="AQ4" s="35"/>
      <c r="AR4" s="35"/>
      <c r="AS4" s="35" t="str">
        <f>IFERROR(+IF(#REF!=#REF!,Milestone_Marker,IF(AND(#REF!&gt;#REF!,#REF!&lt;#REF!+#REF!),#REF!,"")),"")</f>
        <v/>
      </c>
      <c r="AT4" s="35" t="str">
        <f>IFERROR(+IF(#REF!=#REF!,Milestone_Marker,IF(AND(#REF!&gt;#REF!,#REF!&lt;#REF!+#REF!),#REF!,"")),"")</f>
        <v/>
      </c>
      <c r="AU4" s="35" t="str">
        <f>IFERROR(+IF(AO$24=#REF!,Milestone_Marker,IF(AND(AO$24&gt;#REF!,AO$24&lt;#REF!+#REF!),#REF!,"")),"")</f>
        <v/>
      </c>
      <c r="CC4"/>
      <c r="CF4" s="15"/>
      <c r="CG4" s="15"/>
      <c r="CH4" s="15"/>
    </row>
    <row r="5" spans="1:157" ht="18.75">
      <c r="A5" s="2"/>
      <c r="B5" s="2"/>
      <c r="C5" s="452" t="b">
        <v>1</v>
      </c>
      <c r="D5" s="551" t="s">
        <v>467</v>
      </c>
      <c r="E5" s="552"/>
      <c r="F5" s="830" t="str">
        <f>+D5 &amp; " Total:"</f>
        <v>Buy Your Home Total:</v>
      </c>
      <c r="G5" s="816"/>
      <c r="H5" s="816"/>
      <c r="I5" s="818" cm="1">
        <f t="array" ref="I5">SUM(
  _xlfn._xlws.FILTER(
    qryContractsToGnatt[Price],
    (qryContractsToGnatt[Assigned]=$D5) *
    (ISNA(MATCH(LOWER(qryContractsToGnatt[Title]), {"bonus","deposit","draws"}, 0)))
  )
)</f>
        <v>28030.22</v>
      </c>
      <c r="J5" s="819"/>
      <c r="K5" s="819"/>
      <c r="L5" s="821">
        <f>SUMIF(qryContractsToGnatt[Assigned],$D5,qryContractsToGnatt[Due])-SUM(tblContractOthers[Paid])</f>
        <v>7155</v>
      </c>
      <c r="M5" s="822"/>
      <c r="N5" s="822"/>
      <c r="O5" s="813">
        <f>+I5-N5</f>
        <v>28030.22</v>
      </c>
      <c r="P5" s="814"/>
      <c r="Q5" s="814"/>
      <c r="T5" s="34"/>
      <c r="U5" s="34"/>
      <c r="AD5" s="35"/>
      <c r="AE5" s="35" t="str">
        <f>IFERROR(+IF('Gnatt Chart'!AF$24=#REF!,Milestone_Marker,IF(AND('Gnatt Chart'!AF$24&gt;#REF!,'Gnatt Chart'!AF$24&lt;#REF!+#REF!),#REF!,"")),"")</f>
        <v/>
      </c>
      <c r="AF5" s="35"/>
      <c r="AG5" s="35"/>
      <c r="AH5" s="35"/>
      <c r="AI5" s="35"/>
      <c r="AJ5" s="35"/>
      <c r="AK5" s="35"/>
      <c r="AL5" s="504"/>
      <c r="AM5" s="504"/>
      <c r="AN5" s="504"/>
      <c r="AO5" s="504"/>
      <c r="AP5" s="35"/>
      <c r="AQ5" s="35"/>
      <c r="AR5" s="35"/>
      <c r="AS5" s="35" t="str">
        <f>IFERROR(+IF(#REF!=#REF!,Milestone_Marker,IF(AND(#REF!&gt;#REF!,#REF!&lt;#REF!+#REF!),#REF!,"")),"")</f>
        <v/>
      </c>
      <c r="AT5" s="35" t="str">
        <f>IFERROR(+IF(#REF!=#REF!,Milestone_Marker,IF(AND(#REF!&gt;#REF!,#REF!&lt;#REF!+#REF!),#REF!,"")),"")</f>
        <v/>
      </c>
      <c r="AU5" s="35" t="str">
        <f>IFERROR(+IF(AO$24=#REF!,Milestone_Marker,IF(AND(AO$24&gt;#REF!,AO$24&lt;#REF!+#REF!),#REF!,"")),"")</f>
        <v/>
      </c>
      <c r="CC5"/>
      <c r="CF5" s="15"/>
      <c r="CG5" s="15"/>
      <c r="CH5" s="15"/>
    </row>
    <row r="6" spans="1:157" ht="16.5" customHeight="1" thickBot="1">
      <c r="A6" s="2"/>
      <c r="B6" s="2"/>
      <c r="C6" s="2"/>
      <c r="D6" s="553"/>
      <c r="E6" s="553"/>
      <c r="F6" s="815" t="s">
        <v>811</v>
      </c>
      <c r="G6" s="816"/>
      <c r="H6" s="816"/>
      <c r="I6" s="821">
        <f>SUM(I2:K5)</f>
        <v>306711.33050475002</v>
      </c>
      <c r="J6" s="822"/>
      <c r="K6" s="822"/>
      <c r="L6" s="821">
        <f>SUMIF(qryContractsToGnatt[Assigned],$E6,qryContractsToGnatt[Due])</f>
        <v>0</v>
      </c>
      <c r="M6" s="822"/>
      <c r="N6" s="822"/>
      <c r="O6" s="813">
        <f>SUM(O3:O5)</f>
        <v>234115.54500000001</v>
      </c>
      <c r="P6" s="814"/>
      <c r="Q6" s="814"/>
      <c r="T6" s="34"/>
      <c r="U6" s="34"/>
      <c r="AD6" s="35"/>
      <c r="AE6" s="35" t="str">
        <f>IFERROR(+IF('Gnatt Chart'!AF$24=#REF!,Milestone_Marker,IF(AND('Gnatt Chart'!AF$24&gt;#REF!,'Gnatt Chart'!AF$24&lt;#REF!+#REF!),#REF!,"")),"")</f>
        <v/>
      </c>
      <c r="AF6" s="35"/>
      <c r="AG6" s="35"/>
      <c r="AH6" s="35"/>
      <c r="AI6" s="35"/>
      <c r="AJ6" s="35"/>
      <c r="AK6" s="35"/>
      <c r="AL6" s="504"/>
      <c r="AM6" s="504"/>
      <c r="AN6" s="504"/>
      <c r="AO6" s="504"/>
      <c r="AP6" s="35"/>
      <c r="AQ6" s="35"/>
      <c r="AR6" s="35"/>
      <c r="AS6" s="35" t="str">
        <f>IFERROR(+IF(#REF!=#REF!,Milestone_Marker,IF(AND(#REF!&gt;#REF!,#REF!&lt;#REF!+#REF!),#REF!,"")),"")</f>
        <v/>
      </c>
      <c r="AT6" s="35" t="str">
        <f>IFERROR(+IF(#REF!=#REF!,Milestone_Marker,IF(AND(#REF!&gt;#REF!,#REF!&lt;#REF!+#REF!),#REF!,"")),"")</f>
        <v/>
      </c>
      <c r="AU6" s="35" t="str">
        <f>IFERROR(+IF(AO$24=#REF!,Milestone_Marker,IF(AND(AO$24&gt;#REF!,AO$24&lt;#REF!+#REF!),#REF!,"")),"")</f>
        <v/>
      </c>
      <c r="CS6" s="15"/>
      <c r="CT6" s="15"/>
      <c r="CU6" s="15"/>
    </row>
    <row r="7" spans="1:157" s="22" customFormat="1" ht="21.75" thickBot="1">
      <c r="A7" s="55"/>
      <c r="B7" s="56"/>
      <c r="C7" s="57"/>
      <c r="D7" s="466" t="str">
        <f>Profit!E1&amp;" Your Home Supplied Materials"</f>
        <v>Buy Your Home Supplied Materials</v>
      </c>
      <c r="E7" s="55"/>
      <c r="F7" s="55"/>
      <c r="G7" s="55"/>
      <c r="H7" s="55"/>
      <c r="I7" s="55"/>
      <c r="J7" s="55"/>
      <c r="K7" s="55"/>
      <c r="L7" s="55"/>
      <c r="M7" s="55"/>
      <c r="N7" s="55"/>
      <c r="O7" s="55"/>
      <c r="P7" s="55"/>
      <c r="Q7" s="58"/>
      <c r="R7" s="58"/>
      <c r="S7" s="55"/>
      <c r="T7" s="55"/>
      <c r="U7" s="55"/>
      <c r="V7" s="55"/>
      <c r="W7" s="55"/>
      <c r="X7" s="55"/>
      <c r="Y7" s="55"/>
      <c r="Z7" s="55"/>
      <c r="AA7" s="56"/>
      <c r="AB7" s="190"/>
      <c r="AC7" s="476"/>
      <c r="AD7" s="35"/>
      <c r="AE7" s="35" t="str">
        <f>IFERROR(+IF('Gnatt Chart'!AF$24=#REF!,Milestone_Marker,IF(AND('Gnatt Chart'!AF$24&gt;#REF!,'Gnatt Chart'!AF$24&lt;#REF!+#REF!),#REF!,"")),"")</f>
        <v/>
      </c>
      <c r="AF7" s="35"/>
      <c r="AG7" s="35"/>
      <c r="AH7" s="35"/>
      <c r="AI7" s="35"/>
      <c r="AJ7" s="35"/>
      <c r="AK7" s="35"/>
      <c r="AL7" s="504"/>
      <c r="AM7" s="504"/>
      <c r="AN7" s="504"/>
      <c r="AO7" s="504"/>
      <c r="AP7" s="35"/>
      <c r="AQ7" s="35"/>
      <c r="AR7" s="35"/>
      <c r="AS7" s="35" t="str">
        <f>IFERROR(+IF(#REF!=#REF!,Milestone_Marker,IF(AND(#REF!&gt;#REF!,#REF!&lt;#REF!+#REF!),#REF!,"")),"")</f>
        <v/>
      </c>
      <c r="AT7" s="35" t="str">
        <f>IFERROR(+IF(#REF!=#REF!,Milestone_Marker,IF(AND(#REF!&gt;#REF!,#REF!&lt;#REF!+#REF!),#REF!,"")),"")</f>
        <v/>
      </c>
      <c r="AU7" s="35" t="str">
        <f>IFERROR(+IF(AO$24=#REF!,Milestone_Marker,IF(AND(AO$24&gt;#REF!,AO$24&lt;#REF!+#REF!),#REF!,"")),"")</f>
        <v/>
      </c>
      <c r="AV7" s="476"/>
      <c r="AW7" s="476"/>
      <c r="AX7" s="476"/>
      <c r="AY7" s="476"/>
      <c r="AZ7" s="476"/>
      <c r="BA7" s="476"/>
      <c r="BB7" s="476"/>
      <c r="BC7" s="476"/>
      <c r="BD7" s="476"/>
      <c r="BE7" s="476"/>
      <c r="BF7" s="476"/>
      <c r="BG7" s="22" t="str">
        <f ca="1">+BG23</f>
        <v>November</v>
      </c>
      <c r="BH7" s="22" t="str">
        <f ca="1">+BH23</f>
        <v>SiblingRank</v>
      </c>
      <c r="BI7" s="22" t="e">
        <f t="shared" ref="BI7:BW7" si="0">+BI23</f>
        <v>#REF!</v>
      </c>
      <c r="BJ7" s="22" t="e">
        <f t="shared" si="0"/>
        <v>#REF!</v>
      </c>
      <c r="BK7" s="22" t="e">
        <f t="shared" si="0"/>
        <v>#REF!</v>
      </c>
      <c r="BL7" s="22" t="e">
        <f t="shared" si="0"/>
        <v>#REF!</v>
      </c>
      <c r="BM7" s="22" t="e">
        <f t="shared" ref="BM7:BS7" ca="1" si="1">+BM23</f>
        <v>#REF!</v>
      </c>
      <c r="BN7" s="22" t="str">
        <f t="shared" ca="1" si="1"/>
        <v/>
      </c>
      <c r="BO7" s="22" t="str">
        <f t="shared" ca="1" si="1"/>
        <v/>
      </c>
      <c r="BP7" s="22" t="str">
        <f t="shared" ca="1" si="1"/>
        <v/>
      </c>
      <c r="BQ7" s="22" t="str">
        <f t="shared" ca="1" si="1"/>
        <v/>
      </c>
      <c r="BR7" s="22" t="str">
        <f t="shared" ca="1" si="1"/>
        <v/>
      </c>
      <c r="BS7" s="22" t="str">
        <f t="shared" ca="1" si="1"/>
        <v/>
      </c>
      <c r="BT7" s="22" t="e">
        <f t="shared" si="0"/>
        <v>#REF!</v>
      </c>
      <c r="BU7" s="22" t="e">
        <f t="shared" si="0"/>
        <v>#REF!</v>
      </c>
      <c r="BV7" s="22" t="e">
        <f t="shared" si="0"/>
        <v>#REF!</v>
      </c>
      <c r="BW7" s="22" t="e">
        <f t="shared" si="0"/>
        <v>#REF!</v>
      </c>
      <c r="BX7" s="22" t="e">
        <f t="shared" ref="BX7:DI7" ca="1" si="2">+BX23</f>
        <v>#REF!</v>
      </c>
      <c r="BY7" s="22" t="str">
        <f t="shared" ca="1" si="2"/>
        <v/>
      </c>
      <c r="BZ7" s="22" t="str">
        <f t="shared" ca="1" si="2"/>
        <v/>
      </c>
      <c r="CA7" s="22" t="str">
        <f t="shared" ca="1" si="2"/>
        <v/>
      </c>
      <c r="CB7" s="22" t="str">
        <f t="shared" ca="1" si="2"/>
        <v/>
      </c>
      <c r="CC7" s="22" t="str">
        <f t="shared" ca="1" si="2"/>
        <v/>
      </c>
      <c r="CD7" s="22" t="str">
        <f t="shared" ca="1" si="2"/>
        <v/>
      </c>
      <c r="CE7" s="22" t="str">
        <f t="shared" ca="1" si="2"/>
        <v/>
      </c>
      <c r="CF7" s="22" t="str">
        <f t="shared" ca="1" si="2"/>
        <v/>
      </c>
      <c r="CG7" s="22" t="str">
        <f t="shared" ca="1" si="2"/>
        <v/>
      </c>
      <c r="CH7" s="22" t="str">
        <f t="shared" ca="1" si="2"/>
        <v/>
      </c>
      <c r="CI7" s="22" t="str">
        <f t="shared" ca="1" si="2"/>
        <v/>
      </c>
      <c r="CJ7" s="22" t="str">
        <f t="shared" ca="1" si="2"/>
        <v/>
      </c>
      <c r="CK7" s="22" t="str">
        <f t="shared" ca="1" si="2"/>
        <v/>
      </c>
      <c r="CL7" s="22" t="str">
        <f t="shared" ca="1" si="2"/>
        <v/>
      </c>
      <c r="CM7" s="22" t="str">
        <f t="shared" ca="1" si="2"/>
        <v/>
      </c>
      <c r="CN7" s="22" t="str">
        <f t="shared" ca="1" si="2"/>
        <v/>
      </c>
      <c r="CO7" s="22" t="str">
        <f t="shared" ca="1" si="2"/>
        <v/>
      </c>
      <c r="CP7" s="22" t="str">
        <f t="shared" ca="1" si="2"/>
        <v/>
      </c>
      <c r="CQ7" s="22" t="str">
        <f t="shared" ca="1" si="2"/>
        <v>December</v>
      </c>
      <c r="CR7" s="22" t="str">
        <f t="shared" ca="1" si="2"/>
        <v/>
      </c>
      <c r="CS7" s="22" t="str">
        <f t="shared" ca="1" si="2"/>
        <v/>
      </c>
      <c r="CT7" s="22" t="str">
        <f t="shared" ca="1" si="2"/>
        <v/>
      </c>
      <c r="CU7" s="22" t="str">
        <f t="shared" ca="1" si="2"/>
        <v/>
      </c>
      <c r="CV7" s="22" t="str">
        <f t="shared" ca="1" si="2"/>
        <v/>
      </c>
      <c r="CW7" s="22" t="str">
        <f t="shared" ca="1" si="2"/>
        <v/>
      </c>
      <c r="CX7" s="22" t="str">
        <f t="shared" ca="1" si="2"/>
        <v/>
      </c>
      <c r="CY7" s="22" t="str">
        <f t="shared" ca="1" si="2"/>
        <v/>
      </c>
      <c r="CZ7" s="22" t="str">
        <f t="shared" ca="1" si="2"/>
        <v/>
      </c>
      <c r="DA7" s="22" t="str">
        <f t="shared" ca="1" si="2"/>
        <v/>
      </c>
      <c r="DB7" s="22" t="str">
        <f t="shared" ca="1" si="2"/>
        <v/>
      </c>
      <c r="DC7" s="22" t="str">
        <f t="shared" ca="1" si="2"/>
        <v/>
      </c>
      <c r="DD7" s="22" t="str">
        <f t="shared" ca="1" si="2"/>
        <v/>
      </c>
      <c r="DE7" s="22" t="str">
        <f t="shared" ca="1" si="2"/>
        <v/>
      </c>
      <c r="DF7" s="22" t="str">
        <f t="shared" ca="1" si="2"/>
        <v/>
      </c>
      <c r="DG7" s="22" t="str">
        <f t="shared" ca="1" si="2"/>
        <v/>
      </c>
      <c r="DH7" s="22" t="str">
        <f t="shared" ca="1" si="2"/>
        <v/>
      </c>
      <c r="DI7" s="22" t="str">
        <f t="shared" ca="1" si="2"/>
        <v/>
      </c>
    </row>
    <row r="8" spans="1:157" s="40" customFormat="1" ht="33" customHeight="1">
      <c r="A8" s="55" t="s">
        <v>515</v>
      </c>
      <c r="B8" s="57" t="s">
        <v>510</v>
      </c>
      <c r="C8" s="55" t="s">
        <v>511</v>
      </c>
      <c r="D8" s="55" t="s">
        <v>512</v>
      </c>
      <c r="E8" s="55" t="s">
        <v>513</v>
      </c>
      <c r="F8" s="55" t="s">
        <v>514</v>
      </c>
      <c r="G8" s="55" t="s">
        <v>798</v>
      </c>
      <c r="H8" s="55" t="s">
        <v>790</v>
      </c>
      <c r="I8" s="55" t="s">
        <v>799</v>
      </c>
      <c r="J8" s="56" t="s">
        <v>509</v>
      </c>
      <c r="K8" s="489" t="s">
        <v>812</v>
      </c>
      <c r="L8" s="55" t="s">
        <v>813</v>
      </c>
      <c r="M8" s="55" t="s">
        <v>787</v>
      </c>
      <c r="N8" s="55" t="s">
        <v>1398</v>
      </c>
      <c r="O8" s="55" t="s">
        <v>108</v>
      </c>
      <c r="P8" s="55" t="s">
        <v>788</v>
      </c>
      <c r="Q8" s="55" t="s">
        <v>789</v>
      </c>
      <c r="R8" s="55" t="s">
        <v>1380</v>
      </c>
      <c r="S8" s="55" t="s">
        <v>814</v>
      </c>
      <c r="T8" s="55" t="s">
        <v>786</v>
      </c>
      <c r="U8" s="55" t="s">
        <v>815</v>
      </c>
      <c r="V8" s="55" t="s">
        <v>784</v>
      </c>
      <c r="W8" s="55" t="s">
        <v>816</v>
      </c>
      <c r="X8" s="55" t="s">
        <v>457</v>
      </c>
      <c r="Y8" s="55" t="s">
        <v>817</v>
      </c>
      <c r="Z8" s="55" t="s">
        <v>785</v>
      </c>
      <c r="AA8" s="55" t="s">
        <v>1432</v>
      </c>
      <c r="AB8" s="55" t="s">
        <v>818</v>
      </c>
      <c r="AC8" s="55" t="s">
        <v>819</v>
      </c>
      <c r="AD8" s="55" t="s">
        <v>820</v>
      </c>
      <c r="AE8" s="55" t="s">
        <v>821</v>
      </c>
      <c r="AF8" s="55" t="s">
        <v>822</v>
      </c>
      <c r="AG8" s="55" t="s">
        <v>823</v>
      </c>
      <c r="AH8" s="55" t="s">
        <v>824</v>
      </c>
      <c r="AI8" s="55" t="s">
        <v>825</v>
      </c>
      <c r="AJ8" s="55" t="s">
        <v>826</v>
      </c>
      <c r="AK8" s="55" t="s">
        <v>827</v>
      </c>
      <c r="AL8" s="55" t="s">
        <v>828</v>
      </c>
      <c r="AM8" s="55" t="s">
        <v>829</v>
      </c>
      <c r="AN8" s="55" t="s">
        <v>830</v>
      </c>
      <c r="AO8" s="35"/>
      <c r="AP8" s="35"/>
      <c r="AQ8" s="35"/>
      <c r="AR8" s="35"/>
      <c r="AS8" s="35"/>
      <c r="AT8" s="35" t="str">
        <f>IFERROR(+IF(#REF!=#REF!,Milestone_Marker,IF(AND(#REF!&gt;#REF!,#REF!&lt;#REF!+#REF!),#REF!,"")),"")</f>
        <v/>
      </c>
      <c r="AU8" s="35" t="str">
        <f>IFERROR(+IF(AO$24=#REF!,Milestone_Marker,IF(AND(AO$24&gt;#REF!,AO$24&lt;#REF!+#REF!),#REF!,"")),"")</f>
        <v/>
      </c>
      <c r="AV8" s="49">
        <f ca="1">+AP24</f>
        <v>45972</v>
      </c>
      <c r="AW8" s="49">
        <f ca="1">+AV8+1</f>
        <v>45973</v>
      </c>
      <c r="AX8" s="49">
        <f ca="1">+AW8+1</f>
        <v>45974</v>
      </c>
      <c r="AY8" s="49">
        <f ca="1">+AX8+1</f>
        <v>45975</v>
      </c>
      <c r="AZ8" s="49">
        <f ca="1">+AY8+1</f>
        <v>45976</v>
      </c>
      <c r="BA8" s="49" t="str">
        <f>+'Gnatt Chart'!AF24</f>
        <v>SiblingRank</v>
      </c>
      <c r="BB8" s="49" t="e">
        <f>+#REF!</f>
        <v>#REF!</v>
      </c>
      <c r="BC8" s="49" t="e">
        <f>+#REF!</f>
        <v>#REF!</v>
      </c>
      <c r="BD8" s="49">
        <f>+AO24</f>
        <v>0</v>
      </c>
      <c r="BE8" s="49" t="e">
        <f>+#REF!</f>
        <v>#REF!</v>
      </c>
      <c r="BF8" s="49">
        <f t="shared" ref="BF8:CK8" ca="1" si="3">+AQ24</f>
        <v>45973</v>
      </c>
      <c r="BG8" s="49">
        <f t="shared" ca="1" si="3"/>
        <v>45974</v>
      </c>
      <c r="BH8" s="49">
        <f t="shared" ca="1" si="3"/>
        <v>45975</v>
      </c>
      <c r="BI8" s="49">
        <f t="shared" ca="1" si="3"/>
        <v>45976</v>
      </c>
      <c r="BJ8" s="49">
        <f t="shared" ca="1" si="3"/>
        <v>45977</v>
      </c>
      <c r="BK8" s="49">
        <f t="shared" ca="1" si="3"/>
        <v>45978</v>
      </c>
      <c r="BL8" s="49">
        <f t="shared" ca="1" si="3"/>
        <v>45979</v>
      </c>
      <c r="BM8" s="49">
        <f t="shared" ca="1" si="3"/>
        <v>45980</v>
      </c>
      <c r="BN8" s="49">
        <f t="shared" ca="1" si="3"/>
        <v>45981</v>
      </c>
      <c r="BO8" s="49">
        <f t="shared" ca="1" si="3"/>
        <v>45982</v>
      </c>
      <c r="BP8" s="49">
        <f t="shared" ca="1" si="3"/>
        <v>45983</v>
      </c>
      <c r="BQ8" s="49">
        <f t="shared" ca="1" si="3"/>
        <v>45984</v>
      </c>
      <c r="BR8" s="49">
        <f t="shared" ca="1" si="3"/>
        <v>45985</v>
      </c>
      <c r="BS8" s="49">
        <f t="shared" ca="1" si="3"/>
        <v>45986</v>
      </c>
      <c r="BT8" s="49">
        <f t="shared" ca="1" si="3"/>
        <v>45987</v>
      </c>
      <c r="BU8" s="49">
        <f t="shared" ca="1" si="3"/>
        <v>45988</v>
      </c>
      <c r="BV8" s="49">
        <f t="shared" ca="1" si="3"/>
        <v>45989</v>
      </c>
      <c r="BW8" s="49">
        <f t="shared" ca="1" si="3"/>
        <v>45990</v>
      </c>
      <c r="BX8" s="49">
        <f t="shared" ca="1" si="3"/>
        <v>45991</v>
      </c>
      <c r="BY8" s="49">
        <f t="shared" ca="1" si="3"/>
        <v>45992</v>
      </c>
      <c r="BZ8" s="49">
        <f t="shared" ca="1" si="3"/>
        <v>45993</v>
      </c>
      <c r="CA8" s="49">
        <f t="shared" ca="1" si="3"/>
        <v>45994</v>
      </c>
      <c r="CB8" s="49">
        <f t="shared" ca="1" si="3"/>
        <v>45995</v>
      </c>
      <c r="CC8" s="49">
        <f t="shared" ca="1" si="3"/>
        <v>45996</v>
      </c>
      <c r="CD8" s="49">
        <f t="shared" ca="1" si="3"/>
        <v>45997</v>
      </c>
      <c r="CE8" s="49">
        <f t="shared" ca="1" si="3"/>
        <v>45998</v>
      </c>
      <c r="CF8" s="49">
        <f t="shared" ca="1" si="3"/>
        <v>45999</v>
      </c>
      <c r="CG8" s="49">
        <f t="shared" ca="1" si="3"/>
        <v>46000</v>
      </c>
      <c r="CH8" s="49">
        <f t="shared" ca="1" si="3"/>
        <v>46001</v>
      </c>
      <c r="CI8" s="49">
        <f t="shared" ca="1" si="3"/>
        <v>46002</v>
      </c>
      <c r="CJ8" s="49">
        <f t="shared" ca="1" si="3"/>
        <v>46003</v>
      </c>
      <c r="CK8" s="49">
        <f t="shared" ca="1" si="3"/>
        <v>46004</v>
      </c>
      <c r="CL8" s="49">
        <f t="shared" ref="CL8:DQ8" ca="1" si="4">+BW24</f>
        <v>46005</v>
      </c>
      <c r="CM8" s="49">
        <f t="shared" ca="1" si="4"/>
        <v>46006</v>
      </c>
      <c r="CN8" s="49">
        <f t="shared" ca="1" si="4"/>
        <v>46007</v>
      </c>
      <c r="CO8" s="49">
        <f t="shared" ca="1" si="4"/>
        <v>46008</v>
      </c>
      <c r="CP8" s="49">
        <f t="shared" ca="1" si="4"/>
        <v>46009</v>
      </c>
      <c r="CQ8" s="49">
        <f t="shared" ca="1" si="4"/>
        <v>46010</v>
      </c>
      <c r="CR8" s="49">
        <f t="shared" ca="1" si="4"/>
        <v>46011</v>
      </c>
      <c r="CS8" s="49">
        <f t="shared" ca="1" si="4"/>
        <v>46012</v>
      </c>
      <c r="CT8" s="49">
        <f t="shared" ca="1" si="4"/>
        <v>46013</v>
      </c>
      <c r="CU8" s="49">
        <f t="shared" ca="1" si="4"/>
        <v>46014</v>
      </c>
      <c r="CV8" s="49">
        <f t="shared" ca="1" si="4"/>
        <v>46015</v>
      </c>
      <c r="CW8" s="49">
        <f t="shared" ca="1" si="4"/>
        <v>46016</v>
      </c>
      <c r="CX8" s="49">
        <f t="shared" ca="1" si="4"/>
        <v>46017</v>
      </c>
      <c r="CY8" s="49">
        <f t="shared" ca="1" si="4"/>
        <v>46018</v>
      </c>
      <c r="CZ8" s="49">
        <f t="shared" ca="1" si="4"/>
        <v>46019</v>
      </c>
      <c r="DA8" s="49">
        <f t="shared" ca="1" si="4"/>
        <v>46020</v>
      </c>
      <c r="DB8" s="49">
        <f t="shared" ca="1" si="4"/>
        <v>46021</v>
      </c>
      <c r="DC8" s="49">
        <f t="shared" ca="1" si="4"/>
        <v>46022</v>
      </c>
      <c r="DD8" s="49">
        <f t="shared" ca="1" si="4"/>
        <v>46023</v>
      </c>
      <c r="DE8" s="49">
        <f t="shared" ca="1" si="4"/>
        <v>46024</v>
      </c>
      <c r="DF8" s="49">
        <f t="shared" ca="1" si="4"/>
        <v>46025</v>
      </c>
      <c r="DG8" s="49">
        <f t="shared" ca="1" si="4"/>
        <v>46026</v>
      </c>
      <c r="DH8" s="49">
        <f t="shared" ca="1" si="4"/>
        <v>46027</v>
      </c>
      <c r="DI8" s="49">
        <f t="shared" ca="1" si="4"/>
        <v>46028</v>
      </c>
      <c r="DJ8" s="49">
        <f t="shared" ca="1" si="4"/>
        <v>46029</v>
      </c>
      <c r="DK8" s="49">
        <f t="shared" ca="1" si="4"/>
        <v>46030</v>
      </c>
      <c r="DL8" s="49">
        <f t="shared" ca="1" si="4"/>
        <v>46031</v>
      </c>
      <c r="DM8" s="49">
        <f t="shared" ca="1" si="4"/>
        <v>46032</v>
      </c>
      <c r="DN8" s="49">
        <f t="shared" ca="1" si="4"/>
        <v>46033</v>
      </c>
      <c r="DO8" s="49">
        <f t="shared" ca="1" si="4"/>
        <v>46034</v>
      </c>
      <c r="DP8" s="49">
        <f t="shared" ca="1" si="4"/>
        <v>46035</v>
      </c>
      <c r="DQ8" s="49">
        <f t="shared" ca="1" si="4"/>
        <v>46036</v>
      </c>
      <c r="DR8" s="49">
        <f t="shared" ref="DR8:DT8" ca="1" si="5">+DC24</f>
        <v>46037</v>
      </c>
      <c r="DS8" s="49">
        <f t="shared" ca="1" si="5"/>
        <v>46038</v>
      </c>
      <c r="DT8" s="49">
        <f t="shared" ca="1" si="5"/>
        <v>46039</v>
      </c>
      <c r="DU8" s="49">
        <f t="shared" ref="DU8:EA8" si="6">+DF24</f>
        <v>0</v>
      </c>
      <c r="DV8" s="49">
        <f t="shared" si="6"/>
        <v>0</v>
      </c>
      <c r="DW8" s="49">
        <f t="shared" si="6"/>
        <v>0</v>
      </c>
      <c r="DX8" s="49">
        <f t="shared" si="6"/>
        <v>0</v>
      </c>
      <c r="DY8" s="49">
        <f t="shared" si="6"/>
        <v>0</v>
      </c>
      <c r="DZ8" s="49">
        <f t="shared" si="6"/>
        <v>0</v>
      </c>
      <c r="EA8" s="49">
        <f t="shared" si="6"/>
        <v>0</v>
      </c>
      <c r="EB8" s="35"/>
      <c r="EC8" s="35"/>
      <c r="ED8" s="35"/>
      <c r="EE8" s="35"/>
      <c r="EF8" s="35"/>
      <c r="EG8" s="35"/>
      <c r="EH8" s="35"/>
      <c r="EI8" s="35"/>
      <c r="EJ8" s="35"/>
      <c r="EK8" s="35"/>
      <c r="EL8" s="35"/>
      <c r="EM8" s="35"/>
      <c r="EN8" s="35"/>
      <c r="EO8" s="35"/>
      <c r="EP8" s="35"/>
      <c r="EQ8" s="35"/>
      <c r="ER8" s="35"/>
      <c r="ES8" s="35"/>
      <c r="ET8" s="35"/>
      <c r="EU8" s="35"/>
      <c r="EV8" s="35"/>
      <c r="EW8" s="35"/>
      <c r="EX8" s="35"/>
      <c r="EY8" s="35"/>
      <c r="EZ8" s="35"/>
    </row>
    <row r="9" spans="1:157" s="40" customFormat="1" ht="15">
      <c r="A9" s="477" t="s">
        <v>806</v>
      </c>
      <c r="B9" t="s">
        <v>517</v>
      </c>
      <c r="C9" s="477" t="s">
        <v>831</v>
      </c>
      <c r="D9" s="554" t="s">
        <v>832</v>
      </c>
      <c r="E9" s="555">
        <v>1</v>
      </c>
      <c r="F9" s="479">
        <f>+'Demo &amp; Trash Haul'!G33</f>
        <v>2679.56</v>
      </c>
      <c r="G9" s="479">
        <f t="shared" ref="G9:G23" si="7">+E9*F9</f>
        <v>2679.56</v>
      </c>
      <c r="H9" s="479">
        <f>IFERROR( _xlfn.XLOOKUP(TabsSummary[[#This Row],[Index]], Contract_Edits[Index],Contract_Edits[Dep]),149)</f>
        <v>151</v>
      </c>
      <c r="I9" s="480"/>
      <c r="J9" s="478">
        <v>900</v>
      </c>
      <c r="K9" s="480"/>
      <c r="L9" s="481"/>
      <c r="M9" s="481">
        <v>0</v>
      </c>
      <c r="N9" s="481"/>
      <c r="O9" s="482"/>
      <c r="P9" s="500" t="str">
        <f>IFERROR(_xlfn.XLOOKUP(TabsSummary[[#This Row],[Index]], Contract_Edits[Index], Contract_Edits[Done],), "No")</f>
        <v>Yes</v>
      </c>
      <c r="Q9" s="500">
        <f>IFERROR(_xlfn.XLOOKUP(TabsSummary[[#This Row],[Index]], Contract_Edits[Index], Contract_Edits[Paid],), 0)</f>
        <v>0</v>
      </c>
      <c r="R9" s="500"/>
      <c r="S9" s="481"/>
      <c r="T9" s="481">
        <f>IFERROR(_xlfn.XLOOKUP(TabsSummary[[#This Row],[Index]], Contract_Edits[Index], Contract_Edits[Group]), 1)</f>
        <v>1</v>
      </c>
      <c r="U9" s="481"/>
      <c r="V9" s="481">
        <f>IFERROR(_xlfn.XLOOKUP(TabsSummary[[#This Row],[Index]], Contract_Edits[Index], Contract_Edits[Order]), "")</f>
        <v>15.020199999999999</v>
      </c>
      <c r="W9" s="482"/>
      <c r="X9" s="482"/>
      <c r="Y9" s="481"/>
      <c r="Z9" s="501" t="str">
        <f>_xlfn.XLOOKUP(TabsSummary[[#This Row],[Index]], Contract_Edits[Index], Contract_Edits[Approve])</f>
        <v>Yes</v>
      </c>
      <c r="AA9" s="559"/>
      <c r="AB9" s="500"/>
      <c r="AC9" s="500"/>
      <c r="AD9" s="500"/>
      <c r="AE9" s="35"/>
      <c r="AF9" s="35" t="str">
        <f>IFERROR(+IF('Gnatt Chart'!AF$24=#REF!,Milestone_Marker,IF(AND('Gnatt Chart'!AF$24&gt;#REF!,'Gnatt Chart'!AF$24&lt;#REF!+#REF!),#REF!,"")),"")</f>
        <v/>
      </c>
      <c r="AG9" s="35"/>
      <c r="AH9" s="35"/>
      <c r="AI9" s="35"/>
      <c r="AJ9" s="35"/>
      <c r="AK9" s="35"/>
      <c r="AL9" s="504"/>
      <c r="AM9" s="504"/>
      <c r="AN9" s="504"/>
      <c r="AO9" s="504"/>
      <c r="AP9" s="35"/>
      <c r="AQ9" s="35"/>
      <c r="AR9" s="35"/>
      <c r="AS9" s="35" t="str">
        <f>IFERROR(+IF(#REF!=#REF!,Milestone_Marker,IF(AND(#REF!&gt;#REF!,#REF!&lt;#REF!+#REF!),#REF!,"")),"")</f>
        <v/>
      </c>
      <c r="AT9" s="35" t="str">
        <f>IFERROR(+IF(#REF!=#REF!,Milestone_Marker,IF(AND(#REF!&gt;#REF!,#REF!&lt;#REF!+#REF!),#REF!,"")),"")</f>
        <v/>
      </c>
      <c r="AU9" s="35" t="str">
        <f>IFERROR(+IF(AO$24=#REF!,Milestone_Marker,IF(AND(AO$24&gt;#REF!,AO$24&lt;#REF!+#REF!),#REF!,"")),"")</f>
        <v/>
      </c>
      <c r="AX9" s="34"/>
      <c r="AY9" s="34"/>
      <c r="AZ9" s="34"/>
      <c r="BA9" s="34"/>
      <c r="BB9" s="34"/>
      <c r="BC9" s="34"/>
      <c r="BD9" s="34"/>
      <c r="BE9" s="34"/>
      <c r="BF9" s="34"/>
      <c r="BG9" s="34"/>
      <c r="BH9" s="34"/>
      <c r="BI9" s="34"/>
      <c r="BJ9" s="34"/>
      <c r="BK9" s="34"/>
      <c r="BL9" s="34"/>
      <c r="BM9" s="34"/>
      <c r="BN9" s="34"/>
      <c r="BO9" s="34"/>
      <c r="BV9" s="33"/>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c r="DV9" s="35"/>
      <c r="DW9" s="35"/>
      <c r="DX9" s="35"/>
      <c r="DY9" s="35"/>
      <c r="DZ9" s="35"/>
      <c r="EA9" s="35"/>
      <c r="EB9" s="35"/>
      <c r="EC9" s="35"/>
      <c r="ED9" s="35"/>
      <c r="EE9" s="35"/>
      <c r="EF9" s="35"/>
      <c r="EG9" s="35"/>
      <c r="EH9" s="35"/>
      <c r="EI9" s="35"/>
      <c r="EJ9" s="35"/>
      <c r="EK9" s="35"/>
      <c r="EL9" s="35"/>
      <c r="EM9" s="35"/>
      <c r="EN9" s="35"/>
      <c r="EO9" s="35"/>
      <c r="EP9" s="35"/>
      <c r="EQ9" s="35"/>
      <c r="ER9" s="35"/>
      <c r="ES9" s="35"/>
      <c r="ET9" s="35"/>
      <c r="EU9" s="35"/>
      <c r="EV9" s="35"/>
      <c r="EW9" s="35"/>
      <c r="EX9" s="35"/>
      <c r="EY9" s="35"/>
      <c r="EZ9" s="35"/>
      <c r="FA9" s="35"/>
    </row>
    <row r="10" spans="1:157" s="40" customFormat="1" ht="15">
      <c r="A10" s="477" t="s">
        <v>806</v>
      </c>
      <c r="B10" t="s">
        <v>523</v>
      </c>
      <c r="C10" s="477" t="s">
        <v>833</v>
      </c>
      <c r="D10" s="554" t="s">
        <v>834</v>
      </c>
      <c r="E10" s="555">
        <v>1</v>
      </c>
      <c r="F10" s="479">
        <f>+Appliances!H31</f>
        <v>1393.1775</v>
      </c>
      <c r="G10" s="479">
        <f t="shared" si="7"/>
        <v>1393.1775</v>
      </c>
      <c r="H10" s="479">
        <f>IFERROR( _xlfn.XLOOKUP(TabsSummary[[#This Row],[Index]], Contract_Edits[Index],Contract_Edits[Dep]),149)</f>
        <v>168</v>
      </c>
      <c r="I10" s="483"/>
      <c r="J10" s="478">
        <v>901</v>
      </c>
      <c r="K10" s="483"/>
      <c r="L10" s="484"/>
      <c r="M10" s="481">
        <v>0</v>
      </c>
      <c r="N10" s="484"/>
      <c r="O10" s="485"/>
      <c r="P10" s="500" t="str">
        <f>IFERROR(_xlfn.XLOOKUP(TabsSummary[[#This Row],[Index]], Contract_Edits[Index], Contract_Edits[Done],), "No")</f>
        <v>No</v>
      </c>
      <c r="Q10" s="500">
        <f>IFERROR(_xlfn.XLOOKUP(TabsSummary[[#This Row],[Index]], Contract_Edits[Index], Contract_Edits[Paid],), 0)</f>
        <v>0</v>
      </c>
      <c r="R10" s="500"/>
      <c r="S10" s="484"/>
      <c r="T10" s="481">
        <f>IFERROR(_xlfn.XLOOKUP(TabsSummary[[#This Row],[Index]], Contract_Edits[Index], Contract_Edits[Group]), 1)</f>
        <v>1</v>
      </c>
      <c r="U10" s="484"/>
      <c r="V10" s="481">
        <f>IFERROR(_xlfn.XLOOKUP(TabsSummary[[#This Row],[Index]], Contract_Edits[Index], Contract_Edits[Order]), "")</f>
        <v>165.0104</v>
      </c>
      <c r="W10" s="485"/>
      <c r="X10" s="485"/>
      <c r="Y10" s="484"/>
      <c r="Z10" s="501" t="str">
        <f>_xlfn.XLOOKUP(TabsSummary[[#This Row],[Index]], Contract_Edits[Index], Contract_Edits[Approve])</f>
        <v>Yes</v>
      </c>
      <c r="AA10" s="560"/>
      <c r="AB10" s="501"/>
      <c r="AC10" s="501"/>
      <c r="AD10" s="501"/>
      <c r="AE10" s="35"/>
      <c r="AF10" s="35" t="str">
        <f>IFERROR(+IF('Gnatt Chart'!AF$24=#REF!,Milestone_Marker,IF(AND('Gnatt Chart'!AF$24&gt;#REF!,'Gnatt Chart'!AF$24&lt;#REF!+#REF!),#REF!,"")),"")</f>
        <v/>
      </c>
      <c r="AG10" s="35"/>
      <c r="AH10" s="35"/>
      <c r="AI10" s="35"/>
      <c r="AJ10" s="35"/>
      <c r="AK10" s="35"/>
      <c r="AL10" s="504"/>
      <c r="AM10" s="504"/>
      <c r="AN10" s="504"/>
      <c r="AO10" s="504"/>
      <c r="AP10" s="35"/>
      <c r="AQ10" s="35"/>
      <c r="AR10" s="35"/>
      <c r="AS10" s="35" t="str">
        <f>IFERROR(+IF(#REF!=#REF!,Milestone_Marker,IF(AND(#REF!&gt;#REF!,#REF!&lt;#REF!+#REF!),#REF!,"")),"")</f>
        <v/>
      </c>
      <c r="AT10" s="35" t="str">
        <f>IFERROR(+IF(#REF!=#REF!,Milestone_Marker,IF(AND(#REF!&gt;#REF!,#REF!&lt;#REF!+#REF!),#REF!,"")),"")</f>
        <v/>
      </c>
      <c r="AU10" s="35" t="str">
        <f>IFERROR(+IF(AO$24=#REF!,Milestone_Marker,IF(AND(AO$24&gt;#REF!,AO$24&lt;#REF!+#REF!),#REF!,"")),"")</f>
        <v/>
      </c>
      <c r="AX10" s="34"/>
      <c r="AY10" s="34"/>
      <c r="AZ10" s="34"/>
      <c r="BA10" s="34"/>
      <c r="BB10" s="34"/>
      <c r="BC10" s="34"/>
      <c r="BD10" s="34"/>
      <c r="BE10" s="34"/>
      <c r="BF10" s="34"/>
      <c r="BG10" s="34"/>
      <c r="BH10" s="34"/>
      <c r="BI10" s="34"/>
      <c r="BJ10" s="34"/>
      <c r="BK10" s="34"/>
      <c r="BL10" s="34"/>
      <c r="BM10" s="34"/>
      <c r="BN10" s="34"/>
      <c r="BO10" s="34"/>
      <c r="BV10" s="33"/>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c r="DV10" s="35"/>
      <c r="DW10" s="35"/>
      <c r="DX10" s="35"/>
      <c r="DY10" s="35"/>
      <c r="DZ10" s="35"/>
      <c r="EA10" s="35"/>
      <c r="EB10" s="35"/>
      <c r="EC10" s="35"/>
      <c r="ED10" s="35"/>
      <c r="EE10" s="35"/>
      <c r="EF10" s="35"/>
      <c r="EG10" s="35"/>
      <c r="EH10" s="35"/>
      <c r="EI10" s="35"/>
      <c r="EJ10" s="35"/>
      <c r="EK10" s="35"/>
      <c r="EL10" s="35"/>
      <c r="EM10" s="35"/>
      <c r="EN10" s="35"/>
      <c r="EO10" s="35"/>
      <c r="EP10" s="35"/>
      <c r="EQ10" s="35"/>
      <c r="ER10" s="35"/>
      <c r="ES10" s="35"/>
      <c r="ET10" s="35"/>
      <c r="EU10" s="35"/>
      <c r="EV10" s="35"/>
      <c r="EW10" s="35"/>
      <c r="EX10" s="35"/>
      <c r="EY10" s="35"/>
      <c r="EZ10" s="35"/>
      <c r="FA10" s="35"/>
    </row>
    <row r="11" spans="1:157" s="40" customFormat="1" ht="20.100000000000001" customHeight="1">
      <c r="A11" s="477" t="s">
        <v>806</v>
      </c>
      <c r="B11" t="s">
        <v>517</v>
      </c>
      <c r="C11" s="477" t="s">
        <v>568</v>
      </c>
      <c r="D11" s="554" t="s">
        <v>835</v>
      </c>
      <c r="E11" s="555">
        <v>1</v>
      </c>
      <c r="F11" s="479">
        <f>+'Plumbing Fixtures'!H32</f>
        <v>1066.00065</v>
      </c>
      <c r="G11" s="479">
        <f t="shared" si="7"/>
        <v>1066.00065</v>
      </c>
      <c r="H11" s="479">
        <f>IFERROR( _xlfn.XLOOKUP(TabsSummary[[#This Row],[Index]], Contract_Edits[Index],Contract_Edits[Dep]),149)</f>
        <v>165</v>
      </c>
      <c r="I11" s="483"/>
      <c r="J11" s="478">
        <v>902</v>
      </c>
      <c r="K11" s="483"/>
      <c r="L11" s="484"/>
      <c r="M11" s="481">
        <v>0</v>
      </c>
      <c r="N11" s="484"/>
      <c r="O11" s="485"/>
      <c r="P11" s="500" t="str">
        <f>IFERROR(_xlfn.XLOOKUP(TabsSummary[[#This Row],[Index]], Contract_Edits[Index], Contract_Edits[Done],), "No")</f>
        <v>No</v>
      </c>
      <c r="Q11" s="500">
        <f>IFERROR(_xlfn.XLOOKUP(TabsSummary[[#This Row],[Index]], Contract_Edits[Index], Contract_Edits[Paid],), 0)</f>
        <v>0</v>
      </c>
      <c r="R11" s="500"/>
      <c r="S11" s="484"/>
      <c r="T11" s="481">
        <f>IFERROR(_xlfn.XLOOKUP(TabsSummary[[#This Row],[Index]], Contract_Edits[Index], Contract_Edits[Group]), 1)</f>
        <v>1</v>
      </c>
      <c r="U11" s="484"/>
      <c r="V11" s="481">
        <f>IFERROR(_xlfn.XLOOKUP(TabsSummary[[#This Row],[Index]], Contract_Edits[Index], Contract_Edits[Order]), "")</f>
        <v>135.0103</v>
      </c>
      <c r="W11" s="485"/>
      <c r="X11" s="485"/>
      <c r="Y11" s="484"/>
      <c r="Z11" s="501" t="str">
        <f>_xlfn.XLOOKUP(TabsSummary[[#This Row],[Index]], Contract_Edits[Index], Contract_Edits[Approve])</f>
        <v>Yes</v>
      </c>
      <c r="AA11" s="560"/>
      <c r="AB11" s="501"/>
      <c r="AC11" s="501"/>
      <c r="AD11" s="501"/>
      <c r="AE11" s="35"/>
      <c r="AF11" s="35" t="str">
        <f>IFERROR(+IF('Gnatt Chart'!AF$24=#REF!,Milestone_Marker,IF(AND('Gnatt Chart'!AF$24&gt;#REF!,'Gnatt Chart'!AF$24&lt;#REF!+#REF!),#REF!,"")),"")</f>
        <v/>
      </c>
      <c r="AG11" s="35"/>
      <c r="AH11" s="35"/>
      <c r="AI11" s="35"/>
      <c r="AJ11" s="35"/>
      <c r="AK11" s="35"/>
      <c r="AL11" s="504"/>
      <c r="AM11" s="504"/>
      <c r="AN11" s="504"/>
      <c r="AO11" s="504"/>
      <c r="AP11" s="35"/>
      <c r="AQ11" s="35"/>
      <c r="AR11" s="35"/>
      <c r="AS11" s="35" t="str">
        <f>IFERROR(+IF(#REF!=#REF!,Milestone_Marker,IF(AND(#REF!&gt;#REF!,#REF!&lt;#REF!+#REF!),#REF!,"")),"")</f>
        <v/>
      </c>
      <c r="AT11" s="35" t="str">
        <f>IFERROR(+IF(#REF!=#REF!,Milestone_Marker,IF(AND(#REF!&gt;#REF!,#REF!&lt;#REF!+#REF!),#REF!,"")),"")</f>
        <v/>
      </c>
      <c r="AU11" s="35" t="str">
        <f>IFERROR(+IF(AO$24=#REF!,Milestone_Marker,IF(AND(AO$24&gt;#REF!,AO$24&lt;#REF!+#REF!),#REF!,"")),"")</f>
        <v/>
      </c>
      <c r="AX11" s="34"/>
      <c r="AY11" s="34"/>
      <c r="AZ11" s="34"/>
      <c r="BA11" s="34"/>
      <c r="BB11" s="34"/>
      <c r="BC11" s="34"/>
      <c r="BD11" s="34"/>
      <c r="BE11" s="34"/>
      <c r="BF11" s="34"/>
      <c r="BG11" s="34"/>
      <c r="BH11" s="34"/>
      <c r="BI11" s="34"/>
      <c r="BJ11" s="34"/>
      <c r="BK11" s="34"/>
      <c r="BL11" s="34"/>
      <c r="BM11" s="34"/>
      <c r="BN11" s="34"/>
      <c r="BO11" s="34"/>
      <c r="BV11" s="33"/>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c r="DV11" s="35"/>
      <c r="DW11" s="35"/>
      <c r="DX11" s="35"/>
      <c r="DY11" s="35"/>
      <c r="DZ11" s="35"/>
      <c r="EA11" s="35"/>
      <c r="EB11" s="35"/>
      <c r="EC11" s="35"/>
      <c r="ED11" s="35"/>
      <c r="EE11" s="35"/>
      <c r="EF11" s="35"/>
      <c r="EG11" s="35"/>
      <c r="EH11" s="35"/>
      <c r="EI11" s="35"/>
      <c r="EJ11" s="35"/>
      <c r="EK11" s="35"/>
      <c r="EL11" s="35"/>
      <c r="EM11" s="35"/>
      <c r="EN11" s="35"/>
      <c r="EO11" s="35"/>
      <c r="EP11" s="35"/>
      <c r="EQ11" s="35"/>
      <c r="ER11" s="35"/>
      <c r="ES11" s="35"/>
      <c r="ET11" s="35"/>
      <c r="EU11" s="35"/>
      <c r="EV11" s="35"/>
      <c r="EW11" s="35"/>
      <c r="EX11" s="35"/>
      <c r="EY11" s="35"/>
      <c r="EZ11" s="35"/>
      <c r="FA11" s="35"/>
    </row>
    <row r="12" spans="1:157" s="40" customFormat="1" ht="20.100000000000001" customHeight="1">
      <c r="A12" s="477" t="s">
        <v>806</v>
      </c>
      <c r="B12" t="s">
        <v>517</v>
      </c>
      <c r="C12" s="477" t="s">
        <v>763</v>
      </c>
      <c r="D12" s="554" t="s">
        <v>836</v>
      </c>
      <c r="E12" s="555">
        <v>1</v>
      </c>
      <c r="F12" s="479">
        <f>+'Windows &amp; Doors'!H44</f>
        <v>3886.5482500000003</v>
      </c>
      <c r="G12" s="479">
        <f t="shared" si="7"/>
        <v>3886.5482500000003</v>
      </c>
      <c r="H12" s="479">
        <f>IFERROR( _xlfn.XLOOKUP(TabsSummary[[#This Row],[Index]], Contract_Edits[Index],Contract_Edits[Dep]),149)</f>
        <v>163</v>
      </c>
      <c r="I12" s="483"/>
      <c r="J12" s="478">
        <v>903</v>
      </c>
      <c r="K12" s="483"/>
      <c r="L12" s="484"/>
      <c r="M12" s="481">
        <v>0</v>
      </c>
      <c r="N12" s="484"/>
      <c r="O12" s="485"/>
      <c r="P12" s="500" t="str">
        <f>IFERROR(_xlfn.XLOOKUP(TabsSummary[[#This Row],[Index]], Contract_Edits[Index], Contract_Edits[Done],), "No")</f>
        <v>No</v>
      </c>
      <c r="Q12" s="500">
        <f>IFERROR(_xlfn.XLOOKUP(TabsSummary[[#This Row],[Index]], Contract_Edits[Index], Contract_Edits[Paid],), 0)</f>
        <v>0</v>
      </c>
      <c r="R12" s="500"/>
      <c r="S12" s="484"/>
      <c r="T12" s="481">
        <f>IFERROR(_xlfn.XLOOKUP(TabsSummary[[#This Row],[Index]], Contract_Edits[Index], Contract_Edits[Group]), 1)</f>
        <v>1</v>
      </c>
      <c r="U12" s="484"/>
      <c r="V12" s="481">
        <f>IFERROR(_xlfn.XLOOKUP(TabsSummary[[#This Row],[Index]], Contract_Edits[Index], Contract_Edits[Order]), "")</f>
        <v>115.01010000000001</v>
      </c>
      <c r="W12" s="485"/>
      <c r="X12" s="485"/>
      <c r="Y12" s="484"/>
      <c r="Z12" s="501" t="str">
        <f>_xlfn.XLOOKUP(TabsSummary[[#This Row],[Index]], Contract_Edits[Index], Contract_Edits[Approve])</f>
        <v>Yes</v>
      </c>
      <c r="AA12" s="560"/>
      <c r="AB12" s="501"/>
      <c r="AC12" s="501"/>
      <c r="AD12" s="501"/>
      <c r="AE12" s="35"/>
      <c r="AF12" s="35" t="str">
        <f>IFERROR(+IF('Gnatt Chart'!AF$24=#REF!,Milestone_Marker,IF(AND('Gnatt Chart'!AF$24&gt;#REF!,'Gnatt Chart'!AF$24&lt;#REF!+#REF!),#REF!,"")),"")</f>
        <v/>
      </c>
      <c r="AG12" s="35"/>
      <c r="AH12" s="35"/>
      <c r="AI12" s="35"/>
      <c r="AJ12" s="35"/>
      <c r="AK12" s="35"/>
      <c r="AL12" s="504"/>
      <c r="AM12" s="504"/>
      <c r="AN12" s="504"/>
      <c r="AO12" s="504"/>
      <c r="AP12" s="35"/>
      <c r="AQ12" s="35"/>
      <c r="AR12" s="35"/>
      <c r="AS12" s="35" t="str">
        <f>IFERROR(+IF(#REF!=#REF!,Milestone_Marker,IF(AND(#REF!&gt;#REF!,#REF!&lt;#REF!+#REF!),#REF!,"")),"")</f>
        <v/>
      </c>
      <c r="AT12" s="35" t="str">
        <f>IFERROR(+IF(#REF!=#REF!,Milestone_Marker,IF(AND(#REF!&gt;#REF!,#REF!&lt;#REF!+#REF!),#REF!,"")),"")</f>
        <v/>
      </c>
      <c r="AU12" s="35" t="str">
        <f>IFERROR(+IF(AO$24=#REF!,Milestone_Marker,IF(AND(AO$24&gt;#REF!,AO$24&lt;#REF!+#REF!),#REF!,"")),"")</f>
        <v/>
      </c>
      <c r="AX12" s="34"/>
      <c r="AY12" s="34"/>
      <c r="AZ12" s="34"/>
      <c r="BA12" s="34"/>
      <c r="BB12" s="34"/>
      <c r="BC12" s="34"/>
      <c r="BD12" s="34"/>
      <c r="BE12" s="34"/>
      <c r="BF12" s="34"/>
      <c r="BG12" s="34"/>
      <c r="BH12" s="34"/>
      <c r="BI12" s="34"/>
      <c r="BJ12" s="34"/>
      <c r="BK12" s="34"/>
      <c r="BL12" s="34"/>
      <c r="BM12" s="34"/>
      <c r="BN12" s="34"/>
      <c r="BO12" s="34"/>
      <c r="BV12" s="33"/>
      <c r="BW12" s="35"/>
      <c r="BX12" s="35"/>
      <c r="BY12" s="35"/>
      <c r="BZ12" s="35"/>
      <c r="CA12" s="35"/>
      <c r="CB12" s="35"/>
      <c r="CC12" s="35"/>
      <c r="CD12" s="35"/>
      <c r="CE12" s="35"/>
      <c r="CF12" s="35"/>
      <c r="CG12" s="35"/>
      <c r="CH12" s="35"/>
      <c r="CI12" s="35"/>
      <c r="CJ12" s="35"/>
      <c r="CK12" s="35"/>
      <c r="CL12" s="35"/>
      <c r="CM12" s="35"/>
      <c r="CN12" s="35"/>
      <c r="CO12" s="35"/>
      <c r="CP12" s="35"/>
      <c r="CQ12" s="35"/>
      <c r="CR12" s="35"/>
      <c r="CS12" s="35"/>
      <c r="CT12" s="35"/>
      <c r="CU12" s="35"/>
      <c r="CV12" s="35"/>
      <c r="CW12" s="35"/>
      <c r="CX12" s="35"/>
      <c r="CY12" s="35"/>
      <c r="CZ12" s="35"/>
      <c r="DA12" s="35"/>
      <c r="DB12" s="35"/>
      <c r="DC12" s="35"/>
      <c r="DD12" s="35"/>
      <c r="DE12" s="35"/>
      <c r="DF12" s="35"/>
      <c r="DG12" s="35"/>
      <c r="DH12" s="35"/>
      <c r="DI12" s="35"/>
      <c r="DJ12" s="35"/>
      <c r="DK12" s="35"/>
      <c r="DL12" s="35"/>
      <c r="DM12" s="35"/>
      <c r="DN12" s="35"/>
      <c r="DO12" s="35"/>
      <c r="DP12" s="35"/>
      <c r="DQ12" s="35"/>
      <c r="DR12" s="35"/>
      <c r="DS12" s="35"/>
      <c r="DT12" s="35"/>
      <c r="DU12" s="35"/>
      <c r="DV12" s="35"/>
      <c r="DW12" s="35"/>
      <c r="DX12" s="35"/>
      <c r="DY12" s="35"/>
      <c r="DZ12" s="35"/>
      <c r="EA12" s="35"/>
      <c r="EB12" s="35"/>
      <c r="EC12" s="35"/>
      <c r="ED12" s="35"/>
      <c r="EE12" s="35"/>
      <c r="EF12" s="35"/>
      <c r="EG12" s="35"/>
      <c r="EH12" s="35"/>
      <c r="EI12" s="35"/>
      <c r="EJ12" s="35"/>
      <c r="EK12" s="35"/>
      <c r="EL12" s="35"/>
      <c r="EM12" s="35"/>
      <c r="EN12" s="35"/>
      <c r="EO12" s="35"/>
      <c r="EP12" s="35"/>
      <c r="EQ12" s="35"/>
      <c r="ER12" s="35"/>
      <c r="ES12" s="35"/>
      <c r="ET12" s="35"/>
      <c r="EU12" s="35"/>
      <c r="EV12" s="35"/>
      <c r="EW12" s="35"/>
      <c r="EX12" s="35"/>
      <c r="EY12" s="35"/>
      <c r="EZ12" s="35"/>
      <c r="FA12" s="35"/>
    </row>
    <row r="13" spans="1:157" ht="20.100000000000001" customHeight="1">
      <c r="A13" s="477" t="s">
        <v>806</v>
      </c>
      <c r="B13" t="s">
        <v>517</v>
      </c>
      <c r="C13" s="477" t="s">
        <v>577</v>
      </c>
      <c r="D13" s="554" t="s">
        <v>837</v>
      </c>
      <c r="E13" s="555">
        <v>1</v>
      </c>
      <c r="F13" s="479">
        <f>+Cabinets!I51</f>
        <v>9545.25</v>
      </c>
      <c r="G13" s="479">
        <f t="shared" si="7"/>
        <v>9545.25</v>
      </c>
      <c r="H13" s="479">
        <f>IFERROR( _xlfn.XLOOKUP(TabsSummary[[#This Row],[Index]], Contract_Edits[Index],Contract_Edits[Dep]),149)</f>
        <v>162</v>
      </c>
      <c r="I13" s="483"/>
      <c r="J13" s="478">
        <v>904</v>
      </c>
      <c r="K13" s="483"/>
      <c r="L13" s="484"/>
      <c r="M13" s="481">
        <v>0</v>
      </c>
      <c r="N13" s="484"/>
      <c r="O13" s="485"/>
      <c r="P13" s="500" t="str">
        <f>IFERROR(_xlfn.XLOOKUP(TabsSummary[[#This Row],[Index]], Contract_Edits[Index], Contract_Edits[Done],), "No")</f>
        <v>No</v>
      </c>
      <c r="Q13" s="500">
        <f>IFERROR(_xlfn.XLOOKUP(TabsSummary[[#This Row],[Index]], Contract_Edits[Index], Contract_Edits[Paid],), 0)</f>
        <v>0</v>
      </c>
      <c r="R13" s="500"/>
      <c r="S13" s="484"/>
      <c r="T13" s="481">
        <f>IFERROR(_xlfn.XLOOKUP(TabsSummary[[#This Row],[Index]], Contract_Edits[Index], Contract_Edits[Group]), 1)</f>
        <v>1</v>
      </c>
      <c r="U13" s="484"/>
      <c r="V13" s="481">
        <f>IFERROR(_xlfn.XLOOKUP(TabsSummary[[#This Row],[Index]], Contract_Edits[Index], Contract_Edits[Order]), "")</f>
        <v>105.01020000000001</v>
      </c>
      <c r="W13" s="485"/>
      <c r="X13" s="485"/>
      <c r="Y13" s="484"/>
      <c r="Z13" s="501" t="str">
        <f>_xlfn.XLOOKUP(TabsSummary[[#This Row],[Index]], Contract_Edits[Index], Contract_Edits[Approve])</f>
        <v>Yes</v>
      </c>
      <c r="AA13" s="560"/>
      <c r="AB13" s="501"/>
      <c r="AC13" s="501"/>
      <c r="AD13" s="501"/>
      <c r="AE13" s="35"/>
      <c r="AF13" s="35" t="str">
        <f>IFERROR(+IF('Gnatt Chart'!AF$24=#REF!,Milestone_Marker,IF(AND('Gnatt Chart'!AF$24&gt;#REF!,'Gnatt Chart'!AF$24&lt;#REF!+#REF!),#REF!,"")),"")</f>
        <v/>
      </c>
      <c r="AG13" s="35"/>
      <c r="AH13" s="35"/>
      <c r="AI13" s="35"/>
      <c r="AJ13" s="35"/>
      <c r="AK13" s="35"/>
      <c r="AL13" s="504"/>
      <c r="AM13" s="504"/>
      <c r="AN13" s="504"/>
      <c r="AO13" s="504"/>
      <c r="AP13" s="35"/>
      <c r="AQ13" s="35"/>
      <c r="AR13" s="35"/>
      <c r="AS13" s="35" t="str">
        <f>IFERROR(+IF(#REF!=#REF!,Milestone_Marker,IF(AND(#REF!&gt;#REF!,#REF!&lt;#REF!+#REF!),#REF!,"")),"")</f>
        <v/>
      </c>
      <c r="AT13" s="35" t="str">
        <f>IFERROR(+IF(#REF!=#REF!,Milestone_Marker,IF(AND(#REF!&gt;#REF!,#REF!&lt;#REF!+#REF!),#REF!,"")),"")</f>
        <v/>
      </c>
      <c r="AU13" s="35" t="str">
        <f>IFERROR(+IF(AO$24=#REF!,Milestone_Marker,IF(AND(AO$24&gt;#REF!,AO$24&lt;#REF!+#REF!),#REF!,"")),"")</f>
        <v/>
      </c>
      <c r="AV13" s="34"/>
      <c r="AW13" s="34"/>
      <c r="AX13" s="34"/>
      <c r="AY13" s="34"/>
      <c r="AZ13" s="34"/>
      <c r="BA13" s="34"/>
      <c r="BB13" s="34"/>
      <c r="BC13" s="34"/>
      <c r="BD13" s="34"/>
      <c r="BE13" s="34"/>
      <c r="BF13" s="34"/>
      <c r="BS13"/>
      <c r="BT13"/>
      <c r="BU13"/>
      <c r="BV13"/>
      <c r="BW13" s="35"/>
      <c r="BX13"/>
      <c r="BY13"/>
      <c r="BZ13"/>
      <c r="CA13"/>
      <c r="CB13"/>
      <c r="CC13"/>
    </row>
    <row r="14" spans="1:157" s="40" customFormat="1" ht="20.100000000000001" customHeight="1">
      <c r="A14" s="477" t="s">
        <v>806</v>
      </c>
      <c r="B14" t="s">
        <v>523</v>
      </c>
      <c r="C14" s="477" t="s">
        <v>531</v>
      </c>
      <c r="D14" s="554" t="s">
        <v>838</v>
      </c>
      <c r="E14" s="555">
        <v>1</v>
      </c>
      <c r="F14" s="479">
        <f>+Paint!K55</f>
        <v>495.60225000000003</v>
      </c>
      <c r="G14" s="479">
        <f t="shared" si="7"/>
        <v>495.60225000000003</v>
      </c>
      <c r="H14" s="479">
        <f>IFERROR( _xlfn.XLOOKUP(TabsSummary[[#This Row],[Index]], Contract_Edits[Index],Contract_Edits[Dep]),149)</f>
        <v>171</v>
      </c>
      <c r="I14" s="483"/>
      <c r="J14" s="478">
        <v>905</v>
      </c>
      <c r="K14" s="483"/>
      <c r="L14" s="484"/>
      <c r="M14" s="481">
        <v>0</v>
      </c>
      <c r="N14" s="484"/>
      <c r="O14" s="485"/>
      <c r="P14" s="500" t="str">
        <f>IFERROR(_xlfn.XLOOKUP(TabsSummary[[#This Row],[Index]], Contract_Edits[Index], Contract_Edits[Done],), "No")</f>
        <v>No</v>
      </c>
      <c r="Q14" s="500">
        <f>IFERROR(_xlfn.XLOOKUP(TabsSummary[[#This Row],[Index]], Contract_Edits[Index], Contract_Edits[Paid],), 0)</f>
        <v>0</v>
      </c>
      <c r="R14" s="500"/>
      <c r="S14" s="484"/>
      <c r="T14" s="481">
        <f>IFERROR(_xlfn.XLOOKUP(TabsSummary[[#This Row],[Index]], Contract_Edits[Index], Contract_Edits[Group]), 1)</f>
        <v>1</v>
      </c>
      <c r="U14" s="484"/>
      <c r="V14" s="481">
        <f>IFERROR(_xlfn.XLOOKUP(TabsSummary[[#This Row],[Index]], Contract_Edits[Index], Contract_Edits[Order]), "")</f>
        <v>195.01059999999998</v>
      </c>
      <c r="W14" s="485"/>
      <c r="X14" s="485"/>
      <c r="Y14" s="484"/>
      <c r="Z14" s="501" t="str">
        <f>_xlfn.XLOOKUP(TabsSummary[[#This Row],[Index]], Contract_Edits[Index], Contract_Edits[Approve])</f>
        <v>Yes</v>
      </c>
      <c r="AA14" s="560"/>
      <c r="AB14" s="501"/>
      <c r="AC14" s="501"/>
      <c r="AD14" s="501"/>
      <c r="AE14" s="35"/>
      <c r="AF14" s="35" t="str">
        <f>IFERROR(+IF('Gnatt Chart'!AF$24=#REF!,Milestone_Marker,IF(AND('Gnatt Chart'!AF$24&gt;#REF!,'Gnatt Chart'!AF$24&lt;#REF!+#REF!),#REF!,"")),"")</f>
        <v/>
      </c>
      <c r="AG14" s="35"/>
      <c r="AH14" s="35"/>
      <c r="AI14" s="35"/>
      <c r="AJ14" s="35"/>
      <c r="AK14" s="35"/>
      <c r="AL14" s="504"/>
      <c r="AM14" s="504"/>
      <c r="AN14" s="504"/>
      <c r="AO14" s="504"/>
      <c r="AP14" s="35"/>
      <c r="AQ14" s="35"/>
      <c r="AR14" s="35"/>
      <c r="AS14" s="35" t="str">
        <f>IFERROR(+IF(#REF!=#REF!,Milestone_Marker,IF(AND(#REF!&gt;#REF!,#REF!&lt;#REF!+#REF!),#REF!,"")),"")</f>
        <v/>
      </c>
      <c r="AT14" s="35" t="str">
        <f>IFERROR(+IF(#REF!=#REF!,Milestone_Marker,IF(AND(#REF!&gt;#REF!,#REF!&lt;#REF!+#REF!),#REF!,"")),"")</f>
        <v/>
      </c>
      <c r="AU14" s="35" t="str">
        <f>IFERROR(+IF(AO$24=#REF!,Milestone_Marker,IF(AND(AO$24&gt;#REF!,AO$24&lt;#REF!+#REF!),#REF!,"")),"")</f>
        <v/>
      </c>
      <c r="AX14" s="34"/>
      <c r="AY14" s="34"/>
      <c r="AZ14" s="34"/>
      <c r="BA14" s="34"/>
      <c r="BB14" s="34"/>
      <c r="BC14" s="34"/>
      <c r="BD14" s="34"/>
      <c r="BE14" s="34"/>
      <c r="BF14" s="34"/>
      <c r="BG14" s="34"/>
      <c r="BH14" s="34"/>
      <c r="BI14" s="34"/>
      <c r="BJ14" s="34"/>
      <c r="BK14" s="34"/>
      <c r="BL14" s="34"/>
      <c r="BM14" s="34"/>
      <c r="BN14" s="34"/>
      <c r="BO14" s="34"/>
      <c r="BV14" s="33"/>
      <c r="BW14" s="35"/>
      <c r="BX14" s="35"/>
      <c r="BY14" s="35"/>
      <c r="BZ14" s="35"/>
      <c r="CA14" s="35"/>
      <c r="CB14" s="35"/>
      <c r="CC14" s="35"/>
      <c r="CD14" s="35"/>
      <c r="CE14" s="35"/>
      <c r="CF14" s="35"/>
      <c r="CG14" s="35"/>
      <c r="CH14" s="35"/>
      <c r="CI14" s="35"/>
      <c r="CJ14" s="35"/>
      <c r="CK14" s="35"/>
      <c r="CL14" s="35"/>
      <c r="CM14" s="35"/>
      <c r="CN14" s="35"/>
      <c r="CO14" s="35"/>
      <c r="CP14" s="35"/>
      <c r="CQ14" s="35"/>
      <c r="CR14" s="35"/>
      <c r="CS14" s="35"/>
      <c r="CT14" s="35"/>
      <c r="CU14" s="35"/>
      <c r="CV14" s="35"/>
      <c r="CW14" s="35"/>
      <c r="CX14" s="35"/>
      <c r="CY14" s="35"/>
      <c r="CZ14" s="35"/>
      <c r="DA14" s="35"/>
      <c r="DB14" s="35"/>
      <c r="DC14" s="35"/>
      <c r="DD14" s="35"/>
      <c r="DE14" s="35"/>
      <c r="DF14" s="35"/>
      <c r="DG14" s="35"/>
      <c r="DH14" s="35"/>
      <c r="DI14" s="35"/>
      <c r="DJ14" s="35"/>
      <c r="DK14" s="35"/>
      <c r="DL14" s="35"/>
      <c r="DM14" s="35"/>
      <c r="DN14" s="35"/>
      <c r="DO14" s="35"/>
      <c r="DP14" s="35"/>
      <c r="DQ14" s="35"/>
      <c r="DR14" s="35"/>
      <c r="DS14" s="35"/>
      <c r="DT14" s="35"/>
      <c r="DU14" s="35"/>
      <c r="DV14" s="35"/>
      <c r="DW14" s="35"/>
      <c r="DX14" s="35"/>
      <c r="DY14" s="35"/>
      <c r="DZ14" s="35"/>
      <c r="EA14" s="35"/>
      <c r="EB14" s="35"/>
      <c r="EC14" s="35"/>
      <c r="ED14" s="35"/>
      <c r="EE14" s="35"/>
      <c r="EF14" s="35"/>
      <c r="EG14" s="35"/>
      <c r="EH14" s="35"/>
      <c r="EI14" s="35"/>
      <c r="EJ14" s="35"/>
      <c r="EK14" s="35"/>
      <c r="EL14" s="35"/>
      <c r="EM14" s="35"/>
      <c r="EN14" s="35"/>
      <c r="EO14" s="35"/>
      <c r="EP14" s="35"/>
      <c r="EQ14" s="35"/>
      <c r="ER14" s="35"/>
      <c r="ES14" s="35"/>
      <c r="ET14" s="35"/>
      <c r="EU14" s="35"/>
      <c r="EV14" s="35"/>
      <c r="EW14" s="35"/>
      <c r="EX14" s="35"/>
      <c r="EY14" s="35"/>
      <c r="EZ14" s="35"/>
      <c r="FA14" s="35"/>
    </row>
    <row r="15" spans="1:157" s="40" customFormat="1" ht="20.100000000000001" customHeight="1">
      <c r="A15" s="477" t="s">
        <v>806</v>
      </c>
      <c r="B15" t="s">
        <v>523</v>
      </c>
      <c r="C15" s="477" t="s">
        <v>839</v>
      </c>
      <c r="D15" s="554" t="s">
        <v>840</v>
      </c>
      <c r="E15" s="555">
        <v>1</v>
      </c>
      <c r="F15" s="479">
        <f>+Flooring!I22</f>
        <v>15812.5</v>
      </c>
      <c r="G15" s="479">
        <f t="shared" si="7"/>
        <v>15812.5</v>
      </c>
      <c r="H15" s="479">
        <f>IFERROR( _xlfn.XLOOKUP(TabsSummary[[#This Row],[Index]], Contract_Edits[Index],Contract_Edits[Dep]),149)</f>
        <v>168</v>
      </c>
      <c r="I15" s="483"/>
      <c r="J15" s="478">
        <v>906</v>
      </c>
      <c r="K15" s="483"/>
      <c r="L15" s="484"/>
      <c r="M15" s="481">
        <v>0</v>
      </c>
      <c r="N15" s="484"/>
      <c r="O15" s="485"/>
      <c r="P15" s="500" t="str">
        <f>IFERROR(_xlfn.XLOOKUP(TabsSummary[[#This Row],[Index]], Contract_Edits[Index], Contract_Edits[Done],), "No")</f>
        <v>No</v>
      </c>
      <c r="Q15" s="500">
        <f>IFERROR(_xlfn.XLOOKUP(TabsSummary[[#This Row],[Index]], Contract_Edits[Index], Contract_Edits[Paid],), 0)</f>
        <v>0</v>
      </c>
      <c r="R15" s="500"/>
      <c r="S15" s="484"/>
      <c r="T15" s="481">
        <f>IFERROR(_xlfn.XLOOKUP(TabsSummary[[#This Row],[Index]], Contract_Edits[Index], Contract_Edits[Group]), 1)</f>
        <v>1</v>
      </c>
      <c r="U15" s="484"/>
      <c r="V15" s="481">
        <f>IFERROR(_xlfn.XLOOKUP(TabsSummary[[#This Row],[Index]], Contract_Edits[Index], Contract_Edits[Order]), "")</f>
        <v>165.01049999999998</v>
      </c>
      <c r="W15" s="485"/>
      <c r="X15" s="485"/>
      <c r="Y15" s="484"/>
      <c r="Z15" s="501" t="str">
        <f>_xlfn.XLOOKUP(TabsSummary[[#This Row],[Index]], Contract_Edits[Index], Contract_Edits[Approve])</f>
        <v>Yes</v>
      </c>
      <c r="AA15" s="560"/>
      <c r="AB15" s="501"/>
      <c r="AC15" s="501"/>
      <c r="AD15" s="501"/>
      <c r="AE15" s="35"/>
      <c r="AF15" s="35" t="str">
        <f>IFERROR(+IF('Gnatt Chart'!AF$24=#REF!,Milestone_Marker,IF(AND('Gnatt Chart'!AF$24&gt;#REF!,'Gnatt Chart'!AF$24&lt;#REF!+#REF!),#REF!,"")),"")</f>
        <v/>
      </c>
      <c r="AG15" s="35"/>
      <c r="AH15" s="35"/>
      <c r="AI15" s="35"/>
      <c r="AJ15" s="35"/>
      <c r="AK15" s="35"/>
      <c r="AL15" s="504"/>
      <c r="AM15" s="504"/>
      <c r="AN15" s="504"/>
      <c r="AO15" s="504"/>
      <c r="AP15" s="35"/>
      <c r="AQ15" s="35"/>
      <c r="AR15" s="35"/>
      <c r="AS15" s="35" t="str">
        <f>IFERROR(+IF(#REF!=#REF!,Milestone_Marker,IF(AND(#REF!&gt;#REF!,#REF!&lt;#REF!+#REF!),#REF!,"")),"")</f>
        <v/>
      </c>
      <c r="AT15" s="35" t="str">
        <f>IFERROR(+IF(#REF!=#REF!,Milestone_Marker,IF(AND(#REF!&gt;#REF!,#REF!&lt;#REF!+#REF!),#REF!,"")),"")</f>
        <v/>
      </c>
      <c r="AU15" s="35" t="str">
        <f>IFERROR(+IF(AO$24=#REF!,Milestone_Marker,IF(AND(AO$24&gt;#REF!,AO$24&lt;#REF!+#REF!),#REF!,"")),"")</f>
        <v/>
      </c>
      <c r="AX15" s="34"/>
      <c r="AY15" s="34"/>
      <c r="AZ15" s="34"/>
      <c r="BA15" s="34"/>
      <c r="BB15" s="34"/>
      <c r="BC15" s="34"/>
      <c r="BD15" s="34"/>
      <c r="BE15" s="34"/>
      <c r="BF15" s="34"/>
      <c r="BG15" s="34"/>
      <c r="BH15" s="34"/>
      <c r="BI15" s="34"/>
      <c r="BJ15" s="34"/>
      <c r="BK15" s="34"/>
      <c r="BL15" s="34"/>
      <c r="BM15" s="34"/>
      <c r="BN15" s="34"/>
      <c r="BO15" s="34"/>
      <c r="BV15" s="35" t="str">
        <f>IFERROR(IF(LEN(#REF!)=0,"",IF(#REF!=#REF!,Milestone_Marker_Old,"")),"")</f>
        <v/>
      </c>
      <c r="BW15" s="35" t="str">
        <f>IFERROR(IF(LEN(#REF!)=0,"",IF(#REF!=#REF!,Milestone_Marker_Old,"")),"")</f>
        <v/>
      </c>
      <c r="BX15" s="35" t="str">
        <f>IFERROR(IF(LEN(#REF!)=0,"",IF(#REF!=#REF!,Milestone_Marker_Old,"")),"")</f>
        <v/>
      </c>
      <c r="BY15" s="35" t="str">
        <f>IFERROR(IF(LEN(#REF!)=0,"",IF(#REF!=#REF!,Milestone_Marker_Old,"")),"")</f>
        <v/>
      </c>
      <c r="BZ15" s="35" t="str">
        <f>IFERROR(IF(LEN(#REF!)=0,"",IF(#REF!=#REF!,Milestone_Marker_Old,"")),"")</f>
        <v/>
      </c>
      <c r="CA15" s="35" t="str">
        <f>IFERROR(IF(LEN(#REF!)=0,"",IF(#REF!=#REF!,Milestone_Marker_Old,"")),"")</f>
        <v/>
      </c>
      <c r="CB15" s="35" t="str">
        <f>IFERROR(IF(LEN(#REF!)=0,"",IF(#REF!=#REF!,Milestone_Marker_Old,"")),"")</f>
        <v/>
      </c>
      <c r="CC15" s="35" t="str">
        <f>IFERROR(IF(LEN(#REF!)=0,"",IF(AP$24=#REF!,Milestone_Marker_Old,"")),"")</f>
        <v/>
      </c>
      <c r="CD15" s="35" t="str">
        <f>IFERROR(IF(LEN(#REF!)=0,"",IF(#REF!=#REF!,Milestone_Marker_Old,"")),"")</f>
        <v/>
      </c>
      <c r="CE15" s="35" t="str">
        <f>IFERROR(IF(LEN(#REF!)=0,"",IF(#REF!=#REF!,Milestone_Marker_Old,"")),"")</f>
        <v/>
      </c>
      <c r="CF15" s="35" t="str">
        <f>IFERROR(IF(LEN(#REF!)=0,"",IF(#REF!=#REF!,Milestone_Marker_Old,"")),"")</f>
        <v/>
      </c>
      <c r="CG15" s="35" t="str">
        <f>IFERROR(IF(LEN(#REF!)=0,"",IF(#REF!=#REF!,Milestone_Marker_Old,"")),"")</f>
        <v/>
      </c>
      <c r="CH15" s="35" t="str">
        <f>IFERROR(IF(LEN(#REF!)=0,"",IF('Gnatt Chart'!AF$24=#REF!,Milestone_Marker_Old,"")),"")</f>
        <v/>
      </c>
      <c r="CI15" s="35" t="str">
        <f>IFERROR(IF(LEN(#REF!)=0,"",IF(#REF!=#REF!,Milestone_Marker_Old,"")),"")</f>
        <v/>
      </c>
      <c r="CJ15" s="35" t="str">
        <f>IFERROR(IF(LEN(#REF!)=0,"",IF(#REF!=#REF!,Milestone_Marker_Old,"")),"")</f>
        <v/>
      </c>
      <c r="CK15" s="35" t="str">
        <f>IFERROR(IF(LEN(#REF!)=0,"",IF(AO$24=#REF!,Milestone_Marker_Old,"")),"")</f>
        <v/>
      </c>
      <c r="CL15" s="35" t="str">
        <f>IFERROR(IF(LEN(#REF!)=0,"",IF(#REF!=#REF!,Milestone_Marker_Old,"")),"")</f>
        <v/>
      </c>
      <c r="CM15" s="35" t="str">
        <f>IFERROR(IF(LEN(#REF!)=0,"",IF(AQ$24=#REF!,Milestone_Marker_Old,"")),"")</f>
        <v/>
      </c>
      <c r="CN15" s="35" t="str">
        <f>IFERROR(IF(LEN(#REF!)=0,"",IF(AR$24=#REF!,Milestone_Marker_Old,"")),"")</f>
        <v/>
      </c>
      <c r="CO15" s="35" t="str">
        <f>IFERROR(IF(LEN(#REF!)=0,"",IF(AS$24=#REF!,Milestone_Marker_Old,"")),"")</f>
        <v/>
      </c>
      <c r="CP15" s="35" t="str">
        <f>IFERROR(IF(LEN(#REF!)=0,"",IF(AT$24=#REF!,Milestone_Marker_Old,"")),"")</f>
        <v/>
      </c>
      <c r="CQ15" s="35" t="str">
        <f>IFERROR(IF(LEN(#REF!)=0,"",IF(AU$24=#REF!,Milestone_Marker_Old,"")),"")</f>
        <v/>
      </c>
      <c r="CR15" s="35" t="str">
        <f>IFERROR(IF(LEN(#REF!)=0,"",IF(AV$24=#REF!,Milestone_Marker_Old,"")),"")</f>
        <v/>
      </c>
      <c r="CS15" s="35" t="str">
        <f>IFERROR(IF(LEN(#REF!)=0,"",IF(AW$24=#REF!,Milestone_Marker_Old,"")),"")</f>
        <v/>
      </c>
      <c r="CT15" s="35" t="str">
        <f>IFERROR(IF(LEN(#REF!)=0,"",IF(AX$24=#REF!,Milestone_Marker_Old,"")),"")</f>
        <v/>
      </c>
      <c r="CU15" s="35" t="str">
        <f>IFERROR(IF(LEN(#REF!)=0,"",IF(AY$24=#REF!,Milestone_Marker_Old,"")),"")</f>
        <v/>
      </c>
      <c r="CV15" s="35" t="str">
        <f>IFERROR(IF(LEN(#REF!)=0,"",IF(AZ$24=#REF!,Milestone_Marker_Old,"")),"")</f>
        <v/>
      </c>
      <c r="CW15" s="35" t="str">
        <f>IFERROR(IF(LEN(#REF!)=0,"",IF(BA$24=#REF!,Milestone_Marker_Old,"")),"")</f>
        <v/>
      </c>
      <c r="CX15" s="35" t="str">
        <f>IFERROR(IF(LEN(#REF!)=0,"",IF(BB$24=#REF!,Milestone_Marker_Old,"")),"")</f>
        <v/>
      </c>
      <c r="CY15" s="35" t="str">
        <f>IFERROR(IF(LEN(#REF!)=0,"",IF(BC$24=#REF!,Milestone_Marker_Old,"")),"")</f>
        <v/>
      </c>
      <c r="CZ15" s="35" t="str">
        <f>IFERROR(IF(LEN(#REF!)=0,"",IF(BD$24=#REF!,Milestone_Marker_Old,"")),"")</f>
        <v/>
      </c>
      <c r="DA15" s="35" t="str">
        <f>IFERROR(IF(LEN(#REF!)=0,"",IF(BE$24=#REF!,Milestone_Marker_Old,"")),"")</f>
        <v/>
      </c>
      <c r="DB15" s="35" t="str">
        <f>IFERROR(IF(LEN(#REF!)=0,"",IF(BF$24=#REF!,Milestone_Marker_Old,"")),"")</f>
        <v/>
      </c>
      <c r="DC15" s="35" t="str">
        <f>IFERROR(IF(LEN(#REF!)=0,"",IF(BG$24=#REF!,Milestone_Marker_Old,"")),"")</f>
        <v/>
      </c>
      <c r="DD15" s="35" t="str">
        <f>IFERROR(IF(LEN(#REF!)=0,"",IF(BH$24=#REF!,Milestone_Marker_Old,"")),"")</f>
        <v/>
      </c>
      <c r="DE15" s="35" t="str">
        <f>IFERROR(IF(LEN(#REF!)=0,"",IF(BI$24=#REF!,Milestone_Marker_Old,"")),"")</f>
        <v/>
      </c>
      <c r="DF15" s="35" t="str">
        <f>IFERROR(IF(LEN(#REF!)=0,"",IF(BJ$24=#REF!,Milestone_Marker_Old,"")),"")</f>
        <v/>
      </c>
      <c r="DG15" s="35" t="str">
        <f>IFERROR(IF(LEN(#REF!)=0,"",IF(BK$24=#REF!,Milestone_Marker_Old,"")),"")</f>
        <v/>
      </c>
      <c r="DH15" s="35" t="str">
        <f>IFERROR(IF(LEN(#REF!)=0,"",IF(BL$24=#REF!,Milestone_Marker_Old,"")),"")</f>
        <v/>
      </c>
      <c r="DI15" s="35" t="str">
        <f>IFERROR(IF(LEN(#REF!)=0,"",IF(BM$24=#REF!,Milestone_Marker_Old,"")),"")</f>
        <v/>
      </c>
      <c r="DJ15" s="35" t="str">
        <f>IFERROR(IF(LEN(#REF!)=0,"",IF(BN$24=#REF!,Milestone_Marker_Old,"")),"")</f>
        <v/>
      </c>
      <c r="DK15" s="35" t="str">
        <f>IFERROR(IF(LEN(#REF!)=0,"",IF(BO$24=#REF!,Milestone_Marker_Old,"")),"")</f>
        <v/>
      </c>
      <c r="DL15" s="35" t="str">
        <f>IFERROR(IF(LEN(#REF!)=0,"",IF(BP$24=#REF!,Milestone_Marker_Old,"")),"")</f>
        <v/>
      </c>
      <c r="DM15" s="35" t="str">
        <f>IFERROR(IF(LEN(#REF!)=0,"",IF(BQ$24=#REF!,Milestone_Marker_Old,"")),"")</f>
        <v/>
      </c>
      <c r="DN15" s="35" t="str">
        <f>IFERROR(IF(LEN(#REF!)=0,"",IF(BR$24=#REF!,Milestone_Marker_Old,"")),"")</f>
        <v/>
      </c>
      <c r="DO15" s="35" t="str">
        <f>IFERROR(IF(LEN(#REF!)=0,"",IF(BS$24=#REF!,Milestone_Marker_Old,"")),"")</f>
        <v/>
      </c>
      <c r="DP15" s="35" t="str">
        <f>IFERROR(IF(LEN(#REF!)=0,"",IF(BT$24=#REF!,Milestone_Marker_Old,"")),"")</f>
        <v/>
      </c>
      <c r="DQ15" s="35" t="str">
        <f>IFERROR(IF(LEN(#REF!)=0,"",IF(BU$24=#REF!,Milestone_Marker_Old,"")),"")</f>
        <v/>
      </c>
      <c r="DR15" s="35" t="str">
        <f>IFERROR(IF(LEN(#REF!)=0,"",IF(BV$24=#REF!,Milestone_Marker_Old,"")),"")</f>
        <v/>
      </c>
      <c r="DS15" s="35" t="str">
        <f>IFERROR(IF(LEN(#REF!)=0,"",IF(BW$24=#REF!,Milestone_Marker_Old,"")),"")</f>
        <v/>
      </c>
      <c r="DT15" s="35" t="str">
        <f>IFERROR(IF(LEN(#REF!)=0,"",IF(BX$24=#REF!,Milestone_Marker_Old,"")),"")</f>
        <v/>
      </c>
      <c r="DU15" s="35" t="str">
        <f>IFERROR(IF(LEN(#REF!)=0,"",IF(BY$24=#REF!,Milestone_Marker_Old,"")),"")</f>
        <v/>
      </c>
      <c r="DV15" s="35" t="str">
        <f>IFERROR(IF(LEN(#REF!)=0,"",IF(BZ$24=#REF!,Milestone_Marker_Old,"")),"")</f>
        <v/>
      </c>
      <c r="DW15" s="35" t="str">
        <f>IFERROR(IF(LEN(#REF!)=0,"",IF(CA$24=#REF!,Milestone_Marker_Old,"")),"")</f>
        <v/>
      </c>
      <c r="DX15" s="35" t="str">
        <f>IFERROR(IF(LEN(#REF!)=0,"",IF(CB$24=#REF!,Milestone_Marker_Old,"")),"")</f>
        <v/>
      </c>
      <c r="DY15" s="35" t="str">
        <f>IFERROR(IF(LEN(#REF!)=0,"",IF(CC$24=#REF!,Milestone_Marker_Old,"")),"")</f>
        <v/>
      </c>
      <c r="DZ15" s="35" t="str">
        <f>IFERROR(IF(LEN(#REF!)=0,"",IF(CD$24=#REF!,Milestone_Marker_Old,"")),"")</f>
        <v/>
      </c>
      <c r="EA15" s="35" t="str">
        <f>IFERROR(IF(LEN(#REF!)=0,"",IF(CE$24=#REF!,Milestone_Marker_Old,"")),"")</f>
        <v/>
      </c>
      <c r="EB15" s="35" t="str">
        <f>IFERROR(IF(LEN(#REF!)=0,"",IF(CF$24=#REF!,Milestone_Marker_Old,"")),"")</f>
        <v/>
      </c>
      <c r="EC15" s="35" t="str">
        <f>IFERROR(IF(LEN(#REF!)=0,"",IF(CG$24=#REF!,Milestone_Marker_Old,"")),"")</f>
        <v/>
      </c>
      <c r="ED15" s="35" t="str">
        <f>IFERROR(IF(LEN(#REF!)=0,"",IF(CH$24=#REF!,Milestone_Marker_Old,"")),"")</f>
        <v/>
      </c>
      <c r="EE15" s="35" t="str">
        <f>IFERROR(IF(LEN(#REF!)=0,"",IF(CI$24=#REF!,Milestone_Marker_Old,"")),"")</f>
        <v/>
      </c>
      <c r="EF15" s="35" t="str">
        <f>IFERROR(IF(LEN(#REF!)=0,"",IF(CJ$24=#REF!,Milestone_Marker_Old,"")),"")</f>
        <v/>
      </c>
      <c r="EG15" s="35" t="str">
        <f>IFERROR(IF(LEN(#REF!)=0,"",IF(CK$24=#REF!,Milestone_Marker_Old,"")),"")</f>
        <v/>
      </c>
      <c r="EH15" s="35" t="str">
        <f>IFERROR(IF(LEN(#REF!)=0,"",IF(CL$24=#REF!,Milestone_Marker_Old,"")),"")</f>
        <v/>
      </c>
      <c r="EI15" s="35" t="str">
        <f>IFERROR(IF(LEN(#REF!)=0,"",IF(CM$24=#REF!,Milestone_Marker_Old,"")),"")</f>
        <v/>
      </c>
      <c r="EJ15" s="35" t="str">
        <f>IFERROR(IF(LEN(#REF!)=0,"",IF(CN$24=#REF!,Milestone_Marker_Old,"")),"")</f>
        <v/>
      </c>
      <c r="EK15" s="35" t="str">
        <f>IFERROR(IF(LEN(#REF!)=0,"",IF(CO$24=#REF!,Milestone_Marker_Old,"")),"")</f>
        <v/>
      </c>
      <c r="EL15" s="35" t="str">
        <f>IFERROR(IF(LEN(#REF!)=0,"",IF(CP$24=#REF!,Milestone_Marker_Old,"")),"")</f>
        <v/>
      </c>
      <c r="EM15" s="35" t="str">
        <f>IFERROR(IF(LEN(#REF!)=0,"",IF(CQ$24=#REF!,Milestone_Marker_Old,"")),"")</f>
        <v/>
      </c>
      <c r="EN15" s="35" t="str">
        <f>IFERROR(IF(LEN(#REF!)=0,"",IF(CR$24=#REF!,Milestone_Marker_Old,"")),"")</f>
        <v/>
      </c>
      <c r="EO15" s="35" t="str">
        <f>IFERROR(IF(LEN(#REF!)=0,"",IF(CS$24=#REF!,Milestone_Marker_Old,"")),"")</f>
        <v/>
      </c>
      <c r="EP15" s="35" t="str">
        <f>IFERROR(IF(LEN(#REF!)=0,"",IF(CT$24=#REF!,Milestone_Marker_Old,"")),"")</f>
        <v/>
      </c>
      <c r="EQ15" s="35" t="str">
        <f>IFERROR(IF(LEN(#REF!)=0,"",IF(CU$24=#REF!,Milestone_Marker_Old,"")),"")</f>
        <v/>
      </c>
      <c r="ER15" s="35" t="str">
        <f>IFERROR(IF(LEN(#REF!)=0,"",IF(CV$24=#REF!,Milestone_Marker_Old,"")),"")</f>
        <v/>
      </c>
      <c r="ES15" s="35" t="str">
        <f>IFERROR(IF(LEN(#REF!)=0,"",IF(CW$24=#REF!,Milestone_Marker_Old,"")),"")</f>
        <v/>
      </c>
      <c r="ET15" s="35" t="str">
        <f>IFERROR(IF(LEN(#REF!)=0,"",IF(CX$24=#REF!,Milestone_Marker_Old,"")),"")</f>
        <v/>
      </c>
      <c r="EU15" s="35" t="str">
        <f>IFERROR(IF(LEN(#REF!)=0,"",IF(CY$24=#REF!,Milestone_Marker_Old,"")),"")</f>
        <v/>
      </c>
      <c r="EV15" s="35" t="str">
        <f>IFERROR(IF(LEN(#REF!)=0,"",IF(CZ$24=#REF!,Milestone_Marker_Old,"")),"")</f>
        <v/>
      </c>
      <c r="EW15" s="35" t="str">
        <f>IFERROR(IF(LEN(#REF!)=0,"",IF(DA$24=#REF!,Milestone_Marker_Old,"")),"")</f>
        <v/>
      </c>
      <c r="EX15" s="35" t="str">
        <f>IFERROR(IF(LEN(#REF!)=0,"",IF(DB$24=#REF!,Milestone_Marker_Old,"")),"")</f>
        <v/>
      </c>
      <c r="EY15" s="35" t="str">
        <f>IFERROR(IF(LEN(#REF!)=0,"",IF(DC$24=#REF!,Milestone_Marker_Old,"")),"")</f>
        <v/>
      </c>
      <c r="EZ15" s="35" t="str">
        <f>IFERROR(IF(LEN(#REF!)=0,"",IF(DD$24=#REF!,Milestone_Marker_Old,"")),"")</f>
        <v/>
      </c>
      <c r="FA15" s="35" t="str">
        <f>IFERROR(IF(LEN(#REF!)=0,"",IF(DE$24=#REF!,Milestone_Marker_Old,"")),"")</f>
        <v/>
      </c>
    </row>
    <row r="16" spans="1:157" s="40" customFormat="1" ht="20.100000000000001" customHeight="1" thickBot="1">
      <c r="A16" s="477" t="s">
        <v>806</v>
      </c>
      <c r="B16" t="s">
        <v>517</v>
      </c>
      <c r="C16" s="477" t="s">
        <v>594</v>
      </c>
      <c r="D16" s="554" t="s">
        <v>841</v>
      </c>
      <c r="E16" s="555">
        <v>1</v>
      </c>
      <c r="F16" s="479">
        <f>+'Electrical Fixtures'!H36</f>
        <v>515.63654999999994</v>
      </c>
      <c r="G16" s="479">
        <f t="shared" si="7"/>
        <v>515.63654999999994</v>
      </c>
      <c r="H16" s="479">
        <f>IFERROR( _xlfn.XLOOKUP(TabsSummary[[#This Row],[Index]], Contract_Edits[Index],Contract_Edits[Dep]),149)</f>
        <v>164</v>
      </c>
      <c r="I16" s="483"/>
      <c r="J16" s="478">
        <v>907</v>
      </c>
      <c r="K16" s="483"/>
      <c r="L16" s="484"/>
      <c r="M16" s="481">
        <v>0</v>
      </c>
      <c r="N16" s="484"/>
      <c r="O16" s="485"/>
      <c r="P16" s="500" t="str">
        <f>IFERROR(_xlfn.XLOOKUP(TabsSummary[[#This Row],[Index]], Contract_Edits[Index], Contract_Edits[Done],), "No")</f>
        <v>No</v>
      </c>
      <c r="Q16" s="500">
        <f>IFERROR(_xlfn.XLOOKUP(TabsSummary[[#This Row],[Index]], Contract_Edits[Index], Contract_Edits[Paid],), 0)</f>
        <v>0</v>
      </c>
      <c r="R16" s="500"/>
      <c r="S16" s="484"/>
      <c r="T16" s="481">
        <f>IFERROR(_xlfn.XLOOKUP(TabsSummary[[#This Row],[Index]], Contract_Edits[Index], Contract_Edits[Group]), 1)</f>
        <v>1</v>
      </c>
      <c r="U16" s="484"/>
      <c r="V16" s="481">
        <f>IFERROR(_xlfn.XLOOKUP(TabsSummary[[#This Row],[Index]], Contract_Edits[Index], Contract_Edits[Order]), "")</f>
        <v>125.01010000000001</v>
      </c>
      <c r="W16" s="485"/>
      <c r="X16" s="485"/>
      <c r="Y16" s="484"/>
      <c r="Z16" s="501" t="str">
        <f>_xlfn.XLOOKUP(TabsSummary[[#This Row],[Index]], Contract_Edits[Index], Contract_Edits[Approve])</f>
        <v>Yes</v>
      </c>
      <c r="AA16" s="560"/>
      <c r="AB16" s="501"/>
      <c r="AC16" s="501"/>
      <c r="AD16" s="501"/>
      <c r="AE16" s="35"/>
      <c r="AF16" s="35" t="str">
        <f>IFERROR(+IF('Gnatt Chart'!AF$24=#REF!,Milestone_Marker,IF(AND('Gnatt Chart'!AF$24&gt;#REF!,'Gnatt Chart'!AF$24&lt;#REF!+#REF!),#REF!,"")),"")</f>
        <v/>
      </c>
      <c r="AG16" s="35"/>
      <c r="AH16" s="35"/>
      <c r="AI16" s="35"/>
      <c r="AJ16" s="35"/>
      <c r="AK16" s="35"/>
      <c r="AL16" s="504"/>
      <c r="AM16" s="504"/>
      <c r="AN16" s="504"/>
      <c r="AO16" s="504"/>
      <c r="AP16" s="35"/>
      <c r="AQ16" s="35"/>
      <c r="AR16" s="35"/>
      <c r="AS16" s="35" t="str">
        <f>IFERROR(+IF(#REF!=#REF!,Milestone_Marker,IF(AND(#REF!&gt;#REF!,#REF!&lt;#REF!+#REF!),#REF!,"")),"")</f>
        <v/>
      </c>
      <c r="AT16" s="35" t="str">
        <f>IFERROR(+IF(#REF!=#REF!,Milestone_Marker,IF(AND(#REF!&gt;#REF!,#REF!&lt;#REF!+#REF!),#REF!,"")),"")</f>
        <v/>
      </c>
      <c r="AU16" s="35" t="str">
        <f>IFERROR(+IF(AO$24=#REF!,Milestone_Marker,IF(AND(AO$24&gt;#REF!,AO$24&lt;#REF!+#REF!),#REF!,"")),"")</f>
        <v/>
      </c>
      <c r="AX16" s="42"/>
      <c r="AY16" s="42"/>
      <c r="AZ16" s="42"/>
      <c r="BA16" s="42"/>
      <c r="BB16" s="42"/>
      <c r="BC16" s="42"/>
      <c r="BD16" s="42"/>
      <c r="BE16" s="42"/>
      <c r="BF16" s="42"/>
      <c r="BG16" s="472" t="s">
        <v>842</v>
      </c>
      <c r="BH16" s="473"/>
      <c r="BI16" s="473"/>
      <c r="BJ16" s="473"/>
      <c r="BK16" s="473"/>
      <c r="BL16" s="473"/>
      <c r="BM16" s="473"/>
      <c r="BN16" s="473"/>
      <c r="BO16" s="34"/>
      <c r="BV16" s="35" t="str">
        <f>IFERROR(IF(LEN(#REF!)=0,"",IF(#REF!=#REF!,Milestone_Marker_Old,"")),"")</f>
        <v/>
      </c>
      <c r="BW16" s="35" t="str">
        <f>IFERROR(IF(LEN(#REF!)=0,"",IF(#REF!=#REF!,Milestone_Marker_Old,"")),"")</f>
        <v/>
      </c>
      <c r="BX16" s="35" t="str">
        <f>IFERROR(IF(LEN(#REF!)=0,"",IF(#REF!=#REF!,Milestone_Marker_Old,"")),"")</f>
        <v/>
      </c>
      <c r="BY16" s="35" t="str">
        <f>IFERROR(IF(LEN(#REF!)=0,"",IF(#REF!=#REF!,Milestone_Marker_Old,"")),"")</f>
        <v/>
      </c>
      <c r="BZ16" s="35" t="str">
        <f>IFERROR(IF(LEN(#REF!)=0,"",IF(#REF!=#REF!,Milestone_Marker_Old,"")),"")</f>
        <v/>
      </c>
      <c r="CA16" s="35" t="str">
        <f>IFERROR(IF(LEN(#REF!)=0,"",IF(#REF!=#REF!,Milestone_Marker_Old,"")),"")</f>
        <v/>
      </c>
      <c r="CB16" s="35" t="str">
        <f>IFERROR(IF(LEN(#REF!)=0,"",IF(#REF!=#REF!,Milestone_Marker_Old,"")),"")</f>
        <v/>
      </c>
      <c r="CC16" s="35" t="str">
        <f>IFERROR(IF(LEN(#REF!)=0,"",IF(AP$24=#REF!,Milestone_Marker_Old,"")),"")</f>
        <v/>
      </c>
      <c r="CD16" s="35" t="str">
        <f>IFERROR(IF(LEN(#REF!)=0,"",IF(#REF!=#REF!,Milestone_Marker_Old,"")),"")</f>
        <v/>
      </c>
      <c r="CE16" s="35" t="str">
        <f>IFERROR(IF(LEN(#REF!)=0,"",IF(#REF!=#REF!,Milestone_Marker_Old,"")),"")</f>
        <v/>
      </c>
      <c r="CF16" s="35" t="str">
        <f>IFERROR(IF(LEN(#REF!)=0,"",IF(#REF!=#REF!,Milestone_Marker_Old,"")),"")</f>
        <v/>
      </c>
      <c r="CG16" s="35" t="str">
        <f>IFERROR(IF(LEN(#REF!)=0,"",IF(#REF!=#REF!,Milestone_Marker_Old,"")),"")</f>
        <v/>
      </c>
      <c r="CH16" s="35" t="str">
        <f>IFERROR(IF(LEN(#REF!)=0,"",IF('Gnatt Chart'!AF$24=#REF!,Milestone_Marker_Old,"")),"")</f>
        <v/>
      </c>
      <c r="CI16" s="35" t="str">
        <f>IFERROR(IF(LEN(#REF!)=0,"",IF(#REF!=#REF!,Milestone_Marker_Old,"")),"")</f>
        <v/>
      </c>
      <c r="CJ16" s="35" t="str">
        <f>IFERROR(IF(LEN(#REF!)=0,"",IF(#REF!=#REF!,Milestone_Marker_Old,"")),"")</f>
        <v/>
      </c>
      <c r="CK16" s="35" t="str">
        <f>IFERROR(IF(LEN(#REF!)=0,"",IF(AO$24=#REF!,Milestone_Marker_Old,"")),"")</f>
        <v/>
      </c>
      <c r="CL16" s="35" t="str">
        <f>IFERROR(IF(LEN(#REF!)=0,"",IF(#REF!=#REF!,Milestone_Marker_Old,"")),"")</f>
        <v/>
      </c>
      <c r="CM16" s="35" t="str">
        <f>IFERROR(IF(LEN(#REF!)=0,"",IF(AQ$24=#REF!,Milestone_Marker_Old,"")),"")</f>
        <v/>
      </c>
      <c r="CN16" s="35" t="str">
        <f>IFERROR(IF(LEN(#REF!)=0,"",IF(AR$24=#REF!,Milestone_Marker_Old,"")),"")</f>
        <v/>
      </c>
      <c r="CO16" s="35" t="str">
        <f>IFERROR(IF(LEN(#REF!)=0,"",IF(AS$24=#REF!,Milestone_Marker_Old,"")),"")</f>
        <v/>
      </c>
      <c r="CP16" s="35" t="str">
        <f>IFERROR(IF(LEN(#REF!)=0,"",IF(AT$24=#REF!,Milestone_Marker_Old,"")),"")</f>
        <v/>
      </c>
      <c r="CQ16" s="35" t="str">
        <f>IFERROR(IF(LEN(#REF!)=0,"",IF(AU$24=#REF!,Milestone_Marker_Old,"")),"")</f>
        <v/>
      </c>
      <c r="CR16" s="35" t="str">
        <f>IFERROR(IF(LEN(#REF!)=0,"",IF(AV$24=#REF!,Milestone_Marker_Old,"")),"")</f>
        <v/>
      </c>
      <c r="CS16" s="35" t="str">
        <f>IFERROR(IF(LEN(#REF!)=0,"",IF(AW$24=#REF!,Milestone_Marker_Old,"")),"")</f>
        <v/>
      </c>
      <c r="CT16" s="35" t="str">
        <f>IFERROR(IF(LEN(#REF!)=0,"",IF(AX$24=#REF!,Milestone_Marker_Old,"")),"")</f>
        <v/>
      </c>
      <c r="CU16" s="35" t="str">
        <f>IFERROR(IF(LEN(#REF!)=0,"",IF(AY$24=#REF!,Milestone_Marker_Old,"")),"")</f>
        <v/>
      </c>
      <c r="CV16" s="35" t="str">
        <f>IFERROR(IF(LEN(#REF!)=0,"",IF(AZ$24=#REF!,Milestone_Marker_Old,"")),"")</f>
        <v/>
      </c>
      <c r="CW16" s="35" t="str">
        <f>IFERROR(IF(LEN(#REF!)=0,"",IF(BA$24=#REF!,Milestone_Marker_Old,"")),"")</f>
        <v/>
      </c>
      <c r="CX16" s="35" t="str">
        <f>IFERROR(IF(LEN(#REF!)=0,"",IF(BB$24=#REF!,Milestone_Marker_Old,"")),"")</f>
        <v/>
      </c>
      <c r="CY16" s="35" t="str">
        <f>IFERROR(IF(LEN(#REF!)=0,"",IF(BC$24=#REF!,Milestone_Marker_Old,"")),"")</f>
        <v/>
      </c>
      <c r="CZ16" s="35" t="str">
        <f>IFERROR(IF(LEN(#REF!)=0,"",IF(BD$24=#REF!,Milestone_Marker_Old,"")),"")</f>
        <v/>
      </c>
      <c r="DA16" s="35" t="str">
        <f>IFERROR(IF(LEN(#REF!)=0,"",IF(BE$24=#REF!,Milestone_Marker_Old,"")),"")</f>
        <v/>
      </c>
      <c r="DB16" s="35" t="str">
        <f>IFERROR(IF(LEN(#REF!)=0,"",IF(BF$24=#REF!,Milestone_Marker_Old,"")),"")</f>
        <v/>
      </c>
      <c r="DC16" s="35" t="str">
        <f>IFERROR(IF(LEN(#REF!)=0,"",IF(BG$24=#REF!,Milestone_Marker_Old,"")),"")</f>
        <v/>
      </c>
      <c r="DD16" s="35" t="str">
        <f>IFERROR(IF(LEN(#REF!)=0,"",IF(BH$24=#REF!,Milestone_Marker_Old,"")),"")</f>
        <v/>
      </c>
      <c r="DE16" s="35" t="str">
        <f>IFERROR(IF(LEN(#REF!)=0,"",IF(BI$24=#REF!,Milestone_Marker_Old,"")),"")</f>
        <v/>
      </c>
      <c r="DF16" s="35" t="str">
        <f>IFERROR(IF(LEN(#REF!)=0,"",IF(BJ$24=#REF!,Milestone_Marker_Old,"")),"")</f>
        <v/>
      </c>
      <c r="DG16" s="35" t="str">
        <f>IFERROR(IF(LEN(#REF!)=0,"",IF(BK$24=#REF!,Milestone_Marker_Old,"")),"")</f>
        <v/>
      </c>
      <c r="DH16" s="35" t="str">
        <f>IFERROR(IF(LEN(#REF!)=0,"",IF(BL$24=#REF!,Milestone_Marker_Old,"")),"")</f>
        <v/>
      </c>
      <c r="DI16" s="35" t="str">
        <f>IFERROR(IF(LEN(#REF!)=0,"",IF(BM$24=#REF!,Milestone_Marker_Old,"")),"")</f>
        <v/>
      </c>
      <c r="DJ16" s="35" t="str">
        <f>IFERROR(IF(LEN(#REF!)=0,"",IF(BN$24=#REF!,Milestone_Marker_Old,"")),"")</f>
        <v/>
      </c>
      <c r="DK16" s="35" t="str">
        <f>IFERROR(IF(LEN(#REF!)=0,"",IF(BO$24=#REF!,Milestone_Marker_Old,"")),"")</f>
        <v/>
      </c>
      <c r="DL16" s="35" t="str">
        <f>IFERROR(IF(LEN(#REF!)=0,"",IF(BP$24=#REF!,Milestone_Marker_Old,"")),"")</f>
        <v/>
      </c>
      <c r="DM16" s="35" t="str">
        <f>IFERROR(IF(LEN(#REF!)=0,"",IF(BQ$24=#REF!,Milestone_Marker_Old,"")),"")</f>
        <v/>
      </c>
      <c r="DN16" s="35" t="str">
        <f>IFERROR(IF(LEN(#REF!)=0,"",IF(BR$24=#REF!,Milestone_Marker_Old,"")),"")</f>
        <v/>
      </c>
      <c r="DO16" s="35" t="str">
        <f>IFERROR(IF(LEN(#REF!)=0,"",IF(BS$24=#REF!,Milestone_Marker_Old,"")),"")</f>
        <v/>
      </c>
      <c r="DP16" s="35" t="str">
        <f>IFERROR(IF(LEN(#REF!)=0,"",IF(BT$24=#REF!,Milestone_Marker_Old,"")),"")</f>
        <v/>
      </c>
      <c r="DQ16" s="35" t="str">
        <f>IFERROR(IF(LEN(#REF!)=0,"",IF(BU$24=#REF!,Milestone_Marker_Old,"")),"")</f>
        <v/>
      </c>
      <c r="DR16" s="35" t="str">
        <f>IFERROR(IF(LEN(#REF!)=0,"",IF(BV$24=#REF!,Milestone_Marker_Old,"")),"")</f>
        <v/>
      </c>
      <c r="DS16" s="35" t="str">
        <f>IFERROR(IF(LEN(#REF!)=0,"",IF(BW$24=#REF!,Milestone_Marker_Old,"")),"")</f>
        <v/>
      </c>
      <c r="DT16" s="35" t="str">
        <f>IFERROR(IF(LEN(#REF!)=0,"",IF(BX$24=#REF!,Milestone_Marker_Old,"")),"")</f>
        <v/>
      </c>
      <c r="DU16" s="35" t="str">
        <f>IFERROR(IF(LEN(#REF!)=0,"",IF(BY$24=#REF!,Milestone_Marker_Old,"")),"")</f>
        <v/>
      </c>
      <c r="DV16" s="35" t="str">
        <f>IFERROR(IF(LEN(#REF!)=0,"",IF(BZ$24=#REF!,Milestone_Marker_Old,"")),"")</f>
        <v/>
      </c>
      <c r="DW16" s="35" t="str">
        <f>IFERROR(IF(LEN(#REF!)=0,"",IF(CA$24=#REF!,Milestone_Marker_Old,"")),"")</f>
        <v/>
      </c>
      <c r="DX16" s="35" t="str">
        <f>IFERROR(IF(LEN(#REF!)=0,"",IF(CB$24=#REF!,Milestone_Marker_Old,"")),"")</f>
        <v/>
      </c>
      <c r="DY16" s="35" t="str">
        <f>IFERROR(IF(LEN(#REF!)=0,"",IF(CC$24=#REF!,Milestone_Marker_Old,"")),"")</f>
        <v/>
      </c>
      <c r="DZ16" s="35" t="str">
        <f>IFERROR(IF(LEN(#REF!)=0,"",IF(CD$24=#REF!,Milestone_Marker_Old,"")),"")</f>
        <v/>
      </c>
      <c r="EA16" s="35" t="str">
        <f>IFERROR(IF(LEN(#REF!)=0,"",IF(CE$24=#REF!,Milestone_Marker_Old,"")),"")</f>
        <v/>
      </c>
      <c r="EB16" s="35" t="str">
        <f>IFERROR(IF(LEN(#REF!)=0,"",IF(CF$24=#REF!,Milestone_Marker_Old,"")),"")</f>
        <v/>
      </c>
      <c r="EC16" s="35" t="str">
        <f>IFERROR(IF(LEN(#REF!)=0,"",IF(CG$24=#REF!,Milestone_Marker_Old,"")),"")</f>
        <v/>
      </c>
      <c r="ED16" s="35" t="str">
        <f>IFERROR(IF(LEN(#REF!)=0,"",IF(CH$24=#REF!,Milestone_Marker_Old,"")),"")</f>
        <v/>
      </c>
      <c r="EE16" s="35" t="str">
        <f>IFERROR(IF(LEN(#REF!)=0,"",IF(CI$24=#REF!,Milestone_Marker_Old,"")),"")</f>
        <v/>
      </c>
      <c r="EF16" s="35" t="str">
        <f>IFERROR(IF(LEN(#REF!)=0,"",IF(CJ$24=#REF!,Milestone_Marker_Old,"")),"")</f>
        <v/>
      </c>
      <c r="EG16" s="35" t="str">
        <f>IFERROR(IF(LEN(#REF!)=0,"",IF(CK$24=#REF!,Milestone_Marker_Old,"")),"")</f>
        <v/>
      </c>
      <c r="EH16" s="35" t="str">
        <f>IFERROR(IF(LEN(#REF!)=0,"",IF(CL$24=#REF!,Milestone_Marker_Old,"")),"")</f>
        <v/>
      </c>
      <c r="EI16" s="35" t="str">
        <f>IFERROR(IF(LEN(#REF!)=0,"",IF(CM$24=#REF!,Milestone_Marker_Old,"")),"")</f>
        <v/>
      </c>
      <c r="EJ16" s="35" t="str">
        <f>IFERROR(IF(LEN(#REF!)=0,"",IF(CN$24=#REF!,Milestone_Marker_Old,"")),"")</f>
        <v/>
      </c>
      <c r="EK16" s="35" t="str">
        <f>IFERROR(IF(LEN(#REF!)=0,"",IF(CO$24=#REF!,Milestone_Marker_Old,"")),"")</f>
        <v/>
      </c>
      <c r="EL16" s="35" t="str">
        <f>IFERROR(IF(LEN(#REF!)=0,"",IF(CP$24=#REF!,Milestone_Marker_Old,"")),"")</f>
        <v/>
      </c>
      <c r="EM16" s="35" t="str">
        <f>IFERROR(IF(LEN(#REF!)=0,"",IF(CQ$24=#REF!,Milestone_Marker_Old,"")),"")</f>
        <v/>
      </c>
      <c r="EN16" s="35" t="str">
        <f>IFERROR(IF(LEN(#REF!)=0,"",IF(CR$24=#REF!,Milestone_Marker_Old,"")),"")</f>
        <v/>
      </c>
      <c r="EO16" s="35" t="str">
        <f>IFERROR(IF(LEN(#REF!)=0,"",IF(CS$24=#REF!,Milestone_Marker_Old,"")),"")</f>
        <v/>
      </c>
      <c r="EP16" s="35" t="str">
        <f>IFERROR(IF(LEN(#REF!)=0,"",IF(CT$24=#REF!,Milestone_Marker_Old,"")),"")</f>
        <v/>
      </c>
      <c r="EQ16" s="35" t="str">
        <f>IFERROR(IF(LEN(#REF!)=0,"",IF(CU$24=#REF!,Milestone_Marker_Old,"")),"")</f>
        <v/>
      </c>
      <c r="ER16" s="35" t="str">
        <f>IFERROR(IF(LEN(#REF!)=0,"",IF(CV$24=#REF!,Milestone_Marker_Old,"")),"")</f>
        <v/>
      </c>
      <c r="ES16" s="35" t="str">
        <f>IFERROR(IF(LEN(#REF!)=0,"",IF(CW$24=#REF!,Milestone_Marker_Old,"")),"")</f>
        <v/>
      </c>
      <c r="ET16" s="35" t="str">
        <f>IFERROR(IF(LEN(#REF!)=0,"",IF(CX$24=#REF!,Milestone_Marker_Old,"")),"")</f>
        <v/>
      </c>
      <c r="EU16" s="35" t="str">
        <f>IFERROR(IF(LEN(#REF!)=0,"",IF(CY$24=#REF!,Milestone_Marker_Old,"")),"")</f>
        <v/>
      </c>
      <c r="EV16" s="35" t="str">
        <f>IFERROR(IF(LEN(#REF!)=0,"",IF(CZ$24=#REF!,Milestone_Marker_Old,"")),"")</f>
        <v/>
      </c>
      <c r="EW16" s="35" t="str">
        <f>IFERROR(IF(LEN(#REF!)=0,"",IF(DA$24=#REF!,Milestone_Marker_Old,"")),"")</f>
        <v/>
      </c>
      <c r="EX16" s="35" t="str">
        <f>IFERROR(IF(LEN(#REF!)=0,"",IF(DB$24=#REF!,Milestone_Marker_Old,"")),"")</f>
        <v/>
      </c>
      <c r="EY16" s="35" t="str">
        <f>IFERROR(IF(LEN(#REF!)=0,"",IF(DC$24=#REF!,Milestone_Marker_Old,"")),"")</f>
        <v/>
      </c>
      <c r="EZ16" s="35" t="str">
        <f>IFERROR(IF(LEN(#REF!)=0,"",IF(DD$24=#REF!,Milestone_Marker_Old,"")),"")</f>
        <v/>
      </c>
      <c r="FA16" s="35" t="str">
        <f>IFERROR(IF(LEN(#REF!)=0,"",IF(DE$24=#REF!,Milestone_Marker_Old,"")),"")</f>
        <v/>
      </c>
    </row>
    <row r="17" spans="1:157" s="40" customFormat="1" ht="20.100000000000001" customHeight="1">
      <c r="A17" s="477" t="s">
        <v>806</v>
      </c>
      <c r="B17" t="s">
        <v>517</v>
      </c>
      <c r="C17" s="477" t="s">
        <v>843</v>
      </c>
      <c r="D17" s="554" t="s">
        <v>843</v>
      </c>
      <c r="E17" s="555">
        <v>1</v>
      </c>
      <c r="F17" s="479">
        <f>Legal!H31</f>
        <v>3190.1124749999999</v>
      </c>
      <c r="G17" s="479">
        <f t="shared" si="7"/>
        <v>3190.1124749999999</v>
      </c>
      <c r="H17" s="479">
        <f>IFERROR( _xlfn.XLOOKUP(TabsSummary[[#This Row],[Index]], Contract_Edits[Index],Contract_Edits[Dep]),149)</f>
        <v>149</v>
      </c>
      <c r="I17" s="483"/>
      <c r="J17" s="478">
        <v>908</v>
      </c>
      <c r="K17" s="483"/>
      <c r="L17" s="484"/>
      <c r="M17" s="481">
        <v>0</v>
      </c>
      <c r="N17" s="484"/>
      <c r="O17" s="485"/>
      <c r="P17" s="500" t="str">
        <f>IFERROR(_xlfn.XLOOKUP(TabsSummary[[#This Row],[Index]], Contract_Edits[Index], Contract_Edits[Done],), "No")</f>
        <v>No</v>
      </c>
      <c r="Q17" s="500">
        <f>IFERROR(_xlfn.XLOOKUP(TabsSummary[[#This Row],[Index]], Contract_Edits[Index], Contract_Edits[Paid],), 0)</f>
        <v>0</v>
      </c>
      <c r="R17" s="500"/>
      <c r="S17" s="484"/>
      <c r="T17" s="481">
        <f>IFERROR(_xlfn.XLOOKUP(TabsSummary[[#This Row],[Index]], Contract_Edits[Index], Contract_Edits[Group]), 1)</f>
        <v>1</v>
      </c>
      <c r="U17" s="484"/>
      <c r="V17" s="481">
        <f>IFERROR(_xlfn.XLOOKUP(TabsSummary[[#This Row],[Index]], Contract_Edits[Index], Contract_Edits[Order]), "")</f>
        <v>5.0102000000000002</v>
      </c>
      <c r="W17" s="485"/>
      <c r="X17" s="485"/>
      <c r="Y17" s="484"/>
      <c r="Z17" s="501" t="str">
        <f>_xlfn.XLOOKUP(TabsSummary[[#This Row],[Index]], Contract_Edits[Index], Contract_Edits[Approve])</f>
        <v>Yes</v>
      </c>
      <c r="AA17" s="560"/>
      <c r="AB17" s="501"/>
      <c r="AC17" s="501"/>
      <c r="AD17" s="501"/>
      <c r="AE17" s="35"/>
      <c r="AF17" s="35" t="str">
        <f>IFERROR(+IF('Gnatt Chart'!AF$24=#REF!,Milestone_Marker,IF(AND('Gnatt Chart'!AF$24&gt;#REF!,'Gnatt Chart'!AF$24&lt;#REF!+#REF!),#REF!,"")),"")</f>
        <v/>
      </c>
      <c r="AG17" s="35"/>
      <c r="AH17" s="35"/>
      <c r="AI17" s="35"/>
      <c r="AJ17" s="35"/>
      <c r="AK17" s="35"/>
      <c r="AL17" s="504"/>
      <c r="AM17" s="504"/>
      <c r="AN17" s="504"/>
      <c r="AO17" s="504"/>
      <c r="AP17" s="35"/>
      <c r="AQ17" s="35"/>
      <c r="AR17" s="35"/>
      <c r="AS17" s="35" t="str">
        <f>IFERROR(+IF(#REF!=#REF!,Milestone_Marker,IF(AND(#REF!&gt;#REF!,#REF!&lt;#REF!+#REF!),#REF!,"")),"")</f>
        <v/>
      </c>
      <c r="AT17" s="35" t="str">
        <f>IFERROR(+IF(#REF!=#REF!,Milestone_Marker,IF(AND(#REF!&gt;#REF!,#REF!&lt;#REF!+#REF!),#REF!,"")),"")</f>
        <v/>
      </c>
      <c r="AU17" s="35" t="str">
        <f>IFERROR(+IF(AO$24=#REF!,Milestone_Marker,IF(AND(AO$24&gt;#REF!,AO$24&lt;#REF!+#REF!),#REF!,"")),"")</f>
        <v/>
      </c>
      <c r="AX17" s="42"/>
      <c r="AY17" s="42"/>
      <c r="AZ17" s="42"/>
      <c r="BA17" s="42"/>
      <c r="BB17" s="42"/>
      <c r="BC17" s="42"/>
      <c r="BD17" s="42"/>
      <c r="BE17" s="42"/>
      <c r="BF17" s="42"/>
      <c r="BG17" s="473"/>
      <c r="BH17" s="473"/>
      <c r="BI17" s="473"/>
      <c r="BJ17" s="473"/>
      <c r="BK17" s="473"/>
      <c r="BL17" s="473"/>
      <c r="BM17" s="473"/>
      <c r="BN17" s="473"/>
      <c r="BO17" s="34"/>
      <c r="BV17" s="35" t="str">
        <f>IFERROR(IF(LEN(#REF!)=0,"",IF(#REF!=#REF!,Milestone_Marker_Old,"")),"")</f>
        <v/>
      </c>
      <c r="BW17" s="35" t="str">
        <f>IFERROR(IF(LEN(#REF!)=0,"",IF(#REF!=#REF!,Milestone_Marker_Old,"")),"")</f>
        <v/>
      </c>
      <c r="BX17" s="35" t="str">
        <f>IFERROR(IF(LEN(#REF!)=0,"",IF(#REF!=#REF!,Milestone_Marker_Old,"")),"")</f>
        <v/>
      </c>
      <c r="BY17" s="35" t="str">
        <f>IFERROR(IF(LEN(#REF!)=0,"",IF(#REF!=#REF!,Milestone_Marker_Old,"")),"")</f>
        <v/>
      </c>
      <c r="BZ17" s="35" t="str">
        <f>IFERROR(IF(LEN(#REF!)=0,"",IF(#REF!=#REF!,Milestone_Marker_Old,"")),"")</f>
        <v/>
      </c>
      <c r="CA17" s="35" t="str">
        <f>IFERROR(IF(LEN(#REF!)=0,"",IF(#REF!=#REF!,Milestone_Marker_Old,"")),"")</f>
        <v/>
      </c>
      <c r="CB17" s="35" t="str">
        <f>IFERROR(IF(LEN(#REF!)=0,"",IF(#REF!=#REF!,Milestone_Marker_Old,"")),"")</f>
        <v/>
      </c>
      <c r="CC17" s="35" t="str">
        <f>IFERROR(IF(LEN(#REF!)=0,"",IF(AP$24=#REF!,Milestone_Marker_Old,"")),"")</f>
        <v/>
      </c>
      <c r="CD17" s="35" t="str">
        <f>IFERROR(IF(LEN(#REF!)=0,"",IF(#REF!=#REF!,Milestone_Marker_Old,"")),"")</f>
        <v/>
      </c>
      <c r="CE17" s="35" t="str">
        <f>IFERROR(IF(LEN(#REF!)=0,"",IF(#REF!=#REF!,Milestone_Marker_Old,"")),"")</f>
        <v/>
      </c>
      <c r="CF17" s="35" t="str">
        <f>IFERROR(IF(LEN(#REF!)=0,"",IF(#REF!=#REF!,Milestone_Marker_Old,"")),"")</f>
        <v/>
      </c>
      <c r="CG17" s="35" t="str">
        <f>IFERROR(IF(LEN(#REF!)=0,"",IF(#REF!=#REF!,Milestone_Marker_Old,"")),"")</f>
        <v/>
      </c>
      <c r="CH17" s="35" t="str">
        <f>IFERROR(IF(LEN(#REF!)=0,"",IF('Gnatt Chart'!AF$24=#REF!,Milestone_Marker_Old,"")),"")</f>
        <v/>
      </c>
      <c r="CI17" s="35" t="str">
        <f>IFERROR(IF(LEN(#REF!)=0,"",IF(#REF!=#REF!,Milestone_Marker_Old,"")),"")</f>
        <v/>
      </c>
      <c r="CJ17" s="35" t="str">
        <f>IFERROR(IF(LEN(#REF!)=0,"",IF(#REF!=#REF!,Milestone_Marker_Old,"")),"")</f>
        <v/>
      </c>
      <c r="CK17" s="35" t="str">
        <f>IFERROR(IF(LEN(#REF!)=0,"",IF(AO$24=#REF!,Milestone_Marker_Old,"")),"")</f>
        <v/>
      </c>
      <c r="CL17" s="35" t="str">
        <f>IFERROR(IF(LEN(#REF!)=0,"",IF(#REF!=#REF!,Milestone_Marker_Old,"")),"")</f>
        <v/>
      </c>
      <c r="CM17" s="35" t="str">
        <f>IFERROR(IF(LEN(#REF!)=0,"",IF(AQ$24=#REF!,Milestone_Marker_Old,"")),"")</f>
        <v/>
      </c>
      <c r="CN17" s="35" t="str">
        <f>IFERROR(IF(LEN(#REF!)=0,"",IF(AR$24=#REF!,Milestone_Marker_Old,"")),"")</f>
        <v/>
      </c>
      <c r="CO17" s="35" t="str">
        <f>IFERROR(IF(LEN(#REF!)=0,"",IF(AS$24=#REF!,Milestone_Marker_Old,"")),"")</f>
        <v/>
      </c>
      <c r="CP17" s="35" t="str">
        <f>IFERROR(IF(LEN(#REF!)=0,"",IF(AT$24=#REF!,Milestone_Marker_Old,"")),"")</f>
        <v/>
      </c>
      <c r="CQ17" s="35" t="str">
        <f>IFERROR(IF(LEN(#REF!)=0,"",IF(AU$24=#REF!,Milestone_Marker_Old,"")),"")</f>
        <v/>
      </c>
      <c r="CR17" s="35" t="str">
        <f>IFERROR(IF(LEN(#REF!)=0,"",IF(AV$24=#REF!,Milestone_Marker_Old,"")),"")</f>
        <v/>
      </c>
      <c r="CS17" s="35" t="str">
        <f>IFERROR(IF(LEN(#REF!)=0,"",IF(AW$24=#REF!,Milestone_Marker_Old,"")),"")</f>
        <v/>
      </c>
      <c r="CT17" s="35" t="str">
        <f>IFERROR(IF(LEN(#REF!)=0,"",IF(AX$24=#REF!,Milestone_Marker_Old,"")),"")</f>
        <v/>
      </c>
      <c r="CU17" s="35" t="str">
        <f>IFERROR(IF(LEN(#REF!)=0,"",IF(AY$24=#REF!,Milestone_Marker_Old,"")),"")</f>
        <v/>
      </c>
      <c r="CV17" s="35" t="str">
        <f>IFERROR(IF(LEN(#REF!)=0,"",IF(AZ$24=#REF!,Milestone_Marker_Old,"")),"")</f>
        <v/>
      </c>
      <c r="CW17" s="35" t="str">
        <f>IFERROR(IF(LEN(#REF!)=0,"",IF(BA$24=#REF!,Milestone_Marker_Old,"")),"")</f>
        <v/>
      </c>
      <c r="CX17" s="35" t="str">
        <f>IFERROR(IF(LEN(#REF!)=0,"",IF(BB$24=#REF!,Milestone_Marker_Old,"")),"")</f>
        <v/>
      </c>
      <c r="CY17" s="35" t="str">
        <f>IFERROR(IF(LEN(#REF!)=0,"",IF(BC$24=#REF!,Milestone_Marker_Old,"")),"")</f>
        <v/>
      </c>
      <c r="CZ17" s="35" t="str">
        <f>IFERROR(IF(LEN(#REF!)=0,"",IF(BD$24=#REF!,Milestone_Marker_Old,"")),"")</f>
        <v/>
      </c>
      <c r="DA17" s="35" t="str">
        <f>IFERROR(IF(LEN(#REF!)=0,"",IF(BE$24=#REF!,Milestone_Marker_Old,"")),"")</f>
        <v/>
      </c>
      <c r="DB17" s="35" t="str">
        <f>IFERROR(IF(LEN(#REF!)=0,"",IF(BF$24=#REF!,Milestone_Marker_Old,"")),"")</f>
        <v/>
      </c>
      <c r="DC17" s="35" t="str">
        <f>IFERROR(IF(LEN(#REF!)=0,"",IF(BG$24=#REF!,Milestone_Marker_Old,"")),"")</f>
        <v/>
      </c>
      <c r="DD17" s="35" t="str">
        <f>IFERROR(IF(LEN(#REF!)=0,"",IF(BH$24=#REF!,Milestone_Marker_Old,"")),"")</f>
        <v/>
      </c>
      <c r="DE17" s="35" t="str">
        <f>IFERROR(IF(LEN(#REF!)=0,"",IF(BI$24=#REF!,Milestone_Marker_Old,"")),"")</f>
        <v/>
      </c>
      <c r="DF17" s="35" t="str">
        <f>IFERROR(IF(LEN(#REF!)=0,"",IF(BJ$24=#REF!,Milestone_Marker_Old,"")),"")</f>
        <v/>
      </c>
      <c r="DG17" s="35" t="str">
        <f>IFERROR(IF(LEN(#REF!)=0,"",IF(BK$24=#REF!,Milestone_Marker_Old,"")),"")</f>
        <v/>
      </c>
      <c r="DH17" s="35" t="str">
        <f>IFERROR(IF(LEN(#REF!)=0,"",IF(BL$24=#REF!,Milestone_Marker_Old,"")),"")</f>
        <v/>
      </c>
      <c r="DI17" s="35" t="str">
        <f>IFERROR(IF(LEN(#REF!)=0,"",IF(BM$24=#REF!,Milestone_Marker_Old,"")),"")</f>
        <v/>
      </c>
      <c r="DJ17" s="35" t="str">
        <f>IFERROR(IF(LEN(#REF!)=0,"",IF(BN$24=#REF!,Milestone_Marker_Old,"")),"")</f>
        <v/>
      </c>
      <c r="DK17" s="35" t="str">
        <f>IFERROR(IF(LEN(#REF!)=0,"",IF(BO$24=#REF!,Milestone_Marker_Old,"")),"")</f>
        <v/>
      </c>
      <c r="DL17" s="35" t="str">
        <f>IFERROR(IF(LEN(#REF!)=0,"",IF(BP$24=#REF!,Milestone_Marker_Old,"")),"")</f>
        <v/>
      </c>
      <c r="DM17" s="35" t="str">
        <f>IFERROR(IF(LEN(#REF!)=0,"",IF(BQ$24=#REF!,Milestone_Marker_Old,"")),"")</f>
        <v/>
      </c>
      <c r="DN17" s="35" t="str">
        <f>IFERROR(IF(LEN(#REF!)=0,"",IF(BR$24=#REF!,Milestone_Marker_Old,"")),"")</f>
        <v/>
      </c>
      <c r="DO17" s="35" t="str">
        <f>IFERROR(IF(LEN(#REF!)=0,"",IF(BS$24=#REF!,Milestone_Marker_Old,"")),"")</f>
        <v/>
      </c>
      <c r="DP17" s="35" t="str">
        <f>IFERROR(IF(LEN(#REF!)=0,"",IF(BT$24=#REF!,Milestone_Marker_Old,"")),"")</f>
        <v/>
      </c>
      <c r="DQ17" s="35" t="str">
        <f>IFERROR(IF(LEN(#REF!)=0,"",IF(BU$24=#REF!,Milestone_Marker_Old,"")),"")</f>
        <v/>
      </c>
      <c r="DR17" s="35" t="str">
        <f>IFERROR(IF(LEN(#REF!)=0,"",IF(BV$24=#REF!,Milestone_Marker_Old,"")),"")</f>
        <v/>
      </c>
      <c r="DS17" s="35" t="str">
        <f>IFERROR(IF(LEN(#REF!)=0,"",IF(BW$24=#REF!,Milestone_Marker_Old,"")),"")</f>
        <v/>
      </c>
      <c r="DT17" s="35" t="str">
        <f>IFERROR(IF(LEN(#REF!)=0,"",IF(BX$24=#REF!,Milestone_Marker_Old,"")),"")</f>
        <v/>
      </c>
      <c r="DU17" s="35" t="str">
        <f>IFERROR(IF(LEN(#REF!)=0,"",IF(BY$24=#REF!,Milestone_Marker_Old,"")),"")</f>
        <v/>
      </c>
      <c r="DV17" s="35" t="str">
        <f>IFERROR(IF(LEN(#REF!)=0,"",IF(BZ$24=#REF!,Milestone_Marker_Old,"")),"")</f>
        <v/>
      </c>
      <c r="DW17" s="35" t="str">
        <f>IFERROR(IF(LEN(#REF!)=0,"",IF(CA$24=#REF!,Milestone_Marker_Old,"")),"")</f>
        <v/>
      </c>
      <c r="DX17" s="35" t="str">
        <f>IFERROR(IF(LEN(#REF!)=0,"",IF(CB$24=#REF!,Milestone_Marker_Old,"")),"")</f>
        <v/>
      </c>
      <c r="DY17" s="35" t="str">
        <f>IFERROR(IF(LEN(#REF!)=0,"",IF(CC$24=#REF!,Milestone_Marker_Old,"")),"")</f>
        <v/>
      </c>
      <c r="DZ17" s="35" t="str">
        <f>IFERROR(IF(LEN(#REF!)=0,"",IF(CD$24=#REF!,Milestone_Marker_Old,"")),"")</f>
        <v/>
      </c>
      <c r="EA17" s="35" t="str">
        <f>IFERROR(IF(LEN(#REF!)=0,"",IF(CE$24=#REF!,Milestone_Marker_Old,"")),"")</f>
        <v/>
      </c>
      <c r="EB17" s="35" t="str">
        <f>IFERROR(IF(LEN(#REF!)=0,"",IF(CF$24=#REF!,Milestone_Marker_Old,"")),"")</f>
        <v/>
      </c>
      <c r="EC17" s="35" t="str">
        <f>IFERROR(IF(LEN(#REF!)=0,"",IF(CG$24=#REF!,Milestone_Marker_Old,"")),"")</f>
        <v/>
      </c>
      <c r="ED17" s="35" t="str">
        <f>IFERROR(IF(LEN(#REF!)=0,"",IF(CH$24=#REF!,Milestone_Marker_Old,"")),"")</f>
        <v/>
      </c>
      <c r="EE17" s="35" t="str">
        <f>IFERROR(IF(LEN(#REF!)=0,"",IF(CI$24=#REF!,Milestone_Marker_Old,"")),"")</f>
        <v/>
      </c>
      <c r="EF17" s="35" t="str">
        <f>IFERROR(IF(LEN(#REF!)=0,"",IF(CJ$24=#REF!,Milestone_Marker_Old,"")),"")</f>
        <v/>
      </c>
      <c r="EG17" s="35" t="str">
        <f>IFERROR(IF(LEN(#REF!)=0,"",IF(CK$24=#REF!,Milestone_Marker_Old,"")),"")</f>
        <v/>
      </c>
      <c r="EH17" s="35" t="str">
        <f>IFERROR(IF(LEN(#REF!)=0,"",IF(CL$24=#REF!,Milestone_Marker_Old,"")),"")</f>
        <v/>
      </c>
      <c r="EI17" s="35" t="str">
        <f>IFERROR(IF(LEN(#REF!)=0,"",IF(CM$24=#REF!,Milestone_Marker_Old,"")),"")</f>
        <v/>
      </c>
      <c r="EJ17" s="35" t="str">
        <f>IFERROR(IF(LEN(#REF!)=0,"",IF(CN$24=#REF!,Milestone_Marker_Old,"")),"")</f>
        <v/>
      </c>
      <c r="EK17" s="35" t="str">
        <f>IFERROR(IF(LEN(#REF!)=0,"",IF(CO$24=#REF!,Milestone_Marker_Old,"")),"")</f>
        <v/>
      </c>
      <c r="EL17" s="35" t="str">
        <f>IFERROR(IF(LEN(#REF!)=0,"",IF(CP$24=#REF!,Milestone_Marker_Old,"")),"")</f>
        <v/>
      </c>
      <c r="EM17" s="35" t="str">
        <f>IFERROR(IF(LEN(#REF!)=0,"",IF(CQ$24=#REF!,Milestone_Marker_Old,"")),"")</f>
        <v/>
      </c>
      <c r="EN17" s="35" t="str">
        <f>IFERROR(IF(LEN(#REF!)=0,"",IF(CR$24=#REF!,Milestone_Marker_Old,"")),"")</f>
        <v/>
      </c>
      <c r="EO17" s="35" t="str">
        <f>IFERROR(IF(LEN(#REF!)=0,"",IF(CS$24=#REF!,Milestone_Marker_Old,"")),"")</f>
        <v/>
      </c>
      <c r="EP17" s="35" t="str">
        <f>IFERROR(IF(LEN(#REF!)=0,"",IF(CT$24=#REF!,Milestone_Marker_Old,"")),"")</f>
        <v/>
      </c>
      <c r="EQ17" s="35" t="str">
        <f>IFERROR(IF(LEN(#REF!)=0,"",IF(CU$24=#REF!,Milestone_Marker_Old,"")),"")</f>
        <v/>
      </c>
      <c r="ER17" s="35" t="str">
        <f>IFERROR(IF(LEN(#REF!)=0,"",IF(CV$24=#REF!,Milestone_Marker_Old,"")),"")</f>
        <v/>
      </c>
      <c r="ES17" s="35" t="str">
        <f>IFERROR(IF(LEN(#REF!)=0,"",IF(CW$24=#REF!,Milestone_Marker_Old,"")),"")</f>
        <v/>
      </c>
      <c r="ET17" s="35" t="str">
        <f>IFERROR(IF(LEN(#REF!)=0,"",IF(CX$24=#REF!,Milestone_Marker_Old,"")),"")</f>
        <v/>
      </c>
      <c r="EU17" s="35" t="str">
        <f>IFERROR(IF(LEN(#REF!)=0,"",IF(CY$24=#REF!,Milestone_Marker_Old,"")),"")</f>
        <v/>
      </c>
      <c r="EV17" s="35" t="str">
        <f>IFERROR(IF(LEN(#REF!)=0,"",IF(CZ$24=#REF!,Milestone_Marker_Old,"")),"")</f>
        <v/>
      </c>
      <c r="EW17" s="35" t="str">
        <f>IFERROR(IF(LEN(#REF!)=0,"",IF(DA$24=#REF!,Milestone_Marker_Old,"")),"")</f>
        <v/>
      </c>
      <c r="EX17" s="35" t="str">
        <f>IFERROR(IF(LEN(#REF!)=0,"",IF(DB$24=#REF!,Milestone_Marker_Old,"")),"")</f>
        <v/>
      </c>
      <c r="EY17" s="35" t="str">
        <f>IFERROR(IF(LEN(#REF!)=0,"",IF(DC$24=#REF!,Milestone_Marker_Old,"")),"")</f>
        <v/>
      </c>
      <c r="EZ17" s="35" t="str">
        <f>IFERROR(IF(LEN(#REF!)=0,"",IF(DD$24=#REF!,Milestone_Marker_Old,"")),"")</f>
        <v/>
      </c>
      <c r="FA17" s="35" t="str">
        <f>IFERROR(IF(LEN(#REF!)=0,"",IF(DE$24=#REF!,Milestone_Marker_Old,"")),"")</f>
        <v/>
      </c>
    </row>
    <row r="18" spans="1:157" s="40" customFormat="1" ht="20.100000000000001" customHeight="1">
      <c r="A18" s="477" t="s">
        <v>806</v>
      </c>
      <c r="B18" t="s">
        <v>517</v>
      </c>
      <c r="C18" s="477" t="s">
        <v>774</v>
      </c>
      <c r="D18" s="554" t="s">
        <v>844</v>
      </c>
      <c r="E18" s="555">
        <v>1</v>
      </c>
      <c r="F18" s="479">
        <f>+Exterior!H25</f>
        <v>1953.8484749999998</v>
      </c>
      <c r="G18" s="479">
        <f t="shared" si="7"/>
        <v>1953.8484749999998</v>
      </c>
      <c r="H18" s="479">
        <f>IFERROR( _xlfn.XLOOKUP(TabsSummary[[#This Row],[Index]], Contract_Edits[Index],Contract_Edits[Dep]),149)</f>
        <v>176</v>
      </c>
      <c r="I18" s="483"/>
      <c r="J18" s="478">
        <v>909</v>
      </c>
      <c r="K18" s="483"/>
      <c r="L18" s="484"/>
      <c r="M18" s="481">
        <v>0</v>
      </c>
      <c r="N18" s="484"/>
      <c r="O18" s="485"/>
      <c r="P18" s="500" t="str">
        <f>IFERROR(_xlfn.XLOOKUP(TabsSummary[[#This Row],[Index]], Contract_Edits[Index], Contract_Edits[Done],), "No")</f>
        <v>No</v>
      </c>
      <c r="Q18" s="500">
        <f>IFERROR(_xlfn.XLOOKUP(TabsSummary[[#This Row],[Index]], Contract_Edits[Index], Contract_Edits[Paid],), 0)</f>
        <v>0</v>
      </c>
      <c r="R18" s="500"/>
      <c r="S18" s="484"/>
      <c r="T18" s="481">
        <f>IFERROR(_xlfn.XLOOKUP(TabsSummary[[#This Row],[Index]], Contract_Edits[Index], Contract_Edits[Group]), 1)</f>
        <v>1</v>
      </c>
      <c r="U18" s="484"/>
      <c r="V18" s="481">
        <f>IFERROR(_xlfn.XLOOKUP(TabsSummary[[#This Row],[Index]], Contract_Edits[Index], Contract_Edits[Order]), "")</f>
        <v>245.01009999999999</v>
      </c>
      <c r="W18" s="485"/>
      <c r="X18" s="485"/>
      <c r="Y18" s="484"/>
      <c r="Z18" s="501" t="str">
        <f>_xlfn.XLOOKUP(TabsSummary[[#This Row],[Index]], Contract_Edits[Index], Contract_Edits[Approve])</f>
        <v>Yes</v>
      </c>
      <c r="AA18" s="560"/>
      <c r="AB18" s="501"/>
      <c r="AC18" s="501"/>
      <c r="AD18" s="501"/>
      <c r="AE18" s="35"/>
      <c r="AF18" s="35" t="str">
        <f>IFERROR(+IF('Gnatt Chart'!AF$24=#REF!,Milestone_Marker,IF(AND('Gnatt Chart'!AF$24&gt;#REF!,'Gnatt Chart'!AF$24&lt;#REF!+#REF!),#REF!,"")),"")</f>
        <v/>
      </c>
      <c r="AG18" s="35"/>
      <c r="AH18" s="35"/>
      <c r="AI18" s="35"/>
      <c r="AJ18" s="35"/>
      <c r="AK18" s="35"/>
      <c r="AL18" s="504"/>
      <c r="AM18" s="504"/>
      <c r="AN18" s="504"/>
      <c r="AO18" s="504"/>
      <c r="AP18" s="35"/>
      <c r="AQ18" s="35"/>
      <c r="AR18" s="35"/>
      <c r="AS18" s="35" t="str">
        <f>IFERROR(+IF(#REF!=#REF!,Milestone_Marker,IF(AND(#REF!&gt;#REF!,#REF!&lt;#REF!+#REF!),#REF!,"")),"")</f>
        <v/>
      </c>
      <c r="AT18" s="35" t="str">
        <f>IFERROR(+IF(#REF!=#REF!,Milestone_Marker,IF(AND(#REF!&gt;#REF!,#REF!&lt;#REF!+#REF!),#REF!,"")),"")</f>
        <v/>
      </c>
      <c r="AU18" s="35" t="str">
        <f>IFERROR(+IF(AO$24=#REF!,Milestone_Marker,IF(AND(AO$24&gt;#REF!,AO$24&lt;#REF!+#REF!),#REF!,"")),"")</f>
        <v/>
      </c>
      <c r="AX18" s="42"/>
      <c r="AY18" s="42"/>
      <c r="AZ18" s="42"/>
      <c r="BA18" s="42"/>
      <c r="BB18" s="42"/>
      <c r="BC18" s="42"/>
      <c r="BD18" s="42"/>
      <c r="BE18" s="42"/>
      <c r="BF18" s="42"/>
      <c r="BH18" s="51">
        <v>29</v>
      </c>
      <c r="BI18" s="41"/>
      <c r="BJ18" s="41"/>
      <c r="BK18" s="41"/>
      <c r="BL18" s="41"/>
      <c r="BM18" s="41"/>
      <c r="BN18" s="41"/>
      <c r="BO18" s="34"/>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c r="DV18" s="35"/>
      <c r="DW18" s="35"/>
      <c r="DX18" s="35"/>
      <c r="DY18" s="35"/>
      <c r="DZ18" s="35"/>
      <c r="EA18" s="35"/>
      <c r="EB18" s="35"/>
      <c r="EC18" s="35"/>
      <c r="ED18" s="35"/>
      <c r="EE18" s="35"/>
      <c r="EF18" s="35"/>
      <c r="EG18" s="35"/>
      <c r="EH18" s="35"/>
      <c r="EI18" s="35"/>
      <c r="EJ18" s="35"/>
      <c r="EK18" s="35"/>
      <c r="EL18" s="35"/>
      <c r="EM18" s="35"/>
      <c r="EN18" s="35"/>
      <c r="EO18" s="35"/>
      <c r="EP18" s="35"/>
      <c r="EQ18" s="35"/>
      <c r="ER18" s="35"/>
      <c r="ES18" s="35"/>
      <c r="ET18" s="35"/>
      <c r="EU18" s="35"/>
      <c r="EV18" s="35"/>
      <c r="EW18" s="35"/>
      <c r="EX18" s="35"/>
      <c r="EY18" s="35"/>
      <c r="EZ18" s="35"/>
      <c r="FA18" s="35"/>
    </row>
    <row r="19" spans="1:157" s="40" customFormat="1" ht="20.100000000000001" customHeight="1">
      <c r="A19" s="477" t="s">
        <v>806</v>
      </c>
      <c r="B19" t="s">
        <v>523</v>
      </c>
      <c r="C19" s="477" t="s">
        <v>845</v>
      </c>
      <c r="D19" s="554" t="s">
        <v>846</v>
      </c>
      <c r="E19" s="555">
        <v>1</v>
      </c>
      <c r="F19" s="479">
        <f>+Landscape!H17</f>
        <v>1470</v>
      </c>
      <c r="G19" s="479">
        <f t="shared" si="7"/>
        <v>1470</v>
      </c>
      <c r="H19" s="479">
        <f>IFERROR( _xlfn.XLOOKUP(TabsSummary[[#This Row],[Index]], Contract_Edits[Index],Contract_Edits[Dep]),149)</f>
        <v>172</v>
      </c>
      <c r="I19" s="483"/>
      <c r="J19" s="478">
        <v>910</v>
      </c>
      <c r="K19" s="483"/>
      <c r="L19" s="484"/>
      <c r="M19" s="481">
        <v>0</v>
      </c>
      <c r="N19" s="484"/>
      <c r="O19" s="485"/>
      <c r="P19" s="500" t="str">
        <f>IFERROR(_xlfn.XLOOKUP(TabsSummary[[#This Row],[Index]], Contract_Edits[Index], Contract_Edits[Done],), "No")</f>
        <v>Yes</v>
      </c>
      <c r="Q19" s="500">
        <f>IFERROR(_xlfn.XLOOKUP(TabsSummary[[#This Row],[Index]], Contract_Edits[Index], Contract_Edits[Paid],), 0)</f>
        <v>0</v>
      </c>
      <c r="R19" s="500"/>
      <c r="S19" s="484"/>
      <c r="T19" s="481">
        <f>IFERROR(_xlfn.XLOOKUP(TabsSummary[[#This Row],[Index]], Contract_Edits[Index], Contract_Edits[Group]), 1)</f>
        <v>1</v>
      </c>
      <c r="U19" s="484"/>
      <c r="V19" s="481">
        <f>IFERROR(_xlfn.XLOOKUP(TabsSummary[[#This Row],[Index]], Contract_Edits[Index], Contract_Edits[Order]), "")</f>
        <v>205.01089999999999</v>
      </c>
      <c r="W19" s="485"/>
      <c r="X19" s="485"/>
      <c r="Y19" s="484"/>
      <c r="Z19" s="501" t="str">
        <f>_xlfn.XLOOKUP(TabsSummary[[#This Row],[Index]], Contract_Edits[Index], Contract_Edits[Approve])</f>
        <v>Yes</v>
      </c>
      <c r="AA19" s="560"/>
      <c r="AB19" s="501"/>
      <c r="AC19" s="501"/>
      <c r="AD19" s="501"/>
      <c r="AE19" s="35"/>
      <c r="AF19" s="35" t="str">
        <f>IFERROR(+IF('Gnatt Chart'!AF$24=#REF!,Milestone_Marker,IF(AND('Gnatt Chart'!AF$24&gt;#REF!,'Gnatt Chart'!AF$24&lt;#REF!+#REF!),#REF!,"")),"")</f>
        <v/>
      </c>
      <c r="AG19" s="35"/>
      <c r="AH19" s="35"/>
      <c r="AI19" s="35"/>
      <c r="AJ19" s="35"/>
      <c r="AK19" s="35"/>
      <c r="AL19" s="504"/>
      <c r="AM19" s="504"/>
      <c r="AN19" s="504"/>
      <c r="AO19" s="504"/>
      <c r="AP19" s="35"/>
      <c r="AQ19" s="35"/>
      <c r="AR19" s="35"/>
      <c r="AS19" s="35" t="str">
        <f>IFERROR(+IF(#REF!=#REF!,Milestone_Marker,IF(AND(#REF!&gt;#REF!,#REF!&lt;#REF!+#REF!),#REF!,"")),"")</f>
        <v/>
      </c>
      <c r="AT19" s="35" t="str">
        <f>IFERROR(+IF(#REF!=#REF!,Milestone_Marker,IF(AND(#REF!&gt;#REF!,#REF!&lt;#REF!+#REF!),#REF!,"")),"")</f>
        <v/>
      </c>
      <c r="AU19" s="35" t="str">
        <f>IFERROR(+IF(AO$24=#REF!,Milestone_Marker,IF(AND(AO$24&gt;#REF!,AO$24&lt;#REF!+#REF!),#REF!,"")),"")</f>
        <v/>
      </c>
      <c r="AX19" s="42"/>
      <c r="AY19" s="42"/>
      <c r="AZ19" s="42"/>
      <c r="BA19" s="42"/>
      <c r="BB19" s="42"/>
      <c r="BC19" s="42"/>
      <c r="BD19" s="42"/>
      <c r="BE19" s="42"/>
      <c r="BF19" s="42"/>
      <c r="BO19" s="34"/>
      <c r="BV19" s="35"/>
      <c r="BW19" s="35"/>
      <c r="BX19" s="35"/>
      <c r="BY19" s="35"/>
      <c r="BZ19" s="35"/>
      <c r="CA19" s="35"/>
      <c r="CB19" s="35"/>
      <c r="CC19" s="35"/>
      <c r="CD19" s="35"/>
      <c r="CE19" s="35"/>
      <c r="CF19" s="35"/>
      <c r="CG19" s="35"/>
      <c r="CH19" s="35"/>
      <c r="CI19" s="35"/>
      <c r="CJ19" s="35"/>
      <c r="CK19" s="35"/>
      <c r="CL19" s="35"/>
      <c r="CM19" s="35"/>
      <c r="CN19" s="35"/>
      <c r="CO19" s="35"/>
      <c r="CP19" s="35"/>
      <c r="CQ19" s="35"/>
      <c r="CR19" s="35"/>
      <c r="CS19" s="35"/>
      <c r="CT19" s="35"/>
      <c r="CU19" s="35"/>
      <c r="CV19" s="35"/>
      <c r="CW19" s="35"/>
      <c r="CX19" s="35"/>
      <c r="CY19" s="35"/>
      <c r="CZ19" s="35"/>
      <c r="DA19" s="35"/>
      <c r="DB19" s="35"/>
      <c r="DC19" s="35"/>
      <c r="DD19" s="35"/>
      <c r="DE19" s="35"/>
      <c r="DF19" s="35"/>
      <c r="DG19" s="35"/>
      <c r="DH19" s="35"/>
      <c r="DI19" s="35"/>
      <c r="DJ19" s="35"/>
      <c r="DK19" s="35"/>
      <c r="DL19" s="35"/>
      <c r="DM19" s="35"/>
      <c r="DN19" s="35"/>
      <c r="DO19" s="35"/>
      <c r="DP19" s="35"/>
      <c r="DQ19" s="35"/>
      <c r="DR19" s="35"/>
      <c r="DS19" s="35"/>
      <c r="DT19" s="35"/>
      <c r="DU19" s="35"/>
      <c r="DV19" s="35"/>
      <c r="DW19" s="35"/>
      <c r="DX19" s="35"/>
      <c r="DY19" s="35"/>
      <c r="DZ19" s="35"/>
      <c r="EA19" s="35"/>
      <c r="EB19" s="35"/>
      <c r="EC19" s="35"/>
      <c r="ED19" s="35"/>
      <c r="EE19" s="35"/>
      <c r="EF19" s="35"/>
      <c r="EG19" s="35"/>
      <c r="EH19" s="35"/>
      <c r="EI19" s="35"/>
      <c r="EJ19" s="35"/>
      <c r="EK19" s="35"/>
      <c r="EL19" s="35"/>
      <c r="EM19" s="35"/>
      <c r="EN19" s="35"/>
      <c r="EO19" s="35"/>
      <c r="EP19" s="35"/>
      <c r="EQ19" s="35"/>
      <c r="ER19" s="35"/>
      <c r="ES19" s="35"/>
      <c r="ET19" s="35"/>
      <c r="EU19" s="35"/>
      <c r="EV19" s="35"/>
      <c r="EW19" s="35"/>
      <c r="EX19" s="35"/>
      <c r="EY19" s="35"/>
      <c r="EZ19" s="35"/>
      <c r="FA19" s="35"/>
    </row>
    <row r="20" spans="1:157" s="40" customFormat="1" ht="20.100000000000001" customHeight="1">
      <c r="A20" s="477" t="s">
        <v>806</v>
      </c>
      <c r="B20" t="s">
        <v>517</v>
      </c>
      <c r="C20" s="477" t="s">
        <v>527</v>
      </c>
      <c r="D20" s="554" t="s">
        <v>847</v>
      </c>
      <c r="E20" s="555">
        <v>1</v>
      </c>
      <c r="F20" s="479">
        <f>+HVAC!I19</f>
        <v>16125</v>
      </c>
      <c r="G20" s="479">
        <f t="shared" si="7"/>
        <v>16125</v>
      </c>
      <c r="H20" s="479">
        <f>IFERROR( _xlfn.XLOOKUP(TabsSummary[[#This Row],[Index]], Contract_Edits[Index],Contract_Edits[Dep]),149)</f>
        <v>167</v>
      </c>
      <c r="I20" s="483"/>
      <c r="J20" s="478">
        <v>911</v>
      </c>
      <c r="K20" s="483"/>
      <c r="L20" s="484"/>
      <c r="M20" s="481">
        <v>0</v>
      </c>
      <c r="N20" s="484"/>
      <c r="O20" s="485"/>
      <c r="P20" s="500" t="str">
        <f>IFERROR(_xlfn.XLOOKUP(TabsSummary[[#This Row],[Index]], Contract_Edits[Index], Contract_Edits[Done],), "No")</f>
        <v>No</v>
      </c>
      <c r="Q20" s="500">
        <f>IFERROR(_xlfn.XLOOKUP(TabsSummary[[#This Row],[Index]], Contract_Edits[Index], Contract_Edits[Paid],), 0)</f>
        <v>0</v>
      </c>
      <c r="R20" s="500"/>
      <c r="S20" s="484"/>
      <c r="T20" s="481">
        <f>IFERROR(_xlfn.XLOOKUP(TabsSummary[[#This Row],[Index]], Contract_Edits[Index], Contract_Edits[Group]), 1)</f>
        <v>1</v>
      </c>
      <c r="U20" s="484"/>
      <c r="V20" s="481">
        <f>IFERROR(_xlfn.XLOOKUP(TabsSummary[[#This Row],[Index]], Contract_Edits[Index], Contract_Edits[Order]), "")</f>
        <v>155.01009999999999</v>
      </c>
      <c r="W20" s="485"/>
      <c r="X20" s="485"/>
      <c r="Y20" s="484"/>
      <c r="Z20" s="501" t="str">
        <f>_xlfn.XLOOKUP(TabsSummary[[#This Row],[Index]], Contract_Edits[Index], Contract_Edits[Approve])</f>
        <v>Yes</v>
      </c>
      <c r="AA20" s="560"/>
      <c r="AB20" s="501"/>
      <c r="AC20" s="501"/>
      <c r="AD20" s="501"/>
      <c r="AE20" s="35"/>
      <c r="AF20" s="35" t="str">
        <f>IFERROR(+IF('Gnatt Chart'!AF$24=#REF!,Milestone_Marker,IF(AND('Gnatt Chart'!AF$24&gt;#REF!,'Gnatt Chart'!AF$24&lt;#REF!+#REF!),#REF!,"")),"")</f>
        <v/>
      </c>
      <c r="AG20" s="35"/>
      <c r="AH20" s="35"/>
      <c r="AI20" s="35"/>
      <c r="AJ20" s="35"/>
      <c r="AK20" s="35"/>
      <c r="AL20" s="504"/>
      <c r="AM20" s="504"/>
      <c r="AN20" s="504"/>
      <c r="AO20" s="504"/>
      <c r="AP20" s="35"/>
      <c r="AQ20" s="35"/>
      <c r="AR20" s="35"/>
      <c r="AS20" s="35" t="str">
        <f>IFERROR(+IF(#REF!=#REF!,Milestone_Marker,IF(AND(#REF!&gt;#REF!,#REF!&lt;#REF!+#REF!),#REF!,"")),"")</f>
        <v/>
      </c>
      <c r="AT20" s="35" t="str">
        <f>IFERROR(+IF(#REF!=#REF!,Milestone_Marker,IF(AND(#REF!&gt;#REF!,#REF!&lt;#REF!+#REF!),#REF!,"")),"")</f>
        <v/>
      </c>
      <c r="AU20" s="35" t="str">
        <f>IFERROR(+IF(AO$24=#REF!,Milestone_Marker,IF(AND(AO$24&gt;#REF!,AO$24&lt;#REF!+#REF!),#REF!,"")),"")</f>
        <v/>
      </c>
      <c r="AX20" s="34"/>
      <c r="AY20" s="34"/>
      <c r="AZ20" s="34"/>
      <c r="BA20" s="34"/>
      <c r="BB20" s="34"/>
      <c r="BC20" s="34"/>
      <c r="BD20" s="34"/>
      <c r="BE20" s="34"/>
      <c r="BF20" s="34"/>
      <c r="BG20" s="34"/>
      <c r="BH20" s="34"/>
      <c r="BI20" s="34"/>
      <c r="BJ20" s="34"/>
      <c r="BK20" s="34"/>
      <c r="BL20" s="34"/>
      <c r="BM20" s="34"/>
      <c r="BN20" s="34"/>
      <c r="BO20" s="34"/>
      <c r="BV20" s="35" t="str">
        <f>IFERROR(IF(LEN(#REF!)=0,"",IF(#REF!=#REF!,Milestone_Marker_Old,"")),"")</f>
        <v/>
      </c>
      <c r="BW20" s="35" t="str">
        <f>IFERROR(IF(LEN(#REF!)=0,"",IF(#REF!=#REF!,Milestone_Marker_Old,"")),"")</f>
        <v/>
      </c>
      <c r="BX20" s="35" t="str">
        <f>IFERROR(IF(LEN(#REF!)=0,"",IF(#REF!=#REF!,Milestone_Marker_Old,"")),"")</f>
        <v/>
      </c>
      <c r="BY20" s="35" t="str">
        <f>IFERROR(IF(LEN(#REF!)=0,"",IF(#REF!=#REF!,Milestone_Marker_Old,"")),"")</f>
        <v/>
      </c>
      <c r="BZ20" s="35" t="str">
        <f>IFERROR(IF(LEN(#REF!)=0,"",IF(#REF!=#REF!,Milestone_Marker_Old,"")),"")</f>
        <v/>
      </c>
      <c r="CA20" s="35" t="str">
        <f>IFERROR(IF(LEN(#REF!)=0,"",IF(#REF!=#REF!,Milestone_Marker_Old,"")),"")</f>
        <v/>
      </c>
      <c r="CB20" s="35" t="str">
        <f>IFERROR(IF(LEN(#REF!)=0,"",IF(#REF!=#REF!,Milestone_Marker_Old,"")),"")</f>
        <v/>
      </c>
      <c r="CC20" s="35" t="str">
        <f>IFERROR(IF(LEN(#REF!)=0,"",IF(AP$24=#REF!,Milestone_Marker_Old,"")),"")</f>
        <v/>
      </c>
      <c r="CD20" s="35" t="str">
        <f>IFERROR(IF(LEN(#REF!)=0,"",IF(#REF!=#REF!,Milestone_Marker_Old,"")),"")</f>
        <v/>
      </c>
      <c r="CE20" s="35" t="str">
        <f>IFERROR(IF(LEN(#REF!)=0,"",IF(#REF!=#REF!,Milestone_Marker_Old,"")),"")</f>
        <v/>
      </c>
      <c r="CF20" s="35" t="str">
        <f>IFERROR(IF(LEN(#REF!)=0,"",IF(#REF!=#REF!,Milestone_Marker_Old,"")),"")</f>
        <v/>
      </c>
      <c r="CG20" s="35" t="str">
        <f>IFERROR(IF(LEN(#REF!)=0,"",IF(#REF!=#REF!,Milestone_Marker_Old,"")),"")</f>
        <v/>
      </c>
      <c r="CH20" s="35" t="str">
        <f>IFERROR(IF(LEN(#REF!)=0,"",IF('Gnatt Chart'!AF$24=#REF!,Milestone_Marker_Old,"")),"")</f>
        <v/>
      </c>
      <c r="CI20" s="35" t="str">
        <f>IFERROR(IF(LEN(#REF!)=0,"",IF(#REF!=#REF!,Milestone_Marker_Old,"")),"")</f>
        <v/>
      </c>
      <c r="CJ20" s="35" t="str">
        <f>IFERROR(IF(LEN(#REF!)=0,"",IF(#REF!=#REF!,Milestone_Marker_Old,"")),"")</f>
        <v/>
      </c>
      <c r="CK20" s="35" t="str">
        <f>IFERROR(IF(LEN(#REF!)=0,"",IF(AO$24=#REF!,Milestone_Marker_Old,"")),"")</f>
        <v/>
      </c>
      <c r="CL20" s="35" t="str">
        <f>IFERROR(IF(LEN(#REF!)=0,"",IF(#REF!=#REF!,Milestone_Marker_Old,"")),"")</f>
        <v/>
      </c>
      <c r="CM20" s="35" t="str">
        <f>IFERROR(IF(LEN(#REF!)=0,"",IF(AQ$24=#REF!,Milestone_Marker_Old,"")),"")</f>
        <v/>
      </c>
      <c r="CN20" s="35" t="str">
        <f>IFERROR(IF(LEN(#REF!)=0,"",IF(AR$24=#REF!,Milestone_Marker_Old,"")),"")</f>
        <v/>
      </c>
      <c r="CO20" s="35" t="str">
        <f>IFERROR(IF(LEN(#REF!)=0,"",IF(AS$24=#REF!,Milestone_Marker_Old,"")),"")</f>
        <v/>
      </c>
      <c r="CP20" s="35" t="str">
        <f>IFERROR(IF(LEN(#REF!)=0,"",IF(AT$24=#REF!,Milestone_Marker_Old,"")),"")</f>
        <v/>
      </c>
      <c r="CQ20" s="35" t="str">
        <f>IFERROR(IF(LEN(#REF!)=0,"",IF(AU$24=#REF!,Milestone_Marker_Old,"")),"")</f>
        <v/>
      </c>
      <c r="CR20" s="35" t="str">
        <f>IFERROR(IF(LEN(#REF!)=0,"",IF(AV$24=#REF!,Milestone_Marker_Old,"")),"")</f>
        <v/>
      </c>
      <c r="CS20" s="35" t="str">
        <f>IFERROR(IF(LEN(#REF!)=0,"",IF(AW$24=#REF!,Milestone_Marker_Old,"")),"")</f>
        <v/>
      </c>
      <c r="CT20" s="35" t="str">
        <f>IFERROR(IF(LEN(#REF!)=0,"",IF(AX$24=#REF!,Milestone_Marker_Old,"")),"")</f>
        <v/>
      </c>
      <c r="CU20" s="35" t="str">
        <f>IFERROR(IF(LEN(#REF!)=0,"",IF(AY$24=#REF!,Milestone_Marker_Old,"")),"")</f>
        <v/>
      </c>
      <c r="CV20" s="35" t="str">
        <f>IFERROR(IF(LEN(#REF!)=0,"",IF(AZ$24=#REF!,Milestone_Marker_Old,"")),"")</f>
        <v/>
      </c>
      <c r="CW20" s="35" t="str">
        <f>IFERROR(IF(LEN(#REF!)=0,"",IF(BA$24=#REF!,Milestone_Marker_Old,"")),"")</f>
        <v/>
      </c>
      <c r="CX20" s="35" t="str">
        <f>IFERROR(IF(LEN(#REF!)=0,"",IF(BB$24=#REF!,Milestone_Marker_Old,"")),"")</f>
        <v/>
      </c>
      <c r="CY20" s="35" t="str">
        <f>IFERROR(IF(LEN(#REF!)=0,"",IF(BC$24=#REF!,Milestone_Marker_Old,"")),"")</f>
        <v/>
      </c>
      <c r="CZ20" s="35" t="str">
        <f>IFERROR(IF(LEN(#REF!)=0,"",IF(BD$24=#REF!,Milestone_Marker_Old,"")),"")</f>
        <v/>
      </c>
      <c r="DA20" s="35" t="str">
        <f>IFERROR(IF(LEN(#REF!)=0,"",IF(BE$24=#REF!,Milestone_Marker_Old,"")),"")</f>
        <v/>
      </c>
      <c r="DB20" s="35" t="str">
        <f>IFERROR(IF(LEN(#REF!)=0,"",IF(BF$24=#REF!,Milestone_Marker_Old,"")),"")</f>
        <v/>
      </c>
      <c r="DC20" s="35" t="str">
        <f>IFERROR(IF(LEN(#REF!)=0,"",IF(BG$24=#REF!,Milestone_Marker_Old,"")),"")</f>
        <v/>
      </c>
      <c r="DD20" s="35" t="str">
        <f>IFERROR(IF(LEN(#REF!)=0,"",IF(BH$24=#REF!,Milestone_Marker_Old,"")),"")</f>
        <v/>
      </c>
      <c r="DE20" s="35" t="str">
        <f>IFERROR(IF(LEN(#REF!)=0,"",IF(BI$24=#REF!,Milestone_Marker_Old,"")),"")</f>
        <v/>
      </c>
      <c r="DF20" s="35" t="str">
        <f>IFERROR(IF(LEN(#REF!)=0,"",IF(BJ$24=#REF!,Milestone_Marker_Old,"")),"")</f>
        <v/>
      </c>
      <c r="DG20" s="35" t="str">
        <f>IFERROR(IF(LEN(#REF!)=0,"",IF(BK$24=#REF!,Milestone_Marker_Old,"")),"")</f>
        <v/>
      </c>
      <c r="DH20" s="35" t="str">
        <f>IFERROR(IF(LEN(#REF!)=0,"",IF(BL$24=#REF!,Milestone_Marker_Old,"")),"")</f>
        <v/>
      </c>
      <c r="DI20" s="35" t="str">
        <f>IFERROR(IF(LEN(#REF!)=0,"",IF(BM$24=#REF!,Milestone_Marker_Old,"")),"")</f>
        <v/>
      </c>
      <c r="DJ20" s="35" t="str">
        <f>IFERROR(IF(LEN(#REF!)=0,"",IF(BN$24=#REF!,Milestone_Marker_Old,"")),"")</f>
        <v/>
      </c>
      <c r="DK20" s="35" t="str">
        <f>IFERROR(IF(LEN(#REF!)=0,"",IF(BO$24=#REF!,Milestone_Marker_Old,"")),"")</f>
        <v/>
      </c>
      <c r="DL20" s="35" t="str">
        <f>IFERROR(IF(LEN(#REF!)=0,"",IF(BP$24=#REF!,Milestone_Marker_Old,"")),"")</f>
        <v/>
      </c>
      <c r="DM20" s="35" t="str">
        <f>IFERROR(IF(LEN(#REF!)=0,"",IF(BQ$24=#REF!,Milestone_Marker_Old,"")),"")</f>
        <v/>
      </c>
      <c r="DN20" s="35" t="str">
        <f>IFERROR(IF(LEN(#REF!)=0,"",IF(BR$24=#REF!,Milestone_Marker_Old,"")),"")</f>
        <v/>
      </c>
      <c r="DO20" s="35" t="str">
        <f>IFERROR(IF(LEN(#REF!)=0,"",IF(BS$24=#REF!,Milestone_Marker_Old,"")),"")</f>
        <v/>
      </c>
      <c r="DP20" s="35" t="str">
        <f>IFERROR(IF(LEN(#REF!)=0,"",IF(BT$24=#REF!,Milestone_Marker_Old,"")),"")</f>
        <v/>
      </c>
      <c r="DQ20" s="35" t="str">
        <f>IFERROR(IF(LEN(#REF!)=0,"",IF(BU$24=#REF!,Milestone_Marker_Old,"")),"")</f>
        <v/>
      </c>
      <c r="DR20" s="35" t="str">
        <f>IFERROR(IF(LEN(#REF!)=0,"",IF(BV$24=#REF!,Milestone_Marker_Old,"")),"")</f>
        <v/>
      </c>
      <c r="DS20" s="35" t="str">
        <f>IFERROR(IF(LEN(#REF!)=0,"",IF(BW$24=#REF!,Milestone_Marker_Old,"")),"")</f>
        <v/>
      </c>
      <c r="DT20" s="35" t="str">
        <f>IFERROR(IF(LEN(#REF!)=0,"",IF(BX$24=#REF!,Milestone_Marker_Old,"")),"")</f>
        <v/>
      </c>
      <c r="DU20" s="35" t="str">
        <f>IFERROR(IF(LEN(#REF!)=0,"",IF(BY$24=#REF!,Milestone_Marker_Old,"")),"")</f>
        <v/>
      </c>
      <c r="DV20" s="35" t="str">
        <f>IFERROR(IF(LEN(#REF!)=0,"",IF(BZ$24=#REF!,Milestone_Marker_Old,"")),"")</f>
        <v/>
      </c>
      <c r="DW20" s="35" t="str">
        <f>IFERROR(IF(LEN(#REF!)=0,"",IF(CA$24=#REF!,Milestone_Marker_Old,"")),"")</f>
        <v/>
      </c>
      <c r="DX20" s="35" t="str">
        <f>IFERROR(IF(LEN(#REF!)=0,"",IF(CB$24=#REF!,Milestone_Marker_Old,"")),"")</f>
        <v/>
      </c>
      <c r="DY20" s="35" t="str">
        <f>IFERROR(IF(LEN(#REF!)=0,"",IF(CC$24=#REF!,Milestone_Marker_Old,"")),"")</f>
        <v/>
      </c>
      <c r="DZ20" s="35" t="str">
        <f>IFERROR(IF(LEN(#REF!)=0,"",IF(CD$24=#REF!,Milestone_Marker_Old,"")),"")</f>
        <v/>
      </c>
      <c r="EA20" s="35" t="str">
        <f>IFERROR(IF(LEN(#REF!)=0,"",IF(CE$24=#REF!,Milestone_Marker_Old,"")),"")</f>
        <v/>
      </c>
      <c r="EB20" s="35" t="str">
        <f>IFERROR(IF(LEN(#REF!)=0,"",IF(CF$24=#REF!,Milestone_Marker_Old,"")),"")</f>
        <v/>
      </c>
      <c r="EC20" s="35" t="str">
        <f>IFERROR(IF(LEN(#REF!)=0,"",IF(CG$24=#REF!,Milestone_Marker_Old,"")),"")</f>
        <v/>
      </c>
      <c r="ED20" s="35" t="str">
        <f>IFERROR(IF(LEN(#REF!)=0,"",IF(CH$24=#REF!,Milestone_Marker_Old,"")),"")</f>
        <v/>
      </c>
      <c r="EE20" s="35" t="str">
        <f>IFERROR(IF(LEN(#REF!)=0,"",IF(CI$24=#REF!,Milestone_Marker_Old,"")),"")</f>
        <v/>
      </c>
      <c r="EF20" s="35" t="str">
        <f>IFERROR(IF(LEN(#REF!)=0,"",IF(CJ$24=#REF!,Milestone_Marker_Old,"")),"")</f>
        <v/>
      </c>
      <c r="EG20" s="35" t="str">
        <f>IFERROR(IF(LEN(#REF!)=0,"",IF(CK$24=#REF!,Milestone_Marker_Old,"")),"")</f>
        <v/>
      </c>
      <c r="EH20" s="35" t="str">
        <f>IFERROR(IF(LEN(#REF!)=0,"",IF(CL$24=#REF!,Milestone_Marker_Old,"")),"")</f>
        <v/>
      </c>
      <c r="EI20" s="35" t="str">
        <f>IFERROR(IF(LEN(#REF!)=0,"",IF(CM$24=#REF!,Milestone_Marker_Old,"")),"")</f>
        <v/>
      </c>
      <c r="EJ20" s="35" t="str">
        <f>IFERROR(IF(LEN(#REF!)=0,"",IF(CN$24=#REF!,Milestone_Marker_Old,"")),"")</f>
        <v/>
      </c>
      <c r="EK20" s="35" t="str">
        <f>IFERROR(IF(LEN(#REF!)=0,"",IF(CO$24=#REF!,Milestone_Marker_Old,"")),"")</f>
        <v/>
      </c>
      <c r="EL20" s="35" t="str">
        <f>IFERROR(IF(LEN(#REF!)=0,"",IF(CP$24=#REF!,Milestone_Marker_Old,"")),"")</f>
        <v/>
      </c>
      <c r="EM20" s="35" t="str">
        <f>IFERROR(IF(LEN(#REF!)=0,"",IF(CQ$24=#REF!,Milestone_Marker_Old,"")),"")</f>
        <v/>
      </c>
      <c r="EN20" s="35" t="str">
        <f>IFERROR(IF(LEN(#REF!)=0,"",IF(CR$24=#REF!,Milestone_Marker_Old,"")),"")</f>
        <v/>
      </c>
      <c r="EO20" s="35" t="str">
        <f>IFERROR(IF(LEN(#REF!)=0,"",IF(CS$24=#REF!,Milestone_Marker_Old,"")),"")</f>
        <v/>
      </c>
      <c r="EP20" s="35" t="str">
        <f>IFERROR(IF(LEN(#REF!)=0,"",IF(CT$24=#REF!,Milestone_Marker_Old,"")),"")</f>
        <v/>
      </c>
      <c r="EQ20" s="35" t="str">
        <f>IFERROR(IF(LEN(#REF!)=0,"",IF(CU$24=#REF!,Milestone_Marker_Old,"")),"")</f>
        <v/>
      </c>
      <c r="ER20" s="35" t="str">
        <f>IFERROR(IF(LEN(#REF!)=0,"",IF(CV$24=#REF!,Milestone_Marker_Old,"")),"")</f>
        <v/>
      </c>
      <c r="ES20" s="35" t="str">
        <f>IFERROR(IF(LEN(#REF!)=0,"",IF(CW$24=#REF!,Milestone_Marker_Old,"")),"")</f>
        <v/>
      </c>
      <c r="ET20" s="35" t="str">
        <f>IFERROR(IF(LEN(#REF!)=0,"",IF(CX$24=#REF!,Milestone_Marker_Old,"")),"")</f>
        <v/>
      </c>
      <c r="EU20" s="35" t="str">
        <f>IFERROR(IF(LEN(#REF!)=0,"",IF(CY$24=#REF!,Milestone_Marker_Old,"")),"")</f>
        <v/>
      </c>
      <c r="EV20" s="35" t="str">
        <f>IFERROR(IF(LEN(#REF!)=0,"",IF(CZ$24=#REF!,Milestone_Marker_Old,"")),"")</f>
        <v/>
      </c>
      <c r="EW20" s="35" t="str">
        <f>IFERROR(IF(LEN(#REF!)=0,"",IF(DA$24=#REF!,Milestone_Marker_Old,"")),"")</f>
        <v/>
      </c>
      <c r="EX20" s="35" t="str">
        <f>IFERROR(IF(LEN(#REF!)=0,"",IF(DB$24=#REF!,Milestone_Marker_Old,"")),"")</f>
        <v/>
      </c>
      <c r="EY20" s="35" t="str">
        <f>IFERROR(IF(LEN(#REF!)=0,"",IF(DC$24=#REF!,Milestone_Marker_Old,"")),"")</f>
        <v/>
      </c>
      <c r="EZ20" s="35" t="str">
        <f>IFERROR(IF(LEN(#REF!)=0,"",IF(DD$24=#REF!,Milestone_Marker_Old,"")),"")</f>
        <v/>
      </c>
      <c r="FA20" s="35" t="str">
        <f>IFERROR(IF(LEN(#REF!)=0,"",IF(DE$24=#REF!,Milestone_Marker_Old,"")),"")</f>
        <v/>
      </c>
    </row>
    <row r="21" spans="1:157" s="40" customFormat="1" ht="20.100000000000001" customHeight="1">
      <c r="A21" s="477" t="s">
        <v>806</v>
      </c>
      <c r="B21" t="s">
        <v>517</v>
      </c>
      <c r="C21" s="477" t="s">
        <v>1396</v>
      </c>
      <c r="D21" s="554" t="s">
        <v>1397</v>
      </c>
      <c r="E21" s="555">
        <v>1</v>
      </c>
      <c r="F21" s="539">
        <f>+Smart!K106</f>
        <v>11963.1369</v>
      </c>
      <c r="G21" s="479">
        <f t="shared" si="7"/>
        <v>11963.1369</v>
      </c>
      <c r="H21" s="479">
        <f>IFERROR( _xlfn.XLOOKUP(TabsSummary[[#This Row],[Index]], Contract_Edits[Index],Contract_Edits[Dep]),149)</f>
        <v>158</v>
      </c>
      <c r="I21" s="483"/>
      <c r="J21" s="540">
        <v>914</v>
      </c>
      <c r="K21" s="483"/>
      <c r="L21" s="484"/>
      <c r="M21" s="481">
        <v>2</v>
      </c>
      <c r="N21" s="484"/>
      <c r="O21" s="485"/>
      <c r="P21" s="541" t="s">
        <v>797</v>
      </c>
      <c r="Q21" s="542"/>
      <c r="R21" s="500"/>
      <c r="S21" s="484"/>
      <c r="T21" s="484"/>
      <c r="U21" s="484"/>
      <c r="V21" s="481">
        <f>IFERROR(_xlfn.XLOOKUP(TabsSummary[[#This Row],[Index]], Contract_Edits[Index], Contract_Edits[Order]), "")</f>
        <v>75.030600000000007</v>
      </c>
      <c r="W21" s="485"/>
      <c r="X21" s="485"/>
      <c r="Y21" s="484"/>
      <c r="Z21" s="501" t="str">
        <f>_xlfn.XLOOKUP(TabsSummary[[#This Row],[Index]], Contract_Edits[Index], Contract_Edits[Approve])</f>
        <v>Yes</v>
      </c>
      <c r="AA21" s="560"/>
      <c r="AB21" s="501"/>
      <c r="AC21" s="501"/>
      <c r="AD21" s="501"/>
      <c r="AE21" s="35"/>
      <c r="AF21" s="35"/>
      <c r="AG21" s="35"/>
      <c r="AH21" s="35"/>
      <c r="AI21" s="35"/>
      <c r="AJ21" s="35"/>
      <c r="AK21" s="35"/>
      <c r="AL21" s="504"/>
      <c r="AM21" s="504"/>
      <c r="AN21" s="504"/>
      <c r="AO21" s="504"/>
      <c r="AP21" s="35"/>
      <c r="AQ21" s="35"/>
      <c r="AR21" s="35"/>
      <c r="AS21" s="35"/>
      <c r="AT21" s="35"/>
      <c r="AU21" s="35"/>
      <c r="AX21" s="34"/>
      <c r="AY21" s="34"/>
      <c r="AZ21" s="34"/>
      <c r="BA21" s="34"/>
      <c r="BB21" s="34"/>
      <c r="BC21" s="34"/>
      <c r="BD21" s="34"/>
      <c r="BE21" s="34"/>
      <c r="BF21" s="34"/>
      <c r="BG21" s="34"/>
      <c r="BH21" s="34"/>
      <c r="BI21" s="34"/>
      <c r="BJ21" s="34"/>
      <c r="BK21" s="34"/>
      <c r="BL21" s="34"/>
      <c r="BM21" s="34"/>
      <c r="BN21" s="34"/>
      <c r="BO21" s="34"/>
      <c r="BV21" s="35"/>
      <c r="BW21" s="35"/>
      <c r="BX21" s="35"/>
      <c r="BY21" s="35"/>
      <c r="BZ21" s="35"/>
      <c r="CA21" s="35"/>
      <c r="CB21" s="35"/>
      <c r="CC21" s="35"/>
      <c r="CD21" s="35"/>
      <c r="CE21" s="35"/>
      <c r="CF21" s="35"/>
      <c r="CG21" s="35"/>
      <c r="CH21" s="35"/>
      <c r="CI21" s="35"/>
      <c r="CJ21" s="35"/>
      <c r="CK21" s="35"/>
      <c r="CL21" s="35"/>
      <c r="CM21" s="35"/>
      <c r="CN21" s="35"/>
      <c r="CO21" s="35"/>
      <c r="CP21" s="35"/>
      <c r="CQ21" s="35"/>
      <c r="CR21" s="35"/>
      <c r="CS21" s="35"/>
      <c r="CT21" s="35"/>
      <c r="CU21" s="35"/>
      <c r="CV21" s="35"/>
      <c r="CW21" s="35"/>
      <c r="CX21" s="35"/>
      <c r="CY21" s="35"/>
      <c r="CZ21" s="35"/>
      <c r="DA21" s="35"/>
      <c r="DB21" s="35"/>
      <c r="DC21" s="35"/>
      <c r="DD21" s="35"/>
      <c r="DE21" s="35"/>
      <c r="DF21" s="35"/>
      <c r="DG21" s="35"/>
      <c r="DH21" s="35"/>
      <c r="DI21" s="35"/>
      <c r="DJ21" s="35"/>
      <c r="DK21" s="35"/>
      <c r="DL21" s="35"/>
      <c r="DM21" s="35"/>
      <c r="DN21" s="35"/>
      <c r="DO21" s="35"/>
      <c r="DP21" s="35"/>
      <c r="DQ21" s="35"/>
      <c r="DR21" s="35"/>
      <c r="DS21" s="35"/>
      <c r="DT21" s="35"/>
      <c r="DU21" s="35"/>
      <c r="DV21" s="35"/>
      <c r="DW21" s="35"/>
      <c r="DX21" s="35"/>
      <c r="DY21" s="35"/>
      <c r="DZ21" s="35"/>
      <c r="EA21" s="35"/>
      <c r="EB21" s="35"/>
      <c r="EC21" s="35"/>
      <c r="ED21" s="35"/>
      <c r="EE21" s="35"/>
      <c r="EF21" s="35"/>
      <c r="EG21" s="35"/>
      <c r="EH21" s="35"/>
      <c r="EI21" s="35"/>
      <c r="EJ21" s="35"/>
      <c r="EK21" s="35"/>
      <c r="EL21" s="35"/>
      <c r="EM21" s="35"/>
      <c r="EN21" s="35"/>
      <c r="EO21" s="35"/>
      <c r="EP21" s="35"/>
      <c r="EQ21" s="35"/>
      <c r="ER21" s="35"/>
      <c r="ES21" s="35"/>
      <c r="ET21" s="35"/>
      <c r="EU21" s="35"/>
      <c r="EV21" s="35"/>
      <c r="EW21" s="35"/>
      <c r="EX21" s="35"/>
      <c r="EY21" s="35"/>
      <c r="EZ21" s="35"/>
      <c r="FA21" s="35"/>
    </row>
    <row r="22" spans="1:157" s="40" customFormat="1" ht="20.100000000000001" customHeight="1">
      <c r="A22" s="477" t="s">
        <v>806</v>
      </c>
      <c r="B22" t="s">
        <v>517</v>
      </c>
      <c r="C22" s="477" t="s">
        <v>553</v>
      </c>
      <c r="D22" s="554" t="s">
        <v>848</v>
      </c>
      <c r="E22" s="555">
        <v>1</v>
      </c>
      <c r="F22" s="479">
        <f>+Lumber!L105</f>
        <v>3259.8649297500006</v>
      </c>
      <c r="G22" s="479">
        <f t="shared" si="7"/>
        <v>3259.8649297500006</v>
      </c>
      <c r="H22" s="479">
        <f>IFERROR( _xlfn.XLOOKUP(TabsSummary[[#This Row],[Index]], Contract_Edits[Index],Contract_Edits[Dep]),149)</f>
        <v>155</v>
      </c>
      <c r="I22" s="483"/>
      <c r="J22" s="478">
        <v>912</v>
      </c>
      <c r="K22" s="483"/>
      <c r="L22" s="484"/>
      <c r="M22" s="481">
        <v>0</v>
      </c>
      <c r="N22" s="484"/>
      <c r="O22" s="485"/>
      <c r="P22" s="500" t="str">
        <f>IFERROR(_xlfn.XLOOKUP(TabsSummary[[#This Row],[Index]], Contract_Edits[Index], Contract_Edits[Done],), "No")</f>
        <v>No</v>
      </c>
      <c r="Q22" s="500">
        <f>IFERROR(_xlfn.XLOOKUP(TabsSummary[[#This Row],[Index]], Contract_Edits[Index], Contract_Edits[Paid],), 0)</f>
        <v>0</v>
      </c>
      <c r="R22" s="500"/>
      <c r="S22" s="484"/>
      <c r="T22" s="481">
        <f>IFERROR(_xlfn.XLOOKUP(TabsSummary[[#This Row],[Index]], Contract_Edits[Index], Contract_Edits[Group]), 1)</f>
        <v>1</v>
      </c>
      <c r="U22" s="484"/>
      <c r="V22" s="481">
        <f>IFERROR(_xlfn.XLOOKUP(TabsSummary[[#This Row],[Index]], Contract_Edits[Index], Contract_Edits[Order]), "")</f>
        <v>65.010100000000008</v>
      </c>
      <c r="W22" s="485"/>
      <c r="X22" s="485"/>
      <c r="Y22" s="484"/>
      <c r="Z22" s="501" t="str">
        <f>_xlfn.XLOOKUP(TabsSummary[[#This Row],[Index]], Contract_Edits[Index], Contract_Edits[Approve])</f>
        <v>Yes</v>
      </c>
      <c r="AA22" s="560"/>
      <c r="AB22" s="501"/>
      <c r="AC22" s="501"/>
      <c r="AD22" s="501"/>
      <c r="AE22" s="35"/>
      <c r="AF22" s="35" t="str">
        <f>IFERROR(+IF('Gnatt Chart'!AF$24=#REF!,Milestone_Marker,IF(AND('Gnatt Chart'!AF$24&gt;#REF!,'Gnatt Chart'!AF$24&lt;#REF!+#REF!),#REF!,"")),"")</f>
        <v/>
      </c>
      <c r="AG22" s="35"/>
      <c r="AH22" s="35"/>
      <c r="AI22" s="35"/>
      <c r="AJ22" s="35"/>
      <c r="AK22" s="35"/>
      <c r="AL22" s="504"/>
      <c r="AM22" s="504"/>
      <c r="AN22" s="504"/>
      <c r="AO22" s="504"/>
      <c r="AP22" s="35"/>
      <c r="AQ22" s="35"/>
      <c r="AR22" s="35"/>
      <c r="AS22" s="35" t="str">
        <f>IFERROR(+IF(#REF!=#REF!,Milestone_Marker,IF(AND(#REF!&gt;#REF!,#REF!&lt;#REF!+#REF!),#REF!,"")),"")</f>
        <v/>
      </c>
      <c r="AT22" s="35" t="str">
        <f>IFERROR(+IF(#REF!=#REF!,Milestone_Marker,IF(AND(#REF!&gt;#REF!,#REF!&lt;#REF!+#REF!),#REF!,"")),"")</f>
        <v/>
      </c>
      <c r="AU22" s="35" t="str">
        <f>IFERROR(+IF(AO$24=#REF!,Milestone_Marker,IF(AND(AO$24&gt;#REF!,AO$24&lt;#REF!+#REF!),#REF!,"")),"")</f>
        <v/>
      </c>
      <c r="AX22" s="34"/>
      <c r="AY22" s="34"/>
      <c r="AZ22" s="34"/>
      <c r="BA22" s="34"/>
      <c r="BB22" s="34"/>
      <c r="BC22" s="34"/>
      <c r="BD22" s="34"/>
      <c r="BE22" s="34"/>
      <c r="BF22" s="34"/>
      <c r="BG22" s="34"/>
      <c r="BH22" s="34"/>
      <c r="BI22" s="34"/>
      <c r="BJ22" s="34"/>
      <c r="BK22" s="34"/>
      <c r="BL22" s="34"/>
      <c r="BM22" s="34"/>
      <c r="BN22" s="34"/>
      <c r="BO22" s="34"/>
      <c r="BV22" s="35"/>
      <c r="BW22" s="35"/>
      <c r="BX22" s="35"/>
      <c r="BY22" s="35"/>
      <c r="BZ22" s="35"/>
      <c r="CA22" s="35"/>
      <c r="CB22" s="35"/>
      <c r="CC22" s="35"/>
      <c r="CD22" s="35"/>
      <c r="CE22" s="35"/>
      <c r="CF22" s="35"/>
      <c r="CG22" s="35"/>
      <c r="CH22" s="35"/>
      <c r="CI22" s="35"/>
      <c r="CJ22" s="35"/>
      <c r="CK22" s="35"/>
      <c r="CL22" s="35"/>
      <c r="CM22" s="35"/>
      <c r="CN22" s="35"/>
      <c r="CO22" s="35"/>
      <c r="CP22" s="35"/>
      <c r="CQ22" s="35"/>
      <c r="CR22" s="35"/>
      <c r="CS22" s="35"/>
      <c r="CT22" s="35"/>
      <c r="CU22" s="35"/>
      <c r="CV22" s="35"/>
      <c r="CW22" s="35"/>
      <c r="CX22" s="35"/>
      <c r="CY22" s="35"/>
      <c r="CZ22" s="35"/>
      <c r="DA22" s="35"/>
      <c r="DB22" s="35"/>
      <c r="DC22" s="35"/>
      <c r="DD22" s="35"/>
      <c r="DE22" s="35"/>
      <c r="DF22" s="35"/>
      <c r="DG22" s="35"/>
      <c r="DH22" s="35"/>
      <c r="DI22" s="35"/>
      <c r="DJ22" s="35"/>
      <c r="DK22" s="35"/>
      <c r="DL22" s="35"/>
      <c r="DM22" s="35"/>
      <c r="DN22" s="35"/>
      <c r="DO22" s="35"/>
      <c r="DP22" s="35"/>
      <c r="DQ22" s="35"/>
      <c r="DR22" s="35"/>
      <c r="DS22" s="35"/>
      <c r="DT22" s="35"/>
      <c r="DU22" s="35"/>
      <c r="DV22" s="35"/>
      <c r="DW22" s="35"/>
      <c r="DX22" s="35"/>
      <c r="DY22" s="35"/>
      <c r="DZ22" s="35"/>
      <c r="EA22" s="35"/>
      <c r="EB22" s="35"/>
      <c r="EC22" s="35"/>
      <c r="ED22" s="35"/>
      <c r="EE22" s="35"/>
      <c r="EF22" s="35"/>
      <c r="EG22" s="35"/>
      <c r="EH22" s="35"/>
      <c r="EI22" s="35"/>
      <c r="EJ22" s="35"/>
      <c r="EK22" s="35"/>
      <c r="EL22" s="35"/>
      <c r="EM22" s="35"/>
      <c r="EN22" s="35"/>
      <c r="EO22" s="35"/>
      <c r="EP22" s="35"/>
      <c r="EQ22" s="35"/>
      <c r="ER22" s="35"/>
      <c r="ES22" s="35"/>
      <c r="ET22" s="35"/>
      <c r="EU22" s="35"/>
      <c r="EV22" s="35"/>
      <c r="EW22" s="35"/>
      <c r="EX22" s="35"/>
      <c r="EY22" s="35"/>
      <c r="EZ22" s="35"/>
      <c r="FA22" s="35"/>
    </row>
    <row r="23" spans="1:157" ht="20.100000000000001" customHeight="1" thickBot="1">
      <c r="A23" s="477" t="s">
        <v>806</v>
      </c>
      <c r="B23" t="s">
        <v>517</v>
      </c>
      <c r="C23" s="477" t="s">
        <v>849</v>
      </c>
      <c r="D23" s="554" t="s">
        <v>850</v>
      </c>
      <c r="E23" s="555">
        <v>0</v>
      </c>
      <c r="F23" s="479">
        <f>+Furnishing!G18</f>
        <v>0</v>
      </c>
      <c r="G23" s="479">
        <f t="shared" si="7"/>
        <v>0</v>
      </c>
      <c r="H23" s="479">
        <f>IFERROR( _xlfn.XLOOKUP(TabsSummary[[#This Row],[Index]], Contract_Edits[Index],Contract_Edits[Dep]),149)</f>
        <v>195</v>
      </c>
      <c r="I23" s="486"/>
      <c r="J23" s="478">
        <v>913</v>
      </c>
      <c r="K23" s="486"/>
      <c r="L23" s="487"/>
      <c r="M23" s="487">
        <f>IFERROR( _xlfn.XLOOKUP(#REF!, Contract_Edits[Index],#REF!), TabsSummary[[#This Row],[Group]])</f>
        <v>0</v>
      </c>
      <c r="N23" s="487"/>
      <c r="O23" s="488"/>
      <c r="P23" s="500">
        <f>IFERROR(_xlfn.XLOOKUP(TabsSummary[[#This Row],[Index]], Contract_Edits[Index], Contract_Edits[Done],), "No")</f>
        <v>0</v>
      </c>
      <c r="Q23" s="500">
        <f>IFERROR(_xlfn.XLOOKUP(TabsSummary[[#This Row],[Index]], Contract_Edits[Index], Contract_Edits[Paid],), 0)</f>
        <v>0</v>
      </c>
      <c r="R23" s="534"/>
      <c r="S23" s="487"/>
      <c r="T23" s="481">
        <f>IFERROR(_xlfn.XLOOKUP(TabsSummary[[#This Row],[Index]], Contract_Edits[Index], Contract_Edits[Group]), 1)</f>
        <v>0</v>
      </c>
      <c r="U23" s="487"/>
      <c r="V23" s="481">
        <f>IFERROR(_xlfn.XLOOKUP(TabsSummary[[#This Row],[Index]], Contract_Edits[Index], Contract_Edits[Order]), "")</f>
        <v>9999</v>
      </c>
      <c r="W23" s="488"/>
      <c r="X23" s="488"/>
      <c r="Y23" s="487"/>
      <c r="Z23" s="501" t="str">
        <f>_xlfn.XLOOKUP(TabsSummary[[#This Row],[Index]], Contract_Edits[Index], Contract_Edits[Approve])</f>
        <v>No</v>
      </c>
      <c r="AA23" s="561"/>
      <c r="AB23" s="502"/>
      <c r="AC23" s="502"/>
      <c r="AD23" s="502"/>
      <c r="AE23" s="190"/>
      <c r="AF23" s="35" t="str">
        <f>IFERROR(+IF('Gnatt Chart'!AF$24=#REF!,Milestone_Marker,IF(AND('Gnatt Chart'!AF$24&gt;#REF!,'Gnatt Chart'!AF$24&lt;#REF!+#REF!),#REF!,"")),"")</f>
        <v/>
      </c>
      <c r="AG23" s="35"/>
      <c r="AH23" s="35"/>
      <c r="AI23" s="35"/>
      <c r="AJ23" s="35"/>
      <c r="AK23" s="35"/>
      <c r="AL23" s="504"/>
      <c r="AM23" s="504"/>
      <c r="AN23" s="504"/>
      <c r="AO23" s="504"/>
      <c r="AP23" s="35"/>
      <c r="AQ23" s="35"/>
      <c r="AR23" s="35"/>
      <c r="AS23" s="35" t="str">
        <f>IFERROR(+IF(#REF!=#REF!,Milestone_Marker,IF(AND(#REF!&gt;#REF!,#REF!&lt;#REF!+#REF!),#REF!,"")),"")</f>
        <v/>
      </c>
      <c r="AT23" s="35" t="str">
        <f>IFERROR(+IF(#REF!=#REF!,Milestone_Marker,IF(AND(#REF!&gt;#REF!,#REF!&lt;#REF!+#REF!),#REF!,"")),"")</f>
        <v/>
      </c>
      <c r="AU23" s="35" t="str">
        <f>IFERROR(+IF(AO$24=#REF!,Milestone_Marker,IF(AND(AO$24&gt;#REF!,AO$24&lt;#REF!+#REF!),#REF!,"")),"")</f>
        <v/>
      </c>
      <c r="AV23" s="59"/>
      <c r="AW23" s="59"/>
      <c r="AX23" s="59"/>
      <c r="AY23" s="59"/>
      <c r="AZ23" s="59"/>
      <c r="BA23" s="59"/>
      <c r="BB23" s="59"/>
      <c r="BC23" s="59"/>
      <c r="BD23" s="59"/>
      <c r="BE23" s="59"/>
      <c r="BF23" s="59"/>
      <c r="BG23" s="46" t="str">
        <f ca="1">IF(TEXT(Project_Start,"mmmm")=TEXT(AP24,"mmmm"),"",TEXT(AP24,"mmmm"))</f>
        <v>November</v>
      </c>
      <c r="BH23" s="46" t="str">
        <f ca="1">IF(TEXT(AP24,"mmmm")=TEXT('Gnatt Chart'!AF24,"mmmm"),"",TEXT('Gnatt Chart'!AF24,"mmmm"))</f>
        <v>SiblingRank</v>
      </c>
      <c r="BI23" s="46" t="e">
        <f>IF(TEXT('Gnatt Chart'!AF24,"mmmm")=TEXT(#REF!,"mmmm"),"",TEXT(#REF!,"mmmm"))</f>
        <v>#REF!</v>
      </c>
      <c r="BJ23" s="46" t="e">
        <f>IF(TEXT(#REF!,"mmmm")=TEXT(#REF!,"mmmm"),"",TEXT(#REF!,"mmmm"))</f>
        <v>#REF!</v>
      </c>
      <c r="BK23" s="46" t="e">
        <f>IF(TEXT(#REF!,"mmmm")=TEXT(AO24,"mmmm"),"",TEXT(AO24,"mmmm"))</f>
        <v>#REF!</v>
      </c>
      <c r="BL23" s="46" t="e">
        <f>IF(TEXT(AO24,"mmmm")=TEXT(#REF!,"mmmm"),"",TEXT(#REF!,"mmmm"))</f>
        <v>#REF!</v>
      </c>
      <c r="BM23" s="46" t="e">
        <f ca="1">IF(TEXT(#REF!,"mmmm")=TEXT(AQ24,"mmmm"),"",TEXT(AQ24,"mmmm"))</f>
        <v>#REF!</v>
      </c>
      <c r="BN23" s="46" t="str">
        <f t="shared" ref="BN23:BS23" ca="1" si="8">IF(TEXT(AQ24,"mmmm")=TEXT(AR24,"mmmm"),"",TEXT(AR24,"mmmm"))</f>
        <v/>
      </c>
      <c r="BO23" s="46" t="str">
        <f t="shared" ca="1" si="8"/>
        <v/>
      </c>
      <c r="BP23" s="46" t="str">
        <f t="shared" ca="1" si="8"/>
        <v/>
      </c>
      <c r="BQ23" s="46" t="str">
        <f t="shared" ca="1" si="8"/>
        <v/>
      </c>
      <c r="BR23" s="46" t="str">
        <f t="shared" ca="1" si="8"/>
        <v/>
      </c>
      <c r="BS23" s="46" t="str">
        <f t="shared" ca="1" si="8"/>
        <v/>
      </c>
      <c r="BT23" s="46" t="e">
        <f>IF(TEXT('Gnatt Chart'!AF24,"mmmm")=TEXT(#REF!,"mmmm"),"",TEXT(#REF!,"mmmm"))</f>
        <v>#REF!</v>
      </c>
      <c r="BU23" s="46" t="e">
        <f>IF(TEXT(#REF!,"mmmm")=TEXT(#REF!,"mmmm"),"",TEXT(#REF!,"mmmm"))</f>
        <v>#REF!</v>
      </c>
      <c r="BV23" s="46" t="e">
        <f>IF(TEXT(#REF!,"mmmm")=TEXT(AO24,"mmmm"),"",TEXT(AO24,"mmmm"))</f>
        <v>#REF!</v>
      </c>
      <c r="BW23" s="46" t="e">
        <f>IF(TEXT(AO24,"mmmm")=TEXT(#REF!,"mmmm"),"",TEXT(#REF!,"mmmm"))</f>
        <v>#REF!</v>
      </c>
      <c r="BX23" s="46" t="e">
        <f ca="1">IF(TEXT(#REF!,"mmmm")=TEXT(AQ24,"mmmm"),"",TEXT(AQ24,"mmmm"))</f>
        <v>#REF!</v>
      </c>
      <c r="BY23" s="46" t="str">
        <f t="shared" ref="BY23:DD23" ca="1" si="9">IF(TEXT(AQ24,"mmmm")=TEXT(AR24,"mmmm"),"",TEXT(AR24,"mmmm"))</f>
        <v/>
      </c>
      <c r="BZ23" s="46" t="str">
        <f t="shared" ca="1" si="9"/>
        <v/>
      </c>
      <c r="CA23" s="46" t="str">
        <f t="shared" ca="1" si="9"/>
        <v/>
      </c>
      <c r="CB23" s="46" t="str">
        <f t="shared" ca="1" si="9"/>
        <v/>
      </c>
      <c r="CC23" s="46" t="str">
        <f t="shared" ca="1" si="9"/>
        <v/>
      </c>
      <c r="CD23" s="46" t="str">
        <f t="shared" ca="1" si="9"/>
        <v/>
      </c>
      <c r="CE23" s="46" t="str">
        <f t="shared" ca="1" si="9"/>
        <v/>
      </c>
      <c r="CF23" s="46" t="str">
        <f t="shared" ca="1" si="9"/>
        <v/>
      </c>
      <c r="CG23" s="46" t="str">
        <f t="shared" ca="1" si="9"/>
        <v/>
      </c>
      <c r="CH23" s="46" t="str">
        <f t="shared" ca="1" si="9"/>
        <v/>
      </c>
      <c r="CI23" s="46" t="str">
        <f t="shared" ca="1" si="9"/>
        <v/>
      </c>
      <c r="CJ23" s="46" t="str">
        <f t="shared" ca="1" si="9"/>
        <v/>
      </c>
      <c r="CK23" s="46" t="str">
        <f t="shared" ca="1" si="9"/>
        <v/>
      </c>
      <c r="CL23" s="46" t="str">
        <f t="shared" ca="1" si="9"/>
        <v/>
      </c>
      <c r="CM23" s="46" t="str">
        <f t="shared" ca="1" si="9"/>
        <v/>
      </c>
      <c r="CN23" s="46" t="str">
        <f t="shared" ca="1" si="9"/>
        <v/>
      </c>
      <c r="CO23" s="46" t="str">
        <f t="shared" ca="1" si="9"/>
        <v/>
      </c>
      <c r="CP23" s="46" t="str">
        <f t="shared" ca="1" si="9"/>
        <v/>
      </c>
      <c r="CQ23" s="46" t="str">
        <f t="shared" ca="1" si="9"/>
        <v>December</v>
      </c>
      <c r="CR23" s="46" t="str">
        <f t="shared" ca="1" si="9"/>
        <v/>
      </c>
      <c r="CS23" s="46" t="str">
        <f t="shared" ca="1" si="9"/>
        <v/>
      </c>
      <c r="CT23" s="46" t="str">
        <f t="shared" ca="1" si="9"/>
        <v/>
      </c>
      <c r="CU23" s="46" t="str">
        <f t="shared" ca="1" si="9"/>
        <v/>
      </c>
      <c r="CV23" s="46" t="str">
        <f t="shared" ca="1" si="9"/>
        <v/>
      </c>
      <c r="CW23" s="46" t="str">
        <f t="shared" ca="1" si="9"/>
        <v/>
      </c>
      <c r="CX23" s="46" t="str">
        <f t="shared" ca="1" si="9"/>
        <v/>
      </c>
      <c r="CY23" s="46" t="str">
        <f t="shared" ca="1" si="9"/>
        <v/>
      </c>
      <c r="CZ23" s="46" t="str">
        <f t="shared" ca="1" si="9"/>
        <v/>
      </c>
      <c r="DA23" s="46" t="str">
        <f t="shared" ca="1" si="9"/>
        <v/>
      </c>
      <c r="DB23" s="46" t="str">
        <f t="shared" ca="1" si="9"/>
        <v/>
      </c>
      <c r="DC23" s="46" t="str">
        <f t="shared" ca="1" si="9"/>
        <v/>
      </c>
      <c r="DD23" s="46" t="str">
        <f t="shared" ca="1" si="9"/>
        <v/>
      </c>
      <c r="DE23" s="46" t="str">
        <f t="shared" ref="DE23:EJ23" ca="1" si="10">IF(TEXT(BW24,"mmmm")=TEXT(BX24,"mmmm"),"",TEXT(BX24,"mmmm"))</f>
        <v/>
      </c>
      <c r="DF23" s="46" t="str">
        <f t="shared" ca="1" si="10"/>
        <v/>
      </c>
      <c r="DG23" s="46" t="str">
        <f t="shared" ca="1" si="10"/>
        <v/>
      </c>
      <c r="DH23" s="46" t="str">
        <f t="shared" ca="1" si="10"/>
        <v/>
      </c>
      <c r="DI23" s="46" t="str">
        <f t="shared" ca="1" si="10"/>
        <v/>
      </c>
      <c r="DJ23" s="46" t="str">
        <f t="shared" ca="1" si="10"/>
        <v/>
      </c>
      <c r="DK23" s="46" t="str">
        <f t="shared" ca="1" si="10"/>
        <v/>
      </c>
      <c r="DL23" s="46" t="str">
        <f t="shared" ca="1" si="10"/>
        <v/>
      </c>
      <c r="DM23" s="46" t="str">
        <f t="shared" ca="1" si="10"/>
        <v/>
      </c>
      <c r="DN23" s="46" t="str">
        <f t="shared" ca="1" si="10"/>
        <v/>
      </c>
      <c r="DO23" s="46" t="str">
        <f t="shared" ca="1" si="10"/>
        <v/>
      </c>
      <c r="DP23" s="46" t="str">
        <f t="shared" ca="1" si="10"/>
        <v/>
      </c>
      <c r="DQ23" s="46" t="str">
        <f t="shared" ca="1" si="10"/>
        <v/>
      </c>
      <c r="DR23" s="46" t="str">
        <f t="shared" ca="1" si="10"/>
        <v/>
      </c>
      <c r="DS23" s="46" t="str">
        <f t="shared" ca="1" si="10"/>
        <v/>
      </c>
      <c r="DT23" s="46" t="str">
        <f t="shared" ca="1" si="10"/>
        <v/>
      </c>
      <c r="DU23" s="46" t="str">
        <f t="shared" ca="1" si="10"/>
        <v/>
      </c>
      <c r="DV23" s="46" t="str">
        <f t="shared" ca="1" si="10"/>
        <v>January</v>
      </c>
      <c r="DW23" s="46" t="str">
        <f t="shared" ca="1" si="10"/>
        <v/>
      </c>
      <c r="DX23" s="46" t="str">
        <f t="shared" ca="1" si="10"/>
        <v/>
      </c>
      <c r="DY23" s="46" t="str">
        <f t="shared" ca="1" si="10"/>
        <v/>
      </c>
      <c r="DZ23" s="46" t="str">
        <f t="shared" ca="1" si="10"/>
        <v/>
      </c>
      <c r="EA23" s="46" t="str">
        <f t="shared" ca="1" si="10"/>
        <v/>
      </c>
      <c r="EB23" s="46" t="str">
        <f t="shared" ca="1" si="10"/>
        <v/>
      </c>
      <c r="EC23" s="46" t="str">
        <f t="shared" ca="1" si="10"/>
        <v/>
      </c>
      <c r="ED23" s="46" t="str">
        <f t="shared" ca="1" si="10"/>
        <v/>
      </c>
      <c r="EE23" s="46" t="str">
        <f t="shared" ca="1" si="10"/>
        <v/>
      </c>
      <c r="EF23" s="46" t="str">
        <f t="shared" ca="1" si="10"/>
        <v/>
      </c>
      <c r="EG23" s="46" t="str">
        <f t="shared" ca="1" si="10"/>
        <v/>
      </c>
      <c r="EH23" s="46" t="str">
        <f t="shared" ca="1" si="10"/>
        <v/>
      </c>
      <c r="EI23" s="46" t="str">
        <f t="shared" ca="1" si="10"/>
        <v/>
      </c>
      <c r="EJ23" s="46" t="str">
        <f t="shared" ca="1" si="10"/>
        <v/>
      </c>
      <c r="EK23" s="46" t="str">
        <f t="shared" ref="EK23:EL23" ca="1" si="11">IF(TEXT(DC24,"mmmm")=TEXT(DD24,"mmmm"),"",TEXT(DD24,"mmmm"))</f>
        <v/>
      </c>
      <c r="EL23" s="46" t="str">
        <f t="shared" ca="1" si="11"/>
        <v/>
      </c>
      <c r="EM23" s="35"/>
      <c r="EN23" s="35"/>
      <c r="EO23" s="35"/>
      <c r="EP23" s="35"/>
      <c r="EQ23" s="35"/>
      <c r="ER23" s="35"/>
      <c r="ES23" s="35"/>
      <c r="ET23" s="35"/>
      <c r="EU23" s="35"/>
      <c r="EV23" s="35"/>
      <c r="EW23" s="35"/>
      <c r="EX23" s="35"/>
      <c r="EY23" s="35"/>
      <c r="EZ23" s="35"/>
      <c r="FA23" s="35"/>
    </row>
    <row r="24" spans="1:157" s="474" customFormat="1" ht="16.5" thickTop="1" thickBot="1">
      <c r="A24" s="558" t="s">
        <v>515</v>
      </c>
      <c r="B24" s="558" t="s">
        <v>510</v>
      </c>
      <c r="C24" s="558" t="s">
        <v>511</v>
      </c>
      <c r="D24" s="558" t="s">
        <v>512</v>
      </c>
      <c r="E24" s="558" t="s">
        <v>513</v>
      </c>
      <c r="F24" s="558" t="s">
        <v>514</v>
      </c>
      <c r="G24" s="558" t="s">
        <v>798</v>
      </c>
      <c r="H24" s="558" t="s">
        <v>790</v>
      </c>
      <c r="I24" s="558" t="s">
        <v>799</v>
      </c>
      <c r="J24" t="s">
        <v>509</v>
      </c>
      <c r="K24" s="494"/>
      <c r="L24" s="491" t="s">
        <v>509</v>
      </c>
      <c r="M24" s="492" t="s">
        <v>787</v>
      </c>
      <c r="N24" s="492" t="s">
        <v>1398</v>
      </c>
      <c r="O24" s="492" t="s">
        <v>108</v>
      </c>
      <c r="P24" s="493" t="s">
        <v>788</v>
      </c>
      <c r="Q24" s="492" t="s">
        <v>789</v>
      </c>
      <c r="R24" s="492" t="s">
        <v>1380</v>
      </c>
      <c r="S24" s="491" t="s">
        <v>790</v>
      </c>
      <c r="T24" s="492" t="s">
        <v>786</v>
      </c>
      <c r="U24" s="492" t="s">
        <v>815</v>
      </c>
      <c r="V24" s="492" t="s">
        <v>784</v>
      </c>
      <c r="W24" s="492" t="s">
        <v>816</v>
      </c>
      <c r="X24" s="492" t="s">
        <v>457</v>
      </c>
      <c r="Y24" s="491" t="s">
        <v>851</v>
      </c>
      <c r="Z24" s="492" t="s">
        <v>785</v>
      </c>
      <c r="AA24" s="492" t="s">
        <v>1432</v>
      </c>
      <c r="AB24" s="22" t="s">
        <v>818</v>
      </c>
      <c r="AC24" s="22" t="s">
        <v>819</v>
      </c>
      <c r="AD24" s="496" t="s">
        <v>820</v>
      </c>
      <c r="AE24" s="496" t="s">
        <v>821</v>
      </c>
      <c r="AF24" s="496" t="s">
        <v>822</v>
      </c>
      <c r="AG24" s="496" t="s">
        <v>823</v>
      </c>
      <c r="AH24" s="496" t="s">
        <v>824</v>
      </c>
      <c r="AI24" s="496" t="s">
        <v>825</v>
      </c>
      <c r="AJ24" s="496" t="s">
        <v>826</v>
      </c>
      <c r="AK24" s="496" t="s">
        <v>827</v>
      </c>
      <c r="AL24" s="496" t="s">
        <v>828</v>
      </c>
      <c r="AM24" s="496" t="s">
        <v>829</v>
      </c>
      <c r="AN24" s="496" t="s">
        <v>830</v>
      </c>
      <c r="AO24" s="35"/>
      <c r="AP24" s="49">
        <f ca="1">IFERROR(Project_Start+Scrolling_Increment,TODAY())</f>
        <v>45972</v>
      </c>
      <c r="AQ24" s="49">
        <f t="shared" ref="AQ24:BV24" ca="1" si="12">+AP24+1</f>
        <v>45973</v>
      </c>
      <c r="AR24" s="49">
        <f t="shared" ca="1" si="12"/>
        <v>45974</v>
      </c>
      <c r="AS24" s="49">
        <f t="shared" ca="1" si="12"/>
        <v>45975</v>
      </c>
      <c r="AT24" s="49">
        <f t="shared" ca="1" si="12"/>
        <v>45976</v>
      </c>
      <c r="AU24" s="49">
        <f t="shared" ca="1" si="12"/>
        <v>45977</v>
      </c>
      <c r="AV24" s="49">
        <f t="shared" ca="1" si="12"/>
        <v>45978</v>
      </c>
      <c r="AW24" s="49">
        <f t="shared" ca="1" si="12"/>
        <v>45979</v>
      </c>
      <c r="AX24" s="49">
        <f t="shared" ca="1" si="12"/>
        <v>45980</v>
      </c>
      <c r="AY24" s="49">
        <f t="shared" ca="1" si="12"/>
        <v>45981</v>
      </c>
      <c r="AZ24" s="49">
        <f t="shared" ca="1" si="12"/>
        <v>45982</v>
      </c>
      <c r="BA24" s="49">
        <f t="shared" ca="1" si="12"/>
        <v>45983</v>
      </c>
      <c r="BB24" s="49">
        <f t="shared" ca="1" si="12"/>
        <v>45984</v>
      </c>
      <c r="BC24" s="49">
        <f t="shared" ca="1" si="12"/>
        <v>45985</v>
      </c>
      <c r="BD24" s="49">
        <f t="shared" ca="1" si="12"/>
        <v>45986</v>
      </c>
      <c r="BE24" s="49">
        <f t="shared" ca="1" si="12"/>
        <v>45987</v>
      </c>
      <c r="BF24" s="49">
        <f t="shared" ca="1" si="12"/>
        <v>45988</v>
      </c>
      <c r="BG24" s="49">
        <f t="shared" ca="1" si="12"/>
        <v>45989</v>
      </c>
      <c r="BH24" s="49">
        <f t="shared" ca="1" si="12"/>
        <v>45990</v>
      </c>
      <c r="BI24" s="49">
        <f t="shared" ca="1" si="12"/>
        <v>45991</v>
      </c>
      <c r="BJ24" s="49">
        <f t="shared" ca="1" si="12"/>
        <v>45992</v>
      </c>
      <c r="BK24" s="49">
        <f t="shared" ca="1" si="12"/>
        <v>45993</v>
      </c>
      <c r="BL24" s="49">
        <f t="shared" ca="1" si="12"/>
        <v>45994</v>
      </c>
      <c r="BM24" s="49">
        <f t="shared" ca="1" si="12"/>
        <v>45995</v>
      </c>
      <c r="BN24" s="49">
        <f t="shared" ca="1" si="12"/>
        <v>45996</v>
      </c>
      <c r="BO24" s="49">
        <f t="shared" ca="1" si="12"/>
        <v>45997</v>
      </c>
      <c r="BP24" s="49">
        <f t="shared" ca="1" si="12"/>
        <v>45998</v>
      </c>
      <c r="BQ24" s="49">
        <f t="shared" ca="1" si="12"/>
        <v>45999</v>
      </c>
      <c r="BR24" s="49">
        <f t="shared" ca="1" si="12"/>
        <v>46000</v>
      </c>
      <c r="BS24" s="49">
        <f t="shared" ca="1" si="12"/>
        <v>46001</v>
      </c>
      <c r="BT24" s="49">
        <f t="shared" ca="1" si="12"/>
        <v>46002</v>
      </c>
      <c r="BU24" s="49">
        <f t="shared" ca="1" si="12"/>
        <v>46003</v>
      </c>
      <c r="BV24" s="49">
        <f t="shared" ca="1" si="12"/>
        <v>46004</v>
      </c>
      <c r="BW24" s="49">
        <f t="shared" ref="BW24:DE24" ca="1" si="13">+BV24+1</f>
        <v>46005</v>
      </c>
      <c r="BX24" s="49">
        <f t="shared" ca="1" si="13"/>
        <v>46006</v>
      </c>
      <c r="BY24" s="49">
        <f t="shared" ca="1" si="13"/>
        <v>46007</v>
      </c>
      <c r="BZ24" s="49">
        <f t="shared" ca="1" si="13"/>
        <v>46008</v>
      </c>
      <c r="CA24" s="49">
        <f t="shared" ca="1" si="13"/>
        <v>46009</v>
      </c>
      <c r="CB24" s="49">
        <f t="shared" ca="1" si="13"/>
        <v>46010</v>
      </c>
      <c r="CC24" s="49">
        <f t="shared" ca="1" si="13"/>
        <v>46011</v>
      </c>
      <c r="CD24" s="49">
        <f t="shared" ca="1" si="13"/>
        <v>46012</v>
      </c>
      <c r="CE24" s="49">
        <f t="shared" ca="1" si="13"/>
        <v>46013</v>
      </c>
      <c r="CF24" s="49">
        <f t="shared" ca="1" si="13"/>
        <v>46014</v>
      </c>
      <c r="CG24" s="49">
        <f t="shared" ca="1" si="13"/>
        <v>46015</v>
      </c>
      <c r="CH24" s="49">
        <f t="shared" ca="1" si="13"/>
        <v>46016</v>
      </c>
      <c r="CI24" s="49">
        <f t="shared" ca="1" si="13"/>
        <v>46017</v>
      </c>
      <c r="CJ24" s="49">
        <f t="shared" ca="1" si="13"/>
        <v>46018</v>
      </c>
      <c r="CK24" s="49">
        <f t="shared" ca="1" si="13"/>
        <v>46019</v>
      </c>
      <c r="CL24" s="49">
        <f t="shared" ca="1" si="13"/>
        <v>46020</v>
      </c>
      <c r="CM24" s="49">
        <f t="shared" ca="1" si="13"/>
        <v>46021</v>
      </c>
      <c r="CN24" s="49">
        <f t="shared" ca="1" si="13"/>
        <v>46022</v>
      </c>
      <c r="CO24" s="49">
        <f t="shared" ca="1" si="13"/>
        <v>46023</v>
      </c>
      <c r="CP24" s="49">
        <f t="shared" ca="1" si="13"/>
        <v>46024</v>
      </c>
      <c r="CQ24" s="49">
        <f t="shared" ca="1" si="13"/>
        <v>46025</v>
      </c>
      <c r="CR24" s="49">
        <f t="shared" ca="1" si="13"/>
        <v>46026</v>
      </c>
      <c r="CS24" s="49">
        <f t="shared" ca="1" si="13"/>
        <v>46027</v>
      </c>
      <c r="CT24" s="49">
        <f t="shared" ca="1" si="13"/>
        <v>46028</v>
      </c>
      <c r="CU24" s="49">
        <f t="shared" ca="1" si="13"/>
        <v>46029</v>
      </c>
      <c r="CV24" s="49">
        <f t="shared" ca="1" si="13"/>
        <v>46030</v>
      </c>
      <c r="CW24" s="49">
        <f t="shared" ca="1" si="13"/>
        <v>46031</v>
      </c>
      <c r="CX24" s="49">
        <f t="shared" ca="1" si="13"/>
        <v>46032</v>
      </c>
      <c r="CY24" s="49">
        <f t="shared" ca="1" si="13"/>
        <v>46033</v>
      </c>
      <c r="CZ24" s="49">
        <f t="shared" ca="1" si="13"/>
        <v>46034</v>
      </c>
      <c r="DA24" s="49">
        <f t="shared" ca="1" si="13"/>
        <v>46035</v>
      </c>
      <c r="DB24" s="49">
        <f t="shared" ca="1" si="13"/>
        <v>46036</v>
      </c>
      <c r="DC24" s="49">
        <f t="shared" ca="1" si="13"/>
        <v>46037</v>
      </c>
      <c r="DD24" s="49">
        <f t="shared" ca="1" si="13"/>
        <v>46038</v>
      </c>
      <c r="DE24" s="49">
        <f t="shared" ca="1" si="13"/>
        <v>46039</v>
      </c>
    </row>
    <row r="25" spans="1:157" s="40" customFormat="1" ht="15">
      <c r="A25" t="s">
        <v>747</v>
      </c>
      <c r="B25" t="s">
        <v>744</v>
      </c>
      <c r="C25" t="s">
        <v>745</v>
      </c>
      <c r="D25" s="458" t="s">
        <v>746</v>
      </c>
      <c r="E25" s="458">
        <v>0</v>
      </c>
      <c r="F25"/>
      <c r="G25"/>
      <c r="H25">
        <v>149</v>
      </c>
      <c r="I25"/>
      <c r="J25">
        <v>149</v>
      </c>
      <c r="K25" s="107"/>
      <c r="L25" s="463">
        <v>149</v>
      </c>
      <c r="M25" s="176">
        <v>1</v>
      </c>
      <c r="N25" s="160">
        <v>0</v>
      </c>
      <c r="O25" s="546" cm="1">
        <f t="array" ref="O2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45943</v>
      </c>
      <c r="P25" s="566" t="s">
        <v>797</v>
      </c>
      <c r="Q25" s="566">
        <v>0</v>
      </c>
      <c r="R25" s="22"/>
      <c r="S25" s="463" cm="1">
        <f t="array" ref="S2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149</v>
      </c>
      <c r="T25">
        <v>1</v>
      </c>
      <c r="U25" s="176"/>
      <c r="V2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5.01</v>
      </c>
      <c r="W25" s="497"/>
      <c r="X25" s="176" t="s">
        <v>852</v>
      </c>
      <c r="Y25" s="547"/>
      <c r="Z25" s="22" t="s">
        <v>458</v>
      </c>
      <c r="AA25" s="562"/>
      <c r="AB25" cm="1">
        <f t="array" ref="AB25">ROW()-ROW(Contract_Edits[#Headers])</f>
        <v>1</v>
      </c>
      <c r="AC25">
        <f>IF(Contract_Edits[[#This Row],[RowPos]]&gt;1, Contract_Edits[[#This Row],[RowPos]]-1, 0)</f>
        <v>0</v>
      </c>
      <c r="AD25" s="35">
        <f>IF(N(Contract_Edits[[#This Row],[Dep]])=0, N(Contract_Edits[[#This Row],[Index]]), N(Contract_Edits[[#This Row],[Dep]]))</f>
        <v>149</v>
      </c>
      <c r="AE25" s="35" cm="1">
        <f t="array" ref="AE25">IF(OR(Contract_Edits[[#This Row],[Dep]]=0, TRIM(Contract_Edits[[#This Row],[Dep]])=""),
   0,
   IFERROR(
      _xlfn.XLOOKUP(1, (Contract_Edits[Dep]=Contract_Edits[[#This Row],[Dep]])*(Contract_Edits[RowPos]&lt;Contract_Edits[[#This Row],[RowPos]]), Contract_Edits[RowPos], , 0, -1),
      0
   )
)</f>
        <v>0</v>
      </c>
      <c r="AF25" s="35">
        <f>IF(OR(Contract_Edits[[#This Row],[Dep]]=0,Contract_Edits[[#This Row],[Dep]]=""),0,
   COUNTIFS(Contract_Edits[Dep],Contract_Edits[[#This Row],[Dep]],Contract_Edits[RowPos],"&lt;="&amp;Contract_Edits[[#This Row],[RowPos]],Contract_Edits[Approve],"Yes")
)</f>
        <v>1</v>
      </c>
      <c r="AG25" s="517">
        <f>--(
  ISNUMBER(SEARCH("BASE PARENT", UPPER(CLEAN(TRIM(_xlfn.XLOOKUP(TEXT(Contract_Edits[[#This Row],[Index]],"0"), baseIdxTxt, baseCost, "")))))) +
  ISNUMBER(SEARCH("DEPENDENCY GROUP", UPPER(CLEAN(TRIM(_xlfn.XLOOKUP(TEXT(Contract_Edits[[#This Row],[Index]],"0"), baseIdxTxt, baseCost, ""))))))
)</f>
        <v>1</v>
      </c>
      <c r="AH25" s="517" cm="1">
        <f t="array" ref="AH25">IF(Contract_Edits[[#This Row],[BaseFlag]]=1,
   10*BaseDepthL(TEXT(Contract_Edits[[#This Row],[Index]],"0"),500,editsIdxTxt,editsParentKeyTxt,baseIdxTxt,baseCost)-5,
   ""
)</f>
        <v>5</v>
      </c>
      <c r="AI25" s="517" cm="1">
        <f t="array" ref="AI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J25" s="517" t="str">
        <f>IF(Contract_Edits[[#This Row],[Dep]]=0,"Root",
   IF(ISNUMBER(MATCH(Contract_Edits[[#This Row],[Dep]],Contract_Edits[Index],0)),"OK","Missing")
)</f>
        <v>OK</v>
      </c>
      <c r="AK25" s="517" t="str">
        <f>IF(AND(Contract_Edits[[#This Row],[Dep]]&lt;&gt;0,
        ISNUMBER(MATCH(Contract_Edits[[#This Row],[Dep]], Contract_Edits[Index], 0)),
        INDEX(Contract_Edits[Dep], MATCH(Contract_Edits[[#This Row],[Dep]], Contract_Edits[Index], 0))=Contract_Edits[[#This Row],[Index]]),
   "2-cycle","")</f>
        <v>2-cycle</v>
      </c>
      <c r="AL25" s="517" cm="1">
        <f t="array" ref="AL25">IF(Contract_Edits[[#This Row],[BaseFlag]]&lt;&gt;1,0,
   IF(TEXT(Contract_Edits[[#This Row],[Dep]],"0")=TEXT(Contract_Edits[[#This Row],[Index]],"0"),
      0,
      MAX(0, SUMPRODUCT(--(Contract_Edits[BaseFlag]=1),
                        --(TEXT(Contract_Edits[Dep],"0")=TEXT(Contract_Edits[[#This Row],[Dep]],"0"))) - 1)
   )
)</f>
        <v>0</v>
      </c>
      <c r="AM25" s="517" t="str" cm="1">
        <f t="array" ref="AM25">IF(Contract_Edits[[#This Row],[BaseFlag]]=1,
   TEXT(Contract_Edits[[#This Row],[Index]],"0"),
   NearestBaseL(TEXT(Contract_Edits[[#This Row],[ParentKey]],"0"),500,editsIdxTxt,editsParentKeyTxt,baseIdxTxt,baseCost)
)</f>
        <v>149</v>
      </c>
      <c r="AN25" s="517" cm="1">
        <f t="array" ref="AN25">1+SUMPRODUCT(
  (Contract_Edits[BaseFlag]=1)*
  (TEXT(Contract_Edits[ParentAnchor],"0")=TEXT(Contract_Edits[[#This Row],[ParentAnchor]],"0"))*
  (VALUE(TEXT(Contract_Edits[Index],"0"))&lt;VALUE(TEXT(Contract_Edits[[#This Row],[Index]],"0")))
)</f>
        <v>1</v>
      </c>
      <c r="AO25" s="35"/>
      <c r="AP25" s="35" t="str">
        <f ca="1">IFERROR(+IF(AP$24=#REF!,Milestone_Marker,IF(AND(AP$24&gt;#REF!,AP$24&lt;#REF!+#REF!),#REF!,"")),"")</f>
        <v/>
      </c>
      <c r="AQ25" s="35" t="str">
        <f ca="1">IFERROR(+IF(AQ$24=#REF!,Milestone_Marker,IF(AND(AQ$24&gt;#REF!,AQ$24&lt;#REF!+#REF!),#REF!,"")),"")</f>
        <v/>
      </c>
      <c r="AR25" s="35" t="str">
        <f ca="1">IFERROR(+IF(AR$24=#REF!,Milestone_Marker,IF(AND(AR$24&gt;#REF!,AR$24&lt;#REF!+#REF!),#REF!,"")),"")</f>
        <v/>
      </c>
      <c r="AS25" s="35" t="str">
        <f ca="1">IFERROR(+IF(AS$24=#REF!,Milestone_Marker,IF(AND(AS$24&gt;#REF!,AS$24&lt;#REF!+#REF!),#REF!,"")),"")</f>
        <v/>
      </c>
      <c r="AT25" s="35" t="str">
        <f ca="1">IFERROR(+IF(AT$24=#REF!,Milestone_Marker,IF(AND(AT$24&gt;#REF!,AT$24&lt;#REF!+#REF!),#REF!,"")),"")</f>
        <v/>
      </c>
      <c r="AU25" s="35" t="str">
        <f ca="1">IFERROR(+IF(AU$24=#REF!,Milestone_Marker,IF(AND(AU$24&gt;#REF!,AU$24&lt;#REF!+#REF!),#REF!,"")),"")</f>
        <v/>
      </c>
      <c r="AV25" s="35" t="str">
        <f ca="1">IFERROR(+IF(AV$24=#REF!,Milestone_Marker,IF(AND(AV$24&gt;#REF!,AV$24&lt;#REF!+#REF!),#REF!,"")),"")</f>
        <v/>
      </c>
      <c r="AW25" s="35" t="str">
        <f ca="1">IFERROR(+IF(AW$24=#REF!,Milestone_Marker,IF(AND(AW$24&gt;#REF!,AW$24&lt;#REF!+#REF!),#REF!,"")),"")</f>
        <v/>
      </c>
      <c r="AX25" s="35" t="str">
        <f ca="1">IFERROR(+IF(AX$24=#REF!,Milestone_Marker,IF(AND(AX$24&gt;#REF!,AX$24&lt;#REF!+#REF!),#REF!,"")),"")</f>
        <v/>
      </c>
      <c r="AY25" s="35" t="str">
        <f ca="1">IFERROR(+IF(AY$24=#REF!,Milestone_Marker,IF(AND(AY$24&gt;#REF!,AY$24&lt;#REF!+#REF!),#REF!,"")),"")</f>
        <v/>
      </c>
      <c r="AZ25" s="35" t="str">
        <f ca="1">IFERROR(+IF(AZ$24=#REF!,Milestone_Marker,IF(AND(AZ$24&gt;#REF!,AZ$24&lt;#REF!+#REF!),#REF!,"")),"")</f>
        <v/>
      </c>
      <c r="BA25" s="35" t="str">
        <f ca="1">IFERROR(+IF(BA$24=#REF!,Milestone_Marker,IF(AND(BA$24&gt;#REF!,BA$24&lt;#REF!+#REF!),#REF!,"")),"")</f>
        <v/>
      </c>
      <c r="BB25" s="35" t="str">
        <f ca="1">IFERROR(+IF(BB$24=#REF!,Milestone_Marker,IF(AND(BB$24&gt;#REF!,BB$24&lt;#REF!+#REF!),#REF!,"")),"")</f>
        <v/>
      </c>
      <c r="BC25" s="35" t="str">
        <f ca="1">IFERROR(+IF(BC$24=#REF!,Milestone_Marker,IF(AND(BC$24&gt;#REF!,BC$24&lt;#REF!+#REF!),#REF!,"")),"")</f>
        <v/>
      </c>
      <c r="BD25" s="35" t="str">
        <f ca="1">IFERROR(+IF(BD$24=#REF!,Milestone_Marker,IF(AND(BD$24&gt;#REF!,BD$24&lt;#REF!+#REF!),#REF!,"")),"")</f>
        <v/>
      </c>
      <c r="BE25" s="35" t="str">
        <f ca="1">IFERROR(+IF(BE$24=#REF!,Milestone_Marker,IF(AND(BE$24&gt;#REF!,BE$24&lt;#REF!+#REF!),#REF!,"")),"")</f>
        <v/>
      </c>
      <c r="BF25" s="35" t="str">
        <f ca="1">IFERROR(+IF(BF$24=#REF!,Milestone_Marker,IF(AND(BF$24&gt;#REF!,BF$24&lt;#REF!+#REF!),#REF!,"")),"")</f>
        <v/>
      </c>
      <c r="BG25" s="35" t="str">
        <f ca="1">IFERROR(+IF(BG$24=#REF!,Milestone_Marker,IF(AND(BG$24&gt;#REF!,BG$24&lt;#REF!+#REF!),#REF!,"")),"")</f>
        <v/>
      </c>
      <c r="BH25" s="35" t="str">
        <f ca="1">IFERROR(+IF(BH$24=#REF!,Milestone_Marker,IF(AND(BH$24&gt;#REF!,BH$24&lt;#REF!+#REF!),#REF!,"")),"")</f>
        <v/>
      </c>
      <c r="BI25" s="35" t="str">
        <f ca="1">IFERROR(+IF(BI$24=#REF!,Milestone_Marker,IF(AND(BI$24&gt;#REF!,BI$24&lt;#REF!+#REF!),#REF!,"")),"")</f>
        <v/>
      </c>
      <c r="BJ25" s="35" t="str">
        <f ca="1">IFERROR(+IF(BJ$24=#REF!,Milestone_Marker,IF(AND(BJ$24&gt;#REF!,BJ$24&lt;#REF!+#REF!),#REF!,"")),"")</f>
        <v/>
      </c>
      <c r="BK25" s="35" t="str">
        <f ca="1">IFERROR(+IF(BK$24=#REF!,Milestone_Marker,IF(AND(BK$24&gt;#REF!,BK$24&lt;#REF!+#REF!),#REF!,"")),"")</f>
        <v/>
      </c>
      <c r="BL25" s="35" t="str">
        <f ca="1">IFERROR(+IF(BL$24=#REF!,Milestone_Marker,IF(AND(BL$24&gt;#REF!,BL$24&lt;#REF!+#REF!),#REF!,"")),"")</f>
        <v/>
      </c>
      <c r="BM25" s="35" t="str">
        <f ca="1">IFERROR(+IF(BM$24=#REF!,Milestone_Marker,IF(AND(BM$24&gt;#REF!,BM$24&lt;#REF!+#REF!),#REF!,"")),"")</f>
        <v/>
      </c>
      <c r="BN25" s="35" t="str">
        <f ca="1">IFERROR(+IF(BN$24=#REF!,Milestone_Marker,IF(AND(BN$24&gt;#REF!,BN$24&lt;#REF!+#REF!),#REF!,"")),"")</f>
        <v/>
      </c>
      <c r="BO25" s="35" t="str">
        <f ca="1">IFERROR(+IF(BO$24=#REF!,Milestone_Marker,IF(AND(BO$24&gt;#REF!,BO$24&lt;#REF!+#REF!),#REF!,"")),"")</f>
        <v/>
      </c>
      <c r="BP25" s="35" t="str">
        <f ca="1">IFERROR(+IF(BP$24=#REF!,Milestone_Marker,IF(AND(BP$24&gt;#REF!,BP$24&lt;#REF!+#REF!),#REF!,"")),"")</f>
        <v/>
      </c>
      <c r="BQ25" s="35" t="str">
        <f ca="1">IFERROR(+IF(BQ$24=#REF!,Milestone_Marker,IF(AND(BQ$24&gt;#REF!,BQ$24&lt;#REF!+#REF!),#REF!,"")),"")</f>
        <v/>
      </c>
      <c r="BR25" s="35" t="str">
        <f ca="1">IFERROR(+IF(BR$24=#REF!,Milestone_Marker,IF(AND(BR$24&gt;#REF!,BR$24&lt;#REF!+#REF!),#REF!,"")),"")</f>
        <v/>
      </c>
      <c r="BS25" s="35" t="str">
        <f ca="1">IFERROR(+IF(BS$24=#REF!,Milestone_Marker,IF(AND(BS$24&gt;#REF!,BS$24&lt;#REF!+#REF!),#REF!,"")),"")</f>
        <v/>
      </c>
      <c r="BT25" s="35" t="str">
        <f ca="1">IFERROR(+IF(BT$24=#REF!,Milestone_Marker,IF(AND(BT$24&gt;#REF!,BT$24&lt;#REF!+#REF!),#REF!,"")),"")</f>
        <v/>
      </c>
      <c r="BU25" s="35" t="str">
        <f ca="1">IFERROR(+IF(BU$24=#REF!,Milestone_Marker,IF(AND(BU$24&gt;#REF!,BU$24&lt;#REF!+#REF!),#REF!,"")),"")</f>
        <v/>
      </c>
      <c r="BV25" s="35" t="str">
        <f ca="1">IFERROR(+IF(BV$24=#REF!,Milestone_Marker,IF(AND(BV$24&gt;#REF!,BV$24&lt;#REF!+#REF!),#REF!,"")),"")</f>
        <v/>
      </c>
      <c r="BW25" s="35" t="str">
        <f ca="1">IFERROR(+IF(BW$24=#REF!,Milestone_Marker,IF(AND(BW$24&gt;#REF!,BW$24&lt;#REF!+#REF!),#REF!,"")),"")</f>
        <v/>
      </c>
      <c r="BX25" s="35" t="str">
        <f ca="1">IFERROR(+IF(BX$24=#REF!,Milestone_Marker,IF(AND(BX$24&gt;#REF!,BX$24&lt;#REF!+#REF!),#REF!,"")),"")</f>
        <v/>
      </c>
      <c r="BY25" s="35" t="str">
        <f ca="1">IFERROR(+IF(BY$24=#REF!,Milestone_Marker,IF(AND(BY$24&gt;#REF!,BY$24&lt;#REF!+#REF!),#REF!,"")),"")</f>
        <v/>
      </c>
      <c r="BZ25" s="35" t="str">
        <f ca="1">IFERROR(+IF(BZ$24=#REF!,Milestone_Marker,IF(AND(BZ$24&gt;#REF!,BZ$24&lt;#REF!+#REF!),#REF!,"")),"")</f>
        <v/>
      </c>
      <c r="CA25" s="35" t="str">
        <f ca="1">IFERROR(+IF(CA$24=#REF!,Milestone_Marker,IF(AND(CA$24&gt;#REF!,CA$24&lt;#REF!+#REF!),#REF!,"")),"")</f>
        <v/>
      </c>
      <c r="CB25" s="35" t="str">
        <f ca="1">IFERROR(+IF(CB$24=#REF!,Milestone_Marker,IF(AND(CB$24&gt;#REF!,CB$24&lt;#REF!+#REF!),#REF!,"")),"")</f>
        <v/>
      </c>
      <c r="CC25" s="35" t="str">
        <f ca="1">IFERROR(+IF(CC$24=#REF!,Milestone_Marker,IF(AND(CC$24&gt;#REF!,CC$24&lt;#REF!+#REF!),#REF!,"")),"")</f>
        <v/>
      </c>
      <c r="CD25" s="35" t="str">
        <f ca="1">IFERROR(+IF(CD$24=#REF!,Milestone_Marker,IF(AND(CD$24&gt;#REF!,CD$24&lt;#REF!+#REF!),#REF!,"")),"")</f>
        <v/>
      </c>
      <c r="CE25" s="35" t="str">
        <f ca="1">IFERROR(+IF(CE$24=#REF!,Milestone_Marker,IF(AND(CE$24&gt;#REF!,CE$24&lt;#REF!+#REF!),#REF!,"")),"")</f>
        <v/>
      </c>
      <c r="CF25" s="35" t="str">
        <f ca="1">IFERROR(+IF(CF$24=#REF!,Milestone_Marker,IF(AND(CF$24&gt;#REF!,CF$24&lt;#REF!+#REF!),#REF!,"")),"")</f>
        <v/>
      </c>
      <c r="CG25" s="35" t="str">
        <f ca="1">IFERROR(+IF(CG$24=#REF!,Milestone_Marker,IF(AND(CG$24&gt;#REF!,CG$24&lt;#REF!+#REF!),#REF!,"")),"")</f>
        <v/>
      </c>
      <c r="CH25" s="35" t="str">
        <f ca="1">IFERROR(+IF(CH$24=#REF!,Milestone_Marker,IF(AND(CH$24&gt;#REF!,CH$24&lt;#REF!+#REF!),#REF!,"")),"")</f>
        <v/>
      </c>
      <c r="CI25" s="35" t="str">
        <f ca="1">IFERROR(+IF(CI$24=#REF!,Milestone_Marker,IF(AND(CI$24&gt;#REF!,CI$24&lt;#REF!+#REF!),#REF!,"")),"")</f>
        <v/>
      </c>
      <c r="CJ25" s="35" t="str">
        <f ca="1">IFERROR(+IF(CJ$24=#REF!,Milestone_Marker,IF(AND(CJ$24&gt;#REF!,CJ$24&lt;#REF!+#REF!),#REF!,"")),"")</f>
        <v/>
      </c>
      <c r="CK25" s="35" t="str">
        <f ca="1">IFERROR(+IF(CK$24=#REF!,Milestone_Marker,IF(AND(CK$24&gt;#REF!,CK$24&lt;#REF!+#REF!),#REF!,"")),"")</f>
        <v/>
      </c>
      <c r="CL25" s="35" t="str">
        <f ca="1">IFERROR(+IF(CL$24=#REF!,Milestone_Marker,IF(AND(CL$24&gt;#REF!,CL$24&lt;#REF!+#REF!),#REF!,"")),"")</f>
        <v/>
      </c>
      <c r="CM25" s="35" t="str">
        <f ca="1">IFERROR(+IF(CM$24=#REF!,Milestone_Marker,IF(AND(CM$24&gt;#REF!,CM$24&lt;#REF!+#REF!),#REF!,"")),"")</f>
        <v/>
      </c>
      <c r="CN25" s="35" t="str">
        <f ca="1">IFERROR(+IF(CN$24=#REF!,Milestone_Marker,IF(AND(CN$24&gt;#REF!,CN$24&lt;#REF!+#REF!),#REF!,"")),"")</f>
        <v/>
      </c>
      <c r="CO25" s="35" t="str">
        <f ca="1">IFERROR(+IF(CO$24=#REF!,Milestone_Marker,IF(AND(CO$24&gt;#REF!,CO$24&lt;#REF!+#REF!),#REF!,"")),"")</f>
        <v/>
      </c>
      <c r="CP25" s="35" t="str">
        <f ca="1">IFERROR(+IF(CP$24=#REF!,Milestone_Marker,IF(AND(CP$24&gt;#REF!,CP$24&lt;#REF!+#REF!),#REF!,"")),"")</f>
        <v/>
      </c>
      <c r="CQ25" s="35" t="str">
        <f ca="1">IFERROR(+IF(CQ$24=#REF!,Milestone_Marker,IF(AND(CQ$24&gt;#REF!,CQ$24&lt;#REF!+#REF!),#REF!,"")),"")</f>
        <v/>
      </c>
      <c r="CR25" s="35" t="str">
        <f ca="1">IFERROR(+IF(CR$24=#REF!,Milestone_Marker,IF(AND(CR$24&gt;#REF!,CR$24&lt;#REF!+#REF!),#REF!,"")),"")</f>
        <v/>
      </c>
      <c r="CS25" s="35" t="str">
        <f ca="1">IFERROR(+IF(CS$24=#REF!,Milestone_Marker,IF(AND(CS$24&gt;#REF!,CS$24&lt;#REF!+#REF!),#REF!,"")),"")</f>
        <v/>
      </c>
      <c r="CT25" s="35" t="str">
        <f ca="1">IFERROR(+IF(CT$24=#REF!,Milestone_Marker,IF(AND(CT$24&gt;#REF!,CT$24&lt;#REF!+#REF!),#REF!,"")),"")</f>
        <v/>
      </c>
      <c r="CU25" s="35" t="str">
        <f ca="1">IFERROR(+IF(CU$24=#REF!,Milestone_Marker,IF(AND(CU$24&gt;#REF!,CU$24&lt;#REF!+#REF!),#REF!,"")),"")</f>
        <v/>
      </c>
      <c r="CV25" s="35" t="str">
        <f ca="1">IFERROR(+IF(CV$24=#REF!,Milestone_Marker,IF(AND(CV$24&gt;#REF!,CV$24&lt;#REF!+#REF!),#REF!,"")),"")</f>
        <v/>
      </c>
      <c r="CW25" s="35" t="str">
        <f ca="1">IFERROR(+IF(CW$24=#REF!,Milestone_Marker,IF(AND(CW$24&gt;#REF!,CW$24&lt;#REF!+#REF!),#REF!,"")),"")</f>
        <v/>
      </c>
      <c r="CX25" s="35" t="str">
        <f ca="1">IFERROR(+IF(CX$24=#REF!,Milestone_Marker,IF(AND(CX$24&gt;#REF!,CX$24&lt;#REF!+#REF!),#REF!,"")),"")</f>
        <v/>
      </c>
      <c r="CY25" s="35" t="str">
        <f ca="1">IFERROR(+IF(CY$24=#REF!,Milestone_Marker,IF(AND(CY$24&gt;#REF!,CY$24&lt;#REF!+#REF!),#REF!,"")),"")</f>
        <v/>
      </c>
      <c r="CZ25" s="35" t="str">
        <f ca="1">IFERROR(+IF(CZ$24=#REF!,Milestone_Marker,IF(AND(CZ$24&gt;#REF!,CZ$24&lt;#REF!+#REF!),#REF!,"")),"")</f>
        <v/>
      </c>
      <c r="DA25" s="35" t="str">
        <f ca="1">IFERROR(+IF(DA$24=#REF!,Milestone_Marker,IF(AND(DA$24&gt;#REF!,DA$24&lt;#REF!+#REF!),#REF!,"")),"")</f>
        <v/>
      </c>
      <c r="DB25" s="35" t="str">
        <f ca="1">IFERROR(+IF(DB$24=#REF!,Milestone_Marker,IF(AND(DB$24&gt;#REF!,DB$24&lt;#REF!+#REF!),#REF!,"")),"")</f>
        <v/>
      </c>
      <c r="DC25" s="35" t="str">
        <f ca="1">IFERROR(+IF(DC$24=#REF!,Milestone_Marker,IF(AND(DC$24&gt;#REF!,DC$24&lt;#REF!+#REF!),#REF!,"")),"")</f>
        <v/>
      </c>
      <c r="DD25" s="35" t="str">
        <f ca="1">IFERROR(+IF(DD$24=#REF!,Milestone_Marker,IF(AND(DD$24&gt;#REF!,DD$24&lt;#REF!+#REF!),#REF!,"")),"")</f>
        <v/>
      </c>
      <c r="DE25" s="35" t="str">
        <f ca="1">IFERROR(+IF(DE$24=#REF!,Milestone_Marker,IF(AND(DE$24&gt;#REF!,DE$24&lt;#REF!+#REF!),#REF!,"")),"")</f>
        <v/>
      </c>
      <c r="DF25" s="35"/>
      <c r="DG25" s="35"/>
      <c r="DH25" s="35"/>
      <c r="DI25" s="35"/>
      <c r="DJ25" s="35"/>
      <c r="DK25" s="35"/>
      <c r="DL25" s="35"/>
      <c r="DM25" s="35"/>
      <c r="DN25" s="35"/>
      <c r="DO25" s="35"/>
      <c r="DP25" s="35"/>
      <c r="DQ25" s="35"/>
      <c r="DR25" s="35"/>
      <c r="DS25" s="35"/>
      <c r="DT25" s="35"/>
      <c r="DU25" s="35"/>
      <c r="DV25" s="35"/>
      <c r="DW25" s="35"/>
      <c r="DX25" s="35"/>
      <c r="DY25" s="35"/>
      <c r="DZ25" s="35"/>
      <c r="EA25" s="35"/>
      <c r="EB25" s="35"/>
      <c r="EC25" s="35"/>
      <c r="ED25" s="35"/>
      <c r="EE25" s="35"/>
    </row>
    <row r="26" spans="1:157" s="40" customFormat="1" ht="15">
      <c r="A26" t="s">
        <v>806</v>
      </c>
      <c r="B26" t="s">
        <v>517</v>
      </c>
      <c r="C26" t="s">
        <v>843</v>
      </c>
      <c r="D26" s="458" t="s">
        <v>843</v>
      </c>
      <c r="E26" s="458">
        <v>1</v>
      </c>
      <c r="F26">
        <v>2615</v>
      </c>
      <c r="G26">
        <v>2615</v>
      </c>
      <c r="H26"/>
      <c r="I26"/>
      <c r="J26">
        <v>908</v>
      </c>
      <c r="K26" s="107"/>
      <c r="L26" s="463">
        <v>908</v>
      </c>
      <c r="M26" s="490"/>
      <c r="N26" s="160">
        <v>0</v>
      </c>
      <c r="O26" s="546" cm="1">
        <f t="array" ref="O2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26" s="567" t="s">
        <v>797</v>
      </c>
      <c r="Q26" s="567"/>
      <c r="R26" s="499"/>
      <c r="S26" s="463" cm="1">
        <f t="array" ref="S2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149</v>
      </c>
      <c r="T26" s="34">
        <v>1</v>
      </c>
      <c r="U26" s="176"/>
      <c r="V2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5.0102000000000002</v>
      </c>
      <c r="W26" s="557"/>
      <c r="X26" s="545"/>
      <c r="Y26" s="548" t="s">
        <v>853</v>
      </c>
      <c r="Z26" s="22" t="s">
        <v>458</v>
      </c>
      <c r="AA26" s="562"/>
      <c r="AB26" cm="1">
        <f t="array" ref="AB26">ROW()-ROW(Contract_Edits[#Headers])</f>
        <v>2</v>
      </c>
      <c r="AC26">
        <f>IF(Contract_Edits[[#This Row],[RowPos]]&gt;1, Contract_Edits[[#This Row],[RowPos]]-1, 0)</f>
        <v>1</v>
      </c>
      <c r="AD26" s="35">
        <f>IF(N(Contract_Edits[[#This Row],[Dep]])=0, N(Contract_Edits[[#This Row],[Index]]), N(Contract_Edits[[#This Row],[Dep]]))</f>
        <v>149</v>
      </c>
      <c r="AE26" s="35" cm="1">
        <f t="array" ref="AE26">IF(OR(Contract_Edits[[#This Row],[Dep]]=0, TRIM(Contract_Edits[[#This Row],[Dep]])=""),
   0,
   IFERROR(
      _xlfn.XLOOKUP(1, (Contract_Edits[Dep]=Contract_Edits[[#This Row],[Dep]])*(Contract_Edits[RowPos]&lt;Contract_Edits[[#This Row],[RowPos]]), Contract_Edits[RowPos], , 0, -1),
      0
   )
)</f>
        <v>1</v>
      </c>
      <c r="AF26" s="35">
        <f>IF(OR(Contract_Edits[[#This Row],[Dep]]=0,Contract_Edits[[#This Row],[Dep]]=""),0,
   COUNTIFS(Contract_Edits[Dep],Contract_Edits[[#This Row],[Dep]],Contract_Edits[RowPos],"&lt;="&amp;Contract_Edits[[#This Row],[RowPos]],Contract_Edits[Approve],"Yes")
)</f>
        <v>2</v>
      </c>
      <c r="AG26" s="517">
        <f>--(
  ISNUMBER(SEARCH("BASE PARENT", UPPER(CLEAN(TRIM(_xlfn.XLOOKUP(TEXT(Contract_Edits[[#This Row],[Index]],"0"), baseIdxTxt, baseCost, "")))))) +
  ISNUMBER(SEARCH("DEPENDENCY GROUP", UPPER(CLEAN(TRIM(_xlfn.XLOOKUP(TEXT(Contract_Edits[[#This Row],[Index]],"0"), baseIdxTxt, baseCost, ""))))))
)</f>
        <v>0</v>
      </c>
      <c r="AH26" s="517" t="str" cm="1">
        <f t="array" ref="AH26">IF(Contract_Edits[[#This Row],[BaseFlag]]=1,
   10*BaseDepthL(TEXT(Contract_Edits[[#This Row],[Index]],"0"),500,editsIdxTxt,editsParentKeyTxt,baseIdxTxt,baseCost)-5,
   ""
)</f>
        <v/>
      </c>
      <c r="AI26" s="517" cm="1">
        <f t="array" ref="AI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J26" s="517" t="str">
        <f>IF(Contract_Edits[[#This Row],[Dep]]=0,"Root",
   IF(ISNUMBER(MATCH(Contract_Edits[[#This Row],[Dep]],Contract_Edits[Index],0)),"OK","Missing")
)</f>
        <v>OK</v>
      </c>
      <c r="AK26" s="517" t="str">
        <f>IF(AND(Contract_Edits[[#This Row],[Dep]]&lt;&gt;0,
        ISNUMBER(MATCH(Contract_Edits[[#This Row],[Dep]], Contract_Edits[Index], 0)),
        INDEX(Contract_Edits[Dep], MATCH(Contract_Edits[[#This Row],[Dep]], Contract_Edits[Index], 0))=Contract_Edits[[#This Row],[Index]]),
   "2-cycle","")</f>
        <v/>
      </c>
      <c r="AL26" s="517" cm="1">
        <f t="array" ref="AL26">IF(Contract_Edits[[#This Row],[BaseFlag]]&lt;&gt;1,0,
   IF(TEXT(Contract_Edits[[#This Row],[Dep]],"0")=TEXT(Contract_Edits[[#This Row],[Index]],"0"),
      0,
      MAX(0, SUMPRODUCT(--(Contract_Edits[BaseFlag]=1),
                        --(TEXT(Contract_Edits[Dep],"0")=TEXT(Contract_Edits[[#This Row],[Dep]],"0"))) - 1)
   )
)</f>
        <v>0</v>
      </c>
      <c r="AM26" s="517" t="str" cm="1">
        <f t="array" ref="AM26">IF(Contract_Edits[[#This Row],[BaseFlag]]=1,
   TEXT(Contract_Edits[[#This Row],[Index]],"0"),
   NearestBaseL(TEXT(Contract_Edits[[#This Row],[ParentKey]],"0"),500,editsIdxTxt,editsParentKeyTxt,baseIdxTxt,baseCost)
)</f>
        <v>149</v>
      </c>
      <c r="AN26" s="517" cm="1">
        <f t="array" ref="AN26">1+SUMPRODUCT(
  (Contract_Edits[BaseFlag]=1)*
  (TEXT(Contract_Edits[ParentAnchor],"0")=TEXT(Contract_Edits[[#This Row],[ParentAnchor]],"0"))*
  (VALUE(TEXT(Contract_Edits[Index],"0"))&lt;VALUE(TEXT(Contract_Edits[[#This Row],[Index]],"0")))
)</f>
        <v>3</v>
      </c>
      <c r="AO26" s="35"/>
      <c r="AP26" s="35" t="str">
        <f ca="1">IFERROR(+IF(AP$24=#REF!,Milestone_Marker,IF(AND(AP$24&gt;#REF!,AP$24&lt;#REF!+#REF!),#REF!,"")),"")</f>
        <v/>
      </c>
      <c r="AQ26" s="35" t="str">
        <f ca="1">IFERROR(+IF(AQ$24=#REF!,Milestone_Marker,IF(AND(AQ$24&gt;#REF!,AQ$24&lt;#REF!+#REF!),#REF!,"")),"")</f>
        <v/>
      </c>
      <c r="AR26" s="35" t="str">
        <f ca="1">IFERROR(+IF(AR$24=#REF!,Milestone_Marker,IF(AND(AR$24&gt;#REF!,AR$24&lt;#REF!+#REF!),#REF!,"")),"")</f>
        <v/>
      </c>
      <c r="AS26" s="35" t="str">
        <f ca="1">IFERROR(+IF(AS$24=#REF!,Milestone_Marker,IF(AND(AS$24&gt;#REF!,AS$24&lt;#REF!+#REF!),#REF!,"")),"")</f>
        <v/>
      </c>
      <c r="AT26" s="35" t="str">
        <f ca="1">IFERROR(+IF(AT$24=#REF!,Milestone_Marker,IF(AND(AT$24&gt;#REF!,AT$24&lt;#REF!+#REF!),#REF!,"")),"")</f>
        <v/>
      </c>
      <c r="AU26" s="35" t="str">
        <f ca="1">IFERROR(+IF(AU$24=#REF!,Milestone_Marker,IF(AND(AU$24&gt;#REF!,AU$24&lt;#REF!+#REF!),#REF!,"")),"")</f>
        <v/>
      </c>
      <c r="AV26" s="35" t="str">
        <f ca="1">IFERROR(+IF(AV$24=#REF!,Milestone_Marker,IF(AND(AV$24&gt;#REF!,AV$24&lt;#REF!+#REF!),#REF!,"")),"")</f>
        <v/>
      </c>
      <c r="AW26" s="35" t="str">
        <f ca="1">IFERROR(+IF(AW$24=#REF!,Milestone_Marker,IF(AND(AW$24&gt;#REF!,AW$24&lt;#REF!+#REF!),#REF!,"")),"")</f>
        <v/>
      </c>
      <c r="AX26" s="35" t="str">
        <f ca="1">IFERROR(+IF(AX$24=#REF!,Milestone_Marker,IF(AND(AX$24&gt;#REF!,AX$24&lt;#REF!+#REF!),#REF!,"")),"")</f>
        <v/>
      </c>
      <c r="AY26" s="35" t="str">
        <f ca="1">IFERROR(+IF(AY$24=#REF!,Milestone_Marker,IF(AND(AY$24&gt;#REF!,AY$24&lt;#REF!+#REF!),#REF!,"")),"")</f>
        <v/>
      </c>
      <c r="AZ26" s="35" t="str">
        <f ca="1">IFERROR(+IF(AZ$24=#REF!,Milestone_Marker,IF(AND(AZ$24&gt;#REF!,AZ$24&lt;#REF!+#REF!),#REF!,"")),"")</f>
        <v/>
      </c>
      <c r="BA26" s="35" t="str">
        <f ca="1">IFERROR(+IF(BA$24=#REF!,Milestone_Marker,IF(AND(BA$24&gt;#REF!,BA$24&lt;#REF!+#REF!),#REF!,"")),"")</f>
        <v/>
      </c>
      <c r="BB26" s="35" t="str">
        <f ca="1">IFERROR(+IF(BB$24=#REF!,Milestone_Marker,IF(AND(BB$24&gt;#REF!,BB$24&lt;#REF!+#REF!),#REF!,"")),"")</f>
        <v/>
      </c>
      <c r="BC26" s="35" t="str">
        <f ca="1">IFERROR(+IF(BC$24=#REF!,Milestone_Marker,IF(AND(BC$24&gt;#REF!,BC$24&lt;#REF!+#REF!),#REF!,"")),"")</f>
        <v/>
      </c>
      <c r="BD26" s="35" t="str">
        <f ca="1">IFERROR(+IF(BD$24=#REF!,Milestone_Marker,IF(AND(BD$24&gt;#REF!,BD$24&lt;#REF!+#REF!),#REF!,"")),"")</f>
        <v/>
      </c>
      <c r="BE26" s="35" t="str">
        <f ca="1">IFERROR(+IF(BE$24=#REF!,Milestone_Marker,IF(AND(BE$24&gt;#REF!,BE$24&lt;#REF!+#REF!),#REF!,"")),"")</f>
        <v/>
      </c>
      <c r="BF26" s="35" t="str">
        <f ca="1">IFERROR(+IF(BF$24=#REF!,Milestone_Marker,IF(AND(BF$24&gt;#REF!,BF$24&lt;#REF!+#REF!),#REF!,"")),"")</f>
        <v/>
      </c>
      <c r="BG26" s="35" t="str">
        <f ca="1">IFERROR(+IF(BG$24=#REF!,Milestone_Marker,IF(AND(BG$24&gt;#REF!,BG$24&lt;#REF!+#REF!),#REF!,"")),"")</f>
        <v/>
      </c>
      <c r="BH26" s="35" t="str">
        <f ca="1">IFERROR(+IF(BH$24=#REF!,Milestone_Marker,IF(AND(BH$24&gt;#REF!,BH$24&lt;#REF!+#REF!),#REF!,"")),"")</f>
        <v/>
      </c>
      <c r="BI26" s="35" t="str">
        <f ca="1">IFERROR(+IF(BI$24=#REF!,Milestone_Marker,IF(AND(BI$24&gt;#REF!,BI$24&lt;#REF!+#REF!),#REF!,"")),"")</f>
        <v/>
      </c>
      <c r="BJ26" s="35" t="str">
        <f ca="1">IFERROR(+IF(BJ$24=#REF!,Milestone_Marker,IF(AND(BJ$24&gt;#REF!,BJ$24&lt;#REF!+#REF!),#REF!,"")),"")</f>
        <v/>
      </c>
      <c r="BK26" s="35" t="str">
        <f ca="1">IFERROR(+IF(BK$24=#REF!,Milestone_Marker,IF(AND(BK$24&gt;#REF!,BK$24&lt;#REF!+#REF!),#REF!,"")),"")</f>
        <v/>
      </c>
      <c r="BL26" s="35" t="str">
        <f ca="1">IFERROR(+IF(BL$24=#REF!,Milestone_Marker,IF(AND(BL$24&gt;#REF!,BL$24&lt;#REF!+#REF!),#REF!,"")),"")</f>
        <v/>
      </c>
      <c r="BM26" s="35" t="str">
        <f ca="1">IFERROR(+IF(BM$24=#REF!,Milestone_Marker,IF(AND(BM$24&gt;#REF!,BM$24&lt;#REF!+#REF!),#REF!,"")),"")</f>
        <v/>
      </c>
      <c r="BN26" s="35" t="str">
        <f ca="1">IFERROR(+IF(BN$24=#REF!,Milestone_Marker,IF(AND(BN$24&gt;#REF!,BN$24&lt;#REF!+#REF!),#REF!,"")),"")</f>
        <v/>
      </c>
      <c r="BO26" s="35" t="str">
        <f ca="1">IFERROR(+IF(BO$24=#REF!,Milestone_Marker,IF(AND(BO$24&gt;#REF!,BO$24&lt;#REF!+#REF!),#REF!,"")),"")</f>
        <v/>
      </c>
      <c r="BP26" s="35" t="str">
        <f ca="1">IFERROR(+IF(BP$24=#REF!,Milestone_Marker,IF(AND(BP$24&gt;#REF!,BP$24&lt;#REF!+#REF!),#REF!,"")),"")</f>
        <v/>
      </c>
      <c r="BQ26" s="35" t="str">
        <f ca="1">IFERROR(+IF(BQ$24=#REF!,Milestone_Marker,IF(AND(BQ$24&gt;#REF!,BQ$24&lt;#REF!+#REF!),#REF!,"")),"")</f>
        <v/>
      </c>
      <c r="BR26" s="35" t="str">
        <f ca="1">IFERROR(+IF(BR$24=#REF!,Milestone_Marker,IF(AND(BR$24&gt;#REF!,BR$24&lt;#REF!+#REF!),#REF!,"")),"")</f>
        <v/>
      </c>
      <c r="BS26" s="35" t="str">
        <f ca="1">IFERROR(+IF(BS$24=#REF!,Milestone_Marker,IF(AND(BS$24&gt;#REF!,BS$24&lt;#REF!+#REF!),#REF!,"")),"")</f>
        <v/>
      </c>
      <c r="BT26" s="35" t="str">
        <f ca="1">IFERROR(+IF(BT$24=#REF!,Milestone_Marker,IF(AND(BT$24&gt;#REF!,BT$24&lt;#REF!+#REF!),#REF!,"")),"")</f>
        <v/>
      </c>
      <c r="BU26" s="35" t="str">
        <f ca="1">IFERROR(+IF(BU$24=#REF!,Milestone_Marker,IF(AND(BU$24&gt;#REF!,BU$24&lt;#REF!+#REF!),#REF!,"")),"")</f>
        <v/>
      </c>
      <c r="BV26" s="35" t="str">
        <f ca="1">IFERROR(+IF(BV$24=#REF!,Milestone_Marker,IF(AND(BV$24&gt;#REF!,BV$24&lt;#REF!+#REF!),#REF!,"")),"")</f>
        <v/>
      </c>
      <c r="BW26" s="35" t="str">
        <f ca="1">IFERROR(+IF(BW$24=#REF!,Milestone_Marker,IF(AND(BW$24&gt;#REF!,BW$24&lt;#REF!+#REF!),#REF!,"")),"")</f>
        <v/>
      </c>
      <c r="BX26" s="35" t="str">
        <f ca="1">IFERROR(+IF(BX$24=#REF!,Milestone_Marker,IF(AND(BX$24&gt;#REF!,BX$24&lt;#REF!+#REF!),#REF!,"")),"")</f>
        <v/>
      </c>
      <c r="BY26" s="35" t="str">
        <f ca="1">IFERROR(+IF(BY$24=#REF!,Milestone_Marker,IF(AND(BY$24&gt;#REF!,BY$24&lt;#REF!+#REF!),#REF!,"")),"")</f>
        <v/>
      </c>
      <c r="BZ26" s="35" t="str">
        <f ca="1">IFERROR(+IF(BZ$24=#REF!,Milestone_Marker,IF(AND(BZ$24&gt;#REF!,BZ$24&lt;#REF!+#REF!),#REF!,"")),"")</f>
        <v/>
      </c>
      <c r="CA26" s="35" t="str">
        <f ca="1">IFERROR(+IF(CA$24=#REF!,Milestone_Marker,IF(AND(CA$24&gt;#REF!,CA$24&lt;#REF!+#REF!),#REF!,"")),"")</f>
        <v/>
      </c>
      <c r="CB26" s="35" t="str">
        <f ca="1">IFERROR(+IF(CB$24=#REF!,Milestone_Marker,IF(AND(CB$24&gt;#REF!,CB$24&lt;#REF!+#REF!),#REF!,"")),"")</f>
        <v/>
      </c>
      <c r="CC26" s="35" t="str">
        <f ca="1">IFERROR(+IF(CC$24=#REF!,Milestone_Marker,IF(AND(CC$24&gt;#REF!,CC$24&lt;#REF!+#REF!),#REF!,"")),"")</f>
        <v/>
      </c>
      <c r="CD26" s="35" t="str">
        <f ca="1">IFERROR(+IF(CD$24=#REF!,Milestone_Marker,IF(AND(CD$24&gt;#REF!,CD$24&lt;#REF!+#REF!),#REF!,"")),"")</f>
        <v/>
      </c>
      <c r="CE26" s="35" t="str">
        <f ca="1">IFERROR(+IF(CE$24=#REF!,Milestone_Marker,IF(AND(CE$24&gt;#REF!,CE$24&lt;#REF!+#REF!),#REF!,"")),"")</f>
        <v/>
      </c>
      <c r="CF26" s="35" t="str">
        <f ca="1">IFERROR(+IF(CF$24=#REF!,Milestone_Marker,IF(AND(CF$24&gt;#REF!,CF$24&lt;#REF!+#REF!),#REF!,"")),"")</f>
        <v/>
      </c>
      <c r="CG26" s="35" t="str">
        <f ca="1">IFERROR(+IF(CG$24=#REF!,Milestone_Marker,IF(AND(CG$24&gt;#REF!,CG$24&lt;#REF!+#REF!),#REF!,"")),"")</f>
        <v/>
      </c>
      <c r="CH26" s="35" t="str">
        <f ca="1">IFERROR(+IF(CH$24=#REF!,Milestone_Marker,IF(AND(CH$24&gt;#REF!,CH$24&lt;#REF!+#REF!),#REF!,"")),"")</f>
        <v/>
      </c>
      <c r="CI26" s="35" t="str">
        <f ca="1">IFERROR(+IF(CI$24=#REF!,Milestone_Marker,IF(AND(CI$24&gt;#REF!,CI$24&lt;#REF!+#REF!),#REF!,"")),"")</f>
        <v/>
      </c>
      <c r="CJ26" s="35" t="str">
        <f ca="1">IFERROR(+IF(CJ$24=#REF!,Milestone_Marker,IF(AND(CJ$24&gt;#REF!,CJ$24&lt;#REF!+#REF!),#REF!,"")),"")</f>
        <v/>
      </c>
      <c r="CK26" s="35" t="str">
        <f ca="1">IFERROR(+IF(CK$24=#REF!,Milestone_Marker,IF(AND(CK$24&gt;#REF!,CK$24&lt;#REF!+#REF!),#REF!,"")),"")</f>
        <v/>
      </c>
      <c r="CL26" s="35" t="str">
        <f ca="1">IFERROR(+IF(CL$24=#REF!,Milestone_Marker,IF(AND(CL$24&gt;#REF!,CL$24&lt;#REF!+#REF!),#REF!,"")),"")</f>
        <v/>
      </c>
      <c r="CM26" s="35" t="str">
        <f ca="1">IFERROR(+IF(CM$24=#REF!,Milestone_Marker,IF(AND(CM$24&gt;#REF!,CM$24&lt;#REF!+#REF!),#REF!,"")),"")</f>
        <v/>
      </c>
      <c r="CN26" s="35" t="str">
        <f ca="1">IFERROR(+IF(CN$24=#REF!,Milestone_Marker,IF(AND(CN$24&gt;#REF!,CN$24&lt;#REF!+#REF!),#REF!,"")),"")</f>
        <v/>
      </c>
      <c r="CO26" s="35" t="str">
        <f ca="1">IFERROR(+IF(CO$24=#REF!,Milestone_Marker,IF(AND(CO$24&gt;#REF!,CO$24&lt;#REF!+#REF!),#REF!,"")),"")</f>
        <v/>
      </c>
      <c r="CP26" s="35" t="str">
        <f ca="1">IFERROR(+IF(CP$24=#REF!,Milestone_Marker,IF(AND(CP$24&gt;#REF!,CP$24&lt;#REF!+#REF!),#REF!,"")),"")</f>
        <v/>
      </c>
      <c r="CQ26" s="35" t="str">
        <f ca="1">IFERROR(+IF(CQ$24=#REF!,Milestone_Marker,IF(AND(CQ$24&gt;#REF!,CQ$24&lt;#REF!+#REF!),#REF!,"")),"")</f>
        <v/>
      </c>
      <c r="CR26" s="35" t="str">
        <f ca="1">IFERROR(+IF(CR$24=#REF!,Milestone_Marker,IF(AND(CR$24&gt;#REF!,CR$24&lt;#REF!+#REF!),#REF!,"")),"")</f>
        <v/>
      </c>
      <c r="CS26" s="35" t="str">
        <f ca="1">IFERROR(+IF(CS$24=#REF!,Milestone_Marker,IF(AND(CS$24&gt;#REF!,CS$24&lt;#REF!+#REF!),#REF!,"")),"")</f>
        <v/>
      </c>
      <c r="CT26" s="35" t="str">
        <f ca="1">IFERROR(+IF(CT$24=#REF!,Milestone_Marker,IF(AND(CT$24&gt;#REF!,CT$24&lt;#REF!+#REF!),#REF!,"")),"")</f>
        <v/>
      </c>
      <c r="CU26" s="35" t="str">
        <f ca="1">IFERROR(+IF(CU$24=#REF!,Milestone_Marker,IF(AND(CU$24&gt;#REF!,CU$24&lt;#REF!+#REF!),#REF!,"")),"")</f>
        <v/>
      </c>
      <c r="CV26" s="35" t="str">
        <f ca="1">IFERROR(+IF(CV$24=#REF!,Milestone_Marker,IF(AND(CV$24&gt;#REF!,CV$24&lt;#REF!+#REF!),#REF!,"")),"")</f>
        <v/>
      </c>
      <c r="CW26" s="35" t="str">
        <f ca="1">IFERROR(+IF(CW$24=#REF!,Milestone_Marker,IF(AND(CW$24&gt;#REF!,CW$24&lt;#REF!+#REF!),#REF!,"")),"")</f>
        <v/>
      </c>
      <c r="CX26" s="35" t="str">
        <f ca="1">IFERROR(+IF(CX$24=#REF!,Milestone_Marker,IF(AND(CX$24&gt;#REF!,CX$24&lt;#REF!+#REF!),#REF!,"")),"")</f>
        <v/>
      </c>
      <c r="CY26" s="35" t="str">
        <f ca="1">IFERROR(+IF(CY$24=#REF!,Milestone_Marker,IF(AND(CY$24&gt;#REF!,CY$24&lt;#REF!+#REF!),#REF!,"")),"")</f>
        <v/>
      </c>
      <c r="CZ26" s="35" t="str">
        <f ca="1">IFERROR(+IF(CZ$24=#REF!,Milestone_Marker,IF(AND(CZ$24&gt;#REF!,CZ$24&lt;#REF!+#REF!),#REF!,"")),"")</f>
        <v/>
      </c>
      <c r="DA26" s="35" t="str">
        <f ca="1">IFERROR(+IF(DA$24=#REF!,Milestone_Marker,IF(AND(DA$24&gt;#REF!,DA$24&lt;#REF!+#REF!),#REF!,"")),"")</f>
        <v/>
      </c>
      <c r="DB26" s="35" t="str">
        <f ca="1">IFERROR(+IF(DB$24=#REF!,Milestone_Marker,IF(AND(DB$24&gt;#REF!,DB$24&lt;#REF!+#REF!),#REF!,"")),"")</f>
        <v/>
      </c>
      <c r="DC26" s="35" t="str">
        <f ca="1">IFERROR(+IF(DC$24=#REF!,Milestone_Marker,IF(AND(DC$24&gt;#REF!,DC$24&lt;#REF!+#REF!),#REF!,"")),"")</f>
        <v/>
      </c>
      <c r="DD26" s="35" t="str">
        <f ca="1">IFERROR(+IF(DD$24=#REF!,Milestone_Marker,IF(AND(DD$24&gt;#REF!,DD$24&lt;#REF!+#REF!),#REF!,"")),"")</f>
        <v/>
      </c>
      <c r="DE26" s="35" t="str">
        <f ca="1">IFERROR(+IF(DE$24=#REF!,Milestone_Marker,IF(AND(DE$24&gt;#REF!,DE$24&lt;#REF!+#REF!),#REF!,"")),"")</f>
        <v/>
      </c>
      <c r="DF26" s="35"/>
      <c r="DG26" s="35"/>
      <c r="DH26" s="35"/>
      <c r="DI26" s="35"/>
      <c r="DJ26" s="35"/>
      <c r="DK26" s="35"/>
      <c r="DL26" s="35"/>
      <c r="DM26" s="35"/>
      <c r="DN26" s="35"/>
      <c r="DO26" s="35"/>
      <c r="DP26" s="35"/>
      <c r="DQ26" s="35"/>
      <c r="DR26" s="35"/>
      <c r="DS26" s="35"/>
      <c r="DT26" s="35"/>
      <c r="DU26" s="35"/>
      <c r="DV26" s="35"/>
      <c r="DW26" s="35"/>
      <c r="DX26" s="35"/>
      <c r="DY26" s="35"/>
      <c r="DZ26" s="35"/>
      <c r="EA26" s="35"/>
      <c r="EB26" s="35"/>
      <c r="EC26" s="35"/>
      <c r="ED26" s="35"/>
      <c r="EE26" s="35"/>
    </row>
    <row r="27" spans="1:157" s="40" customFormat="1" ht="15">
      <c r="A27" t="s">
        <v>519</v>
      </c>
      <c r="B27" t="s">
        <v>517</v>
      </c>
      <c r="C27" t="s">
        <v>537</v>
      </c>
      <c r="D27" s="458" t="s">
        <v>740</v>
      </c>
      <c r="E27" s="458">
        <v>0</v>
      </c>
      <c r="F27">
        <v>2175</v>
      </c>
      <c r="G27">
        <v>0</v>
      </c>
      <c r="H27">
        <v>149</v>
      </c>
      <c r="I27"/>
      <c r="J27">
        <v>146</v>
      </c>
      <c r="K27" s="107"/>
      <c r="L27" s="463">
        <v>146</v>
      </c>
      <c r="M27" s="490"/>
      <c r="N27" s="160">
        <v>0</v>
      </c>
      <c r="O27" s="546" cm="1">
        <f t="array" ref="O2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27" s="567" t="s">
        <v>797</v>
      </c>
      <c r="Q27" s="567"/>
      <c r="R27" s="499"/>
      <c r="S27" s="463" cm="1">
        <f t="array" ref="S2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149</v>
      </c>
      <c r="T27" s="34">
        <v>1</v>
      </c>
      <c r="U27" s="490"/>
      <c r="V2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5.0103</v>
      </c>
      <c r="W27" s="557"/>
      <c r="X27" s="545"/>
      <c r="Y27" s="548" t="s">
        <v>853</v>
      </c>
      <c r="Z27" s="160" t="s">
        <v>458</v>
      </c>
      <c r="AA27" s="563">
        <v>100300</v>
      </c>
      <c r="AB27" cm="1">
        <f t="array" ref="AB27">ROW()-ROW(Contract_Edits[#Headers])</f>
        <v>3</v>
      </c>
      <c r="AC27">
        <f>IF(Contract_Edits[[#This Row],[RowPos]]&gt;1, Contract_Edits[[#This Row],[RowPos]]-1, 0)</f>
        <v>2</v>
      </c>
      <c r="AD27" s="35">
        <f>IF(N(Contract_Edits[[#This Row],[Dep]])=0, N(Contract_Edits[[#This Row],[Index]]), N(Contract_Edits[[#This Row],[Dep]]))</f>
        <v>149</v>
      </c>
      <c r="AE27" s="35" cm="1">
        <f t="array" ref="AE27">IF(OR(Contract_Edits[[#This Row],[Dep]]=0, TRIM(Contract_Edits[[#This Row],[Dep]])=""),
   0,
   IFERROR(
      _xlfn.XLOOKUP(1, (Contract_Edits[Dep]=Contract_Edits[[#This Row],[Dep]])*(Contract_Edits[RowPos]&lt;Contract_Edits[[#This Row],[RowPos]]), Contract_Edits[RowPos], , 0, -1),
      0
   )
)</f>
        <v>2</v>
      </c>
      <c r="AF27" s="35">
        <f>IF(OR(Contract_Edits[[#This Row],[Dep]]=0,Contract_Edits[[#This Row],[Dep]]=""),0,
   COUNTIFS(Contract_Edits[Dep],Contract_Edits[[#This Row],[Dep]],Contract_Edits[RowPos],"&lt;="&amp;Contract_Edits[[#This Row],[RowPos]],Contract_Edits[Approve],"Yes")
)</f>
        <v>3</v>
      </c>
      <c r="AG27" s="517">
        <f>--(
  ISNUMBER(SEARCH("BASE PARENT", UPPER(CLEAN(TRIM(_xlfn.XLOOKUP(TEXT(Contract_Edits[[#This Row],[Index]],"0"), baseIdxTxt, baseCost, "")))))) +
  ISNUMBER(SEARCH("DEPENDENCY GROUP", UPPER(CLEAN(TRIM(_xlfn.XLOOKUP(TEXT(Contract_Edits[[#This Row],[Index]],"0"), baseIdxTxt, baseCost, ""))))))
)</f>
        <v>0</v>
      </c>
      <c r="AH27" s="517" t="str" cm="1">
        <f t="array" ref="AH27">IF(Contract_Edits[[#This Row],[BaseFlag]]=1,
   10*BaseDepthL(TEXT(Contract_Edits[[#This Row],[Index]],"0"),500,editsIdxTxt,editsParentKeyTxt,baseIdxTxt,baseCost)-5,
   ""
)</f>
        <v/>
      </c>
      <c r="AI27" s="517" cm="1">
        <f t="array" ref="AI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J27" s="517" t="str">
        <f>IF(Contract_Edits[[#This Row],[Dep]]=0,"Root",
   IF(ISNUMBER(MATCH(Contract_Edits[[#This Row],[Dep]],Contract_Edits[Index],0)),"OK","Missing")
)</f>
        <v>OK</v>
      </c>
      <c r="AK27" s="517" t="str">
        <f>IF(AND(Contract_Edits[[#This Row],[Dep]]&lt;&gt;0,
        ISNUMBER(MATCH(Contract_Edits[[#This Row],[Dep]], Contract_Edits[Index], 0)),
        INDEX(Contract_Edits[Dep], MATCH(Contract_Edits[[#This Row],[Dep]], Contract_Edits[Index], 0))=Contract_Edits[[#This Row],[Index]]),
   "2-cycle","")</f>
        <v/>
      </c>
      <c r="AL27" s="517" cm="1">
        <f t="array" ref="AL27">IF(Contract_Edits[[#This Row],[BaseFlag]]&lt;&gt;1,0,
   IF(TEXT(Contract_Edits[[#This Row],[Dep]],"0")=TEXT(Contract_Edits[[#This Row],[Index]],"0"),
      0,
      MAX(0, SUMPRODUCT(--(Contract_Edits[BaseFlag]=1),
                        --(TEXT(Contract_Edits[Dep],"0")=TEXT(Contract_Edits[[#This Row],[Dep]],"0"))) - 1)
   )
)</f>
        <v>0</v>
      </c>
      <c r="AM27" s="517" t="str" cm="1">
        <f t="array" ref="AM27">IF(Contract_Edits[[#This Row],[BaseFlag]]=1,
   TEXT(Contract_Edits[[#This Row],[Index]],"0"),
   NearestBaseL(TEXT(Contract_Edits[[#This Row],[ParentKey]],"0"),500,editsIdxTxt,editsParentKeyTxt,baseIdxTxt,baseCost)
)</f>
        <v>149</v>
      </c>
      <c r="AN27" s="517" cm="1">
        <f t="array" ref="AN27">1+SUMPRODUCT(
  (Contract_Edits[BaseFlag]=1)*
  (TEXT(Contract_Edits[ParentAnchor],"0")=TEXT(Contract_Edits[[#This Row],[ParentAnchor]],"0"))*
  (VALUE(TEXT(Contract_Edits[Index],"0"))&lt;VALUE(TEXT(Contract_Edits[[#This Row],[Index]],"0")))
)</f>
        <v>1</v>
      </c>
      <c r="AO27" s="35"/>
      <c r="AP27" s="35" t="str">
        <f ca="1">IFERROR(+IF(AP$24=#REF!,Milestone_Marker,IF(AND(AP$24&gt;#REF!,AP$24&lt;#REF!+#REF!),#REF!,"")),"")</f>
        <v/>
      </c>
      <c r="AQ27" s="35" t="str">
        <f ca="1">IFERROR(+IF(AQ$24=#REF!,Milestone_Marker,IF(AND(AQ$24&gt;#REF!,AQ$24&lt;#REF!+#REF!),#REF!,"")),"")</f>
        <v/>
      </c>
      <c r="AR27" s="35" t="str">
        <f ca="1">IFERROR(+IF(AR$24=#REF!,Milestone_Marker,IF(AND(AR$24&gt;#REF!,AR$24&lt;#REF!+#REF!),#REF!,"")),"")</f>
        <v/>
      </c>
      <c r="AS27" s="35" t="str">
        <f ca="1">IFERROR(+IF(AS$24=#REF!,Milestone_Marker,IF(AND(AS$24&gt;#REF!,AS$24&lt;#REF!+#REF!),#REF!,"")),"")</f>
        <v/>
      </c>
      <c r="AT27" s="35" t="str">
        <f ca="1">IFERROR(+IF(AT$24=#REF!,Milestone_Marker,IF(AND(AT$24&gt;#REF!,AT$24&lt;#REF!+#REF!),#REF!,"")),"")</f>
        <v/>
      </c>
      <c r="AU27" s="35" t="str">
        <f ca="1">IFERROR(+IF(AU$24=#REF!,Milestone_Marker,IF(AND(AU$24&gt;#REF!,AU$24&lt;#REF!+#REF!),#REF!,"")),"")</f>
        <v/>
      </c>
      <c r="AV27" s="35" t="str">
        <f ca="1">IFERROR(+IF(AV$24=#REF!,Milestone_Marker,IF(AND(AV$24&gt;#REF!,AV$24&lt;#REF!+#REF!),#REF!,"")),"")</f>
        <v/>
      </c>
      <c r="AW27" s="35" t="str">
        <f ca="1">IFERROR(+IF(AW$24=#REF!,Milestone_Marker,IF(AND(AW$24&gt;#REF!,AW$24&lt;#REF!+#REF!),#REF!,"")),"")</f>
        <v/>
      </c>
      <c r="AX27" s="35" t="str">
        <f ca="1">IFERROR(+IF(AX$24=#REF!,Milestone_Marker,IF(AND(AX$24&gt;#REF!,AX$24&lt;#REF!+#REF!),#REF!,"")),"")</f>
        <v/>
      </c>
      <c r="AY27" s="35" t="str">
        <f ca="1">IFERROR(+IF(AY$24=#REF!,Milestone_Marker,IF(AND(AY$24&gt;#REF!,AY$24&lt;#REF!+#REF!),#REF!,"")),"")</f>
        <v/>
      </c>
      <c r="AZ27" s="35" t="str">
        <f ca="1">IFERROR(+IF(AZ$24=#REF!,Milestone_Marker,IF(AND(AZ$24&gt;#REF!,AZ$24&lt;#REF!+#REF!),#REF!,"")),"")</f>
        <v/>
      </c>
      <c r="BA27" s="35" t="str">
        <f ca="1">IFERROR(+IF(BA$24=#REF!,Milestone_Marker,IF(AND(BA$24&gt;#REF!,BA$24&lt;#REF!+#REF!),#REF!,"")),"")</f>
        <v/>
      </c>
      <c r="BB27" s="35" t="str">
        <f ca="1">IFERROR(+IF(BB$24=#REF!,Milestone_Marker,IF(AND(BB$24&gt;#REF!,BB$24&lt;#REF!+#REF!),#REF!,"")),"")</f>
        <v/>
      </c>
      <c r="BC27" s="35" t="str">
        <f ca="1">IFERROR(+IF(BC$24=#REF!,Milestone_Marker,IF(AND(BC$24&gt;#REF!,BC$24&lt;#REF!+#REF!),#REF!,"")),"")</f>
        <v/>
      </c>
      <c r="BD27" s="35" t="str">
        <f ca="1">IFERROR(+IF(BD$24=#REF!,Milestone_Marker,IF(AND(BD$24&gt;#REF!,BD$24&lt;#REF!+#REF!),#REF!,"")),"")</f>
        <v/>
      </c>
      <c r="BE27" s="35" t="str">
        <f ca="1">IFERROR(+IF(BE$24=#REF!,Milestone_Marker,IF(AND(BE$24&gt;#REF!,BE$24&lt;#REF!+#REF!),#REF!,"")),"")</f>
        <v/>
      </c>
      <c r="BF27" s="35" t="str">
        <f ca="1">IFERROR(+IF(BF$24=#REF!,Milestone_Marker,IF(AND(BF$24&gt;#REF!,BF$24&lt;#REF!+#REF!),#REF!,"")),"")</f>
        <v/>
      </c>
      <c r="BG27" s="35" t="str">
        <f ca="1">IFERROR(+IF(BG$24=#REF!,Milestone_Marker,IF(AND(BG$24&gt;#REF!,BG$24&lt;#REF!+#REF!),#REF!,"")),"")</f>
        <v/>
      </c>
      <c r="BH27" s="35" t="str">
        <f ca="1">IFERROR(+IF(BH$24=#REF!,Milestone_Marker,IF(AND(BH$24&gt;#REF!,BH$24&lt;#REF!+#REF!),#REF!,"")),"")</f>
        <v/>
      </c>
      <c r="BI27" s="35" t="str">
        <f ca="1">IFERROR(+IF(BI$24=#REF!,Milestone_Marker,IF(AND(BI$24&gt;#REF!,BI$24&lt;#REF!+#REF!),#REF!,"")),"")</f>
        <v/>
      </c>
      <c r="BJ27" s="35" t="str">
        <f ca="1">IFERROR(+IF(BJ$24=#REF!,Milestone_Marker,IF(AND(BJ$24&gt;#REF!,BJ$24&lt;#REF!+#REF!),#REF!,"")),"")</f>
        <v/>
      </c>
      <c r="BK27" s="35" t="str">
        <f ca="1">IFERROR(+IF(BK$24=#REF!,Milestone_Marker,IF(AND(BK$24&gt;#REF!,BK$24&lt;#REF!+#REF!),#REF!,"")),"")</f>
        <v/>
      </c>
      <c r="BL27" s="35" t="str">
        <f ca="1">IFERROR(+IF(BL$24=#REF!,Milestone_Marker,IF(AND(BL$24&gt;#REF!,BL$24&lt;#REF!+#REF!),#REF!,"")),"")</f>
        <v/>
      </c>
      <c r="BM27" s="35" t="str">
        <f ca="1">IFERROR(+IF(BM$24=#REF!,Milestone_Marker,IF(AND(BM$24&gt;#REF!,BM$24&lt;#REF!+#REF!),#REF!,"")),"")</f>
        <v/>
      </c>
      <c r="BN27" s="35" t="str">
        <f ca="1">IFERROR(+IF(BN$24=#REF!,Milestone_Marker,IF(AND(BN$24&gt;#REF!,BN$24&lt;#REF!+#REF!),#REF!,"")),"")</f>
        <v/>
      </c>
      <c r="BO27" s="35" t="str">
        <f ca="1">IFERROR(+IF(BO$24=#REF!,Milestone_Marker,IF(AND(BO$24&gt;#REF!,BO$24&lt;#REF!+#REF!),#REF!,"")),"")</f>
        <v/>
      </c>
      <c r="BP27" s="35" t="str">
        <f ca="1">IFERROR(+IF(BP$24=#REF!,Milestone_Marker,IF(AND(BP$24&gt;#REF!,BP$24&lt;#REF!+#REF!),#REF!,"")),"")</f>
        <v/>
      </c>
      <c r="BQ27" s="35" t="str">
        <f ca="1">IFERROR(+IF(BQ$24=#REF!,Milestone_Marker,IF(AND(BQ$24&gt;#REF!,BQ$24&lt;#REF!+#REF!),#REF!,"")),"")</f>
        <v/>
      </c>
      <c r="BR27" s="35" t="str">
        <f ca="1">IFERROR(+IF(BR$24=#REF!,Milestone_Marker,IF(AND(BR$24&gt;#REF!,BR$24&lt;#REF!+#REF!),#REF!,"")),"")</f>
        <v/>
      </c>
      <c r="BS27" s="35" t="str">
        <f ca="1">IFERROR(+IF(BS$24=#REF!,Milestone_Marker,IF(AND(BS$24&gt;#REF!,BS$24&lt;#REF!+#REF!),#REF!,"")),"")</f>
        <v/>
      </c>
      <c r="BT27" s="35" t="str">
        <f ca="1">IFERROR(+IF(BT$24=#REF!,Milestone_Marker,IF(AND(BT$24&gt;#REF!,BT$24&lt;#REF!+#REF!),#REF!,"")),"")</f>
        <v/>
      </c>
      <c r="BU27" s="35" t="str">
        <f ca="1">IFERROR(+IF(BU$24=#REF!,Milestone_Marker,IF(AND(BU$24&gt;#REF!,BU$24&lt;#REF!+#REF!),#REF!,"")),"")</f>
        <v/>
      </c>
      <c r="BV27" s="35" t="str">
        <f ca="1">IFERROR(+IF(BV$24=#REF!,Milestone_Marker,IF(AND(BV$24&gt;#REF!,BV$24&lt;#REF!+#REF!),#REF!,"")),"")</f>
        <v/>
      </c>
      <c r="BW27" s="35" t="str">
        <f ca="1">IFERROR(+IF(BW$24=#REF!,Milestone_Marker,IF(AND(BW$24&gt;#REF!,BW$24&lt;#REF!+#REF!),#REF!,"")),"")</f>
        <v/>
      </c>
      <c r="BX27" s="35" t="str">
        <f ca="1">IFERROR(+IF(BX$24=#REF!,Milestone_Marker,IF(AND(BX$24&gt;#REF!,BX$24&lt;#REF!+#REF!),#REF!,"")),"")</f>
        <v/>
      </c>
      <c r="BY27" s="35" t="str">
        <f ca="1">IFERROR(+IF(BY$24=#REF!,Milestone_Marker,IF(AND(BY$24&gt;#REF!,BY$24&lt;#REF!+#REF!),#REF!,"")),"")</f>
        <v/>
      </c>
      <c r="BZ27" s="35" t="str">
        <f ca="1">IFERROR(+IF(BZ$24=#REF!,Milestone_Marker,IF(AND(BZ$24&gt;#REF!,BZ$24&lt;#REF!+#REF!),#REF!,"")),"")</f>
        <v/>
      </c>
      <c r="CA27" s="35" t="str">
        <f ca="1">IFERROR(+IF(CA$24=#REF!,Milestone_Marker,IF(AND(CA$24&gt;#REF!,CA$24&lt;#REF!+#REF!),#REF!,"")),"")</f>
        <v/>
      </c>
      <c r="CB27" s="35" t="str">
        <f ca="1">IFERROR(+IF(CB$24=#REF!,Milestone_Marker,IF(AND(CB$24&gt;#REF!,CB$24&lt;#REF!+#REF!),#REF!,"")),"")</f>
        <v/>
      </c>
      <c r="CC27" s="35" t="str">
        <f ca="1">IFERROR(+IF(CC$24=#REF!,Milestone_Marker,IF(AND(CC$24&gt;#REF!,CC$24&lt;#REF!+#REF!),#REF!,"")),"")</f>
        <v/>
      </c>
      <c r="CD27" s="35" t="str">
        <f ca="1">IFERROR(+IF(CD$24=#REF!,Milestone_Marker,IF(AND(CD$24&gt;#REF!,CD$24&lt;#REF!+#REF!),#REF!,"")),"")</f>
        <v/>
      </c>
      <c r="CE27" s="35" t="str">
        <f ca="1">IFERROR(+IF(CE$24=#REF!,Milestone_Marker,IF(AND(CE$24&gt;#REF!,CE$24&lt;#REF!+#REF!),#REF!,"")),"")</f>
        <v/>
      </c>
      <c r="CF27" s="35" t="str">
        <f ca="1">IFERROR(+IF(CF$24=#REF!,Milestone_Marker,IF(AND(CF$24&gt;#REF!,CF$24&lt;#REF!+#REF!),#REF!,"")),"")</f>
        <v/>
      </c>
      <c r="CG27" s="35" t="str">
        <f ca="1">IFERROR(+IF(CG$24=#REF!,Milestone_Marker,IF(AND(CG$24&gt;#REF!,CG$24&lt;#REF!+#REF!),#REF!,"")),"")</f>
        <v/>
      </c>
      <c r="CH27" s="35" t="str">
        <f ca="1">IFERROR(+IF(CH$24=#REF!,Milestone_Marker,IF(AND(CH$24&gt;#REF!,CH$24&lt;#REF!+#REF!),#REF!,"")),"")</f>
        <v/>
      </c>
      <c r="CI27" s="35" t="str">
        <f ca="1">IFERROR(+IF(CI$24=#REF!,Milestone_Marker,IF(AND(CI$24&gt;#REF!,CI$24&lt;#REF!+#REF!),#REF!,"")),"")</f>
        <v/>
      </c>
      <c r="CJ27" s="35" t="str">
        <f ca="1">IFERROR(+IF(CJ$24=#REF!,Milestone_Marker,IF(AND(CJ$24&gt;#REF!,CJ$24&lt;#REF!+#REF!),#REF!,"")),"")</f>
        <v/>
      </c>
      <c r="CK27" s="35" t="str">
        <f ca="1">IFERROR(+IF(CK$24=#REF!,Milestone_Marker,IF(AND(CK$24&gt;#REF!,CK$24&lt;#REF!+#REF!),#REF!,"")),"")</f>
        <v/>
      </c>
      <c r="CL27" s="35" t="str">
        <f ca="1">IFERROR(+IF(CL$24=#REF!,Milestone_Marker,IF(AND(CL$24&gt;#REF!,CL$24&lt;#REF!+#REF!),#REF!,"")),"")</f>
        <v/>
      </c>
      <c r="CM27" s="35" t="str">
        <f ca="1">IFERROR(+IF(CM$24=#REF!,Milestone_Marker,IF(AND(CM$24&gt;#REF!,CM$24&lt;#REF!+#REF!),#REF!,"")),"")</f>
        <v/>
      </c>
      <c r="CN27" s="35" t="str">
        <f ca="1">IFERROR(+IF(CN$24=#REF!,Milestone_Marker,IF(AND(CN$24&gt;#REF!,CN$24&lt;#REF!+#REF!),#REF!,"")),"")</f>
        <v/>
      </c>
      <c r="CO27" s="35" t="str">
        <f ca="1">IFERROR(+IF(CO$24=#REF!,Milestone_Marker,IF(AND(CO$24&gt;#REF!,CO$24&lt;#REF!+#REF!),#REF!,"")),"")</f>
        <v/>
      </c>
      <c r="CP27" s="35" t="str">
        <f ca="1">IFERROR(+IF(CP$24=#REF!,Milestone_Marker,IF(AND(CP$24&gt;#REF!,CP$24&lt;#REF!+#REF!),#REF!,"")),"")</f>
        <v/>
      </c>
      <c r="CQ27" s="35" t="str">
        <f ca="1">IFERROR(+IF(CQ$24=#REF!,Milestone_Marker,IF(AND(CQ$24&gt;#REF!,CQ$24&lt;#REF!+#REF!),#REF!,"")),"")</f>
        <v/>
      </c>
      <c r="CR27" s="35" t="str">
        <f ca="1">IFERROR(+IF(CR$24=#REF!,Milestone_Marker,IF(AND(CR$24&gt;#REF!,CR$24&lt;#REF!+#REF!),#REF!,"")),"")</f>
        <v/>
      </c>
      <c r="CS27" s="35" t="str">
        <f ca="1">IFERROR(+IF(CS$24=#REF!,Milestone_Marker,IF(AND(CS$24&gt;#REF!,CS$24&lt;#REF!+#REF!),#REF!,"")),"")</f>
        <v/>
      </c>
      <c r="CT27" s="35" t="str">
        <f ca="1">IFERROR(+IF(CT$24=#REF!,Milestone_Marker,IF(AND(CT$24&gt;#REF!,CT$24&lt;#REF!+#REF!),#REF!,"")),"")</f>
        <v/>
      </c>
      <c r="CU27" s="35" t="str">
        <f ca="1">IFERROR(+IF(CU$24=#REF!,Milestone_Marker,IF(AND(CU$24&gt;#REF!,CU$24&lt;#REF!+#REF!),#REF!,"")),"")</f>
        <v/>
      </c>
      <c r="CV27" s="35" t="str">
        <f ca="1">IFERROR(+IF(CV$24=#REF!,Milestone_Marker,IF(AND(CV$24&gt;#REF!,CV$24&lt;#REF!+#REF!),#REF!,"")),"")</f>
        <v/>
      </c>
      <c r="CW27" s="35" t="str">
        <f ca="1">IFERROR(+IF(CW$24=#REF!,Milestone_Marker,IF(AND(CW$24&gt;#REF!,CW$24&lt;#REF!+#REF!),#REF!,"")),"")</f>
        <v/>
      </c>
      <c r="CX27" s="35" t="str">
        <f ca="1">IFERROR(+IF(CX$24=#REF!,Milestone_Marker,IF(AND(CX$24&gt;#REF!,CX$24&lt;#REF!+#REF!),#REF!,"")),"")</f>
        <v/>
      </c>
      <c r="CY27" s="35" t="str">
        <f ca="1">IFERROR(+IF(CY$24=#REF!,Milestone_Marker,IF(AND(CY$24&gt;#REF!,CY$24&lt;#REF!+#REF!),#REF!,"")),"")</f>
        <v/>
      </c>
      <c r="CZ27" s="35" t="str">
        <f ca="1">IFERROR(+IF(CZ$24=#REF!,Milestone_Marker,IF(AND(CZ$24&gt;#REF!,CZ$24&lt;#REF!+#REF!),#REF!,"")),"")</f>
        <v/>
      </c>
      <c r="DA27" s="35" t="str">
        <f ca="1">IFERROR(+IF(DA$24=#REF!,Milestone_Marker,IF(AND(DA$24&gt;#REF!,DA$24&lt;#REF!+#REF!),#REF!,"")),"")</f>
        <v/>
      </c>
      <c r="DB27" s="35" t="str">
        <f ca="1">IFERROR(+IF(DB$24=#REF!,Milestone_Marker,IF(AND(DB$24&gt;#REF!,DB$24&lt;#REF!+#REF!),#REF!,"")),"")</f>
        <v/>
      </c>
      <c r="DC27" s="35" t="str">
        <f ca="1">IFERROR(+IF(DC$24=#REF!,Milestone_Marker,IF(AND(DC$24&gt;#REF!,DC$24&lt;#REF!+#REF!),#REF!,"")),"")</f>
        <v/>
      </c>
      <c r="DD27" s="35" t="str">
        <f ca="1">IFERROR(+IF(DD$24=#REF!,Milestone_Marker,IF(AND(DD$24&gt;#REF!,DD$24&lt;#REF!+#REF!),#REF!,"")),"")</f>
        <v/>
      </c>
      <c r="DE27" s="35" t="str">
        <f ca="1">IFERROR(+IF(DE$24=#REF!,Milestone_Marker,IF(AND(DE$24&gt;#REF!,DE$24&lt;#REF!+#REF!),#REF!,"")),"")</f>
        <v/>
      </c>
      <c r="DF27" s="35"/>
      <c r="DG27" s="35"/>
      <c r="DH27" s="35"/>
      <c r="DI27" s="35"/>
      <c r="DJ27" s="35"/>
      <c r="DK27" s="35"/>
      <c r="DL27" s="35"/>
      <c r="DM27" s="35"/>
      <c r="DN27" s="35"/>
      <c r="DO27" s="35"/>
      <c r="DP27" s="35"/>
      <c r="DQ27" s="35"/>
      <c r="DR27" s="35"/>
      <c r="DS27" s="35"/>
      <c r="DT27" s="35"/>
      <c r="DU27" s="35"/>
      <c r="DV27" s="35"/>
      <c r="DW27" s="35"/>
      <c r="DX27" s="35"/>
      <c r="DY27" s="35"/>
      <c r="DZ27" s="35"/>
      <c r="EA27" s="35"/>
      <c r="EB27" s="35"/>
      <c r="EC27" s="35"/>
      <c r="ED27" s="35"/>
      <c r="EE27" s="35"/>
    </row>
    <row r="28" spans="1:157" s="40" customFormat="1" ht="15">
      <c r="A28" t="s">
        <v>747</v>
      </c>
      <c r="B28" t="s">
        <v>744</v>
      </c>
      <c r="C28" t="s">
        <v>560</v>
      </c>
      <c r="D28" s="458" t="s">
        <v>560</v>
      </c>
      <c r="E28" s="458">
        <v>0</v>
      </c>
      <c r="F28"/>
      <c r="G28"/>
      <c r="H28">
        <v>149</v>
      </c>
      <c r="I28"/>
      <c r="J28">
        <v>151</v>
      </c>
      <c r="K28" s="107"/>
      <c r="L28" s="463">
        <v>151</v>
      </c>
      <c r="M28" s="490"/>
      <c r="N28" s="160">
        <v>0</v>
      </c>
      <c r="O28" s="546" cm="1">
        <f t="array" ref="O2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28" s="567"/>
      <c r="Q28" s="567"/>
      <c r="R28" s="499"/>
      <c r="S28" s="463" cm="1">
        <f t="array" ref="S2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149</v>
      </c>
      <c r="T28" s="34">
        <v>1</v>
      </c>
      <c r="U28" s="490"/>
      <c r="V2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v>
      </c>
      <c r="W28" s="557"/>
      <c r="X28" s="545"/>
      <c r="Y28" s="548"/>
      <c r="Z28" s="535" t="s">
        <v>458</v>
      </c>
      <c r="AA28" s="544"/>
      <c r="AB28" cm="1">
        <f t="array" ref="AB28">ROW()-ROW(Contract_Edits[#Headers])</f>
        <v>4</v>
      </c>
      <c r="AC28">
        <f>IF(Contract_Edits[[#This Row],[RowPos]]&gt;1, Contract_Edits[[#This Row],[RowPos]]-1, 0)</f>
        <v>3</v>
      </c>
      <c r="AD28" s="35">
        <f>IF(N(Contract_Edits[[#This Row],[Dep]])=0, N(Contract_Edits[[#This Row],[Index]]), N(Contract_Edits[[#This Row],[Dep]]))</f>
        <v>149</v>
      </c>
      <c r="AE28" s="35" cm="1">
        <f t="array" ref="AE28">IF(OR(Contract_Edits[[#This Row],[Dep]]=0, TRIM(Contract_Edits[[#This Row],[Dep]])=""),
   0,
   IFERROR(
      _xlfn.XLOOKUP(1, (Contract_Edits[Dep]=Contract_Edits[[#This Row],[Dep]])*(Contract_Edits[RowPos]&lt;Contract_Edits[[#This Row],[RowPos]]), Contract_Edits[RowPos], , 0, -1),
      0
   )
)</f>
        <v>3</v>
      </c>
      <c r="AF28" s="35">
        <f>IF(OR(Contract_Edits[[#This Row],[Dep]]=0,Contract_Edits[[#This Row],[Dep]]=""),0,
   COUNTIFS(Contract_Edits[Dep],Contract_Edits[[#This Row],[Dep]],Contract_Edits[RowPos],"&lt;="&amp;Contract_Edits[[#This Row],[RowPos]],Contract_Edits[Approve],"Yes")
)</f>
        <v>4</v>
      </c>
      <c r="AG28" s="517">
        <f>--(
  ISNUMBER(SEARCH("BASE PARENT", UPPER(CLEAN(TRIM(_xlfn.XLOOKUP(TEXT(Contract_Edits[[#This Row],[Index]],"0"), baseIdxTxt, baseCost, "")))))) +
  ISNUMBER(SEARCH("DEPENDENCY GROUP", UPPER(CLEAN(TRIM(_xlfn.XLOOKUP(TEXT(Contract_Edits[[#This Row],[Index]],"0"), baseIdxTxt, baseCost, ""))))))
)</f>
        <v>1</v>
      </c>
      <c r="AH28" s="517" cm="1">
        <f t="array" ref="AH28">IF(Contract_Edits[[#This Row],[BaseFlag]]=1,
   10*BaseDepthL(TEXT(Contract_Edits[[#This Row],[Index]],"0"),500,editsIdxTxt,editsParentKeyTxt,baseIdxTxt,baseCost)-5,
   ""
)</f>
        <v>15</v>
      </c>
      <c r="AI28" s="517" cm="1">
        <f t="array" ref="AI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J28" s="517" t="str">
        <f>IF(Contract_Edits[[#This Row],[Dep]]=0,"Root",
   IF(ISNUMBER(MATCH(Contract_Edits[[#This Row],[Dep]],Contract_Edits[Index],0)),"OK","Missing")
)</f>
        <v>OK</v>
      </c>
      <c r="AK28" s="517" t="str">
        <f>IF(AND(Contract_Edits[[#This Row],[Dep]]&lt;&gt;0,
        ISNUMBER(MATCH(Contract_Edits[[#This Row],[Dep]], Contract_Edits[Index], 0)),
        INDEX(Contract_Edits[Dep], MATCH(Contract_Edits[[#This Row],[Dep]], Contract_Edits[Index], 0))=Contract_Edits[[#This Row],[Index]]),
   "2-cycle","")</f>
        <v/>
      </c>
      <c r="AL28" s="517" cm="1">
        <f t="array" ref="AL28">IF(Contract_Edits[[#This Row],[BaseFlag]]&lt;&gt;1,0,
   IF(TEXT(Contract_Edits[[#This Row],[Dep]],"0")=TEXT(Contract_Edits[[#This Row],[Index]],"0"),
      0,
      MAX(0, SUMPRODUCT(--(Contract_Edits[BaseFlag]=1),
                        --(TEXT(Contract_Edits[Dep],"0")=TEXT(Contract_Edits[[#This Row],[Dep]],"0"))) - 1)
   )
)</f>
        <v>1</v>
      </c>
      <c r="AM28" s="517" t="str" cm="1">
        <f t="array" ref="AM28">IF(Contract_Edits[[#This Row],[BaseFlag]]=1,
   TEXT(Contract_Edits[[#This Row],[Index]],"0"),
   NearestBaseL(TEXT(Contract_Edits[[#This Row],[ParentKey]],"0"),500,editsIdxTxt,editsParentKeyTxt,baseIdxTxt,baseCost)
)</f>
        <v>151</v>
      </c>
      <c r="AN28" s="517" cm="1">
        <f t="array" ref="AN28">1+SUMPRODUCT(
  (Contract_Edits[BaseFlag]=1)*
  (TEXT(Contract_Edits[ParentAnchor],"0")=TEXT(Contract_Edits[[#This Row],[ParentAnchor]],"0"))*
  (VALUE(TEXT(Contract_Edits[Index],"0"))&lt;VALUE(TEXT(Contract_Edits[[#This Row],[Index]],"0")))
)</f>
        <v>2</v>
      </c>
      <c r="AO28" s="35"/>
      <c r="AP28" s="35" t="str">
        <f ca="1">IFERROR(+IF(AP$24=#REF!,Milestone_Marker,IF(AND(AP$24&gt;#REF!,AP$24&lt;#REF!+#REF!),#REF!,"")),"")</f>
        <v/>
      </c>
      <c r="AQ28" s="35" t="str">
        <f ca="1">IFERROR(+IF(AQ$24=#REF!,Milestone_Marker,IF(AND(AQ$24&gt;#REF!,AQ$24&lt;#REF!+#REF!),#REF!,"")),"")</f>
        <v/>
      </c>
      <c r="AR28" s="35" t="str">
        <f ca="1">IFERROR(+IF(AR$24=#REF!,Milestone_Marker,IF(AND(AR$24&gt;#REF!,AR$24&lt;#REF!+#REF!),#REF!,"")),"")</f>
        <v/>
      </c>
      <c r="AS28" s="35" t="str">
        <f ca="1">IFERROR(+IF(AS$24=#REF!,Milestone_Marker,IF(AND(AS$24&gt;#REF!,AS$24&lt;#REF!+#REF!),#REF!,"")),"")</f>
        <v/>
      </c>
      <c r="AT28" s="35" t="str">
        <f ca="1">IFERROR(+IF(AT$24=#REF!,Milestone_Marker,IF(AND(AT$24&gt;#REF!,AT$24&lt;#REF!+#REF!),#REF!,"")),"")</f>
        <v/>
      </c>
      <c r="AU28" s="35" t="str">
        <f ca="1">IFERROR(+IF(AU$24=#REF!,Milestone_Marker,IF(AND(AU$24&gt;#REF!,AU$24&lt;#REF!+#REF!),#REF!,"")),"")</f>
        <v/>
      </c>
      <c r="AV28" s="35" t="str">
        <f ca="1">IFERROR(+IF(AV$24=#REF!,Milestone_Marker,IF(AND(AV$24&gt;#REF!,AV$24&lt;#REF!+#REF!),#REF!,"")),"")</f>
        <v/>
      </c>
      <c r="AW28" s="35" t="str">
        <f ca="1">IFERROR(+IF(AW$24=#REF!,Milestone_Marker,IF(AND(AW$24&gt;#REF!,AW$24&lt;#REF!+#REF!),#REF!,"")),"")</f>
        <v/>
      </c>
      <c r="AX28" s="35" t="str">
        <f ca="1">IFERROR(+IF(AX$24=#REF!,Milestone_Marker,IF(AND(AX$24&gt;#REF!,AX$24&lt;#REF!+#REF!),#REF!,"")),"")</f>
        <v/>
      </c>
      <c r="AY28" s="35" t="str">
        <f ca="1">IFERROR(+IF(AY$24=#REF!,Milestone_Marker,IF(AND(AY$24&gt;#REF!,AY$24&lt;#REF!+#REF!),#REF!,"")),"")</f>
        <v/>
      </c>
      <c r="AZ28" s="35" t="str">
        <f ca="1">IFERROR(+IF(AZ$24=#REF!,Milestone_Marker,IF(AND(AZ$24&gt;#REF!,AZ$24&lt;#REF!+#REF!),#REF!,"")),"")</f>
        <v/>
      </c>
      <c r="BA28" s="35" t="str">
        <f ca="1">IFERROR(+IF(BA$24=#REF!,Milestone_Marker,IF(AND(BA$24&gt;#REF!,BA$24&lt;#REF!+#REF!),#REF!,"")),"")</f>
        <v/>
      </c>
      <c r="BB28" s="35" t="str">
        <f ca="1">IFERROR(+IF(BB$24=#REF!,Milestone_Marker,IF(AND(BB$24&gt;#REF!,BB$24&lt;#REF!+#REF!),#REF!,"")),"")</f>
        <v/>
      </c>
      <c r="BC28" s="35" t="str">
        <f ca="1">IFERROR(+IF(BC$24=#REF!,Milestone_Marker,IF(AND(BC$24&gt;#REF!,BC$24&lt;#REF!+#REF!),#REF!,"")),"")</f>
        <v/>
      </c>
      <c r="BD28" s="35" t="str">
        <f ca="1">IFERROR(+IF(BD$24=#REF!,Milestone_Marker,IF(AND(BD$24&gt;#REF!,BD$24&lt;#REF!+#REF!),#REF!,"")),"")</f>
        <v/>
      </c>
      <c r="BE28" s="35" t="str">
        <f ca="1">IFERROR(+IF(BE$24=#REF!,Milestone_Marker,IF(AND(BE$24&gt;#REF!,BE$24&lt;#REF!+#REF!),#REF!,"")),"")</f>
        <v/>
      </c>
      <c r="BF28" s="35" t="str">
        <f ca="1">IFERROR(+IF(BF$24=#REF!,Milestone_Marker,IF(AND(BF$24&gt;#REF!,BF$24&lt;#REF!+#REF!),#REF!,"")),"")</f>
        <v/>
      </c>
      <c r="BG28" s="35" t="str">
        <f ca="1">IFERROR(+IF(BG$24=#REF!,Milestone_Marker,IF(AND(BG$24&gt;#REF!,BG$24&lt;#REF!+#REF!),#REF!,"")),"")</f>
        <v/>
      </c>
      <c r="BH28" s="35" t="str">
        <f ca="1">IFERROR(+IF(BH$24=#REF!,Milestone_Marker,IF(AND(BH$24&gt;#REF!,BH$24&lt;#REF!+#REF!),#REF!,"")),"")</f>
        <v/>
      </c>
      <c r="BI28" s="35" t="str">
        <f ca="1">IFERROR(+IF(BI$24=#REF!,Milestone_Marker,IF(AND(BI$24&gt;#REF!,BI$24&lt;#REF!+#REF!),#REF!,"")),"")</f>
        <v/>
      </c>
      <c r="BJ28" s="35" t="str">
        <f ca="1">IFERROR(+IF(BJ$24=#REF!,Milestone_Marker,IF(AND(BJ$24&gt;#REF!,BJ$24&lt;#REF!+#REF!),#REF!,"")),"")</f>
        <v/>
      </c>
      <c r="BK28" s="35" t="str">
        <f ca="1">IFERROR(+IF(BK$24=#REF!,Milestone_Marker,IF(AND(BK$24&gt;#REF!,BK$24&lt;#REF!+#REF!),#REF!,"")),"")</f>
        <v/>
      </c>
      <c r="BL28" s="35" t="str">
        <f ca="1">IFERROR(+IF(BL$24=#REF!,Milestone_Marker,IF(AND(BL$24&gt;#REF!,BL$24&lt;#REF!+#REF!),#REF!,"")),"")</f>
        <v/>
      </c>
      <c r="BM28" s="35" t="str">
        <f ca="1">IFERROR(+IF(BM$24=#REF!,Milestone_Marker,IF(AND(BM$24&gt;#REF!,BM$24&lt;#REF!+#REF!),#REF!,"")),"")</f>
        <v/>
      </c>
      <c r="BN28" s="35" t="str">
        <f ca="1">IFERROR(+IF(BN$24=#REF!,Milestone_Marker,IF(AND(BN$24&gt;#REF!,BN$24&lt;#REF!+#REF!),#REF!,"")),"")</f>
        <v/>
      </c>
      <c r="BO28" s="35" t="str">
        <f ca="1">IFERROR(+IF(BO$24=#REF!,Milestone_Marker,IF(AND(BO$24&gt;#REF!,BO$24&lt;#REF!+#REF!),#REF!,"")),"")</f>
        <v/>
      </c>
      <c r="BP28" s="35" t="str">
        <f ca="1">IFERROR(+IF(BP$24=#REF!,Milestone_Marker,IF(AND(BP$24&gt;#REF!,BP$24&lt;#REF!+#REF!),#REF!,"")),"")</f>
        <v/>
      </c>
      <c r="BQ28" s="35" t="str">
        <f ca="1">IFERROR(+IF(BQ$24=#REF!,Milestone_Marker,IF(AND(BQ$24&gt;#REF!,BQ$24&lt;#REF!+#REF!),#REF!,"")),"")</f>
        <v/>
      </c>
      <c r="BR28" s="35" t="str">
        <f ca="1">IFERROR(+IF(BR$24=#REF!,Milestone_Marker,IF(AND(BR$24&gt;#REF!,BR$24&lt;#REF!+#REF!),#REF!,"")),"")</f>
        <v/>
      </c>
      <c r="BS28" s="35" t="str">
        <f ca="1">IFERROR(+IF(BS$24=#REF!,Milestone_Marker,IF(AND(BS$24&gt;#REF!,BS$24&lt;#REF!+#REF!),#REF!,"")),"")</f>
        <v/>
      </c>
      <c r="BT28" s="35" t="str">
        <f ca="1">IFERROR(+IF(BT$24=#REF!,Milestone_Marker,IF(AND(BT$24&gt;#REF!,BT$24&lt;#REF!+#REF!),#REF!,"")),"")</f>
        <v/>
      </c>
      <c r="BU28" s="35" t="str">
        <f ca="1">IFERROR(+IF(BU$24=#REF!,Milestone_Marker,IF(AND(BU$24&gt;#REF!,BU$24&lt;#REF!+#REF!),#REF!,"")),"")</f>
        <v/>
      </c>
      <c r="BV28" s="35" t="str">
        <f ca="1">IFERROR(+IF(BV$24=#REF!,Milestone_Marker,IF(AND(BV$24&gt;#REF!,BV$24&lt;#REF!+#REF!),#REF!,"")),"")</f>
        <v/>
      </c>
      <c r="BW28" s="35" t="str">
        <f ca="1">IFERROR(+IF(BW$24=#REF!,Milestone_Marker,IF(AND(BW$24&gt;#REF!,BW$24&lt;#REF!+#REF!),#REF!,"")),"")</f>
        <v/>
      </c>
      <c r="BX28" s="35" t="str">
        <f ca="1">IFERROR(+IF(BX$24=#REF!,Milestone_Marker,IF(AND(BX$24&gt;#REF!,BX$24&lt;#REF!+#REF!),#REF!,"")),"")</f>
        <v/>
      </c>
      <c r="BY28" s="35" t="str">
        <f ca="1">IFERROR(+IF(BY$24=#REF!,Milestone_Marker,IF(AND(BY$24&gt;#REF!,BY$24&lt;#REF!+#REF!),#REF!,"")),"")</f>
        <v/>
      </c>
      <c r="BZ28" s="35" t="str">
        <f ca="1">IFERROR(+IF(BZ$24=#REF!,Milestone_Marker,IF(AND(BZ$24&gt;#REF!,BZ$24&lt;#REF!+#REF!),#REF!,"")),"")</f>
        <v/>
      </c>
      <c r="CA28" s="35" t="str">
        <f ca="1">IFERROR(+IF(CA$24=#REF!,Milestone_Marker,IF(AND(CA$24&gt;#REF!,CA$24&lt;#REF!+#REF!),#REF!,"")),"")</f>
        <v/>
      </c>
      <c r="CB28" s="35" t="str">
        <f ca="1">IFERROR(+IF(CB$24=#REF!,Milestone_Marker,IF(AND(CB$24&gt;#REF!,CB$24&lt;#REF!+#REF!),#REF!,"")),"")</f>
        <v/>
      </c>
      <c r="CC28" s="35" t="str">
        <f ca="1">IFERROR(+IF(CC$24=#REF!,Milestone_Marker,IF(AND(CC$24&gt;#REF!,CC$24&lt;#REF!+#REF!),#REF!,"")),"")</f>
        <v/>
      </c>
      <c r="CD28" s="35" t="str">
        <f ca="1">IFERROR(+IF(CD$24=#REF!,Milestone_Marker,IF(AND(CD$24&gt;#REF!,CD$24&lt;#REF!+#REF!),#REF!,"")),"")</f>
        <v/>
      </c>
      <c r="CE28" s="35" t="str">
        <f ca="1">IFERROR(+IF(CE$24=#REF!,Milestone_Marker,IF(AND(CE$24&gt;#REF!,CE$24&lt;#REF!+#REF!),#REF!,"")),"")</f>
        <v/>
      </c>
      <c r="CF28" s="35" t="str">
        <f ca="1">IFERROR(+IF(CF$24=#REF!,Milestone_Marker,IF(AND(CF$24&gt;#REF!,CF$24&lt;#REF!+#REF!),#REF!,"")),"")</f>
        <v/>
      </c>
      <c r="CG28" s="35" t="str">
        <f ca="1">IFERROR(+IF(CG$24=#REF!,Milestone_Marker,IF(AND(CG$24&gt;#REF!,CG$24&lt;#REF!+#REF!),#REF!,"")),"")</f>
        <v/>
      </c>
      <c r="CH28" s="35" t="str">
        <f ca="1">IFERROR(+IF(CH$24=#REF!,Milestone_Marker,IF(AND(CH$24&gt;#REF!,CH$24&lt;#REF!+#REF!),#REF!,"")),"")</f>
        <v/>
      </c>
      <c r="CI28" s="35" t="str">
        <f ca="1">IFERROR(+IF(CI$24=#REF!,Milestone_Marker,IF(AND(CI$24&gt;#REF!,CI$24&lt;#REF!+#REF!),#REF!,"")),"")</f>
        <v/>
      </c>
      <c r="CJ28" s="35" t="str">
        <f ca="1">IFERROR(+IF(CJ$24=#REF!,Milestone_Marker,IF(AND(CJ$24&gt;#REF!,CJ$24&lt;#REF!+#REF!),#REF!,"")),"")</f>
        <v/>
      </c>
      <c r="CK28" s="35" t="str">
        <f ca="1">IFERROR(+IF(CK$24=#REF!,Milestone_Marker,IF(AND(CK$24&gt;#REF!,CK$24&lt;#REF!+#REF!),#REF!,"")),"")</f>
        <v/>
      </c>
      <c r="CL28" s="35" t="str">
        <f ca="1">IFERROR(+IF(CL$24=#REF!,Milestone_Marker,IF(AND(CL$24&gt;#REF!,CL$24&lt;#REF!+#REF!),#REF!,"")),"")</f>
        <v/>
      </c>
      <c r="CM28" s="35" t="str">
        <f ca="1">IFERROR(+IF(CM$24=#REF!,Milestone_Marker,IF(AND(CM$24&gt;#REF!,CM$24&lt;#REF!+#REF!),#REF!,"")),"")</f>
        <v/>
      </c>
      <c r="CN28" s="35" t="str">
        <f ca="1">IFERROR(+IF(CN$24=#REF!,Milestone_Marker,IF(AND(CN$24&gt;#REF!,CN$24&lt;#REF!+#REF!),#REF!,"")),"")</f>
        <v/>
      </c>
      <c r="CO28" s="35" t="str">
        <f ca="1">IFERROR(+IF(CO$24=#REF!,Milestone_Marker,IF(AND(CO$24&gt;#REF!,CO$24&lt;#REF!+#REF!),#REF!,"")),"")</f>
        <v/>
      </c>
      <c r="CP28" s="35" t="str">
        <f ca="1">IFERROR(+IF(CP$24=#REF!,Milestone_Marker,IF(AND(CP$24&gt;#REF!,CP$24&lt;#REF!+#REF!),#REF!,"")),"")</f>
        <v/>
      </c>
      <c r="CQ28" s="35" t="str">
        <f ca="1">IFERROR(+IF(CQ$24=#REF!,Milestone_Marker,IF(AND(CQ$24&gt;#REF!,CQ$24&lt;#REF!+#REF!),#REF!,"")),"")</f>
        <v/>
      </c>
      <c r="CR28" s="35" t="str">
        <f ca="1">IFERROR(+IF(CR$24=#REF!,Milestone_Marker,IF(AND(CR$24&gt;#REF!,CR$24&lt;#REF!+#REF!),#REF!,"")),"")</f>
        <v/>
      </c>
      <c r="CS28" s="35" t="str">
        <f ca="1">IFERROR(+IF(CS$24=#REF!,Milestone_Marker,IF(AND(CS$24&gt;#REF!,CS$24&lt;#REF!+#REF!),#REF!,"")),"")</f>
        <v/>
      </c>
      <c r="CT28" s="35" t="str">
        <f ca="1">IFERROR(+IF(CT$24=#REF!,Milestone_Marker,IF(AND(CT$24&gt;#REF!,CT$24&lt;#REF!+#REF!),#REF!,"")),"")</f>
        <v/>
      </c>
      <c r="CU28" s="35" t="str">
        <f ca="1">IFERROR(+IF(CU$24=#REF!,Milestone_Marker,IF(AND(CU$24&gt;#REF!,CU$24&lt;#REF!+#REF!),#REF!,"")),"")</f>
        <v/>
      </c>
      <c r="CV28" s="35" t="str">
        <f ca="1">IFERROR(+IF(CV$24=#REF!,Milestone_Marker,IF(AND(CV$24&gt;#REF!,CV$24&lt;#REF!+#REF!),#REF!,"")),"")</f>
        <v/>
      </c>
      <c r="CW28" s="35" t="str">
        <f ca="1">IFERROR(+IF(CW$24=#REF!,Milestone_Marker,IF(AND(CW$24&gt;#REF!,CW$24&lt;#REF!+#REF!),#REF!,"")),"")</f>
        <v/>
      </c>
      <c r="CX28" s="35" t="str">
        <f ca="1">IFERROR(+IF(CX$24=#REF!,Milestone_Marker,IF(AND(CX$24&gt;#REF!,CX$24&lt;#REF!+#REF!),#REF!,"")),"")</f>
        <v/>
      </c>
      <c r="CY28" s="35" t="str">
        <f ca="1">IFERROR(+IF(CY$24=#REF!,Milestone_Marker,IF(AND(CY$24&gt;#REF!,CY$24&lt;#REF!+#REF!),#REF!,"")),"")</f>
        <v/>
      </c>
      <c r="CZ28" s="35" t="str">
        <f ca="1">IFERROR(+IF(CZ$24=#REF!,Milestone_Marker,IF(AND(CZ$24&gt;#REF!,CZ$24&lt;#REF!+#REF!),#REF!,"")),"")</f>
        <v/>
      </c>
      <c r="DA28" s="35" t="str">
        <f ca="1">IFERROR(+IF(DA$24=#REF!,Milestone_Marker,IF(AND(DA$24&gt;#REF!,DA$24&lt;#REF!+#REF!),#REF!,"")),"")</f>
        <v/>
      </c>
      <c r="DB28" s="35" t="str">
        <f ca="1">IFERROR(+IF(DB$24=#REF!,Milestone_Marker,IF(AND(DB$24&gt;#REF!,DB$24&lt;#REF!+#REF!),#REF!,"")),"")</f>
        <v/>
      </c>
      <c r="DC28" s="35" t="str">
        <f ca="1">IFERROR(+IF(DC$24=#REF!,Milestone_Marker,IF(AND(DC$24&gt;#REF!,DC$24&lt;#REF!+#REF!),#REF!,"")),"")</f>
        <v/>
      </c>
      <c r="DD28" s="35" t="str">
        <f ca="1">IFERROR(+IF(DD$24=#REF!,Milestone_Marker,IF(AND(DD$24&gt;#REF!,DD$24&lt;#REF!+#REF!),#REF!,"")),"")</f>
        <v/>
      </c>
      <c r="DE28" s="35" t="str">
        <f ca="1">IFERROR(+IF(DE$24=#REF!,Milestone_Marker,IF(AND(DE$24&gt;#REF!,DE$24&lt;#REF!+#REF!),#REF!,"")),"")</f>
        <v/>
      </c>
      <c r="DF28" s="35"/>
      <c r="DG28" s="35"/>
      <c r="DH28" s="35"/>
      <c r="DI28" s="35"/>
      <c r="DJ28" s="35"/>
      <c r="DK28" s="35"/>
      <c r="DL28" s="35"/>
      <c r="DM28" s="35"/>
      <c r="DN28" s="35"/>
      <c r="DO28" s="35"/>
      <c r="DP28" s="35"/>
      <c r="DQ28" s="35"/>
      <c r="DR28" s="35"/>
      <c r="DS28" s="35"/>
      <c r="DT28" s="35"/>
      <c r="DU28" s="35"/>
      <c r="DV28" s="35"/>
      <c r="DW28" s="35"/>
      <c r="DX28" s="35"/>
      <c r="DY28" s="35"/>
      <c r="DZ28" s="35"/>
      <c r="EA28" s="35"/>
      <c r="EB28" s="35"/>
      <c r="EC28" s="35"/>
      <c r="ED28" s="35"/>
      <c r="EE28" s="35"/>
    </row>
    <row r="29" spans="1:157" s="40" customFormat="1" ht="15">
      <c r="A29" t="s">
        <v>467</v>
      </c>
      <c r="B29" t="s">
        <v>517</v>
      </c>
      <c r="C29" t="s">
        <v>545</v>
      </c>
      <c r="D29" s="458" t="s">
        <v>546</v>
      </c>
      <c r="E29" s="458">
        <v>1</v>
      </c>
      <c r="F29">
        <v>0</v>
      </c>
      <c r="G29">
        <v>0</v>
      </c>
      <c r="H29">
        <v>151</v>
      </c>
      <c r="I29">
        <v>0</v>
      </c>
      <c r="J29">
        <v>14</v>
      </c>
      <c r="K29" s="107"/>
      <c r="L29" s="463">
        <v>14</v>
      </c>
      <c r="M29" s="490"/>
      <c r="N29" s="160">
        <v>0</v>
      </c>
      <c r="O29" s="546" cm="1">
        <f t="array" ref="O2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29" s="567" t="s">
        <v>458</v>
      </c>
      <c r="Q29" s="567"/>
      <c r="R29" s="499"/>
      <c r="S29" s="463" cm="1">
        <f t="array" ref="S2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29" s="34">
        <v>1</v>
      </c>
      <c r="U29" s="490">
        <v>1</v>
      </c>
      <c r="V2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15.020099999999999</v>
      </c>
      <c r="W29" s="557"/>
      <c r="X29" s="545" t="s">
        <v>856</v>
      </c>
      <c r="Y29" s="548" t="s">
        <v>855</v>
      </c>
      <c r="Z29" s="160" t="s">
        <v>458</v>
      </c>
      <c r="AA29" s="563">
        <v>105500</v>
      </c>
      <c r="AB29" cm="1">
        <f t="array" ref="AB29">ROW()-ROW(Contract_Edits[#Headers])</f>
        <v>5</v>
      </c>
      <c r="AC29">
        <f>IF(Contract_Edits[[#This Row],[RowPos]]&gt;1, Contract_Edits[[#This Row],[RowPos]]-1, 0)</f>
        <v>4</v>
      </c>
      <c r="AD29" s="35">
        <f>IF(N(Contract_Edits[[#This Row],[Dep]])=0, N(Contract_Edits[[#This Row],[Index]]), N(Contract_Edits[[#This Row],[Dep]]))</f>
        <v>151</v>
      </c>
      <c r="AE29" s="35" cm="1">
        <f t="array" ref="AE29">IF(OR(Contract_Edits[[#This Row],[Dep]]=0, TRIM(Contract_Edits[[#This Row],[Dep]])=""),
   0,
   IFERROR(
      _xlfn.XLOOKUP(1, (Contract_Edits[Dep]=Contract_Edits[[#This Row],[Dep]])*(Contract_Edits[RowPos]&lt;Contract_Edits[[#This Row],[RowPos]]), Contract_Edits[RowPos], , 0, -1),
      0
   )
)</f>
        <v>0</v>
      </c>
      <c r="AF29" s="35">
        <f>IF(OR(Contract_Edits[[#This Row],[Dep]]=0,Contract_Edits[[#This Row],[Dep]]=""),0,
   COUNTIFS(Contract_Edits[Dep],Contract_Edits[[#This Row],[Dep]],Contract_Edits[RowPos],"&lt;="&amp;Contract_Edits[[#This Row],[RowPos]],Contract_Edits[Approve],"Yes")
)</f>
        <v>1</v>
      </c>
      <c r="AG29" s="517">
        <f>--(
  ISNUMBER(SEARCH("BASE PARENT", UPPER(CLEAN(TRIM(_xlfn.XLOOKUP(TEXT(Contract_Edits[[#This Row],[Index]],"0"), baseIdxTxt, baseCost, "")))))) +
  ISNUMBER(SEARCH("DEPENDENCY GROUP", UPPER(CLEAN(TRIM(_xlfn.XLOOKUP(TEXT(Contract_Edits[[#This Row],[Index]],"0"), baseIdxTxt, baseCost, ""))))))
)</f>
        <v>0</v>
      </c>
      <c r="AH29" s="517" t="str" cm="1">
        <f t="array" ref="AH29">IF(Contract_Edits[[#This Row],[BaseFlag]]=1,
   10*BaseDepthL(TEXT(Contract_Edits[[#This Row],[Index]],"0"),500,editsIdxTxt,editsParentKeyTxt,baseIdxTxt,baseCost)-5,
   ""
)</f>
        <v/>
      </c>
      <c r="AI29" s="517" cm="1">
        <f t="array" ref="AI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29" s="517" t="str">
        <f>IF(Contract_Edits[[#This Row],[Dep]]=0,"Root",
   IF(ISNUMBER(MATCH(Contract_Edits[[#This Row],[Dep]],Contract_Edits[Index],0)),"OK","Missing")
)</f>
        <v>OK</v>
      </c>
      <c r="AK29" s="517" t="str">
        <f>IF(AND(Contract_Edits[[#This Row],[Dep]]&lt;&gt;0,
        ISNUMBER(MATCH(Contract_Edits[[#This Row],[Dep]], Contract_Edits[Index], 0)),
        INDEX(Contract_Edits[Dep], MATCH(Contract_Edits[[#This Row],[Dep]], Contract_Edits[Index], 0))=Contract_Edits[[#This Row],[Index]]),
   "2-cycle","")</f>
        <v/>
      </c>
      <c r="AL29" s="517" cm="1">
        <f t="array" ref="AL29">IF(Contract_Edits[[#This Row],[BaseFlag]]&lt;&gt;1,0,
   IF(TEXT(Contract_Edits[[#This Row],[Dep]],"0")=TEXT(Contract_Edits[[#This Row],[Index]],"0"),
      0,
      MAX(0, SUMPRODUCT(--(Contract_Edits[BaseFlag]=1),
                        --(TEXT(Contract_Edits[Dep],"0")=TEXT(Contract_Edits[[#This Row],[Dep]],"0"))) - 1)
   )
)</f>
        <v>0</v>
      </c>
      <c r="AM29" s="517" t="str" cm="1">
        <f t="array" ref="AM29">IF(Contract_Edits[[#This Row],[BaseFlag]]=1,
   TEXT(Contract_Edits[[#This Row],[Index]],"0"),
   NearestBaseL(TEXT(Contract_Edits[[#This Row],[ParentKey]],"0"),500,editsIdxTxt,editsParentKeyTxt,baseIdxTxt,baseCost)
)</f>
        <v>151</v>
      </c>
      <c r="AN29" s="517" cm="1">
        <f t="array" ref="AN29">1+SUMPRODUCT(
  (Contract_Edits[BaseFlag]=1)*
  (TEXT(Contract_Edits[ParentAnchor],"0")=TEXT(Contract_Edits[[#This Row],[ParentAnchor]],"0"))*
  (VALUE(TEXT(Contract_Edits[Index],"0"))&lt;VALUE(TEXT(Contract_Edits[[#This Row],[Index]],"0")))
)</f>
        <v>1</v>
      </c>
      <c r="AO29" s="35"/>
      <c r="AP29" s="35" t="str">
        <f ca="1">IFERROR(+IF(AP$24=#REF!,Milestone_Marker,IF(AND(AP$24&gt;#REF!,AP$24&lt;#REF!+#REF!),#REF!,"")),"")</f>
        <v/>
      </c>
      <c r="AQ29" s="35" t="str">
        <f ca="1">IFERROR(+IF(AQ$24=#REF!,Milestone_Marker,IF(AND(AQ$24&gt;#REF!,AQ$24&lt;#REF!+#REF!),#REF!,"")),"")</f>
        <v/>
      </c>
      <c r="AR29" s="35" t="str">
        <f ca="1">IFERROR(+IF(AR$24=#REF!,Milestone_Marker,IF(AND(AR$24&gt;#REF!,AR$24&lt;#REF!+#REF!),#REF!,"")),"")</f>
        <v/>
      </c>
      <c r="AS29" s="35" t="str">
        <f ca="1">IFERROR(+IF(AS$24=#REF!,Milestone_Marker,IF(AND(AS$24&gt;#REF!,AS$24&lt;#REF!+#REF!),#REF!,"")),"")</f>
        <v/>
      </c>
      <c r="AT29" s="35" t="str">
        <f ca="1">IFERROR(+IF(AT$24=#REF!,Milestone_Marker,IF(AND(AT$24&gt;#REF!,AT$24&lt;#REF!+#REF!),#REF!,"")),"")</f>
        <v/>
      </c>
      <c r="AU29" s="35" t="str">
        <f ca="1">IFERROR(+IF(AU$24=#REF!,Milestone_Marker,IF(AND(AU$24&gt;#REF!,AU$24&lt;#REF!+#REF!),#REF!,"")),"")</f>
        <v/>
      </c>
      <c r="AV29" s="35" t="str">
        <f ca="1">IFERROR(+IF(AV$24=#REF!,Milestone_Marker,IF(AND(AV$24&gt;#REF!,AV$24&lt;#REF!+#REF!),#REF!,"")),"")</f>
        <v/>
      </c>
      <c r="AW29" s="35" t="str">
        <f ca="1">IFERROR(+IF(AW$24=#REF!,Milestone_Marker,IF(AND(AW$24&gt;#REF!,AW$24&lt;#REF!+#REF!),#REF!,"")),"")</f>
        <v/>
      </c>
      <c r="AX29" s="35" t="str">
        <f ca="1">IFERROR(+IF(AX$24=#REF!,Milestone_Marker,IF(AND(AX$24&gt;#REF!,AX$24&lt;#REF!+#REF!),#REF!,"")),"")</f>
        <v/>
      </c>
      <c r="AY29" s="35" t="str">
        <f ca="1">IFERROR(+IF(AY$24=#REF!,Milestone_Marker,IF(AND(AY$24&gt;#REF!,AY$24&lt;#REF!+#REF!),#REF!,"")),"")</f>
        <v/>
      </c>
      <c r="AZ29" s="35" t="str">
        <f ca="1">IFERROR(+IF(AZ$24=#REF!,Milestone_Marker,IF(AND(AZ$24&gt;#REF!,AZ$24&lt;#REF!+#REF!),#REF!,"")),"")</f>
        <v/>
      </c>
      <c r="BA29" s="35" t="str">
        <f ca="1">IFERROR(+IF(BA$24=#REF!,Milestone_Marker,IF(AND(BA$24&gt;#REF!,BA$24&lt;#REF!+#REF!),#REF!,"")),"")</f>
        <v/>
      </c>
      <c r="BB29" s="35" t="str">
        <f ca="1">IFERROR(+IF(BB$24=#REF!,Milestone_Marker,IF(AND(BB$24&gt;#REF!,BB$24&lt;#REF!+#REF!),#REF!,"")),"")</f>
        <v/>
      </c>
      <c r="BC29" s="35" t="str">
        <f ca="1">IFERROR(+IF(BC$24=#REF!,Milestone_Marker,IF(AND(BC$24&gt;#REF!,BC$24&lt;#REF!+#REF!),#REF!,"")),"")</f>
        <v/>
      </c>
      <c r="BD29" s="35" t="str">
        <f ca="1">IFERROR(+IF(BD$24=#REF!,Milestone_Marker,IF(AND(BD$24&gt;#REF!,BD$24&lt;#REF!+#REF!),#REF!,"")),"")</f>
        <v/>
      </c>
      <c r="BE29" s="35" t="str">
        <f ca="1">IFERROR(+IF(BE$24=#REF!,Milestone_Marker,IF(AND(BE$24&gt;#REF!,BE$24&lt;#REF!+#REF!),#REF!,"")),"")</f>
        <v/>
      </c>
      <c r="BF29" s="35" t="str">
        <f ca="1">IFERROR(+IF(BF$24=#REF!,Milestone_Marker,IF(AND(BF$24&gt;#REF!,BF$24&lt;#REF!+#REF!),#REF!,"")),"")</f>
        <v/>
      </c>
      <c r="BG29" s="35" t="str">
        <f ca="1">IFERROR(+IF(BG$24=#REF!,Milestone_Marker,IF(AND(BG$24&gt;#REF!,BG$24&lt;#REF!+#REF!),#REF!,"")),"")</f>
        <v/>
      </c>
      <c r="BH29" s="35" t="str">
        <f ca="1">IFERROR(+IF(BH$24=#REF!,Milestone_Marker,IF(AND(BH$24&gt;#REF!,BH$24&lt;#REF!+#REF!),#REF!,"")),"")</f>
        <v/>
      </c>
      <c r="BI29" s="35" t="str">
        <f ca="1">IFERROR(+IF(BI$24=#REF!,Milestone_Marker,IF(AND(BI$24&gt;#REF!,BI$24&lt;#REF!+#REF!),#REF!,"")),"")</f>
        <v/>
      </c>
      <c r="BJ29" s="35" t="str">
        <f ca="1">IFERROR(+IF(BJ$24=#REF!,Milestone_Marker,IF(AND(BJ$24&gt;#REF!,BJ$24&lt;#REF!+#REF!),#REF!,"")),"")</f>
        <v/>
      </c>
      <c r="BK29" s="35" t="str">
        <f ca="1">IFERROR(+IF(BK$24=#REF!,Milestone_Marker,IF(AND(BK$24&gt;#REF!,BK$24&lt;#REF!+#REF!),#REF!,"")),"")</f>
        <v/>
      </c>
      <c r="BL29" s="35" t="str">
        <f ca="1">IFERROR(+IF(BL$24=#REF!,Milestone_Marker,IF(AND(BL$24&gt;#REF!,BL$24&lt;#REF!+#REF!),#REF!,"")),"")</f>
        <v/>
      </c>
      <c r="BM29" s="35" t="str">
        <f ca="1">IFERROR(+IF(BM$24=#REF!,Milestone_Marker,IF(AND(BM$24&gt;#REF!,BM$24&lt;#REF!+#REF!),#REF!,"")),"")</f>
        <v/>
      </c>
      <c r="BN29" s="35" t="str">
        <f ca="1">IFERROR(+IF(BN$24=#REF!,Milestone_Marker,IF(AND(BN$24&gt;#REF!,BN$24&lt;#REF!+#REF!),#REF!,"")),"")</f>
        <v/>
      </c>
      <c r="BO29" s="35" t="str">
        <f ca="1">IFERROR(+IF(BO$24=#REF!,Milestone_Marker,IF(AND(BO$24&gt;#REF!,BO$24&lt;#REF!+#REF!),#REF!,"")),"")</f>
        <v/>
      </c>
      <c r="BP29" s="35" t="str">
        <f ca="1">IFERROR(+IF(BP$24=#REF!,Milestone_Marker,IF(AND(BP$24&gt;#REF!,BP$24&lt;#REF!+#REF!),#REF!,"")),"")</f>
        <v/>
      </c>
      <c r="BQ29" s="35" t="str">
        <f ca="1">IFERROR(+IF(BQ$24=#REF!,Milestone_Marker,IF(AND(BQ$24&gt;#REF!,BQ$24&lt;#REF!+#REF!),#REF!,"")),"")</f>
        <v/>
      </c>
      <c r="BR29" s="35" t="str">
        <f ca="1">IFERROR(+IF(BR$24=#REF!,Milestone_Marker,IF(AND(BR$24&gt;#REF!,BR$24&lt;#REF!+#REF!),#REF!,"")),"")</f>
        <v/>
      </c>
      <c r="BS29" s="35" t="str">
        <f ca="1">IFERROR(+IF(BS$24=#REF!,Milestone_Marker,IF(AND(BS$24&gt;#REF!,BS$24&lt;#REF!+#REF!),#REF!,"")),"")</f>
        <v/>
      </c>
      <c r="BT29" s="35" t="str">
        <f ca="1">IFERROR(+IF(BT$24=#REF!,Milestone_Marker,IF(AND(BT$24&gt;#REF!,BT$24&lt;#REF!+#REF!),#REF!,"")),"")</f>
        <v/>
      </c>
      <c r="BU29" s="35" t="str">
        <f ca="1">IFERROR(+IF(BU$24=#REF!,Milestone_Marker,IF(AND(BU$24&gt;#REF!,BU$24&lt;#REF!+#REF!),#REF!,"")),"")</f>
        <v/>
      </c>
      <c r="BV29" s="35" t="str">
        <f ca="1">IFERROR(+IF(BV$24=#REF!,Milestone_Marker,IF(AND(BV$24&gt;#REF!,BV$24&lt;#REF!+#REF!),#REF!,"")),"")</f>
        <v/>
      </c>
      <c r="BW29" s="35" t="str">
        <f ca="1">IFERROR(+IF(BW$24=#REF!,Milestone_Marker,IF(AND(BW$24&gt;#REF!,BW$24&lt;#REF!+#REF!),#REF!,"")),"")</f>
        <v/>
      </c>
      <c r="BX29" s="35" t="str">
        <f ca="1">IFERROR(+IF(BX$24=#REF!,Milestone_Marker,IF(AND(BX$24&gt;#REF!,BX$24&lt;#REF!+#REF!),#REF!,"")),"")</f>
        <v/>
      </c>
      <c r="BY29" s="35" t="str">
        <f ca="1">IFERROR(+IF(BY$24=#REF!,Milestone_Marker,IF(AND(BY$24&gt;#REF!,BY$24&lt;#REF!+#REF!),#REF!,"")),"")</f>
        <v/>
      </c>
      <c r="BZ29" s="35" t="str">
        <f ca="1">IFERROR(+IF(BZ$24=#REF!,Milestone_Marker,IF(AND(BZ$24&gt;#REF!,BZ$24&lt;#REF!+#REF!),#REF!,"")),"")</f>
        <v/>
      </c>
      <c r="CA29" s="35" t="str">
        <f ca="1">IFERROR(+IF(CA$24=#REF!,Milestone_Marker,IF(AND(CA$24&gt;#REF!,CA$24&lt;#REF!+#REF!),#REF!,"")),"")</f>
        <v/>
      </c>
      <c r="CB29" s="35" t="str">
        <f ca="1">IFERROR(+IF(CB$24=#REF!,Milestone_Marker,IF(AND(CB$24&gt;#REF!,CB$24&lt;#REF!+#REF!),#REF!,"")),"")</f>
        <v/>
      </c>
      <c r="CC29" s="35" t="str">
        <f ca="1">IFERROR(+IF(CC$24=#REF!,Milestone_Marker,IF(AND(CC$24&gt;#REF!,CC$24&lt;#REF!+#REF!),#REF!,"")),"")</f>
        <v/>
      </c>
      <c r="CD29" s="35" t="str">
        <f ca="1">IFERROR(+IF(CD$24=#REF!,Milestone_Marker,IF(AND(CD$24&gt;#REF!,CD$24&lt;#REF!+#REF!),#REF!,"")),"")</f>
        <v/>
      </c>
      <c r="CE29" s="35" t="str">
        <f ca="1">IFERROR(+IF(CE$24=#REF!,Milestone_Marker,IF(AND(CE$24&gt;#REF!,CE$24&lt;#REF!+#REF!),#REF!,"")),"")</f>
        <v/>
      </c>
      <c r="CF29" s="35" t="str">
        <f ca="1">IFERROR(+IF(CF$24=#REF!,Milestone_Marker,IF(AND(CF$24&gt;#REF!,CF$24&lt;#REF!+#REF!),#REF!,"")),"")</f>
        <v/>
      </c>
      <c r="CG29" s="35" t="str">
        <f ca="1">IFERROR(+IF(CG$24=#REF!,Milestone_Marker,IF(AND(CG$24&gt;#REF!,CG$24&lt;#REF!+#REF!),#REF!,"")),"")</f>
        <v/>
      </c>
      <c r="CH29" s="35" t="str">
        <f ca="1">IFERROR(+IF(CH$24=#REF!,Milestone_Marker,IF(AND(CH$24&gt;#REF!,CH$24&lt;#REF!+#REF!),#REF!,"")),"")</f>
        <v/>
      </c>
      <c r="CI29" s="35" t="str">
        <f ca="1">IFERROR(+IF(CI$24=#REF!,Milestone_Marker,IF(AND(CI$24&gt;#REF!,CI$24&lt;#REF!+#REF!),#REF!,"")),"")</f>
        <v/>
      </c>
      <c r="CJ29" s="35" t="str">
        <f ca="1">IFERROR(+IF(CJ$24=#REF!,Milestone_Marker,IF(AND(CJ$24&gt;#REF!,CJ$24&lt;#REF!+#REF!),#REF!,"")),"")</f>
        <v/>
      </c>
      <c r="CK29" s="35" t="str">
        <f ca="1">IFERROR(+IF(CK$24=#REF!,Milestone_Marker,IF(AND(CK$24&gt;#REF!,CK$24&lt;#REF!+#REF!),#REF!,"")),"")</f>
        <v/>
      </c>
      <c r="CL29" s="35" t="str">
        <f ca="1">IFERROR(+IF(CL$24=#REF!,Milestone_Marker,IF(AND(CL$24&gt;#REF!,CL$24&lt;#REF!+#REF!),#REF!,"")),"")</f>
        <v/>
      </c>
      <c r="CM29" s="35" t="str">
        <f ca="1">IFERROR(+IF(CM$24=#REF!,Milestone_Marker,IF(AND(CM$24&gt;#REF!,CM$24&lt;#REF!+#REF!),#REF!,"")),"")</f>
        <v/>
      </c>
      <c r="CN29" s="35" t="str">
        <f ca="1">IFERROR(+IF(CN$24=#REF!,Milestone_Marker,IF(AND(CN$24&gt;#REF!,CN$24&lt;#REF!+#REF!),#REF!,"")),"")</f>
        <v/>
      </c>
      <c r="CO29" s="35" t="str">
        <f ca="1">IFERROR(+IF(CO$24=#REF!,Milestone_Marker,IF(AND(CO$24&gt;#REF!,CO$24&lt;#REF!+#REF!),#REF!,"")),"")</f>
        <v/>
      </c>
      <c r="CP29" s="35" t="str">
        <f ca="1">IFERROR(+IF(CP$24=#REF!,Milestone_Marker,IF(AND(CP$24&gt;#REF!,CP$24&lt;#REF!+#REF!),#REF!,"")),"")</f>
        <v/>
      </c>
      <c r="CQ29" s="35" t="str">
        <f ca="1">IFERROR(+IF(CQ$24=#REF!,Milestone_Marker,IF(AND(CQ$24&gt;#REF!,CQ$24&lt;#REF!+#REF!),#REF!,"")),"")</f>
        <v/>
      </c>
      <c r="CR29" s="35" t="str">
        <f ca="1">IFERROR(+IF(CR$24=#REF!,Milestone_Marker,IF(AND(CR$24&gt;#REF!,CR$24&lt;#REF!+#REF!),#REF!,"")),"")</f>
        <v/>
      </c>
      <c r="CS29" s="35" t="str">
        <f ca="1">IFERROR(+IF(CS$24=#REF!,Milestone_Marker,IF(AND(CS$24&gt;#REF!,CS$24&lt;#REF!+#REF!),#REF!,"")),"")</f>
        <v/>
      </c>
      <c r="CT29" s="35" t="str">
        <f ca="1">IFERROR(+IF(CT$24=#REF!,Milestone_Marker,IF(AND(CT$24&gt;#REF!,CT$24&lt;#REF!+#REF!),#REF!,"")),"")</f>
        <v/>
      </c>
      <c r="CU29" s="35" t="str">
        <f ca="1">IFERROR(+IF(CU$24=#REF!,Milestone_Marker,IF(AND(CU$24&gt;#REF!,CU$24&lt;#REF!+#REF!),#REF!,"")),"")</f>
        <v/>
      </c>
      <c r="CV29" s="35" t="str">
        <f ca="1">IFERROR(+IF(CV$24=#REF!,Milestone_Marker,IF(AND(CV$24&gt;#REF!,CV$24&lt;#REF!+#REF!),#REF!,"")),"")</f>
        <v/>
      </c>
      <c r="CW29" s="35" t="str">
        <f ca="1">IFERROR(+IF(CW$24=#REF!,Milestone_Marker,IF(AND(CW$24&gt;#REF!,CW$24&lt;#REF!+#REF!),#REF!,"")),"")</f>
        <v/>
      </c>
      <c r="CX29" s="35" t="str">
        <f ca="1">IFERROR(+IF(CX$24=#REF!,Milestone_Marker,IF(AND(CX$24&gt;#REF!,CX$24&lt;#REF!+#REF!),#REF!,"")),"")</f>
        <v/>
      </c>
      <c r="CY29" s="35" t="str">
        <f ca="1">IFERROR(+IF(CY$24=#REF!,Milestone_Marker,IF(AND(CY$24&gt;#REF!,CY$24&lt;#REF!+#REF!),#REF!,"")),"")</f>
        <v/>
      </c>
      <c r="CZ29" s="35" t="str">
        <f ca="1">IFERROR(+IF(CZ$24=#REF!,Milestone_Marker,IF(AND(CZ$24&gt;#REF!,CZ$24&lt;#REF!+#REF!),#REF!,"")),"")</f>
        <v/>
      </c>
      <c r="DA29" s="35" t="str">
        <f ca="1">IFERROR(+IF(DA$24=#REF!,Milestone_Marker,IF(AND(DA$24&gt;#REF!,DA$24&lt;#REF!+#REF!),#REF!,"")),"")</f>
        <v/>
      </c>
      <c r="DB29" s="35" t="str">
        <f ca="1">IFERROR(+IF(DB$24=#REF!,Milestone_Marker,IF(AND(DB$24&gt;#REF!,DB$24&lt;#REF!+#REF!),#REF!,"")),"")</f>
        <v/>
      </c>
      <c r="DC29" s="35" t="str">
        <f ca="1">IFERROR(+IF(DC$24=#REF!,Milestone_Marker,IF(AND(DC$24&gt;#REF!,DC$24&lt;#REF!+#REF!),#REF!,"")),"")</f>
        <v/>
      </c>
      <c r="DD29" s="35" t="str">
        <f ca="1">IFERROR(+IF(DD$24=#REF!,Milestone_Marker,IF(AND(DD$24&gt;#REF!,DD$24&lt;#REF!+#REF!),#REF!,"")),"")</f>
        <v/>
      </c>
      <c r="DE29" s="35" t="str">
        <f ca="1">IFERROR(+IF(DE$24=#REF!,Milestone_Marker,IF(AND(DE$24&gt;#REF!,DE$24&lt;#REF!+#REF!),#REF!,"")),"")</f>
        <v/>
      </c>
      <c r="DF29" s="35"/>
      <c r="DG29" s="35"/>
      <c r="DH29" s="35"/>
      <c r="DI29" s="35"/>
      <c r="DJ29" s="35"/>
      <c r="DK29" s="35"/>
      <c r="DL29" s="35"/>
      <c r="DM29" s="35"/>
      <c r="DN29" s="35"/>
      <c r="DO29" s="35"/>
      <c r="DP29" s="35"/>
      <c r="DQ29" s="35"/>
      <c r="DR29" s="35"/>
      <c r="DS29" s="35"/>
      <c r="DT29" s="35"/>
      <c r="DU29" s="35"/>
      <c r="DV29" s="35"/>
      <c r="DW29" s="35"/>
      <c r="DX29" s="35"/>
      <c r="DY29" s="35"/>
      <c r="DZ29" s="35"/>
      <c r="EA29" s="35"/>
      <c r="EB29" s="35"/>
      <c r="EC29" s="35"/>
      <c r="ED29" s="35"/>
      <c r="EE29" s="35"/>
    </row>
    <row r="30" spans="1:157" s="40" customFormat="1" ht="15">
      <c r="A30" t="s">
        <v>806</v>
      </c>
      <c r="B30" t="s">
        <v>517</v>
      </c>
      <c r="C30" t="s">
        <v>831</v>
      </c>
      <c r="D30" s="458" t="s">
        <v>832</v>
      </c>
      <c r="E30" s="458">
        <v>1</v>
      </c>
      <c r="F30">
        <v>1859.22</v>
      </c>
      <c r="G30">
        <v>1859.22</v>
      </c>
      <c r="H30"/>
      <c r="I30">
        <v>1859.22</v>
      </c>
      <c r="J30">
        <v>900</v>
      </c>
      <c r="K30" s="107"/>
      <c r="L30" s="463">
        <v>900</v>
      </c>
      <c r="M30" s="490">
        <v>0</v>
      </c>
      <c r="N30" s="160">
        <v>0</v>
      </c>
      <c r="O30" s="546" cm="1">
        <f t="array" ref="O3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30" s="567" t="s">
        <v>458</v>
      </c>
      <c r="Q30" s="567"/>
      <c r="R30" s="499"/>
      <c r="S30" s="463" cm="1">
        <f t="array" ref="S3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0" s="34">
        <v>1</v>
      </c>
      <c r="U30" s="490">
        <v>2</v>
      </c>
      <c r="V3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15.020199999999999</v>
      </c>
      <c r="W30" s="557"/>
      <c r="X30" s="545"/>
      <c r="Y30" s="548" t="s">
        <v>855</v>
      </c>
      <c r="Z30" s="160" t="s">
        <v>458</v>
      </c>
      <c r="AA30" s="563">
        <v>105500</v>
      </c>
      <c r="AB30" cm="1">
        <f t="array" ref="AB30">ROW()-ROW(Contract_Edits[#Headers])</f>
        <v>6</v>
      </c>
      <c r="AC30">
        <f>IF(Contract_Edits[[#This Row],[RowPos]]&gt;1, Contract_Edits[[#This Row],[RowPos]]-1, 0)</f>
        <v>5</v>
      </c>
      <c r="AD30" s="35">
        <f>IF(N(Contract_Edits[[#This Row],[Dep]])=0, N(Contract_Edits[[#This Row],[Index]]), N(Contract_Edits[[#This Row],[Dep]]))</f>
        <v>151</v>
      </c>
      <c r="AE30" s="35" cm="1">
        <f t="array" ref="AE30">IF(OR(Contract_Edits[[#This Row],[Dep]]=0, TRIM(Contract_Edits[[#This Row],[Dep]])=""),
   0,
   IFERROR(
      _xlfn.XLOOKUP(1, (Contract_Edits[Dep]=Contract_Edits[[#This Row],[Dep]])*(Contract_Edits[RowPos]&lt;Contract_Edits[[#This Row],[RowPos]]), Contract_Edits[RowPos], , 0, -1),
      0
   )
)</f>
        <v>5</v>
      </c>
      <c r="AF30" s="35">
        <f>IF(OR(Contract_Edits[[#This Row],[Dep]]=0,Contract_Edits[[#This Row],[Dep]]=""),0,
   COUNTIFS(Contract_Edits[Dep],Contract_Edits[[#This Row],[Dep]],Contract_Edits[RowPos],"&lt;="&amp;Contract_Edits[[#This Row],[RowPos]],Contract_Edits[Approve],"Yes")
)</f>
        <v>2</v>
      </c>
      <c r="AG30" s="517">
        <f>--(
  ISNUMBER(SEARCH("BASE PARENT", UPPER(CLEAN(TRIM(_xlfn.XLOOKUP(TEXT(Contract_Edits[[#This Row],[Index]],"0"), baseIdxTxt, baseCost, "")))))) +
  ISNUMBER(SEARCH("DEPENDENCY GROUP", UPPER(CLEAN(TRIM(_xlfn.XLOOKUP(TEXT(Contract_Edits[[#This Row],[Index]],"0"), baseIdxTxt, baseCost, ""))))))
)</f>
        <v>0</v>
      </c>
      <c r="AH30" s="517" t="str" cm="1">
        <f t="array" ref="AH30">IF(Contract_Edits[[#This Row],[BaseFlag]]=1,
   10*BaseDepthL(TEXT(Contract_Edits[[#This Row],[Index]],"0"),500,editsIdxTxt,editsParentKeyTxt,baseIdxTxt,baseCost)-5,
   ""
)</f>
        <v/>
      </c>
      <c r="AI30" s="517" cm="1">
        <f t="array" ref="AI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0" s="517" t="str">
        <f>IF(Contract_Edits[[#This Row],[Dep]]=0,"Root",
   IF(ISNUMBER(MATCH(Contract_Edits[[#This Row],[Dep]],Contract_Edits[Index],0)),"OK","Missing")
)</f>
        <v>OK</v>
      </c>
      <c r="AK30" s="517" t="str">
        <f>IF(AND(Contract_Edits[[#This Row],[Dep]]&lt;&gt;0,
        ISNUMBER(MATCH(Contract_Edits[[#This Row],[Dep]], Contract_Edits[Index], 0)),
        INDEX(Contract_Edits[Dep], MATCH(Contract_Edits[[#This Row],[Dep]], Contract_Edits[Index], 0))=Contract_Edits[[#This Row],[Index]]),
   "2-cycle","")</f>
        <v/>
      </c>
      <c r="AL30" s="517" cm="1">
        <f t="array" ref="AL30">IF(Contract_Edits[[#This Row],[BaseFlag]]&lt;&gt;1,0,
   IF(TEXT(Contract_Edits[[#This Row],[Dep]],"0")=TEXT(Contract_Edits[[#This Row],[Index]],"0"),
      0,
      MAX(0, SUMPRODUCT(--(Contract_Edits[BaseFlag]=1),
                        --(TEXT(Contract_Edits[Dep],"0")=TEXT(Contract_Edits[[#This Row],[Dep]],"0"))) - 1)
   )
)</f>
        <v>0</v>
      </c>
      <c r="AM30" s="517" t="str" cm="1">
        <f t="array" ref="AM30">IF(Contract_Edits[[#This Row],[BaseFlag]]=1,
   TEXT(Contract_Edits[[#This Row],[Index]],"0"),
   NearestBaseL(TEXT(Contract_Edits[[#This Row],[ParentKey]],"0"),500,editsIdxTxt,editsParentKeyTxt,baseIdxTxt,baseCost)
)</f>
        <v>151</v>
      </c>
      <c r="AN30" s="517" cm="1">
        <f t="array" ref="AN30">1+SUMPRODUCT(
  (Contract_Edits[BaseFlag]=1)*
  (TEXT(Contract_Edits[ParentAnchor],"0")=TEXT(Contract_Edits[[#This Row],[ParentAnchor]],"0"))*
  (VALUE(TEXT(Contract_Edits[Index],"0"))&lt;VALUE(TEXT(Contract_Edits[[#This Row],[Index]],"0")))
)</f>
        <v>2</v>
      </c>
      <c r="AO30" s="35"/>
      <c r="AP30" s="35" t="str">
        <f ca="1">IFERROR(+IF(AP$24=#REF!,Milestone_Marker,IF(AND(AP$24&gt;#REF!,AP$24&lt;#REF!+#REF!),#REF!,"")),"")</f>
        <v/>
      </c>
      <c r="AQ30" s="35" t="str">
        <f ca="1">IFERROR(+IF(AQ$24=#REF!,Milestone_Marker,IF(AND(AQ$24&gt;#REF!,AQ$24&lt;#REF!+#REF!),#REF!,"")),"")</f>
        <v/>
      </c>
      <c r="AR30" s="35" t="str">
        <f ca="1">IFERROR(+IF(AR$24=#REF!,Milestone_Marker,IF(AND(AR$24&gt;#REF!,AR$24&lt;#REF!+#REF!),#REF!,"")),"")</f>
        <v/>
      </c>
      <c r="AS30" s="35" t="str">
        <f ca="1">IFERROR(+IF(AS$24=#REF!,Milestone_Marker,IF(AND(AS$24&gt;#REF!,AS$24&lt;#REF!+#REF!),#REF!,"")),"")</f>
        <v/>
      </c>
      <c r="AT30" s="35" t="str">
        <f ca="1">IFERROR(+IF(AT$24=#REF!,Milestone_Marker,IF(AND(AT$24&gt;#REF!,AT$24&lt;#REF!+#REF!),#REF!,"")),"")</f>
        <v/>
      </c>
      <c r="AU30" s="35" t="str">
        <f ca="1">IFERROR(+IF(AU$24=#REF!,Milestone_Marker,IF(AND(AU$24&gt;#REF!,AU$24&lt;#REF!+#REF!),#REF!,"")),"")</f>
        <v/>
      </c>
      <c r="AV30" s="35" t="str">
        <f ca="1">IFERROR(+IF(AV$24=#REF!,Milestone_Marker,IF(AND(AV$24&gt;#REF!,AV$24&lt;#REF!+#REF!),#REF!,"")),"")</f>
        <v/>
      </c>
      <c r="AW30" s="35" t="str">
        <f ca="1">IFERROR(+IF(AW$24=#REF!,Milestone_Marker,IF(AND(AW$24&gt;#REF!,AW$24&lt;#REF!+#REF!),#REF!,"")),"")</f>
        <v/>
      </c>
      <c r="AX30" s="35" t="str">
        <f ca="1">IFERROR(+IF(AX$24=#REF!,Milestone_Marker,IF(AND(AX$24&gt;#REF!,AX$24&lt;#REF!+#REF!),#REF!,"")),"")</f>
        <v/>
      </c>
      <c r="AY30" s="35" t="str">
        <f ca="1">IFERROR(+IF(AY$24=#REF!,Milestone_Marker,IF(AND(AY$24&gt;#REF!,AY$24&lt;#REF!+#REF!),#REF!,"")),"")</f>
        <v/>
      </c>
      <c r="AZ30" s="35" t="str">
        <f ca="1">IFERROR(+IF(AZ$24=#REF!,Milestone_Marker,IF(AND(AZ$24&gt;#REF!,AZ$24&lt;#REF!+#REF!),#REF!,"")),"")</f>
        <v/>
      </c>
      <c r="BA30" s="35" t="str">
        <f ca="1">IFERROR(+IF(BA$24=#REF!,Milestone_Marker,IF(AND(BA$24&gt;#REF!,BA$24&lt;#REF!+#REF!),#REF!,"")),"")</f>
        <v/>
      </c>
      <c r="BB30" s="35" t="str">
        <f ca="1">IFERROR(+IF(BB$24=#REF!,Milestone_Marker,IF(AND(BB$24&gt;#REF!,BB$24&lt;#REF!+#REF!),#REF!,"")),"")</f>
        <v/>
      </c>
      <c r="BC30" s="35" t="str">
        <f ca="1">IFERROR(+IF(BC$24=#REF!,Milestone_Marker,IF(AND(BC$24&gt;#REF!,BC$24&lt;#REF!+#REF!),#REF!,"")),"")</f>
        <v/>
      </c>
      <c r="BD30" s="35" t="str">
        <f ca="1">IFERROR(+IF(BD$24=#REF!,Milestone_Marker,IF(AND(BD$24&gt;#REF!,BD$24&lt;#REF!+#REF!),#REF!,"")),"")</f>
        <v/>
      </c>
      <c r="BE30" s="35" t="str">
        <f ca="1">IFERROR(+IF(BE$24=#REF!,Milestone_Marker,IF(AND(BE$24&gt;#REF!,BE$24&lt;#REF!+#REF!),#REF!,"")),"")</f>
        <v/>
      </c>
      <c r="BF30" s="35" t="str">
        <f ca="1">IFERROR(+IF(BF$24=#REF!,Milestone_Marker,IF(AND(BF$24&gt;#REF!,BF$24&lt;#REF!+#REF!),#REF!,"")),"")</f>
        <v/>
      </c>
      <c r="BG30" s="35" t="str">
        <f ca="1">IFERROR(+IF(BG$24=#REF!,Milestone_Marker,IF(AND(BG$24&gt;#REF!,BG$24&lt;#REF!+#REF!),#REF!,"")),"")</f>
        <v/>
      </c>
      <c r="BH30" s="35" t="str">
        <f ca="1">IFERROR(+IF(BH$24=#REF!,Milestone_Marker,IF(AND(BH$24&gt;#REF!,BH$24&lt;#REF!+#REF!),#REF!,"")),"")</f>
        <v/>
      </c>
      <c r="BI30" s="35" t="str">
        <f ca="1">IFERROR(+IF(BI$24=#REF!,Milestone_Marker,IF(AND(BI$24&gt;#REF!,BI$24&lt;#REF!+#REF!),#REF!,"")),"")</f>
        <v/>
      </c>
      <c r="BJ30" s="35" t="str">
        <f ca="1">IFERROR(+IF(BJ$24=#REF!,Milestone_Marker,IF(AND(BJ$24&gt;#REF!,BJ$24&lt;#REF!+#REF!),#REF!,"")),"")</f>
        <v/>
      </c>
      <c r="BK30" s="35" t="str">
        <f ca="1">IFERROR(+IF(BK$24=#REF!,Milestone_Marker,IF(AND(BK$24&gt;#REF!,BK$24&lt;#REF!+#REF!),#REF!,"")),"")</f>
        <v/>
      </c>
      <c r="BL30" s="35" t="str">
        <f ca="1">IFERROR(+IF(BL$24=#REF!,Milestone_Marker,IF(AND(BL$24&gt;#REF!,BL$24&lt;#REF!+#REF!),#REF!,"")),"")</f>
        <v/>
      </c>
      <c r="BM30" s="35" t="str">
        <f ca="1">IFERROR(+IF(BM$24=#REF!,Milestone_Marker,IF(AND(BM$24&gt;#REF!,BM$24&lt;#REF!+#REF!),#REF!,"")),"")</f>
        <v/>
      </c>
      <c r="BN30" s="35" t="str">
        <f ca="1">IFERROR(+IF(BN$24=#REF!,Milestone_Marker,IF(AND(BN$24&gt;#REF!,BN$24&lt;#REF!+#REF!),#REF!,"")),"")</f>
        <v/>
      </c>
      <c r="BO30" s="35" t="str">
        <f ca="1">IFERROR(+IF(BO$24=#REF!,Milestone_Marker,IF(AND(BO$24&gt;#REF!,BO$24&lt;#REF!+#REF!),#REF!,"")),"")</f>
        <v/>
      </c>
      <c r="BP30" s="35" t="str">
        <f ca="1">IFERROR(+IF(BP$24=#REF!,Milestone_Marker,IF(AND(BP$24&gt;#REF!,BP$24&lt;#REF!+#REF!),#REF!,"")),"")</f>
        <v/>
      </c>
      <c r="BQ30" s="35" t="str">
        <f ca="1">IFERROR(+IF(BQ$24=#REF!,Milestone_Marker,IF(AND(BQ$24&gt;#REF!,BQ$24&lt;#REF!+#REF!),#REF!,"")),"")</f>
        <v/>
      </c>
      <c r="BR30" s="35" t="str">
        <f ca="1">IFERROR(+IF(BR$24=#REF!,Milestone_Marker,IF(AND(BR$24&gt;#REF!,BR$24&lt;#REF!+#REF!),#REF!,"")),"")</f>
        <v/>
      </c>
      <c r="BS30" s="35" t="str">
        <f ca="1">IFERROR(+IF(BS$24=#REF!,Milestone_Marker,IF(AND(BS$24&gt;#REF!,BS$24&lt;#REF!+#REF!),#REF!,"")),"")</f>
        <v/>
      </c>
      <c r="BT30" s="35" t="str">
        <f ca="1">IFERROR(+IF(BT$24=#REF!,Milestone_Marker,IF(AND(BT$24&gt;#REF!,BT$24&lt;#REF!+#REF!),#REF!,"")),"")</f>
        <v/>
      </c>
      <c r="BU30" s="35" t="str">
        <f ca="1">IFERROR(+IF(BU$24=#REF!,Milestone_Marker,IF(AND(BU$24&gt;#REF!,BU$24&lt;#REF!+#REF!),#REF!,"")),"")</f>
        <v/>
      </c>
      <c r="BV30" s="35" t="str">
        <f ca="1">IFERROR(+IF(BV$24=#REF!,Milestone_Marker,IF(AND(BV$24&gt;#REF!,BV$24&lt;#REF!+#REF!),#REF!,"")),"")</f>
        <v/>
      </c>
      <c r="BW30" s="35" t="str">
        <f ca="1">IFERROR(+IF(BW$24=#REF!,Milestone_Marker,IF(AND(BW$24&gt;#REF!,BW$24&lt;#REF!+#REF!),#REF!,"")),"")</f>
        <v/>
      </c>
      <c r="BX30" s="35" t="str">
        <f ca="1">IFERROR(+IF(BX$24=#REF!,Milestone_Marker,IF(AND(BX$24&gt;#REF!,BX$24&lt;#REF!+#REF!),#REF!,"")),"")</f>
        <v/>
      </c>
      <c r="BY30" s="35" t="str">
        <f ca="1">IFERROR(+IF(BY$24=#REF!,Milestone_Marker,IF(AND(BY$24&gt;#REF!,BY$24&lt;#REF!+#REF!),#REF!,"")),"")</f>
        <v/>
      </c>
      <c r="BZ30" s="35" t="str">
        <f ca="1">IFERROR(+IF(BZ$24=#REF!,Milestone_Marker,IF(AND(BZ$24&gt;#REF!,BZ$24&lt;#REF!+#REF!),#REF!,"")),"")</f>
        <v/>
      </c>
      <c r="CA30" s="35" t="str">
        <f ca="1">IFERROR(+IF(CA$24=#REF!,Milestone_Marker,IF(AND(CA$24&gt;#REF!,CA$24&lt;#REF!+#REF!),#REF!,"")),"")</f>
        <v/>
      </c>
      <c r="CB30" s="35" t="str">
        <f ca="1">IFERROR(+IF(CB$24=#REF!,Milestone_Marker,IF(AND(CB$24&gt;#REF!,CB$24&lt;#REF!+#REF!),#REF!,"")),"")</f>
        <v/>
      </c>
      <c r="CC30" s="35" t="str">
        <f ca="1">IFERROR(+IF(CC$24=#REF!,Milestone_Marker,IF(AND(CC$24&gt;#REF!,CC$24&lt;#REF!+#REF!),#REF!,"")),"")</f>
        <v/>
      </c>
      <c r="CD30" s="35" t="str">
        <f ca="1">IFERROR(+IF(CD$24=#REF!,Milestone_Marker,IF(AND(CD$24&gt;#REF!,CD$24&lt;#REF!+#REF!),#REF!,"")),"")</f>
        <v/>
      </c>
      <c r="CE30" s="35" t="str">
        <f ca="1">IFERROR(+IF(CE$24=#REF!,Milestone_Marker,IF(AND(CE$24&gt;#REF!,CE$24&lt;#REF!+#REF!),#REF!,"")),"")</f>
        <v/>
      </c>
      <c r="CF30" s="35" t="str">
        <f ca="1">IFERROR(+IF(CF$24=#REF!,Milestone_Marker,IF(AND(CF$24&gt;#REF!,CF$24&lt;#REF!+#REF!),#REF!,"")),"")</f>
        <v/>
      </c>
      <c r="CG30" s="35" t="str">
        <f ca="1">IFERROR(+IF(CG$24=#REF!,Milestone_Marker,IF(AND(CG$24&gt;#REF!,CG$24&lt;#REF!+#REF!),#REF!,"")),"")</f>
        <v/>
      </c>
      <c r="CH30" s="35" t="str">
        <f ca="1">IFERROR(+IF(CH$24=#REF!,Milestone_Marker,IF(AND(CH$24&gt;#REF!,CH$24&lt;#REF!+#REF!),#REF!,"")),"")</f>
        <v/>
      </c>
      <c r="CI30" s="35" t="str">
        <f ca="1">IFERROR(+IF(CI$24=#REF!,Milestone_Marker,IF(AND(CI$24&gt;#REF!,CI$24&lt;#REF!+#REF!),#REF!,"")),"")</f>
        <v/>
      </c>
      <c r="CJ30" s="35" t="str">
        <f ca="1">IFERROR(+IF(CJ$24=#REF!,Milestone_Marker,IF(AND(CJ$24&gt;#REF!,CJ$24&lt;#REF!+#REF!),#REF!,"")),"")</f>
        <v/>
      </c>
      <c r="CK30" s="35" t="str">
        <f ca="1">IFERROR(+IF(CK$24=#REF!,Milestone_Marker,IF(AND(CK$24&gt;#REF!,CK$24&lt;#REF!+#REF!),#REF!,"")),"")</f>
        <v/>
      </c>
      <c r="CL30" s="35" t="str">
        <f ca="1">IFERROR(+IF(CL$24=#REF!,Milestone_Marker,IF(AND(CL$24&gt;#REF!,CL$24&lt;#REF!+#REF!),#REF!,"")),"")</f>
        <v/>
      </c>
      <c r="CM30" s="35" t="str">
        <f ca="1">IFERROR(+IF(CM$24=#REF!,Milestone_Marker,IF(AND(CM$24&gt;#REF!,CM$24&lt;#REF!+#REF!),#REF!,"")),"")</f>
        <v/>
      </c>
      <c r="CN30" s="35" t="str">
        <f ca="1">IFERROR(+IF(CN$24=#REF!,Milestone_Marker,IF(AND(CN$24&gt;#REF!,CN$24&lt;#REF!+#REF!),#REF!,"")),"")</f>
        <v/>
      </c>
      <c r="CO30" s="35" t="str">
        <f ca="1">IFERROR(+IF(CO$24=#REF!,Milestone_Marker,IF(AND(CO$24&gt;#REF!,CO$24&lt;#REF!+#REF!),#REF!,"")),"")</f>
        <v/>
      </c>
      <c r="CP30" s="35" t="str">
        <f ca="1">IFERROR(+IF(CP$24=#REF!,Milestone_Marker,IF(AND(CP$24&gt;#REF!,CP$24&lt;#REF!+#REF!),#REF!,"")),"")</f>
        <v/>
      </c>
      <c r="CQ30" s="35" t="str">
        <f ca="1">IFERROR(+IF(CQ$24=#REF!,Milestone_Marker,IF(AND(CQ$24&gt;#REF!,CQ$24&lt;#REF!+#REF!),#REF!,"")),"")</f>
        <v/>
      </c>
      <c r="CR30" s="35" t="str">
        <f ca="1">IFERROR(+IF(CR$24=#REF!,Milestone_Marker,IF(AND(CR$24&gt;#REF!,CR$24&lt;#REF!+#REF!),#REF!,"")),"")</f>
        <v/>
      </c>
      <c r="CS30" s="35" t="str">
        <f ca="1">IFERROR(+IF(CS$24=#REF!,Milestone_Marker,IF(AND(CS$24&gt;#REF!,CS$24&lt;#REF!+#REF!),#REF!,"")),"")</f>
        <v/>
      </c>
      <c r="CT30" s="35" t="str">
        <f ca="1">IFERROR(+IF(CT$24=#REF!,Milestone_Marker,IF(AND(CT$24&gt;#REF!,CT$24&lt;#REF!+#REF!),#REF!,"")),"")</f>
        <v/>
      </c>
      <c r="CU30" s="35" t="str">
        <f ca="1">IFERROR(+IF(CU$24=#REF!,Milestone_Marker,IF(AND(CU$24&gt;#REF!,CU$24&lt;#REF!+#REF!),#REF!,"")),"")</f>
        <v/>
      </c>
      <c r="CV30" s="35" t="str">
        <f ca="1">IFERROR(+IF(CV$24=#REF!,Milestone_Marker,IF(AND(CV$24&gt;#REF!,CV$24&lt;#REF!+#REF!),#REF!,"")),"")</f>
        <v/>
      </c>
      <c r="CW30" s="35" t="str">
        <f ca="1">IFERROR(+IF(CW$24=#REF!,Milestone_Marker,IF(AND(CW$24&gt;#REF!,CW$24&lt;#REF!+#REF!),#REF!,"")),"")</f>
        <v/>
      </c>
      <c r="CX30" s="35" t="str">
        <f ca="1">IFERROR(+IF(CX$24=#REF!,Milestone_Marker,IF(AND(CX$24&gt;#REF!,CX$24&lt;#REF!+#REF!),#REF!,"")),"")</f>
        <v/>
      </c>
      <c r="CY30" s="35" t="str">
        <f ca="1">IFERROR(+IF(CY$24=#REF!,Milestone_Marker,IF(AND(CY$24&gt;#REF!,CY$24&lt;#REF!+#REF!),#REF!,"")),"")</f>
        <v/>
      </c>
      <c r="CZ30" s="35" t="str">
        <f ca="1">IFERROR(+IF(CZ$24=#REF!,Milestone_Marker,IF(AND(CZ$24&gt;#REF!,CZ$24&lt;#REF!+#REF!),#REF!,"")),"")</f>
        <v/>
      </c>
      <c r="DA30" s="35" t="str">
        <f ca="1">IFERROR(+IF(DA$24=#REF!,Milestone_Marker,IF(AND(DA$24&gt;#REF!,DA$24&lt;#REF!+#REF!),#REF!,"")),"")</f>
        <v/>
      </c>
      <c r="DB30" s="35" t="str">
        <f ca="1">IFERROR(+IF(DB$24=#REF!,Milestone_Marker,IF(AND(DB$24&gt;#REF!,DB$24&lt;#REF!+#REF!),#REF!,"")),"")</f>
        <v/>
      </c>
      <c r="DC30" s="35" t="str">
        <f ca="1">IFERROR(+IF(DC$24=#REF!,Milestone_Marker,IF(AND(DC$24&gt;#REF!,DC$24&lt;#REF!+#REF!),#REF!,"")),"")</f>
        <v/>
      </c>
      <c r="DD30" s="35" t="str">
        <f ca="1">IFERROR(+IF(DD$24=#REF!,Milestone_Marker,IF(AND(DD$24&gt;#REF!,DD$24&lt;#REF!+#REF!),#REF!,"")),"")</f>
        <v/>
      </c>
      <c r="DE30" s="35" t="str">
        <f ca="1">IFERROR(+IF(DE$24=#REF!,Milestone_Marker,IF(AND(DE$24&gt;#REF!,DE$24&lt;#REF!+#REF!),#REF!,"")),"")</f>
        <v/>
      </c>
      <c r="DF30" s="35"/>
      <c r="DG30" s="35"/>
      <c r="DH30" s="35"/>
      <c r="DI30" s="35"/>
      <c r="DJ30" s="35"/>
      <c r="DK30" s="35"/>
      <c r="DL30" s="35"/>
      <c r="DM30" s="35"/>
      <c r="DN30" s="35"/>
      <c r="DO30" s="35"/>
      <c r="DP30" s="35"/>
      <c r="DQ30" s="35"/>
      <c r="DR30" s="35"/>
      <c r="DS30" s="35"/>
      <c r="DT30" s="35"/>
      <c r="DU30" s="35"/>
      <c r="DV30" s="35"/>
      <c r="DW30" s="35"/>
      <c r="DX30" s="35"/>
      <c r="DY30" s="35"/>
      <c r="DZ30" s="35"/>
      <c r="EA30" s="35"/>
      <c r="EB30" s="35"/>
      <c r="EC30" s="35"/>
      <c r="ED30" s="35"/>
      <c r="EE30" s="35"/>
    </row>
    <row r="31" spans="1:157" s="40" customFormat="1" ht="15">
      <c r="A31" t="s">
        <v>467</v>
      </c>
      <c r="B31" t="s">
        <v>639</v>
      </c>
      <c r="C31" t="s">
        <v>545</v>
      </c>
      <c r="D31" s="458"/>
      <c r="E31" s="458">
        <v>1</v>
      </c>
      <c r="F31">
        <v>0</v>
      </c>
      <c r="G31">
        <v>0</v>
      </c>
      <c r="H31">
        <v>151</v>
      </c>
      <c r="I31">
        <v>0</v>
      </c>
      <c r="J31">
        <v>98</v>
      </c>
      <c r="K31" s="107"/>
      <c r="L31" s="463">
        <v>98</v>
      </c>
      <c r="M31" s="490"/>
      <c r="N31" s="160">
        <v>0</v>
      </c>
      <c r="O31" s="546" cm="1">
        <f t="array" ref="O3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31" s="567" t="s">
        <v>458</v>
      </c>
      <c r="Q31" s="567"/>
      <c r="R31" s="499"/>
      <c r="S31" s="463" cm="1">
        <f t="array" ref="S3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1" s="34">
        <v>1</v>
      </c>
      <c r="U31" s="490">
        <v>3</v>
      </c>
      <c r="V3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15.020299999999999</v>
      </c>
      <c r="W31" s="557"/>
      <c r="X31" s="545" t="s">
        <v>857</v>
      </c>
      <c r="Y31" s="548" t="s">
        <v>855</v>
      </c>
      <c r="Z31" s="160" t="s">
        <v>458</v>
      </c>
      <c r="AA31" s="563">
        <v>104800</v>
      </c>
      <c r="AB31" cm="1">
        <f t="array" ref="AB31">ROW()-ROW(Contract_Edits[#Headers])</f>
        <v>7</v>
      </c>
      <c r="AC31">
        <f>IF(Contract_Edits[[#This Row],[RowPos]]&gt;1, Contract_Edits[[#This Row],[RowPos]]-1, 0)</f>
        <v>6</v>
      </c>
      <c r="AD31" s="35">
        <f>IF(N(Contract_Edits[[#This Row],[Dep]])=0, N(Contract_Edits[[#This Row],[Index]]), N(Contract_Edits[[#This Row],[Dep]]))</f>
        <v>151</v>
      </c>
      <c r="AE31" s="35" cm="1">
        <f t="array" ref="AE31">IF(OR(Contract_Edits[[#This Row],[Dep]]=0, TRIM(Contract_Edits[[#This Row],[Dep]])=""),
   0,
   IFERROR(
      _xlfn.XLOOKUP(1, (Contract_Edits[Dep]=Contract_Edits[[#This Row],[Dep]])*(Contract_Edits[RowPos]&lt;Contract_Edits[[#This Row],[RowPos]]), Contract_Edits[RowPos], , 0, -1),
      0
   )
)</f>
        <v>6</v>
      </c>
      <c r="AF31" s="35">
        <f>IF(OR(Contract_Edits[[#This Row],[Dep]]=0,Contract_Edits[[#This Row],[Dep]]=""),0,
   COUNTIFS(Contract_Edits[Dep],Contract_Edits[[#This Row],[Dep]],Contract_Edits[RowPos],"&lt;="&amp;Contract_Edits[[#This Row],[RowPos]],Contract_Edits[Approve],"Yes")
)</f>
        <v>3</v>
      </c>
      <c r="AG31" s="517">
        <f>--(
  ISNUMBER(SEARCH("BASE PARENT", UPPER(CLEAN(TRIM(_xlfn.XLOOKUP(TEXT(Contract_Edits[[#This Row],[Index]],"0"), baseIdxTxt, baseCost, "")))))) +
  ISNUMBER(SEARCH("DEPENDENCY GROUP", UPPER(CLEAN(TRIM(_xlfn.XLOOKUP(TEXT(Contract_Edits[[#This Row],[Index]],"0"), baseIdxTxt, baseCost, ""))))))
)</f>
        <v>0</v>
      </c>
      <c r="AH31" s="517" t="str" cm="1">
        <f t="array" ref="AH31">IF(Contract_Edits[[#This Row],[BaseFlag]]=1,
   10*BaseDepthL(TEXT(Contract_Edits[[#This Row],[Index]],"0"),500,editsIdxTxt,editsParentKeyTxt,baseIdxTxt,baseCost)-5,
   ""
)</f>
        <v/>
      </c>
      <c r="AI31" s="517" cm="1">
        <f t="array" ref="AI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1" s="517" t="str">
        <f>IF(Contract_Edits[[#This Row],[Dep]]=0,"Root",
   IF(ISNUMBER(MATCH(Contract_Edits[[#This Row],[Dep]],Contract_Edits[Index],0)),"OK","Missing")
)</f>
        <v>OK</v>
      </c>
      <c r="AK31" s="517" t="str">
        <f>IF(AND(Contract_Edits[[#This Row],[Dep]]&lt;&gt;0,
        ISNUMBER(MATCH(Contract_Edits[[#This Row],[Dep]], Contract_Edits[Index], 0)),
        INDEX(Contract_Edits[Dep], MATCH(Contract_Edits[[#This Row],[Dep]], Contract_Edits[Index], 0))=Contract_Edits[[#This Row],[Index]]),
   "2-cycle","")</f>
        <v/>
      </c>
      <c r="AL31" s="517" cm="1">
        <f t="array" ref="AL31">IF(Contract_Edits[[#This Row],[BaseFlag]]&lt;&gt;1,0,
   IF(TEXT(Contract_Edits[[#This Row],[Dep]],"0")=TEXT(Contract_Edits[[#This Row],[Index]],"0"),
      0,
      MAX(0, SUMPRODUCT(--(Contract_Edits[BaseFlag]=1),
                        --(TEXT(Contract_Edits[Dep],"0")=TEXT(Contract_Edits[[#This Row],[Dep]],"0"))) - 1)
   )
)</f>
        <v>0</v>
      </c>
      <c r="AM31" s="517" t="str" cm="1">
        <f t="array" ref="AM31">IF(Contract_Edits[[#This Row],[BaseFlag]]=1,
   TEXT(Contract_Edits[[#This Row],[Index]],"0"),
   NearestBaseL(TEXT(Contract_Edits[[#This Row],[ParentKey]],"0"),500,editsIdxTxt,editsParentKeyTxt,baseIdxTxt,baseCost)
)</f>
        <v>151</v>
      </c>
      <c r="AN31" s="517" cm="1">
        <f t="array" ref="AN31">1+SUMPRODUCT(
  (Contract_Edits[BaseFlag]=1)*
  (TEXT(Contract_Edits[ParentAnchor],"0")=TEXT(Contract_Edits[[#This Row],[ParentAnchor]],"0"))*
  (VALUE(TEXT(Contract_Edits[Index],"0"))&lt;VALUE(TEXT(Contract_Edits[[#This Row],[Index]],"0")))
)</f>
        <v>1</v>
      </c>
      <c r="AO31" s="35"/>
      <c r="AP31" s="35" t="str">
        <f ca="1">IFERROR(+IF(AP$24=#REF!,Milestone_Marker,IF(AND(AP$24&gt;#REF!,AP$24&lt;#REF!+#REF!),#REF!,"")),"")</f>
        <v/>
      </c>
      <c r="AQ31" s="35" t="str">
        <f ca="1">IFERROR(+IF(AQ$24=#REF!,Milestone_Marker,IF(AND(AQ$24&gt;#REF!,AQ$24&lt;#REF!+#REF!),#REF!,"")),"")</f>
        <v/>
      </c>
      <c r="AR31" s="35" t="str">
        <f ca="1">IFERROR(+IF(AR$24=#REF!,Milestone_Marker,IF(AND(AR$24&gt;#REF!,AR$24&lt;#REF!+#REF!),#REF!,"")),"")</f>
        <v/>
      </c>
      <c r="AS31" s="35" t="str">
        <f ca="1">IFERROR(+IF(AS$24=#REF!,Milestone_Marker,IF(AND(AS$24&gt;#REF!,AS$24&lt;#REF!+#REF!),#REF!,"")),"")</f>
        <v/>
      </c>
      <c r="AT31" s="35" t="str">
        <f ca="1">IFERROR(+IF(AT$24=#REF!,Milestone_Marker,IF(AND(AT$24&gt;#REF!,AT$24&lt;#REF!+#REF!),#REF!,"")),"")</f>
        <v/>
      </c>
      <c r="AU31" s="35" t="str">
        <f ca="1">IFERROR(+IF(AU$24=#REF!,Milestone_Marker,IF(AND(AU$24&gt;#REF!,AU$24&lt;#REF!+#REF!),#REF!,"")),"")</f>
        <v/>
      </c>
      <c r="AV31" s="35" t="str">
        <f ca="1">IFERROR(+IF(AV$24=#REF!,Milestone_Marker,IF(AND(AV$24&gt;#REF!,AV$24&lt;#REF!+#REF!),#REF!,"")),"")</f>
        <v/>
      </c>
      <c r="AW31" s="35" t="str">
        <f ca="1">IFERROR(+IF(AW$24=#REF!,Milestone_Marker,IF(AND(AW$24&gt;#REF!,AW$24&lt;#REF!+#REF!),#REF!,"")),"")</f>
        <v/>
      </c>
      <c r="AX31" s="35" t="str">
        <f ca="1">IFERROR(+IF(AX$24=#REF!,Milestone_Marker,IF(AND(AX$24&gt;#REF!,AX$24&lt;#REF!+#REF!),#REF!,"")),"")</f>
        <v/>
      </c>
      <c r="AY31" s="35" t="str">
        <f ca="1">IFERROR(+IF(AY$24=#REF!,Milestone_Marker,IF(AND(AY$24&gt;#REF!,AY$24&lt;#REF!+#REF!),#REF!,"")),"")</f>
        <v/>
      </c>
      <c r="AZ31" s="35" t="str">
        <f ca="1">IFERROR(+IF(AZ$24=#REF!,Milestone_Marker,IF(AND(AZ$24&gt;#REF!,AZ$24&lt;#REF!+#REF!),#REF!,"")),"")</f>
        <v/>
      </c>
      <c r="BA31" s="35" t="str">
        <f ca="1">IFERROR(+IF(BA$24=#REF!,Milestone_Marker,IF(AND(BA$24&gt;#REF!,BA$24&lt;#REF!+#REF!),#REF!,"")),"")</f>
        <v/>
      </c>
      <c r="BB31" s="35" t="str">
        <f ca="1">IFERROR(+IF(BB$24=#REF!,Milestone_Marker,IF(AND(BB$24&gt;#REF!,BB$24&lt;#REF!+#REF!),#REF!,"")),"")</f>
        <v/>
      </c>
      <c r="BC31" s="35" t="str">
        <f ca="1">IFERROR(+IF(BC$24=#REF!,Milestone_Marker,IF(AND(BC$24&gt;#REF!,BC$24&lt;#REF!+#REF!),#REF!,"")),"")</f>
        <v/>
      </c>
      <c r="BD31" s="35" t="str">
        <f ca="1">IFERROR(+IF(BD$24=#REF!,Milestone_Marker,IF(AND(BD$24&gt;#REF!,BD$24&lt;#REF!+#REF!),#REF!,"")),"")</f>
        <v/>
      </c>
      <c r="BE31" s="35" t="str">
        <f ca="1">IFERROR(+IF(BE$24=#REF!,Milestone_Marker,IF(AND(BE$24&gt;#REF!,BE$24&lt;#REF!+#REF!),#REF!,"")),"")</f>
        <v/>
      </c>
      <c r="BF31" s="35" t="str">
        <f ca="1">IFERROR(+IF(BF$24=#REF!,Milestone_Marker,IF(AND(BF$24&gt;#REF!,BF$24&lt;#REF!+#REF!),#REF!,"")),"")</f>
        <v/>
      </c>
      <c r="BG31" s="35" t="str">
        <f ca="1">IFERROR(+IF(BG$24=#REF!,Milestone_Marker,IF(AND(BG$24&gt;#REF!,BG$24&lt;#REF!+#REF!),#REF!,"")),"")</f>
        <v/>
      </c>
      <c r="BH31" s="35" t="str">
        <f ca="1">IFERROR(+IF(BH$24=#REF!,Milestone_Marker,IF(AND(BH$24&gt;#REF!,BH$24&lt;#REF!+#REF!),#REF!,"")),"")</f>
        <v/>
      </c>
      <c r="BI31" s="35" t="str">
        <f ca="1">IFERROR(+IF(BI$24=#REF!,Milestone_Marker,IF(AND(BI$24&gt;#REF!,BI$24&lt;#REF!+#REF!),#REF!,"")),"")</f>
        <v/>
      </c>
      <c r="BJ31" s="35" t="str">
        <f ca="1">IFERROR(+IF(BJ$24=#REF!,Milestone_Marker,IF(AND(BJ$24&gt;#REF!,BJ$24&lt;#REF!+#REF!),#REF!,"")),"")</f>
        <v/>
      </c>
      <c r="BK31" s="35" t="str">
        <f ca="1">IFERROR(+IF(BK$24=#REF!,Milestone_Marker,IF(AND(BK$24&gt;#REF!,BK$24&lt;#REF!+#REF!),#REF!,"")),"")</f>
        <v/>
      </c>
      <c r="BL31" s="35" t="str">
        <f ca="1">IFERROR(+IF(BL$24=#REF!,Milestone_Marker,IF(AND(BL$24&gt;#REF!,BL$24&lt;#REF!+#REF!),#REF!,"")),"")</f>
        <v/>
      </c>
      <c r="BM31" s="35" t="str">
        <f ca="1">IFERROR(+IF(BM$24=#REF!,Milestone_Marker,IF(AND(BM$24&gt;#REF!,BM$24&lt;#REF!+#REF!),#REF!,"")),"")</f>
        <v/>
      </c>
      <c r="BN31" s="35" t="str">
        <f ca="1">IFERROR(+IF(BN$24=#REF!,Milestone_Marker,IF(AND(BN$24&gt;#REF!,BN$24&lt;#REF!+#REF!),#REF!,"")),"")</f>
        <v/>
      </c>
      <c r="BO31" s="35" t="str">
        <f ca="1">IFERROR(+IF(BO$24=#REF!,Milestone_Marker,IF(AND(BO$24&gt;#REF!,BO$24&lt;#REF!+#REF!),#REF!,"")),"")</f>
        <v/>
      </c>
      <c r="BP31" s="35" t="str">
        <f ca="1">IFERROR(+IF(BP$24=#REF!,Milestone_Marker,IF(AND(BP$24&gt;#REF!,BP$24&lt;#REF!+#REF!),#REF!,"")),"")</f>
        <v/>
      </c>
      <c r="BQ31" s="35" t="str">
        <f ca="1">IFERROR(+IF(BQ$24=#REF!,Milestone_Marker,IF(AND(BQ$24&gt;#REF!,BQ$24&lt;#REF!+#REF!),#REF!,"")),"")</f>
        <v/>
      </c>
      <c r="BR31" s="35" t="str">
        <f ca="1">IFERROR(+IF(BR$24=#REF!,Milestone_Marker,IF(AND(BR$24&gt;#REF!,BR$24&lt;#REF!+#REF!),#REF!,"")),"")</f>
        <v/>
      </c>
      <c r="BS31" s="35" t="str">
        <f ca="1">IFERROR(+IF(BS$24=#REF!,Milestone_Marker,IF(AND(BS$24&gt;#REF!,BS$24&lt;#REF!+#REF!),#REF!,"")),"")</f>
        <v/>
      </c>
      <c r="BT31" s="35" t="str">
        <f ca="1">IFERROR(+IF(BT$24=#REF!,Milestone_Marker,IF(AND(BT$24&gt;#REF!,BT$24&lt;#REF!+#REF!),#REF!,"")),"")</f>
        <v/>
      </c>
      <c r="BU31" s="35" t="str">
        <f ca="1">IFERROR(+IF(BU$24=#REF!,Milestone_Marker,IF(AND(BU$24&gt;#REF!,BU$24&lt;#REF!+#REF!),#REF!,"")),"")</f>
        <v/>
      </c>
      <c r="BV31" s="35" t="str">
        <f ca="1">IFERROR(+IF(BV$24=#REF!,Milestone_Marker,IF(AND(BV$24&gt;#REF!,BV$24&lt;#REF!+#REF!),#REF!,"")),"")</f>
        <v/>
      </c>
      <c r="BW31" s="35" t="str">
        <f ca="1">IFERROR(+IF(BW$24=#REF!,Milestone_Marker,IF(AND(BW$24&gt;#REF!,BW$24&lt;#REF!+#REF!),#REF!,"")),"")</f>
        <v/>
      </c>
      <c r="BX31" s="35" t="str">
        <f ca="1">IFERROR(+IF(BX$24=#REF!,Milestone_Marker,IF(AND(BX$24&gt;#REF!,BX$24&lt;#REF!+#REF!),#REF!,"")),"")</f>
        <v/>
      </c>
      <c r="BY31" s="35" t="str">
        <f ca="1">IFERROR(+IF(BY$24=#REF!,Milestone_Marker,IF(AND(BY$24&gt;#REF!,BY$24&lt;#REF!+#REF!),#REF!,"")),"")</f>
        <v/>
      </c>
      <c r="BZ31" s="35" t="str">
        <f ca="1">IFERROR(+IF(BZ$24=#REF!,Milestone_Marker,IF(AND(BZ$24&gt;#REF!,BZ$24&lt;#REF!+#REF!),#REF!,"")),"")</f>
        <v/>
      </c>
      <c r="CA31" s="35" t="str">
        <f ca="1">IFERROR(+IF(CA$24=#REF!,Milestone_Marker,IF(AND(CA$24&gt;#REF!,CA$24&lt;#REF!+#REF!),#REF!,"")),"")</f>
        <v/>
      </c>
      <c r="CB31" s="35" t="str">
        <f ca="1">IFERROR(+IF(CB$24=#REF!,Milestone_Marker,IF(AND(CB$24&gt;#REF!,CB$24&lt;#REF!+#REF!),#REF!,"")),"")</f>
        <v/>
      </c>
      <c r="CC31" s="35" t="str">
        <f ca="1">IFERROR(+IF(CC$24=#REF!,Milestone_Marker,IF(AND(CC$24&gt;#REF!,CC$24&lt;#REF!+#REF!),#REF!,"")),"")</f>
        <v/>
      </c>
      <c r="CD31" s="35" t="str">
        <f ca="1">IFERROR(+IF(CD$24=#REF!,Milestone_Marker,IF(AND(CD$24&gt;#REF!,CD$24&lt;#REF!+#REF!),#REF!,"")),"")</f>
        <v/>
      </c>
      <c r="CE31" s="35" t="str">
        <f ca="1">IFERROR(+IF(CE$24=#REF!,Milestone_Marker,IF(AND(CE$24&gt;#REF!,CE$24&lt;#REF!+#REF!),#REF!,"")),"")</f>
        <v/>
      </c>
      <c r="CF31" s="35" t="str">
        <f ca="1">IFERROR(+IF(CF$24=#REF!,Milestone_Marker,IF(AND(CF$24&gt;#REF!,CF$24&lt;#REF!+#REF!),#REF!,"")),"")</f>
        <v/>
      </c>
      <c r="CG31" s="35" t="str">
        <f ca="1">IFERROR(+IF(CG$24=#REF!,Milestone_Marker,IF(AND(CG$24&gt;#REF!,CG$24&lt;#REF!+#REF!),#REF!,"")),"")</f>
        <v/>
      </c>
      <c r="CH31" s="35" t="str">
        <f ca="1">IFERROR(+IF(CH$24=#REF!,Milestone_Marker,IF(AND(CH$24&gt;#REF!,CH$24&lt;#REF!+#REF!),#REF!,"")),"")</f>
        <v/>
      </c>
      <c r="CI31" s="35" t="str">
        <f ca="1">IFERROR(+IF(CI$24=#REF!,Milestone_Marker,IF(AND(CI$24&gt;#REF!,CI$24&lt;#REF!+#REF!),#REF!,"")),"")</f>
        <v/>
      </c>
      <c r="CJ31" s="35" t="str">
        <f ca="1">IFERROR(+IF(CJ$24=#REF!,Milestone_Marker,IF(AND(CJ$24&gt;#REF!,CJ$24&lt;#REF!+#REF!),#REF!,"")),"")</f>
        <v/>
      </c>
      <c r="CK31" s="35" t="str">
        <f ca="1">IFERROR(+IF(CK$24=#REF!,Milestone_Marker,IF(AND(CK$24&gt;#REF!,CK$24&lt;#REF!+#REF!),#REF!,"")),"")</f>
        <v/>
      </c>
      <c r="CL31" s="35" t="str">
        <f ca="1">IFERROR(+IF(CL$24=#REF!,Milestone_Marker,IF(AND(CL$24&gt;#REF!,CL$24&lt;#REF!+#REF!),#REF!,"")),"")</f>
        <v/>
      </c>
      <c r="CM31" s="35" t="str">
        <f ca="1">IFERROR(+IF(CM$24=#REF!,Milestone_Marker,IF(AND(CM$24&gt;#REF!,CM$24&lt;#REF!+#REF!),#REF!,"")),"")</f>
        <v/>
      </c>
      <c r="CN31" s="35" t="str">
        <f ca="1">IFERROR(+IF(CN$24=#REF!,Milestone_Marker,IF(AND(CN$24&gt;#REF!,CN$24&lt;#REF!+#REF!),#REF!,"")),"")</f>
        <v/>
      </c>
      <c r="CO31" s="35" t="str">
        <f ca="1">IFERROR(+IF(CO$24=#REF!,Milestone_Marker,IF(AND(CO$24&gt;#REF!,CO$24&lt;#REF!+#REF!),#REF!,"")),"")</f>
        <v/>
      </c>
      <c r="CP31" s="35" t="str">
        <f ca="1">IFERROR(+IF(CP$24=#REF!,Milestone_Marker,IF(AND(CP$24&gt;#REF!,CP$24&lt;#REF!+#REF!),#REF!,"")),"")</f>
        <v/>
      </c>
      <c r="CQ31" s="35" t="str">
        <f ca="1">IFERROR(+IF(CQ$24=#REF!,Milestone_Marker,IF(AND(CQ$24&gt;#REF!,CQ$24&lt;#REF!+#REF!),#REF!,"")),"")</f>
        <v/>
      </c>
      <c r="CR31" s="35" t="str">
        <f ca="1">IFERROR(+IF(CR$24=#REF!,Milestone_Marker,IF(AND(CR$24&gt;#REF!,CR$24&lt;#REF!+#REF!),#REF!,"")),"")</f>
        <v/>
      </c>
      <c r="CS31" s="35" t="str">
        <f ca="1">IFERROR(+IF(CS$24=#REF!,Milestone_Marker,IF(AND(CS$24&gt;#REF!,CS$24&lt;#REF!+#REF!),#REF!,"")),"")</f>
        <v/>
      </c>
      <c r="CT31" s="35" t="str">
        <f ca="1">IFERROR(+IF(CT$24=#REF!,Milestone_Marker,IF(AND(CT$24&gt;#REF!,CT$24&lt;#REF!+#REF!),#REF!,"")),"")</f>
        <v/>
      </c>
      <c r="CU31" s="35" t="str">
        <f ca="1">IFERROR(+IF(CU$24=#REF!,Milestone_Marker,IF(AND(CU$24&gt;#REF!,CU$24&lt;#REF!+#REF!),#REF!,"")),"")</f>
        <v/>
      </c>
      <c r="CV31" s="35" t="str">
        <f ca="1">IFERROR(+IF(CV$24=#REF!,Milestone_Marker,IF(AND(CV$24&gt;#REF!,CV$24&lt;#REF!+#REF!),#REF!,"")),"")</f>
        <v/>
      </c>
      <c r="CW31" s="35" t="str">
        <f ca="1">IFERROR(+IF(CW$24=#REF!,Milestone_Marker,IF(AND(CW$24&gt;#REF!,CW$24&lt;#REF!+#REF!),#REF!,"")),"")</f>
        <v/>
      </c>
      <c r="CX31" s="35" t="str">
        <f ca="1">IFERROR(+IF(CX$24=#REF!,Milestone_Marker,IF(AND(CX$24&gt;#REF!,CX$24&lt;#REF!+#REF!),#REF!,"")),"")</f>
        <v/>
      </c>
      <c r="CY31" s="35" t="str">
        <f ca="1">IFERROR(+IF(CY$24=#REF!,Milestone_Marker,IF(AND(CY$24&gt;#REF!,CY$24&lt;#REF!+#REF!),#REF!,"")),"")</f>
        <v/>
      </c>
      <c r="CZ31" s="35" t="str">
        <f ca="1">IFERROR(+IF(CZ$24=#REF!,Milestone_Marker,IF(AND(CZ$24&gt;#REF!,CZ$24&lt;#REF!+#REF!),#REF!,"")),"")</f>
        <v/>
      </c>
      <c r="DA31" s="35" t="str">
        <f ca="1">IFERROR(+IF(DA$24=#REF!,Milestone_Marker,IF(AND(DA$24&gt;#REF!,DA$24&lt;#REF!+#REF!),#REF!,"")),"")</f>
        <v/>
      </c>
      <c r="DB31" s="35" t="str">
        <f ca="1">IFERROR(+IF(DB$24=#REF!,Milestone_Marker,IF(AND(DB$24&gt;#REF!,DB$24&lt;#REF!+#REF!),#REF!,"")),"")</f>
        <v/>
      </c>
      <c r="DC31" s="35" t="str">
        <f ca="1">IFERROR(+IF(DC$24=#REF!,Milestone_Marker,IF(AND(DC$24&gt;#REF!,DC$24&lt;#REF!+#REF!),#REF!,"")),"")</f>
        <v/>
      </c>
      <c r="DD31" s="35" t="str">
        <f ca="1">IFERROR(+IF(DD$24=#REF!,Milestone_Marker,IF(AND(DD$24&gt;#REF!,DD$24&lt;#REF!+#REF!),#REF!,"")),"")</f>
        <v/>
      </c>
      <c r="DE31" s="35" t="str">
        <f ca="1">IFERROR(+IF(DE$24=#REF!,Milestone_Marker,IF(AND(DE$24&gt;#REF!,DE$24&lt;#REF!+#REF!),#REF!,"")),"")</f>
        <v/>
      </c>
      <c r="DF31" s="35"/>
      <c r="DG31" s="35"/>
      <c r="DH31" s="35"/>
      <c r="DI31" s="35"/>
      <c r="DJ31" s="35"/>
      <c r="DK31" s="35"/>
      <c r="DL31" s="35"/>
      <c r="DM31" s="35"/>
      <c r="DN31" s="35"/>
      <c r="DO31" s="35"/>
      <c r="DP31" s="35"/>
      <c r="DQ31" s="35"/>
      <c r="DR31" s="35"/>
      <c r="DS31" s="35"/>
      <c r="DT31" s="35"/>
      <c r="DU31" s="35"/>
      <c r="DV31" s="35"/>
      <c r="DW31" s="35"/>
      <c r="DX31" s="35"/>
      <c r="DY31" s="35"/>
      <c r="DZ31" s="35"/>
      <c r="EA31" s="35"/>
      <c r="EB31" s="35"/>
      <c r="EC31" s="35"/>
      <c r="ED31" s="35"/>
      <c r="EE31" s="35"/>
    </row>
    <row r="32" spans="1:157" s="40" customFormat="1" ht="15">
      <c r="A32" t="s">
        <v>552</v>
      </c>
      <c r="B32" t="s">
        <v>639</v>
      </c>
      <c r="C32" t="s">
        <v>560</v>
      </c>
      <c r="D32" s="458" t="s">
        <v>645</v>
      </c>
      <c r="E32" s="458">
        <v>1</v>
      </c>
      <c r="F32">
        <v>625</v>
      </c>
      <c r="G32">
        <v>625</v>
      </c>
      <c r="H32">
        <v>151</v>
      </c>
      <c r="I32">
        <v>625</v>
      </c>
      <c r="J32">
        <v>75</v>
      </c>
      <c r="K32" s="107"/>
      <c r="L32" s="463">
        <v>75</v>
      </c>
      <c r="M32" s="490">
        <v>2</v>
      </c>
      <c r="N32" s="160">
        <v>0</v>
      </c>
      <c r="O32" s="546" cm="1">
        <f t="array" ref="O3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32" s="567" t="s">
        <v>458</v>
      </c>
      <c r="Q32" s="567"/>
      <c r="R32" s="499"/>
      <c r="S32" s="463" cm="1">
        <f t="array" ref="S3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2" s="34">
        <v>1</v>
      </c>
      <c r="U32" s="490"/>
      <c r="V3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15.0204</v>
      </c>
      <c r="W32" s="557"/>
      <c r="X32" s="545"/>
      <c r="Y32" s="548" t="s">
        <v>855</v>
      </c>
      <c r="Z32" s="160" t="s">
        <v>458</v>
      </c>
      <c r="AA32" s="563">
        <v>104800</v>
      </c>
      <c r="AB32" cm="1">
        <f t="array" ref="AB32">ROW()-ROW(Contract_Edits[#Headers])</f>
        <v>8</v>
      </c>
      <c r="AC32">
        <f>IF(Contract_Edits[[#This Row],[RowPos]]&gt;1, Contract_Edits[[#This Row],[RowPos]]-1, 0)</f>
        <v>7</v>
      </c>
      <c r="AD32" s="35">
        <f>IF(N(Contract_Edits[[#This Row],[Dep]])=0, N(Contract_Edits[[#This Row],[Index]]), N(Contract_Edits[[#This Row],[Dep]]))</f>
        <v>151</v>
      </c>
      <c r="AE32" s="35" cm="1">
        <f t="array" ref="AE32">IF(OR(Contract_Edits[[#This Row],[Dep]]=0, TRIM(Contract_Edits[[#This Row],[Dep]])=""),
   0,
   IFERROR(
      _xlfn.XLOOKUP(1, (Contract_Edits[Dep]=Contract_Edits[[#This Row],[Dep]])*(Contract_Edits[RowPos]&lt;Contract_Edits[[#This Row],[RowPos]]), Contract_Edits[RowPos], , 0, -1),
      0
   )
)</f>
        <v>7</v>
      </c>
      <c r="AF32" s="35">
        <f>IF(OR(Contract_Edits[[#This Row],[Dep]]=0,Contract_Edits[[#This Row],[Dep]]=""),0,
   COUNTIFS(Contract_Edits[Dep],Contract_Edits[[#This Row],[Dep]],Contract_Edits[RowPos],"&lt;="&amp;Contract_Edits[[#This Row],[RowPos]],Contract_Edits[Approve],"Yes")
)</f>
        <v>4</v>
      </c>
      <c r="AG32" s="517">
        <f>--(
  ISNUMBER(SEARCH("BASE PARENT", UPPER(CLEAN(TRIM(_xlfn.XLOOKUP(TEXT(Contract_Edits[[#This Row],[Index]],"0"), baseIdxTxt, baseCost, "")))))) +
  ISNUMBER(SEARCH("DEPENDENCY GROUP", UPPER(CLEAN(TRIM(_xlfn.XLOOKUP(TEXT(Contract_Edits[[#This Row],[Index]],"0"), baseIdxTxt, baseCost, ""))))))
)</f>
        <v>0</v>
      </c>
      <c r="AH32" s="517" t="str" cm="1">
        <f t="array" ref="AH32">IF(Contract_Edits[[#This Row],[BaseFlag]]=1,
   10*BaseDepthL(TEXT(Contract_Edits[[#This Row],[Index]],"0"),500,editsIdxTxt,editsParentKeyTxt,baseIdxTxt,baseCost)-5,
   ""
)</f>
        <v/>
      </c>
      <c r="AI32" s="517" cm="1">
        <f t="array" ref="AI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2" s="517" t="str">
        <f>IF(Contract_Edits[[#This Row],[Dep]]=0,"Root",
   IF(ISNUMBER(MATCH(Contract_Edits[[#This Row],[Dep]],Contract_Edits[Index],0)),"OK","Missing")
)</f>
        <v>OK</v>
      </c>
      <c r="AK32" s="517" t="str">
        <f>IF(AND(Contract_Edits[[#This Row],[Dep]]&lt;&gt;0,
        ISNUMBER(MATCH(Contract_Edits[[#This Row],[Dep]], Contract_Edits[Index], 0)),
        INDEX(Contract_Edits[Dep], MATCH(Contract_Edits[[#This Row],[Dep]], Contract_Edits[Index], 0))=Contract_Edits[[#This Row],[Index]]),
   "2-cycle","")</f>
        <v/>
      </c>
      <c r="AL32" s="517" cm="1">
        <f t="array" ref="AL32">IF(Contract_Edits[[#This Row],[BaseFlag]]&lt;&gt;1,0,
   IF(TEXT(Contract_Edits[[#This Row],[Dep]],"0")=TEXT(Contract_Edits[[#This Row],[Index]],"0"),
      0,
      MAX(0, SUMPRODUCT(--(Contract_Edits[BaseFlag]=1),
                        --(TEXT(Contract_Edits[Dep],"0")=TEXT(Contract_Edits[[#This Row],[Dep]],"0"))) - 1)
   )
)</f>
        <v>0</v>
      </c>
      <c r="AM32" s="517" t="str" cm="1">
        <f t="array" ref="AM32">IF(Contract_Edits[[#This Row],[BaseFlag]]=1,
   TEXT(Contract_Edits[[#This Row],[Index]],"0"),
   NearestBaseL(TEXT(Contract_Edits[[#This Row],[ParentKey]],"0"),500,editsIdxTxt,editsParentKeyTxt,baseIdxTxt,baseCost)
)</f>
        <v>151</v>
      </c>
      <c r="AN32" s="517" cm="1">
        <f t="array" ref="AN32">1+SUMPRODUCT(
  (Contract_Edits[BaseFlag]=1)*
  (TEXT(Contract_Edits[ParentAnchor],"0")=TEXT(Contract_Edits[[#This Row],[ParentAnchor]],"0"))*
  (VALUE(TEXT(Contract_Edits[Index],"0"))&lt;VALUE(TEXT(Contract_Edits[[#This Row],[Index]],"0")))
)</f>
        <v>1</v>
      </c>
      <c r="AO32" s="35"/>
      <c r="AP32" s="35" t="str">
        <f ca="1">IFERROR(+IF(AP$24=#REF!,Milestone_Marker,IF(AND(AP$24&gt;#REF!,AP$24&lt;#REF!+#REF!),#REF!,"")),"")</f>
        <v/>
      </c>
      <c r="AQ32" s="35" t="str">
        <f ca="1">IFERROR(+IF(AQ$24=#REF!,Milestone_Marker,IF(AND(AQ$24&gt;#REF!,AQ$24&lt;#REF!+#REF!),#REF!,"")),"")</f>
        <v/>
      </c>
      <c r="AR32" s="35" t="str">
        <f ca="1">IFERROR(+IF(AR$24=#REF!,Milestone_Marker,IF(AND(AR$24&gt;#REF!,AR$24&lt;#REF!+#REF!),#REF!,"")),"")</f>
        <v/>
      </c>
      <c r="AS32" s="35" t="str">
        <f ca="1">IFERROR(+IF(AS$24=#REF!,Milestone_Marker,IF(AND(AS$24&gt;#REF!,AS$24&lt;#REF!+#REF!),#REF!,"")),"")</f>
        <v/>
      </c>
      <c r="AT32" s="35" t="str">
        <f ca="1">IFERROR(+IF(AT$24=#REF!,Milestone_Marker,IF(AND(AT$24&gt;#REF!,AT$24&lt;#REF!+#REF!),#REF!,"")),"")</f>
        <v/>
      </c>
      <c r="AU32" s="35" t="str">
        <f ca="1">IFERROR(+IF(AU$24=#REF!,Milestone_Marker,IF(AND(AU$24&gt;#REF!,AU$24&lt;#REF!+#REF!),#REF!,"")),"")</f>
        <v/>
      </c>
      <c r="AV32" s="35" t="str">
        <f ca="1">IFERROR(+IF(AV$24=#REF!,Milestone_Marker,IF(AND(AV$24&gt;#REF!,AV$24&lt;#REF!+#REF!),#REF!,"")),"")</f>
        <v/>
      </c>
      <c r="AW32" s="35" t="str">
        <f ca="1">IFERROR(+IF(AW$24=#REF!,Milestone_Marker,IF(AND(AW$24&gt;#REF!,AW$24&lt;#REF!+#REF!),#REF!,"")),"")</f>
        <v/>
      </c>
      <c r="AX32" s="35" t="str">
        <f ca="1">IFERROR(+IF(AX$24=#REF!,Milestone_Marker,IF(AND(AX$24&gt;#REF!,AX$24&lt;#REF!+#REF!),#REF!,"")),"")</f>
        <v/>
      </c>
      <c r="AY32" s="35" t="str">
        <f ca="1">IFERROR(+IF(AY$24=#REF!,Milestone_Marker,IF(AND(AY$24&gt;#REF!,AY$24&lt;#REF!+#REF!),#REF!,"")),"")</f>
        <v/>
      </c>
      <c r="AZ32" s="35" t="str">
        <f ca="1">IFERROR(+IF(AZ$24=#REF!,Milestone_Marker,IF(AND(AZ$24&gt;#REF!,AZ$24&lt;#REF!+#REF!),#REF!,"")),"")</f>
        <v/>
      </c>
      <c r="BA32" s="35" t="str">
        <f ca="1">IFERROR(+IF(BA$24=#REF!,Milestone_Marker,IF(AND(BA$24&gt;#REF!,BA$24&lt;#REF!+#REF!),#REF!,"")),"")</f>
        <v/>
      </c>
      <c r="BB32" s="35" t="str">
        <f ca="1">IFERROR(+IF(BB$24=#REF!,Milestone_Marker,IF(AND(BB$24&gt;#REF!,BB$24&lt;#REF!+#REF!),#REF!,"")),"")</f>
        <v/>
      </c>
      <c r="BC32" s="35" t="str">
        <f ca="1">IFERROR(+IF(BC$24=#REF!,Milestone_Marker,IF(AND(BC$24&gt;#REF!,BC$24&lt;#REF!+#REF!),#REF!,"")),"")</f>
        <v/>
      </c>
      <c r="BD32" s="35" t="str">
        <f ca="1">IFERROR(+IF(BD$24=#REF!,Milestone_Marker,IF(AND(BD$24&gt;#REF!,BD$24&lt;#REF!+#REF!),#REF!,"")),"")</f>
        <v/>
      </c>
      <c r="BE32" s="35" t="str">
        <f ca="1">IFERROR(+IF(BE$24=#REF!,Milestone_Marker,IF(AND(BE$24&gt;#REF!,BE$24&lt;#REF!+#REF!),#REF!,"")),"")</f>
        <v/>
      </c>
      <c r="BF32" s="35" t="str">
        <f ca="1">IFERROR(+IF(BF$24=#REF!,Milestone_Marker,IF(AND(BF$24&gt;#REF!,BF$24&lt;#REF!+#REF!),#REF!,"")),"")</f>
        <v/>
      </c>
      <c r="BG32" s="35" t="str">
        <f ca="1">IFERROR(+IF(BG$24=#REF!,Milestone_Marker,IF(AND(BG$24&gt;#REF!,BG$24&lt;#REF!+#REF!),#REF!,"")),"")</f>
        <v/>
      </c>
      <c r="BH32" s="35" t="str">
        <f ca="1">IFERROR(+IF(BH$24=#REF!,Milestone_Marker,IF(AND(BH$24&gt;#REF!,BH$24&lt;#REF!+#REF!),#REF!,"")),"")</f>
        <v/>
      </c>
      <c r="BI32" s="35" t="str">
        <f ca="1">IFERROR(+IF(BI$24=#REF!,Milestone_Marker,IF(AND(BI$24&gt;#REF!,BI$24&lt;#REF!+#REF!),#REF!,"")),"")</f>
        <v/>
      </c>
      <c r="BJ32" s="35" t="str">
        <f ca="1">IFERROR(+IF(BJ$24=#REF!,Milestone_Marker,IF(AND(BJ$24&gt;#REF!,BJ$24&lt;#REF!+#REF!),#REF!,"")),"")</f>
        <v/>
      </c>
      <c r="BK32" s="35" t="str">
        <f ca="1">IFERROR(+IF(BK$24=#REF!,Milestone_Marker,IF(AND(BK$24&gt;#REF!,BK$24&lt;#REF!+#REF!),#REF!,"")),"")</f>
        <v/>
      </c>
      <c r="BL32" s="35" t="str">
        <f ca="1">IFERROR(+IF(BL$24=#REF!,Milestone_Marker,IF(AND(BL$24&gt;#REF!,BL$24&lt;#REF!+#REF!),#REF!,"")),"")</f>
        <v/>
      </c>
      <c r="BM32" s="35" t="str">
        <f ca="1">IFERROR(+IF(BM$24=#REF!,Milestone_Marker,IF(AND(BM$24&gt;#REF!,BM$24&lt;#REF!+#REF!),#REF!,"")),"")</f>
        <v/>
      </c>
      <c r="BN32" s="35" t="str">
        <f ca="1">IFERROR(+IF(BN$24=#REF!,Milestone_Marker,IF(AND(BN$24&gt;#REF!,BN$24&lt;#REF!+#REF!),#REF!,"")),"")</f>
        <v/>
      </c>
      <c r="BO32" s="35" t="str">
        <f ca="1">IFERROR(+IF(BO$24=#REF!,Milestone_Marker,IF(AND(BO$24&gt;#REF!,BO$24&lt;#REF!+#REF!),#REF!,"")),"")</f>
        <v/>
      </c>
      <c r="BP32" s="35" t="str">
        <f ca="1">IFERROR(+IF(BP$24=#REF!,Milestone_Marker,IF(AND(BP$24&gt;#REF!,BP$24&lt;#REF!+#REF!),#REF!,"")),"")</f>
        <v/>
      </c>
      <c r="BQ32" s="35" t="str">
        <f ca="1">IFERROR(+IF(BQ$24=#REF!,Milestone_Marker,IF(AND(BQ$24&gt;#REF!,BQ$24&lt;#REF!+#REF!),#REF!,"")),"")</f>
        <v/>
      </c>
      <c r="BR32" s="35" t="str">
        <f ca="1">IFERROR(+IF(BR$24=#REF!,Milestone_Marker,IF(AND(BR$24&gt;#REF!,BR$24&lt;#REF!+#REF!),#REF!,"")),"")</f>
        <v/>
      </c>
      <c r="BS32" s="35" t="str">
        <f ca="1">IFERROR(+IF(BS$24=#REF!,Milestone_Marker,IF(AND(BS$24&gt;#REF!,BS$24&lt;#REF!+#REF!),#REF!,"")),"")</f>
        <v/>
      </c>
      <c r="BT32" s="35" t="str">
        <f ca="1">IFERROR(+IF(BT$24=#REF!,Milestone_Marker,IF(AND(BT$24&gt;#REF!,BT$24&lt;#REF!+#REF!),#REF!,"")),"")</f>
        <v/>
      </c>
      <c r="BU32" s="35" t="str">
        <f ca="1">IFERROR(+IF(BU$24=#REF!,Milestone_Marker,IF(AND(BU$24&gt;#REF!,BU$24&lt;#REF!+#REF!),#REF!,"")),"")</f>
        <v/>
      </c>
      <c r="BV32" s="35" t="str">
        <f ca="1">IFERROR(+IF(BV$24=#REF!,Milestone_Marker,IF(AND(BV$24&gt;#REF!,BV$24&lt;#REF!+#REF!),#REF!,"")),"")</f>
        <v/>
      </c>
      <c r="BW32" s="35" t="str">
        <f ca="1">IFERROR(+IF(BW$24=#REF!,Milestone_Marker,IF(AND(BW$24&gt;#REF!,BW$24&lt;#REF!+#REF!),#REF!,"")),"")</f>
        <v/>
      </c>
      <c r="BX32" s="35" t="str">
        <f ca="1">IFERROR(+IF(BX$24=#REF!,Milestone_Marker,IF(AND(BX$24&gt;#REF!,BX$24&lt;#REF!+#REF!),#REF!,"")),"")</f>
        <v/>
      </c>
      <c r="BY32" s="35" t="str">
        <f ca="1">IFERROR(+IF(BY$24=#REF!,Milestone_Marker,IF(AND(BY$24&gt;#REF!,BY$24&lt;#REF!+#REF!),#REF!,"")),"")</f>
        <v/>
      </c>
      <c r="BZ32" s="35" t="str">
        <f ca="1">IFERROR(+IF(BZ$24=#REF!,Milestone_Marker,IF(AND(BZ$24&gt;#REF!,BZ$24&lt;#REF!+#REF!),#REF!,"")),"")</f>
        <v/>
      </c>
      <c r="CA32" s="35" t="str">
        <f ca="1">IFERROR(+IF(CA$24=#REF!,Milestone_Marker,IF(AND(CA$24&gt;#REF!,CA$24&lt;#REF!+#REF!),#REF!,"")),"")</f>
        <v/>
      </c>
      <c r="CB32" s="35" t="str">
        <f ca="1">IFERROR(+IF(CB$24=#REF!,Milestone_Marker,IF(AND(CB$24&gt;#REF!,CB$24&lt;#REF!+#REF!),#REF!,"")),"")</f>
        <v/>
      </c>
      <c r="CC32" s="35" t="str">
        <f ca="1">IFERROR(+IF(CC$24=#REF!,Milestone_Marker,IF(AND(CC$24&gt;#REF!,CC$24&lt;#REF!+#REF!),#REF!,"")),"")</f>
        <v/>
      </c>
      <c r="CD32" s="35" t="str">
        <f ca="1">IFERROR(+IF(CD$24=#REF!,Milestone_Marker,IF(AND(CD$24&gt;#REF!,CD$24&lt;#REF!+#REF!),#REF!,"")),"")</f>
        <v/>
      </c>
      <c r="CE32" s="35" t="str">
        <f ca="1">IFERROR(+IF(CE$24=#REF!,Milestone_Marker,IF(AND(CE$24&gt;#REF!,CE$24&lt;#REF!+#REF!),#REF!,"")),"")</f>
        <v/>
      </c>
      <c r="CF32" s="35" t="str">
        <f ca="1">IFERROR(+IF(CF$24=#REF!,Milestone_Marker,IF(AND(CF$24&gt;#REF!,CF$24&lt;#REF!+#REF!),#REF!,"")),"")</f>
        <v/>
      </c>
      <c r="CG32" s="35" t="str">
        <f ca="1">IFERROR(+IF(CG$24=#REF!,Milestone_Marker,IF(AND(CG$24&gt;#REF!,CG$24&lt;#REF!+#REF!),#REF!,"")),"")</f>
        <v/>
      </c>
      <c r="CH32" s="35" t="str">
        <f ca="1">IFERROR(+IF(CH$24=#REF!,Milestone_Marker,IF(AND(CH$24&gt;#REF!,CH$24&lt;#REF!+#REF!),#REF!,"")),"")</f>
        <v/>
      </c>
      <c r="CI32" s="35" t="str">
        <f ca="1">IFERROR(+IF(CI$24=#REF!,Milestone_Marker,IF(AND(CI$24&gt;#REF!,CI$24&lt;#REF!+#REF!),#REF!,"")),"")</f>
        <v/>
      </c>
      <c r="CJ32" s="35" t="str">
        <f ca="1">IFERROR(+IF(CJ$24=#REF!,Milestone_Marker,IF(AND(CJ$24&gt;#REF!,CJ$24&lt;#REF!+#REF!),#REF!,"")),"")</f>
        <v/>
      </c>
      <c r="CK32" s="35" t="str">
        <f ca="1">IFERROR(+IF(CK$24=#REF!,Milestone_Marker,IF(AND(CK$24&gt;#REF!,CK$24&lt;#REF!+#REF!),#REF!,"")),"")</f>
        <v/>
      </c>
      <c r="CL32" s="35" t="str">
        <f ca="1">IFERROR(+IF(CL$24=#REF!,Milestone_Marker,IF(AND(CL$24&gt;#REF!,CL$24&lt;#REF!+#REF!),#REF!,"")),"")</f>
        <v/>
      </c>
      <c r="CM32" s="35" t="str">
        <f ca="1">IFERROR(+IF(CM$24=#REF!,Milestone_Marker,IF(AND(CM$24&gt;#REF!,CM$24&lt;#REF!+#REF!),#REF!,"")),"")</f>
        <v/>
      </c>
      <c r="CN32" s="35" t="str">
        <f ca="1">IFERROR(+IF(CN$24=#REF!,Milestone_Marker,IF(AND(CN$24&gt;#REF!,CN$24&lt;#REF!+#REF!),#REF!,"")),"")</f>
        <v/>
      </c>
      <c r="CO32" s="35" t="str">
        <f ca="1">IFERROR(+IF(CO$24=#REF!,Milestone_Marker,IF(AND(CO$24&gt;#REF!,CO$24&lt;#REF!+#REF!),#REF!,"")),"")</f>
        <v/>
      </c>
      <c r="CP32" s="35" t="str">
        <f ca="1">IFERROR(+IF(CP$24=#REF!,Milestone_Marker,IF(AND(CP$24&gt;#REF!,CP$24&lt;#REF!+#REF!),#REF!,"")),"")</f>
        <v/>
      </c>
      <c r="CQ32" s="35" t="str">
        <f ca="1">IFERROR(+IF(CQ$24=#REF!,Milestone_Marker,IF(AND(CQ$24&gt;#REF!,CQ$24&lt;#REF!+#REF!),#REF!,"")),"")</f>
        <v/>
      </c>
      <c r="CR32" s="35" t="str">
        <f ca="1">IFERROR(+IF(CR$24=#REF!,Milestone_Marker,IF(AND(CR$24&gt;#REF!,CR$24&lt;#REF!+#REF!),#REF!,"")),"")</f>
        <v/>
      </c>
      <c r="CS32" s="35" t="str">
        <f ca="1">IFERROR(+IF(CS$24=#REF!,Milestone_Marker,IF(AND(CS$24&gt;#REF!,CS$24&lt;#REF!+#REF!),#REF!,"")),"")</f>
        <v/>
      </c>
      <c r="CT32" s="35" t="str">
        <f ca="1">IFERROR(+IF(CT$24=#REF!,Milestone_Marker,IF(AND(CT$24&gt;#REF!,CT$24&lt;#REF!+#REF!),#REF!,"")),"")</f>
        <v/>
      </c>
      <c r="CU32" s="35" t="str">
        <f ca="1">IFERROR(+IF(CU$24=#REF!,Milestone_Marker,IF(AND(CU$24&gt;#REF!,CU$24&lt;#REF!+#REF!),#REF!,"")),"")</f>
        <v/>
      </c>
      <c r="CV32" s="35" t="str">
        <f ca="1">IFERROR(+IF(CV$24=#REF!,Milestone_Marker,IF(AND(CV$24&gt;#REF!,CV$24&lt;#REF!+#REF!),#REF!,"")),"")</f>
        <v/>
      </c>
      <c r="CW32" s="35" t="str">
        <f ca="1">IFERROR(+IF(CW$24=#REF!,Milestone_Marker,IF(AND(CW$24&gt;#REF!,CW$24&lt;#REF!+#REF!),#REF!,"")),"")</f>
        <v/>
      </c>
      <c r="CX32" s="35" t="str">
        <f ca="1">IFERROR(+IF(CX$24=#REF!,Milestone_Marker,IF(AND(CX$24&gt;#REF!,CX$24&lt;#REF!+#REF!),#REF!,"")),"")</f>
        <v/>
      </c>
      <c r="CY32" s="35" t="str">
        <f ca="1">IFERROR(+IF(CY$24=#REF!,Milestone_Marker,IF(AND(CY$24&gt;#REF!,CY$24&lt;#REF!+#REF!),#REF!,"")),"")</f>
        <v/>
      </c>
      <c r="CZ32" s="35" t="str">
        <f ca="1">IFERROR(+IF(CZ$24=#REF!,Milestone_Marker,IF(AND(CZ$24&gt;#REF!,CZ$24&lt;#REF!+#REF!),#REF!,"")),"")</f>
        <v/>
      </c>
      <c r="DA32" s="35" t="str">
        <f ca="1">IFERROR(+IF(DA$24=#REF!,Milestone_Marker,IF(AND(DA$24&gt;#REF!,DA$24&lt;#REF!+#REF!),#REF!,"")),"")</f>
        <v/>
      </c>
      <c r="DB32" s="35" t="str">
        <f ca="1">IFERROR(+IF(DB$24=#REF!,Milestone_Marker,IF(AND(DB$24&gt;#REF!,DB$24&lt;#REF!+#REF!),#REF!,"")),"")</f>
        <v/>
      </c>
      <c r="DC32" s="35" t="str">
        <f ca="1">IFERROR(+IF(DC$24=#REF!,Milestone_Marker,IF(AND(DC$24&gt;#REF!,DC$24&lt;#REF!+#REF!),#REF!,"")),"")</f>
        <v/>
      </c>
      <c r="DD32" s="35" t="str">
        <f ca="1">IFERROR(+IF(DD$24=#REF!,Milestone_Marker,IF(AND(DD$24&gt;#REF!,DD$24&lt;#REF!+#REF!),#REF!,"")),"")</f>
        <v/>
      </c>
      <c r="DE32" s="35" t="str">
        <f ca="1">IFERROR(+IF(DE$24=#REF!,Milestone_Marker,IF(AND(DE$24&gt;#REF!,DE$24&lt;#REF!+#REF!),#REF!,"")),"")</f>
        <v/>
      </c>
      <c r="DF32" s="35"/>
      <c r="DG32" s="35"/>
      <c r="DH32" s="35"/>
      <c r="DI32" s="35"/>
      <c r="DJ32" s="35"/>
      <c r="DK32" s="35"/>
      <c r="DL32" s="35"/>
      <c r="DM32" s="35"/>
      <c r="DN32" s="35"/>
      <c r="DO32" s="35"/>
      <c r="DP32" s="35"/>
      <c r="DQ32" s="35"/>
      <c r="DR32" s="35"/>
      <c r="DS32" s="35"/>
      <c r="DT32" s="35"/>
      <c r="DU32" s="35"/>
      <c r="DV32" s="35"/>
      <c r="DW32" s="35"/>
      <c r="DX32" s="35"/>
      <c r="DY32" s="35"/>
      <c r="DZ32" s="35"/>
      <c r="EA32" s="35"/>
      <c r="EB32" s="35"/>
      <c r="EC32" s="35"/>
      <c r="ED32" s="35"/>
      <c r="EE32" s="35"/>
    </row>
    <row r="33" spans="1:135" s="40" customFormat="1" ht="15">
      <c r="A33" t="s">
        <v>552</v>
      </c>
      <c r="B33" t="s">
        <v>608</v>
      </c>
      <c r="C33" t="s">
        <v>736</v>
      </c>
      <c r="D33" s="458" t="s">
        <v>737</v>
      </c>
      <c r="E33" s="458">
        <v>1</v>
      </c>
      <c r="F33">
        <v>937.5</v>
      </c>
      <c r="G33">
        <v>937.5</v>
      </c>
      <c r="H33">
        <v>151</v>
      </c>
      <c r="I33">
        <v>937.5</v>
      </c>
      <c r="J33">
        <v>143</v>
      </c>
      <c r="K33" s="107"/>
      <c r="L33" s="463">
        <v>143</v>
      </c>
      <c r="M33" s="176">
        <v>3</v>
      </c>
      <c r="N33" s="160">
        <v>0</v>
      </c>
      <c r="O33" s="546" cm="1">
        <f t="array" ref="O3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45946</v>
      </c>
      <c r="P33" s="566" t="s">
        <v>458</v>
      </c>
      <c r="Q33" s="566"/>
      <c r="R33" s="22"/>
      <c r="S33" s="463" cm="1">
        <f t="array" ref="S3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3">
        <v>1</v>
      </c>
      <c r="U33" s="176"/>
      <c r="V3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15.0205</v>
      </c>
      <c r="W33" s="497"/>
      <c r="X33" s="176"/>
      <c r="Y33" s="548" t="s">
        <v>855</v>
      </c>
      <c r="Z33" s="160" t="s">
        <v>458</v>
      </c>
      <c r="AA33" s="563">
        <v>104800</v>
      </c>
      <c r="AB33" cm="1">
        <f t="array" ref="AB33">ROW()-ROW(Contract_Edits[#Headers])</f>
        <v>9</v>
      </c>
      <c r="AC33">
        <f>IF(Contract_Edits[[#This Row],[RowPos]]&gt;1, Contract_Edits[[#This Row],[RowPos]]-1, 0)</f>
        <v>8</v>
      </c>
      <c r="AD33" s="35">
        <f>IF(N(Contract_Edits[[#This Row],[Dep]])=0, N(Contract_Edits[[#This Row],[Index]]), N(Contract_Edits[[#This Row],[Dep]]))</f>
        <v>151</v>
      </c>
      <c r="AE33" s="35" cm="1">
        <f t="array" ref="AE33">IF(OR(Contract_Edits[[#This Row],[Dep]]=0, TRIM(Contract_Edits[[#This Row],[Dep]])=""),
   0,
   IFERROR(
      _xlfn.XLOOKUP(1, (Contract_Edits[Dep]=Contract_Edits[[#This Row],[Dep]])*(Contract_Edits[RowPos]&lt;Contract_Edits[[#This Row],[RowPos]]), Contract_Edits[RowPos], , 0, -1),
      0
   )
)</f>
        <v>8</v>
      </c>
      <c r="AF33" s="35">
        <f>IF(OR(Contract_Edits[[#This Row],[Dep]]=0,Contract_Edits[[#This Row],[Dep]]=""),0,
   COUNTIFS(Contract_Edits[Dep],Contract_Edits[[#This Row],[Dep]],Contract_Edits[RowPos],"&lt;="&amp;Contract_Edits[[#This Row],[RowPos]],Contract_Edits[Approve],"Yes")
)</f>
        <v>5</v>
      </c>
      <c r="AG33" s="517">
        <f>--(
  ISNUMBER(SEARCH("BASE PARENT", UPPER(CLEAN(TRIM(_xlfn.XLOOKUP(TEXT(Contract_Edits[[#This Row],[Index]],"0"), baseIdxTxt, baseCost, "")))))) +
  ISNUMBER(SEARCH("DEPENDENCY GROUP", UPPER(CLEAN(TRIM(_xlfn.XLOOKUP(TEXT(Contract_Edits[[#This Row],[Index]],"0"), baseIdxTxt, baseCost, ""))))))
)</f>
        <v>0</v>
      </c>
      <c r="AH33" s="517" t="str" cm="1">
        <f t="array" ref="AH33">IF(Contract_Edits[[#This Row],[BaseFlag]]=1,
   10*BaseDepthL(TEXT(Contract_Edits[[#This Row],[Index]],"0"),500,editsIdxTxt,editsParentKeyTxt,baseIdxTxt,baseCost)-5,
   ""
)</f>
        <v/>
      </c>
      <c r="AI33" s="517" cm="1">
        <f t="array" ref="AI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3" s="517" t="str">
        <f>IF(Contract_Edits[[#This Row],[Dep]]=0,"Root",
   IF(ISNUMBER(MATCH(Contract_Edits[[#This Row],[Dep]],Contract_Edits[Index],0)),"OK","Missing")
)</f>
        <v>OK</v>
      </c>
      <c r="AK33" s="517" t="str">
        <f>IF(AND(Contract_Edits[[#This Row],[Dep]]&lt;&gt;0,
        ISNUMBER(MATCH(Contract_Edits[[#This Row],[Dep]], Contract_Edits[Index], 0)),
        INDEX(Contract_Edits[Dep], MATCH(Contract_Edits[[#This Row],[Dep]], Contract_Edits[Index], 0))=Contract_Edits[[#This Row],[Index]]),
   "2-cycle","")</f>
        <v/>
      </c>
      <c r="AL33" s="517" cm="1">
        <f t="array" ref="AL33">IF(Contract_Edits[[#This Row],[BaseFlag]]&lt;&gt;1,0,
   IF(TEXT(Contract_Edits[[#This Row],[Dep]],"0")=TEXT(Contract_Edits[[#This Row],[Index]],"0"),
      0,
      MAX(0, SUMPRODUCT(--(Contract_Edits[BaseFlag]=1),
                        --(TEXT(Contract_Edits[Dep],"0")=TEXT(Contract_Edits[[#This Row],[Dep]],"0"))) - 1)
   )
)</f>
        <v>0</v>
      </c>
      <c r="AM33" s="517" t="str" cm="1">
        <f t="array" ref="AM33">IF(Contract_Edits[[#This Row],[BaseFlag]]=1,
   TEXT(Contract_Edits[[#This Row],[Index]],"0"),
   NearestBaseL(TEXT(Contract_Edits[[#This Row],[ParentKey]],"0"),500,editsIdxTxt,editsParentKeyTxt,baseIdxTxt,baseCost)
)</f>
        <v>151</v>
      </c>
      <c r="AN33" s="517" cm="1">
        <f t="array" ref="AN33">1+SUMPRODUCT(
  (Contract_Edits[BaseFlag]=1)*
  (TEXT(Contract_Edits[ParentAnchor],"0")=TEXT(Contract_Edits[[#This Row],[ParentAnchor]],"0"))*
  (VALUE(TEXT(Contract_Edits[Index],"0"))&lt;VALUE(TEXT(Contract_Edits[[#This Row],[Index]],"0")))
)</f>
        <v>1</v>
      </c>
      <c r="AO33" s="35"/>
      <c r="AP33" s="35" t="str">
        <f ca="1">IFERROR(+IF(AP$24=#REF!,Milestone_Marker,IF(AND(AP$24&gt;#REF!,AP$24&lt;#REF!+#REF!),#REF!,"")),"")</f>
        <v/>
      </c>
      <c r="AQ33" s="35" t="str">
        <f ca="1">IFERROR(+IF(AQ$24=#REF!,Milestone_Marker,IF(AND(AQ$24&gt;#REF!,AQ$24&lt;#REF!+#REF!),#REF!,"")),"")</f>
        <v/>
      </c>
      <c r="AR33" s="35" t="str">
        <f ca="1">IFERROR(+IF(AR$24=#REF!,Milestone_Marker,IF(AND(AR$24&gt;#REF!,AR$24&lt;#REF!+#REF!),#REF!,"")),"")</f>
        <v/>
      </c>
      <c r="AS33" s="35" t="str">
        <f ca="1">IFERROR(+IF(AS$24=#REF!,Milestone_Marker,IF(AND(AS$24&gt;#REF!,AS$24&lt;#REF!+#REF!),#REF!,"")),"")</f>
        <v/>
      </c>
      <c r="AT33" s="35" t="str">
        <f ca="1">IFERROR(+IF(AT$24=#REF!,Milestone_Marker,IF(AND(AT$24&gt;#REF!,AT$24&lt;#REF!+#REF!),#REF!,"")),"")</f>
        <v/>
      </c>
      <c r="AU33" s="35" t="str">
        <f ca="1">IFERROR(+IF(AU$24=#REF!,Milestone_Marker,IF(AND(AU$24&gt;#REF!,AU$24&lt;#REF!+#REF!),#REF!,"")),"")</f>
        <v/>
      </c>
      <c r="AV33" s="35" t="str">
        <f ca="1">IFERROR(+IF(AV$24=#REF!,Milestone_Marker,IF(AND(AV$24&gt;#REF!,AV$24&lt;#REF!+#REF!),#REF!,"")),"")</f>
        <v/>
      </c>
      <c r="AW33" s="35" t="str">
        <f ca="1">IFERROR(+IF(AW$24=#REF!,Milestone_Marker,IF(AND(AW$24&gt;#REF!,AW$24&lt;#REF!+#REF!),#REF!,"")),"")</f>
        <v/>
      </c>
      <c r="AX33" s="35" t="str">
        <f ca="1">IFERROR(+IF(AX$24=#REF!,Milestone_Marker,IF(AND(AX$24&gt;#REF!,AX$24&lt;#REF!+#REF!),#REF!,"")),"")</f>
        <v/>
      </c>
      <c r="AY33" s="35" t="str">
        <f ca="1">IFERROR(+IF(AY$24=#REF!,Milestone_Marker,IF(AND(AY$24&gt;#REF!,AY$24&lt;#REF!+#REF!),#REF!,"")),"")</f>
        <v/>
      </c>
      <c r="AZ33" s="35" t="str">
        <f ca="1">IFERROR(+IF(AZ$24=#REF!,Milestone_Marker,IF(AND(AZ$24&gt;#REF!,AZ$24&lt;#REF!+#REF!),#REF!,"")),"")</f>
        <v/>
      </c>
      <c r="BA33" s="35" t="str">
        <f ca="1">IFERROR(+IF(BA$24=#REF!,Milestone_Marker,IF(AND(BA$24&gt;#REF!,BA$24&lt;#REF!+#REF!),#REF!,"")),"")</f>
        <v/>
      </c>
      <c r="BB33" s="35" t="str">
        <f ca="1">IFERROR(+IF(BB$24=#REF!,Milestone_Marker,IF(AND(BB$24&gt;#REF!,BB$24&lt;#REF!+#REF!),#REF!,"")),"")</f>
        <v/>
      </c>
      <c r="BC33" s="35" t="str">
        <f ca="1">IFERROR(+IF(BC$24=#REF!,Milestone_Marker,IF(AND(BC$24&gt;#REF!,BC$24&lt;#REF!+#REF!),#REF!,"")),"")</f>
        <v/>
      </c>
      <c r="BD33" s="35" t="str">
        <f ca="1">IFERROR(+IF(BD$24=#REF!,Milestone_Marker,IF(AND(BD$24&gt;#REF!,BD$24&lt;#REF!+#REF!),#REF!,"")),"")</f>
        <v/>
      </c>
      <c r="BE33" s="35" t="str">
        <f ca="1">IFERROR(+IF(BE$24=#REF!,Milestone_Marker,IF(AND(BE$24&gt;#REF!,BE$24&lt;#REF!+#REF!),#REF!,"")),"")</f>
        <v/>
      </c>
      <c r="BF33" s="35" t="str">
        <f ca="1">IFERROR(+IF(BF$24=#REF!,Milestone_Marker,IF(AND(BF$24&gt;#REF!,BF$24&lt;#REF!+#REF!),#REF!,"")),"")</f>
        <v/>
      </c>
      <c r="BG33" s="35" t="str">
        <f ca="1">IFERROR(+IF(BG$24=#REF!,Milestone_Marker,IF(AND(BG$24&gt;#REF!,BG$24&lt;#REF!+#REF!),#REF!,"")),"")</f>
        <v/>
      </c>
      <c r="BH33" s="35" t="str">
        <f ca="1">IFERROR(+IF(BH$24=#REF!,Milestone_Marker,IF(AND(BH$24&gt;#REF!,BH$24&lt;#REF!+#REF!),#REF!,"")),"")</f>
        <v/>
      </c>
      <c r="BI33" s="35" t="str">
        <f ca="1">IFERROR(+IF(BI$24=#REF!,Milestone_Marker,IF(AND(BI$24&gt;#REF!,BI$24&lt;#REF!+#REF!),#REF!,"")),"")</f>
        <v/>
      </c>
      <c r="BJ33" s="35" t="str">
        <f ca="1">IFERROR(+IF(BJ$24=#REF!,Milestone_Marker,IF(AND(BJ$24&gt;#REF!,BJ$24&lt;#REF!+#REF!),#REF!,"")),"")</f>
        <v/>
      </c>
      <c r="BK33" s="35" t="str">
        <f ca="1">IFERROR(+IF(BK$24=#REF!,Milestone_Marker,IF(AND(BK$24&gt;#REF!,BK$24&lt;#REF!+#REF!),#REF!,"")),"")</f>
        <v/>
      </c>
      <c r="BL33" s="35" t="str">
        <f ca="1">IFERROR(+IF(BL$24=#REF!,Milestone_Marker,IF(AND(BL$24&gt;#REF!,BL$24&lt;#REF!+#REF!),#REF!,"")),"")</f>
        <v/>
      </c>
      <c r="BM33" s="35" t="str">
        <f ca="1">IFERROR(+IF(BM$24=#REF!,Milestone_Marker,IF(AND(BM$24&gt;#REF!,BM$24&lt;#REF!+#REF!),#REF!,"")),"")</f>
        <v/>
      </c>
      <c r="BN33" s="35" t="str">
        <f ca="1">IFERROR(+IF(BN$24=#REF!,Milestone_Marker,IF(AND(BN$24&gt;#REF!,BN$24&lt;#REF!+#REF!),#REF!,"")),"")</f>
        <v/>
      </c>
      <c r="BO33" s="35" t="str">
        <f ca="1">IFERROR(+IF(BO$24=#REF!,Milestone_Marker,IF(AND(BO$24&gt;#REF!,BO$24&lt;#REF!+#REF!),#REF!,"")),"")</f>
        <v/>
      </c>
      <c r="BP33" s="35" t="str">
        <f ca="1">IFERROR(+IF(BP$24=#REF!,Milestone_Marker,IF(AND(BP$24&gt;#REF!,BP$24&lt;#REF!+#REF!),#REF!,"")),"")</f>
        <v/>
      </c>
      <c r="BQ33" s="35" t="str">
        <f ca="1">IFERROR(+IF(BQ$24=#REF!,Milestone_Marker,IF(AND(BQ$24&gt;#REF!,BQ$24&lt;#REF!+#REF!),#REF!,"")),"")</f>
        <v/>
      </c>
      <c r="BR33" s="35" t="str">
        <f ca="1">IFERROR(+IF(BR$24=#REF!,Milestone_Marker,IF(AND(BR$24&gt;#REF!,BR$24&lt;#REF!+#REF!),#REF!,"")),"")</f>
        <v/>
      </c>
      <c r="BS33" s="35" t="str">
        <f ca="1">IFERROR(+IF(BS$24=#REF!,Milestone_Marker,IF(AND(BS$24&gt;#REF!,BS$24&lt;#REF!+#REF!),#REF!,"")),"")</f>
        <v/>
      </c>
      <c r="BT33" s="35" t="str">
        <f ca="1">IFERROR(+IF(BT$24=#REF!,Milestone_Marker,IF(AND(BT$24&gt;#REF!,BT$24&lt;#REF!+#REF!),#REF!,"")),"")</f>
        <v/>
      </c>
      <c r="BU33" s="35" t="str">
        <f ca="1">IFERROR(+IF(BU$24=#REF!,Milestone_Marker,IF(AND(BU$24&gt;#REF!,BU$24&lt;#REF!+#REF!),#REF!,"")),"")</f>
        <v/>
      </c>
      <c r="BV33" s="35" t="str">
        <f ca="1">IFERROR(+IF(BV$24=#REF!,Milestone_Marker,IF(AND(BV$24&gt;#REF!,BV$24&lt;#REF!+#REF!),#REF!,"")),"")</f>
        <v/>
      </c>
      <c r="BW33" s="35" t="str">
        <f ca="1">IFERROR(+IF(BW$24=#REF!,Milestone_Marker,IF(AND(BW$24&gt;#REF!,BW$24&lt;#REF!+#REF!),#REF!,"")),"")</f>
        <v/>
      </c>
      <c r="BX33" s="35" t="str">
        <f ca="1">IFERROR(+IF(BX$24=#REF!,Milestone_Marker,IF(AND(BX$24&gt;#REF!,BX$24&lt;#REF!+#REF!),#REF!,"")),"")</f>
        <v/>
      </c>
      <c r="BY33" s="35" t="str">
        <f ca="1">IFERROR(+IF(BY$24=#REF!,Milestone_Marker,IF(AND(BY$24&gt;#REF!,BY$24&lt;#REF!+#REF!),#REF!,"")),"")</f>
        <v/>
      </c>
      <c r="BZ33" s="35" t="str">
        <f ca="1">IFERROR(+IF(BZ$24=#REF!,Milestone_Marker,IF(AND(BZ$24&gt;#REF!,BZ$24&lt;#REF!+#REF!),#REF!,"")),"")</f>
        <v/>
      </c>
      <c r="CA33" s="35" t="str">
        <f ca="1">IFERROR(+IF(CA$24=#REF!,Milestone_Marker,IF(AND(CA$24&gt;#REF!,CA$24&lt;#REF!+#REF!),#REF!,"")),"")</f>
        <v/>
      </c>
      <c r="CB33" s="35" t="str">
        <f ca="1">IFERROR(+IF(CB$24=#REF!,Milestone_Marker,IF(AND(CB$24&gt;#REF!,CB$24&lt;#REF!+#REF!),#REF!,"")),"")</f>
        <v/>
      </c>
      <c r="CC33" s="35" t="str">
        <f ca="1">IFERROR(+IF(CC$24=#REF!,Milestone_Marker,IF(AND(CC$24&gt;#REF!,CC$24&lt;#REF!+#REF!),#REF!,"")),"")</f>
        <v/>
      </c>
      <c r="CD33" s="35" t="str">
        <f ca="1">IFERROR(+IF(CD$24=#REF!,Milestone_Marker,IF(AND(CD$24&gt;#REF!,CD$24&lt;#REF!+#REF!),#REF!,"")),"")</f>
        <v/>
      </c>
      <c r="CE33" s="35" t="str">
        <f ca="1">IFERROR(+IF(CE$24=#REF!,Milestone_Marker,IF(AND(CE$24&gt;#REF!,CE$24&lt;#REF!+#REF!),#REF!,"")),"")</f>
        <v/>
      </c>
      <c r="CF33" s="35" t="str">
        <f ca="1">IFERROR(+IF(CF$24=#REF!,Milestone_Marker,IF(AND(CF$24&gt;#REF!,CF$24&lt;#REF!+#REF!),#REF!,"")),"")</f>
        <v/>
      </c>
      <c r="CG33" s="35" t="str">
        <f ca="1">IFERROR(+IF(CG$24=#REF!,Milestone_Marker,IF(AND(CG$24&gt;#REF!,CG$24&lt;#REF!+#REF!),#REF!,"")),"")</f>
        <v/>
      </c>
      <c r="CH33" s="35" t="str">
        <f ca="1">IFERROR(+IF(CH$24=#REF!,Milestone_Marker,IF(AND(CH$24&gt;#REF!,CH$24&lt;#REF!+#REF!),#REF!,"")),"")</f>
        <v/>
      </c>
      <c r="CI33" s="35" t="str">
        <f ca="1">IFERROR(+IF(CI$24=#REF!,Milestone_Marker,IF(AND(CI$24&gt;#REF!,CI$24&lt;#REF!+#REF!),#REF!,"")),"")</f>
        <v/>
      </c>
      <c r="CJ33" s="35" t="str">
        <f ca="1">IFERROR(+IF(CJ$24=#REF!,Milestone_Marker,IF(AND(CJ$24&gt;#REF!,CJ$24&lt;#REF!+#REF!),#REF!,"")),"")</f>
        <v/>
      </c>
      <c r="CK33" s="35" t="str">
        <f ca="1">IFERROR(+IF(CK$24=#REF!,Milestone_Marker,IF(AND(CK$24&gt;#REF!,CK$24&lt;#REF!+#REF!),#REF!,"")),"")</f>
        <v/>
      </c>
      <c r="CL33" s="35" t="str">
        <f ca="1">IFERROR(+IF(CL$24=#REF!,Milestone_Marker,IF(AND(CL$24&gt;#REF!,CL$24&lt;#REF!+#REF!),#REF!,"")),"")</f>
        <v/>
      </c>
      <c r="CM33" s="35" t="str">
        <f ca="1">IFERROR(+IF(CM$24=#REF!,Milestone_Marker,IF(AND(CM$24&gt;#REF!,CM$24&lt;#REF!+#REF!),#REF!,"")),"")</f>
        <v/>
      </c>
      <c r="CN33" s="35" t="str">
        <f ca="1">IFERROR(+IF(CN$24=#REF!,Milestone_Marker,IF(AND(CN$24&gt;#REF!,CN$24&lt;#REF!+#REF!),#REF!,"")),"")</f>
        <v/>
      </c>
      <c r="CO33" s="35" t="str">
        <f ca="1">IFERROR(+IF(CO$24=#REF!,Milestone_Marker,IF(AND(CO$24&gt;#REF!,CO$24&lt;#REF!+#REF!),#REF!,"")),"")</f>
        <v/>
      </c>
      <c r="CP33" s="35" t="str">
        <f ca="1">IFERROR(+IF(CP$24=#REF!,Milestone_Marker,IF(AND(CP$24&gt;#REF!,CP$24&lt;#REF!+#REF!),#REF!,"")),"")</f>
        <v/>
      </c>
      <c r="CQ33" s="35" t="str">
        <f ca="1">IFERROR(+IF(CQ$24=#REF!,Milestone_Marker,IF(AND(CQ$24&gt;#REF!,CQ$24&lt;#REF!+#REF!),#REF!,"")),"")</f>
        <v/>
      </c>
      <c r="CR33" s="35" t="str">
        <f ca="1">IFERROR(+IF(CR$24=#REF!,Milestone_Marker,IF(AND(CR$24&gt;#REF!,CR$24&lt;#REF!+#REF!),#REF!,"")),"")</f>
        <v/>
      </c>
      <c r="CS33" s="35" t="str">
        <f ca="1">IFERROR(+IF(CS$24=#REF!,Milestone_Marker,IF(AND(CS$24&gt;#REF!,CS$24&lt;#REF!+#REF!),#REF!,"")),"")</f>
        <v/>
      </c>
      <c r="CT33" s="35" t="str">
        <f ca="1">IFERROR(+IF(CT$24=#REF!,Milestone_Marker,IF(AND(CT$24&gt;#REF!,CT$24&lt;#REF!+#REF!),#REF!,"")),"")</f>
        <v/>
      </c>
      <c r="CU33" s="35" t="str">
        <f ca="1">IFERROR(+IF(CU$24=#REF!,Milestone_Marker,IF(AND(CU$24&gt;#REF!,CU$24&lt;#REF!+#REF!),#REF!,"")),"")</f>
        <v/>
      </c>
      <c r="CV33" s="35" t="str">
        <f ca="1">IFERROR(+IF(CV$24=#REF!,Milestone_Marker,IF(AND(CV$24&gt;#REF!,CV$24&lt;#REF!+#REF!),#REF!,"")),"")</f>
        <v/>
      </c>
      <c r="CW33" s="35" t="str">
        <f ca="1">IFERROR(+IF(CW$24=#REF!,Milestone_Marker,IF(AND(CW$24&gt;#REF!,CW$24&lt;#REF!+#REF!),#REF!,"")),"")</f>
        <v/>
      </c>
      <c r="CX33" s="35" t="str">
        <f ca="1">IFERROR(+IF(CX$24=#REF!,Milestone_Marker,IF(AND(CX$24&gt;#REF!,CX$24&lt;#REF!+#REF!),#REF!,"")),"")</f>
        <v/>
      </c>
      <c r="CY33" s="35" t="str">
        <f ca="1">IFERROR(+IF(CY$24=#REF!,Milestone_Marker,IF(AND(CY$24&gt;#REF!,CY$24&lt;#REF!+#REF!),#REF!,"")),"")</f>
        <v/>
      </c>
      <c r="CZ33" s="35" t="str">
        <f ca="1">IFERROR(+IF(CZ$24=#REF!,Milestone_Marker,IF(AND(CZ$24&gt;#REF!,CZ$24&lt;#REF!+#REF!),#REF!,"")),"")</f>
        <v/>
      </c>
      <c r="DA33" s="35" t="str">
        <f ca="1">IFERROR(+IF(DA$24=#REF!,Milestone_Marker,IF(AND(DA$24&gt;#REF!,DA$24&lt;#REF!+#REF!),#REF!,"")),"")</f>
        <v/>
      </c>
      <c r="DB33" s="35" t="str">
        <f ca="1">IFERROR(+IF(DB$24=#REF!,Milestone_Marker,IF(AND(DB$24&gt;#REF!,DB$24&lt;#REF!+#REF!),#REF!,"")),"")</f>
        <v/>
      </c>
      <c r="DC33" s="35" t="str">
        <f ca="1">IFERROR(+IF(DC$24=#REF!,Milestone_Marker,IF(AND(DC$24&gt;#REF!,DC$24&lt;#REF!+#REF!),#REF!,"")),"")</f>
        <v/>
      </c>
      <c r="DD33" s="35" t="str">
        <f ca="1">IFERROR(+IF(DD$24=#REF!,Milestone_Marker,IF(AND(DD$24&gt;#REF!,DD$24&lt;#REF!+#REF!),#REF!,"")),"")</f>
        <v/>
      </c>
      <c r="DE33" s="35" t="str">
        <f ca="1">IFERROR(+IF(DE$24=#REF!,Milestone_Marker,IF(AND(DE$24&gt;#REF!,DE$24&lt;#REF!+#REF!),#REF!,"")),"")</f>
        <v/>
      </c>
      <c r="DF33" s="35"/>
      <c r="DG33" s="35"/>
      <c r="DH33" s="35"/>
      <c r="DI33" s="35"/>
      <c r="DJ33" s="35"/>
      <c r="DK33" s="35"/>
      <c r="DL33" s="35"/>
      <c r="DM33" s="35"/>
      <c r="DN33" s="35"/>
      <c r="DO33" s="35"/>
      <c r="DP33" s="35"/>
      <c r="DQ33" s="35"/>
      <c r="DR33" s="35"/>
      <c r="DS33" s="35"/>
      <c r="DT33" s="35"/>
      <c r="DU33" s="35"/>
      <c r="DV33" s="35"/>
      <c r="DW33" s="35"/>
      <c r="DX33" s="35"/>
      <c r="DY33" s="35"/>
      <c r="DZ33" s="35"/>
      <c r="EA33" s="35"/>
      <c r="EB33" s="35"/>
      <c r="EC33" s="35"/>
      <c r="ED33" s="35"/>
      <c r="EE33" s="35"/>
    </row>
    <row r="34" spans="1:135" s="40" customFormat="1" ht="45">
      <c r="A34" t="s">
        <v>552</v>
      </c>
      <c r="B34" t="s">
        <v>608</v>
      </c>
      <c r="C34" t="s">
        <v>560</v>
      </c>
      <c r="D34" s="458" t="s">
        <v>609</v>
      </c>
      <c r="E34" s="458">
        <v>1</v>
      </c>
      <c r="F34">
        <v>937.5</v>
      </c>
      <c r="G34">
        <v>937.5</v>
      </c>
      <c r="H34">
        <v>151</v>
      </c>
      <c r="I34">
        <v>937.5</v>
      </c>
      <c r="J34">
        <v>49</v>
      </c>
      <c r="K34" s="107"/>
      <c r="L34" s="463">
        <v>49</v>
      </c>
      <c r="M34" s="490">
        <v>3</v>
      </c>
      <c r="N34" s="160">
        <v>0</v>
      </c>
      <c r="O34" s="546" cm="1">
        <f t="array" ref="O3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45951</v>
      </c>
      <c r="P34" s="567" t="s">
        <v>458</v>
      </c>
      <c r="Q34" s="566"/>
      <c r="R34" s="499"/>
      <c r="S34" s="463" cm="1">
        <f t="array" ref="S3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4" s="34">
        <v>1</v>
      </c>
      <c r="U34" s="490"/>
      <c r="V3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15.0206</v>
      </c>
      <c r="W34" s="557"/>
      <c r="X34" s="545"/>
      <c r="Y34" s="548" t="s">
        <v>855</v>
      </c>
      <c r="Z34" s="160" t="s">
        <v>458</v>
      </c>
      <c r="AA34" s="563">
        <v>104800</v>
      </c>
      <c r="AB34" cm="1">
        <f t="array" ref="AB34">ROW()-ROW(Contract_Edits[#Headers])</f>
        <v>10</v>
      </c>
      <c r="AC34">
        <f>IF(Contract_Edits[[#This Row],[RowPos]]&gt;1, Contract_Edits[[#This Row],[RowPos]]-1, 0)</f>
        <v>9</v>
      </c>
      <c r="AD34" s="35">
        <f>IF(N(Contract_Edits[[#This Row],[Dep]])=0, N(Contract_Edits[[#This Row],[Index]]), N(Contract_Edits[[#This Row],[Dep]]))</f>
        <v>151</v>
      </c>
      <c r="AE34" s="35" cm="1">
        <f t="array" ref="AE34">IF(OR(Contract_Edits[[#This Row],[Dep]]=0, TRIM(Contract_Edits[[#This Row],[Dep]])=""),
   0,
   IFERROR(
      _xlfn.XLOOKUP(1, (Contract_Edits[Dep]=Contract_Edits[[#This Row],[Dep]])*(Contract_Edits[RowPos]&lt;Contract_Edits[[#This Row],[RowPos]]), Contract_Edits[RowPos], , 0, -1),
      0
   )
)</f>
        <v>9</v>
      </c>
      <c r="AF34" s="35">
        <f>IF(OR(Contract_Edits[[#This Row],[Dep]]=0,Contract_Edits[[#This Row],[Dep]]=""),0,
   COUNTIFS(Contract_Edits[Dep],Contract_Edits[[#This Row],[Dep]],Contract_Edits[RowPos],"&lt;="&amp;Contract_Edits[[#This Row],[RowPos]],Contract_Edits[Approve],"Yes")
)</f>
        <v>6</v>
      </c>
      <c r="AG34" s="517">
        <f>--(
  ISNUMBER(SEARCH("BASE PARENT", UPPER(CLEAN(TRIM(_xlfn.XLOOKUP(TEXT(Contract_Edits[[#This Row],[Index]],"0"), baseIdxTxt, baseCost, "")))))) +
  ISNUMBER(SEARCH("DEPENDENCY GROUP", UPPER(CLEAN(TRIM(_xlfn.XLOOKUP(TEXT(Contract_Edits[[#This Row],[Index]],"0"), baseIdxTxt, baseCost, ""))))))
)</f>
        <v>0</v>
      </c>
      <c r="AH34" s="517" t="str" cm="1">
        <f t="array" ref="AH34">IF(Contract_Edits[[#This Row],[BaseFlag]]=1,
   10*BaseDepthL(TEXT(Contract_Edits[[#This Row],[Index]],"0"),500,editsIdxTxt,editsParentKeyTxt,baseIdxTxt,baseCost)-5,
   ""
)</f>
        <v/>
      </c>
      <c r="AI34" s="517" cm="1">
        <f t="array" ref="AI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4" s="517" t="str">
        <f>IF(Contract_Edits[[#This Row],[Dep]]=0,"Root",
   IF(ISNUMBER(MATCH(Contract_Edits[[#This Row],[Dep]],Contract_Edits[Index],0)),"OK","Missing")
)</f>
        <v>OK</v>
      </c>
      <c r="AK34" s="517" t="str">
        <f>IF(AND(Contract_Edits[[#This Row],[Dep]]&lt;&gt;0,
        ISNUMBER(MATCH(Contract_Edits[[#This Row],[Dep]], Contract_Edits[Index], 0)),
        INDEX(Contract_Edits[Dep], MATCH(Contract_Edits[[#This Row],[Dep]], Contract_Edits[Index], 0))=Contract_Edits[[#This Row],[Index]]),
   "2-cycle","")</f>
        <v/>
      </c>
      <c r="AL34" s="517" cm="1">
        <f t="array" ref="AL34">IF(Contract_Edits[[#This Row],[BaseFlag]]&lt;&gt;1,0,
   IF(TEXT(Contract_Edits[[#This Row],[Dep]],"0")=TEXT(Contract_Edits[[#This Row],[Index]],"0"),
      0,
      MAX(0, SUMPRODUCT(--(Contract_Edits[BaseFlag]=1),
                        --(TEXT(Contract_Edits[Dep],"0")=TEXT(Contract_Edits[[#This Row],[Dep]],"0"))) - 1)
   )
)</f>
        <v>0</v>
      </c>
      <c r="AM34" s="517" t="str" cm="1">
        <f t="array" ref="AM34">IF(Contract_Edits[[#This Row],[BaseFlag]]=1,
   TEXT(Contract_Edits[[#This Row],[Index]],"0"),
   NearestBaseL(TEXT(Contract_Edits[[#This Row],[ParentKey]],"0"),500,editsIdxTxt,editsParentKeyTxt,baseIdxTxt,baseCost)
)</f>
        <v>151</v>
      </c>
      <c r="AN34" s="517" cm="1">
        <f t="array" ref="AN34">1+SUMPRODUCT(
  (Contract_Edits[BaseFlag]=1)*
  (TEXT(Contract_Edits[ParentAnchor],"0")=TEXT(Contract_Edits[[#This Row],[ParentAnchor]],"0"))*
  (VALUE(TEXT(Contract_Edits[Index],"0"))&lt;VALUE(TEXT(Contract_Edits[[#This Row],[Index]],"0")))
)</f>
        <v>1</v>
      </c>
      <c r="AO34" s="35"/>
      <c r="AP34" s="35" t="str">
        <f ca="1">IFERROR(+IF(AP$24=#REF!,Milestone_Marker,IF(AND(AP$24&gt;#REF!,AP$24&lt;#REF!+#REF!),#REF!,"")),"")</f>
        <v/>
      </c>
      <c r="AQ34" s="35" t="str">
        <f ca="1">IFERROR(+IF(AQ$24=#REF!,Milestone_Marker,IF(AND(AQ$24&gt;#REF!,AQ$24&lt;#REF!+#REF!),#REF!,"")),"")</f>
        <v/>
      </c>
      <c r="AR34" s="35" t="str">
        <f ca="1">IFERROR(+IF(AR$24=#REF!,Milestone_Marker,IF(AND(AR$24&gt;#REF!,AR$24&lt;#REF!+#REF!),#REF!,"")),"")</f>
        <v/>
      </c>
      <c r="AS34" s="35" t="str">
        <f ca="1">IFERROR(+IF(AS$24=#REF!,Milestone_Marker,IF(AND(AS$24&gt;#REF!,AS$24&lt;#REF!+#REF!),#REF!,"")),"")</f>
        <v/>
      </c>
      <c r="AT34" s="35" t="str">
        <f ca="1">IFERROR(+IF(AT$24=#REF!,Milestone_Marker,IF(AND(AT$24&gt;#REF!,AT$24&lt;#REF!+#REF!),#REF!,"")),"")</f>
        <v/>
      </c>
      <c r="AU34" s="35" t="str">
        <f ca="1">IFERROR(+IF(AU$24=#REF!,Milestone_Marker,IF(AND(AU$24&gt;#REF!,AU$24&lt;#REF!+#REF!),#REF!,"")),"")</f>
        <v/>
      </c>
      <c r="AV34" s="35" t="str">
        <f ca="1">IFERROR(+IF(AV$24=#REF!,Milestone_Marker,IF(AND(AV$24&gt;#REF!,AV$24&lt;#REF!+#REF!),#REF!,"")),"")</f>
        <v/>
      </c>
      <c r="AW34" s="35" t="str">
        <f ca="1">IFERROR(+IF(AW$24=#REF!,Milestone_Marker,IF(AND(AW$24&gt;#REF!,AW$24&lt;#REF!+#REF!),#REF!,"")),"")</f>
        <v/>
      </c>
      <c r="AX34" s="35" t="str">
        <f ca="1">IFERROR(+IF(AX$24=#REF!,Milestone_Marker,IF(AND(AX$24&gt;#REF!,AX$24&lt;#REF!+#REF!),#REF!,"")),"")</f>
        <v/>
      </c>
      <c r="AY34" s="35" t="str">
        <f ca="1">IFERROR(+IF(AY$24=#REF!,Milestone_Marker,IF(AND(AY$24&gt;#REF!,AY$24&lt;#REF!+#REF!),#REF!,"")),"")</f>
        <v/>
      </c>
      <c r="AZ34" s="35" t="str">
        <f ca="1">IFERROR(+IF(AZ$24=#REF!,Milestone_Marker,IF(AND(AZ$24&gt;#REF!,AZ$24&lt;#REF!+#REF!),#REF!,"")),"")</f>
        <v/>
      </c>
      <c r="BA34" s="35" t="str">
        <f ca="1">IFERROR(+IF(BA$24=#REF!,Milestone_Marker,IF(AND(BA$24&gt;#REF!,BA$24&lt;#REF!+#REF!),#REF!,"")),"")</f>
        <v/>
      </c>
      <c r="BB34" s="35" t="str">
        <f ca="1">IFERROR(+IF(BB$24=#REF!,Milestone_Marker,IF(AND(BB$24&gt;#REF!,BB$24&lt;#REF!+#REF!),#REF!,"")),"")</f>
        <v/>
      </c>
      <c r="BC34" s="35" t="str">
        <f ca="1">IFERROR(+IF(BC$24=#REF!,Milestone_Marker,IF(AND(BC$24&gt;#REF!,BC$24&lt;#REF!+#REF!),#REF!,"")),"")</f>
        <v/>
      </c>
      <c r="BD34" s="35" t="str">
        <f ca="1">IFERROR(+IF(BD$24=#REF!,Milestone_Marker,IF(AND(BD$24&gt;#REF!,BD$24&lt;#REF!+#REF!),#REF!,"")),"")</f>
        <v/>
      </c>
      <c r="BE34" s="35" t="str">
        <f ca="1">IFERROR(+IF(BE$24=#REF!,Milestone_Marker,IF(AND(BE$24&gt;#REF!,BE$24&lt;#REF!+#REF!),#REF!,"")),"")</f>
        <v/>
      </c>
      <c r="BF34" s="35" t="str">
        <f ca="1">IFERROR(+IF(BF$24=#REF!,Milestone_Marker,IF(AND(BF$24&gt;#REF!,BF$24&lt;#REF!+#REF!),#REF!,"")),"")</f>
        <v/>
      </c>
      <c r="BG34" s="35" t="str">
        <f ca="1">IFERROR(+IF(BG$24=#REF!,Milestone_Marker,IF(AND(BG$24&gt;#REF!,BG$24&lt;#REF!+#REF!),#REF!,"")),"")</f>
        <v/>
      </c>
      <c r="BH34" s="35" t="str">
        <f ca="1">IFERROR(+IF(BH$24=#REF!,Milestone_Marker,IF(AND(BH$24&gt;#REF!,BH$24&lt;#REF!+#REF!),#REF!,"")),"")</f>
        <v/>
      </c>
      <c r="BI34" s="35" t="str">
        <f ca="1">IFERROR(+IF(BI$24=#REF!,Milestone_Marker,IF(AND(BI$24&gt;#REF!,BI$24&lt;#REF!+#REF!),#REF!,"")),"")</f>
        <v/>
      </c>
      <c r="BJ34" s="35" t="str">
        <f ca="1">IFERROR(+IF(BJ$24=#REF!,Milestone_Marker,IF(AND(BJ$24&gt;#REF!,BJ$24&lt;#REF!+#REF!),#REF!,"")),"")</f>
        <v/>
      </c>
      <c r="BK34" s="35" t="str">
        <f ca="1">IFERROR(+IF(BK$24=#REF!,Milestone_Marker,IF(AND(BK$24&gt;#REF!,BK$24&lt;#REF!+#REF!),#REF!,"")),"")</f>
        <v/>
      </c>
      <c r="BL34" s="35" t="str">
        <f ca="1">IFERROR(+IF(BL$24=#REF!,Milestone_Marker,IF(AND(BL$24&gt;#REF!,BL$24&lt;#REF!+#REF!),#REF!,"")),"")</f>
        <v/>
      </c>
      <c r="BM34" s="35" t="str">
        <f ca="1">IFERROR(+IF(BM$24=#REF!,Milestone_Marker,IF(AND(BM$24&gt;#REF!,BM$24&lt;#REF!+#REF!),#REF!,"")),"")</f>
        <v/>
      </c>
      <c r="BN34" s="35" t="str">
        <f ca="1">IFERROR(+IF(BN$24=#REF!,Milestone_Marker,IF(AND(BN$24&gt;#REF!,BN$24&lt;#REF!+#REF!),#REF!,"")),"")</f>
        <v/>
      </c>
      <c r="BO34" s="35" t="str">
        <f ca="1">IFERROR(+IF(BO$24=#REF!,Milestone_Marker,IF(AND(BO$24&gt;#REF!,BO$24&lt;#REF!+#REF!),#REF!,"")),"")</f>
        <v/>
      </c>
      <c r="BP34" s="35" t="str">
        <f ca="1">IFERROR(+IF(BP$24=#REF!,Milestone_Marker,IF(AND(BP$24&gt;#REF!,BP$24&lt;#REF!+#REF!),#REF!,"")),"")</f>
        <v/>
      </c>
      <c r="BQ34" s="35" t="str">
        <f ca="1">IFERROR(+IF(BQ$24=#REF!,Milestone_Marker,IF(AND(BQ$24&gt;#REF!,BQ$24&lt;#REF!+#REF!),#REF!,"")),"")</f>
        <v/>
      </c>
      <c r="BR34" s="35" t="str">
        <f ca="1">IFERROR(+IF(BR$24=#REF!,Milestone_Marker,IF(AND(BR$24&gt;#REF!,BR$24&lt;#REF!+#REF!),#REF!,"")),"")</f>
        <v/>
      </c>
      <c r="BS34" s="35" t="str">
        <f ca="1">IFERROR(+IF(BS$24=#REF!,Milestone_Marker,IF(AND(BS$24&gt;#REF!,BS$24&lt;#REF!+#REF!),#REF!,"")),"")</f>
        <v/>
      </c>
      <c r="BT34" s="35" t="str">
        <f ca="1">IFERROR(+IF(BT$24=#REF!,Milestone_Marker,IF(AND(BT$24&gt;#REF!,BT$24&lt;#REF!+#REF!),#REF!,"")),"")</f>
        <v/>
      </c>
      <c r="BU34" s="35" t="str">
        <f ca="1">IFERROR(+IF(BU$24=#REF!,Milestone_Marker,IF(AND(BU$24&gt;#REF!,BU$24&lt;#REF!+#REF!),#REF!,"")),"")</f>
        <v/>
      </c>
      <c r="BV34" s="35" t="str">
        <f ca="1">IFERROR(+IF(BV$24=#REF!,Milestone_Marker,IF(AND(BV$24&gt;#REF!,BV$24&lt;#REF!+#REF!),#REF!,"")),"")</f>
        <v/>
      </c>
      <c r="BW34" s="35" t="str">
        <f ca="1">IFERROR(+IF(BW$24=#REF!,Milestone_Marker,IF(AND(BW$24&gt;#REF!,BW$24&lt;#REF!+#REF!),#REF!,"")),"")</f>
        <v/>
      </c>
      <c r="BX34" s="35" t="str">
        <f ca="1">IFERROR(+IF(BX$24=#REF!,Milestone_Marker,IF(AND(BX$24&gt;#REF!,BX$24&lt;#REF!+#REF!),#REF!,"")),"")</f>
        <v/>
      </c>
      <c r="BY34" s="35" t="str">
        <f ca="1">IFERROR(+IF(BY$24=#REF!,Milestone_Marker,IF(AND(BY$24&gt;#REF!,BY$24&lt;#REF!+#REF!),#REF!,"")),"")</f>
        <v/>
      </c>
      <c r="BZ34" s="35" t="str">
        <f ca="1">IFERROR(+IF(BZ$24=#REF!,Milestone_Marker,IF(AND(BZ$24&gt;#REF!,BZ$24&lt;#REF!+#REF!),#REF!,"")),"")</f>
        <v/>
      </c>
      <c r="CA34" s="35" t="str">
        <f ca="1">IFERROR(+IF(CA$24=#REF!,Milestone_Marker,IF(AND(CA$24&gt;#REF!,CA$24&lt;#REF!+#REF!),#REF!,"")),"")</f>
        <v/>
      </c>
      <c r="CB34" s="35" t="str">
        <f ca="1">IFERROR(+IF(CB$24=#REF!,Milestone_Marker,IF(AND(CB$24&gt;#REF!,CB$24&lt;#REF!+#REF!),#REF!,"")),"")</f>
        <v/>
      </c>
      <c r="CC34" s="35" t="str">
        <f ca="1">IFERROR(+IF(CC$24=#REF!,Milestone_Marker,IF(AND(CC$24&gt;#REF!,CC$24&lt;#REF!+#REF!),#REF!,"")),"")</f>
        <v/>
      </c>
      <c r="CD34" s="35" t="str">
        <f ca="1">IFERROR(+IF(CD$24=#REF!,Milestone_Marker,IF(AND(CD$24&gt;#REF!,CD$24&lt;#REF!+#REF!),#REF!,"")),"")</f>
        <v/>
      </c>
      <c r="CE34" s="35" t="str">
        <f ca="1">IFERROR(+IF(CE$24=#REF!,Milestone_Marker,IF(AND(CE$24&gt;#REF!,CE$24&lt;#REF!+#REF!),#REF!,"")),"")</f>
        <v/>
      </c>
      <c r="CF34" s="35" t="str">
        <f ca="1">IFERROR(+IF(CF$24=#REF!,Milestone_Marker,IF(AND(CF$24&gt;#REF!,CF$24&lt;#REF!+#REF!),#REF!,"")),"")</f>
        <v/>
      </c>
      <c r="CG34" s="35" t="str">
        <f ca="1">IFERROR(+IF(CG$24=#REF!,Milestone_Marker,IF(AND(CG$24&gt;#REF!,CG$24&lt;#REF!+#REF!),#REF!,"")),"")</f>
        <v/>
      </c>
      <c r="CH34" s="35" t="str">
        <f ca="1">IFERROR(+IF(CH$24=#REF!,Milestone_Marker,IF(AND(CH$24&gt;#REF!,CH$24&lt;#REF!+#REF!),#REF!,"")),"")</f>
        <v/>
      </c>
      <c r="CI34" s="35" t="str">
        <f ca="1">IFERROR(+IF(CI$24=#REF!,Milestone_Marker,IF(AND(CI$24&gt;#REF!,CI$24&lt;#REF!+#REF!),#REF!,"")),"")</f>
        <v/>
      </c>
      <c r="CJ34" s="35" t="str">
        <f ca="1">IFERROR(+IF(CJ$24=#REF!,Milestone_Marker,IF(AND(CJ$24&gt;#REF!,CJ$24&lt;#REF!+#REF!),#REF!,"")),"")</f>
        <v/>
      </c>
      <c r="CK34" s="35" t="str">
        <f ca="1">IFERROR(+IF(CK$24=#REF!,Milestone_Marker,IF(AND(CK$24&gt;#REF!,CK$24&lt;#REF!+#REF!),#REF!,"")),"")</f>
        <v/>
      </c>
      <c r="CL34" s="35" t="str">
        <f ca="1">IFERROR(+IF(CL$24=#REF!,Milestone_Marker,IF(AND(CL$24&gt;#REF!,CL$24&lt;#REF!+#REF!),#REF!,"")),"")</f>
        <v/>
      </c>
      <c r="CM34" s="35" t="str">
        <f ca="1">IFERROR(+IF(CM$24=#REF!,Milestone_Marker,IF(AND(CM$24&gt;#REF!,CM$24&lt;#REF!+#REF!),#REF!,"")),"")</f>
        <v/>
      </c>
      <c r="CN34" s="35" t="str">
        <f ca="1">IFERROR(+IF(CN$24=#REF!,Milestone_Marker,IF(AND(CN$24&gt;#REF!,CN$24&lt;#REF!+#REF!),#REF!,"")),"")</f>
        <v/>
      </c>
      <c r="CO34" s="35" t="str">
        <f ca="1">IFERROR(+IF(CO$24=#REF!,Milestone_Marker,IF(AND(CO$24&gt;#REF!,CO$24&lt;#REF!+#REF!),#REF!,"")),"")</f>
        <v/>
      </c>
      <c r="CP34" s="35" t="str">
        <f ca="1">IFERROR(+IF(CP$24=#REF!,Milestone_Marker,IF(AND(CP$24&gt;#REF!,CP$24&lt;#REF!+#REF!),#REF!,"")),"")</f>
        <v/>
      </c>
      <c r="CQ34" s="35" t="str">
        <f ca="1">IFERROR(+IF(CQ$24=#REF!,Milestone_Marker,IF(AND(CQ$24&gt;#REF!,CQ$24&lt;#REF!+#REF!),#REF!,"")),"")</f>
        <v/>
      </c>
      <c r="CR34" s="35" t="str">
        <f ca="1">IFERROR(+IF(CR$24=#REF!,Milestone_Marker,IF(AND(CR$24&gt;#REF!,CR$24&lt;#REF!+#REF!),#REF!,"")),"")</f>
        <v/>
      </c>
      <c r="CS34" s="35" t="str">
        <f ca="1">IFERROR(+IF(CS$24=#REF!,Milestone_Marker,IF(AND(CS$24&gt;#REF!,CS$24&lt;#REF!+#REF!),#REF!,"")),"")</f>
        <v/>
      </c>
      <c r="CT34" s="35" t="str">
        <f ca="1">IFERROR(+IF(CT$24=#REF!,Milestone_Marker,IF(AND(CT$24&gt;#REF!,CT$24&lt;#REF!+#REF!),#REF!,"")),"")</f>
        <v/>
      </c>
      <c r="CU34" s="35" t="str">
        <f ca="1">IFERROR(+IF(CU$24=#REF!,Milestone_Marker,IF(AND(CU$24&gt;#REF!,CU$24&lt;#REF!+#REF!),#REF!,"")),"")</f>
        <v/>
      </c>
      <c r="CV34" s="35" t="str">
        <f ca="1">IFERROR(+IF(CV$24=#REF!,Milestone_Marker,IF(AND(CV$24&gt;#REF!,CV$24&lt;#REF!+#REF!),#REF!,"")),"")</f>
        <v/>
      </c>
      <c r="CW34" s="35" t="str">
        <f ca="1">IFERROR(+IF(CW$24=#REF!,Milestone_Marker,IF(AND(CW$24&gt;#REF!,CW$24&lt;#REF!+#REF!),#REF!,"")),"")</f>
        <v/>
      </c>
      <c r="CX34" s="35" t="str">
        <f ca="1">IFERROR(+IF(CX$24=#REF!,Milestone_Marker,IF(AND(CX$24&gt;#REF!,CX$24&lt;#REF!+#REF!),#REF!,"")),"")</f>
        <v/>
      </c>
      <c r="CY34" s="35" t="str">
        <f ca="1">IFERROR(+IF(CY$24=#REF!,Milestone_Marker,IF(AND(CY$24&gt;#REF!,CY$24&lt;#REF!+#REF!),#REF!,"")),"")</f>
        <v/>
      </c>
      <c r="CZ34" s="35" t="str">
        <f ca="1">IFERROR(+IF(CZ$24=#REF!,Milestone_Marker,IF(AND(CZ$24&gt;#REF!,CZ$24&lt;#REF!+#REF!),#REF!,"")),"")</f>
        <v/>
      </c>
      <c r="DA34" s="35" t="str">
        <f ca="1">IFERROR(+IF(DA$24=#REF!,Milestone_Marker,IF(AND(DA$24&gt;#REF!,DA$24&lt;#REF!+#REF!),#REF!,"")),"")</f>
        <v/>
      </c>
      <c r="DB34" s="35" t="str">
        <f ca="1">IFERROR(+IF(DB$24=#REF!,Milestone_Marker,IF(AND(DB$24&gt;#REF!,DB$24&lt;#REF!+#REF!),#REF!,"")),"")</f>
        <v/>
      </c>
      <c r="DC34" s="35" t="str">
        <f ca="1">IFERROR(+IF(DC$24=#REF!,Milestone_Marker,IF(AND(DC$24&gt;#REF!,DC$24&lt;#REF!+#REF!),#REF!,"")),"")</f>
        <v/>
      </c>
      <c r="DD34" s="35" t="str">
        <f ca="1">IFERROR(+IF(DD$24=#REF!,Milestone_Marker,IF(AND(DD$24&gt;#REF!,DD$24&lt;#REF!+#REF!),#REF!,"")),"")</f>
        <v/>
      </c>
      <c r="DE34" s="35" t="str">
        <f ca="1">IFERROR(+IF(DE$24=#REF!,Milestone_Marker,IF(AND(DE$24&gt;#REF!,DE$24&lt;#REF!+#REF!),#REF!,"")),"")</f>
        <v/>
      </c>
      <c r="DF34" s="35"/>
      <c r="DG34" s="35"/>
      <c r="DH34" s="35"/>
      <c r="DI34" s="35"/>
      <c r="DJ34" s="35"/>
      <c r="DK34" s="35"/>
      <c r="DL34" s="35"/>
      <c r="DM34" s="35"/>
      <c r="DN34" s="35"/>
      <c r="DO34" s="35"/>
      <c r="DP34" s="35"/>
      <c r="DQ34" s="35"/>
      <c r="DR34" s="35"/>
      <c r="DS34" s="35"/>
      <c r="DT34" s="35"/>
      <c r="DU34" s="35"/>
      <c r="DV34" s="35"/>
      <c r="DW34" s="35"/>
      <c r="DX34" s="35"/>
      <c r="DY34" s="35"/>
      <c r="DZ34" s="35"/>
      <c r="EA34" s="35"/>
      <c r="EB34" s="35"/>
      <c r="EC34" s="35"/>
      <c r="ED34" s="35"/>
      <c r="EE34" s="35"/>
    </row>
    <row r="35" spans="1:135" s="40" customFormat="1" ht="30">
      <c r="A35" t="s">
        <v>552</v>
      </c>
      <c r="B35" t="s">
        <v>587</v>
      </c>
      <c r="C35" t="s">
        <v>560</v>
      </c>
      <c r="D35" s="458" t="s">
        <v>588</v>
      </c>
      <c r="E35" s="458">
        <v>1</v>
      </c>
      <c r="F35">
        <v>312.5</v>
      </c>
      <c r="G35">
        <v>312.5</v>
      </c>
      <c r="H35">
        <v>151</v>
      </c>
      <c r="I35">
        <v>312.5</v>
      </c>
      <c r="J35">
        <v>36</v>
      </c>
      <c r="K35" s="107"/>
      <c r="L35" s="463">
        <v>36</v>
      </c>
      <c r="M35" s="490">
        <v>1</v>
      </c>
      <c r="N35" s="160"/>
      <c r="O35" s="546" cm="1">
        <f t="array" ref="O3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45954</v>
      </c>
      <c r="P35" s="567" t="s">
        <v>458</v>
      </c>
      <c r="Q35" s="567"/>
      <c r="R35" s="499"/>
      <c r="S35" s="463" cm="1">
        <f t="array" ref="S3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5" s="34">
        <v>1</v>
      </c>
      <c r="U35" s="490"/>
      <c r="V3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15.0207</v>
      </c>
      <c r="W35" s="557"/>
      <c r="X35" s="545"/>
      <c r="Y35" s="548" t="s">
        <v>855</v>
      </c>
      <c r="Z35" s="160" t="s">
        <v>458</v>
      </c>
      <c r="AA35" s="563">
        <v>104800</v>
      </c>
      <c r="AB35" cm="1">
        <f t="array" ref="AB35">ROW()-ROW(Contract_Edits[#Headers])</f>
        <v>11</v>
      </c>
      <c r="AC35">
        <f>IF(Contract_Edits[[#This Row],[RowPos]]&gt;1, Contract_Edits[[#This Row],[RowPos]]-1, 0)</f>
        <v>10</v>
      </c>
      <c r="AD35" s="35">
        <f>IF(N(Contract_Edits[[#This Row],[Dep]])=0, N(Contract_Edits[[#This Row],[Index]]), N(Contract_Edits[[#This Row],[Dep]]))</f>
        <v>151</v>
      </c>
      <c r="AE35" s="35" cm="1">
        <f t="array" ref="AE35">IF(OR(Contract_Edits[[#This Row],[Dep]]=0, TRIM(Contract_Edits[[#This Row],[Dep]])=""),
   0,
   IFERROR(
      _xlfn.XLOOKUP(1, (Contract_Edits[Dep]=Contract_Edits[[#This Row],[Dep]])*(Contract_Edits[RowPos]&lt;Contract_Edits[[#This Row],[RowPos]]), Contract_Edits[RowPos], , 0, -1),
      0
   )
)</f>
        <v>10</v>
      </c>
      <c r="AF35" s="35">
        <f>IF(OR(Contract_Edits[[#This Row],[Dep]]=0,Contract_Edits[[#This Row],[Dep]]=""),0,
   COUNTIFS(Contract_Edits[Dep],Contract_Edits[[#This Row],[Dep]],Contract_Edits[RowPos],"&lt;="&amp;Contract_Edits[[#This Row],[RowPos]],Contract_Edits[Approve],"Yes")
)</f>
        <v>7</v>
      </c>
      <c r="AG35" s="517">
        <f>--(
  ISNUMBER(SEARCH("BASE PARENT", UPPER(CLEAN(TRIM(_xlfn.XLOOKUP(TEXT(Contract_Edits[[#This Row],[Index]],"0"), baseIdxTxt, baseCost, "")))))) +
  ISNUMBER(SEARCH("DEPENDENCY GROUP", UPPER(CLEAN(TRIM(_xlfn.XLOOKUP(TEXT(Contract_Edits[[#This Row],[Index]],"0"), baseIdxTxt, baseCost, ""))))))
)</f>
        <v>0</v>
      </c>
      <c r="AH35" s="517" t="str" cm="1">
        <f t="array" ref="AH35">IF(Contract_Edits[[#This Row],[BaseFlag]]=1,
   10*BaseDepthL(TEXT(Contract_Edits[[#This Row],[Index]],"0"),500,editsIdxTxt,editsParentKeyTxt,baseIdxTxt,baseCost)-5,
   ""
)</f>
        <v/>
      </c>
      <c r="AI35" s="517" cm="1">
        <f t="array" ref="AI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5" s="517" t="str">
        <f>IF(Contract_Edits[[#This Row],[Dep]]=0,"Root",
   IF(ISNUMBER(MATCH(Contract_Edits[[#This Row],[Dep]],Contract_Edits[Index],0)),"OK","Missing")
)</f>
        <v>OK</v>
      </c>
      <c r="AK35" s="517" t="str">
        <f>IF(AND(Contract_Edits[[#This Row],[Dep]]&lt;&gt;0,
        ISNUMBER(MATCH(Contract_Edits[[#This Row],[Dep]], Contract_Edits[Index], 0)),
        INDEX(Contract_Edits[Dep], MATCH(Contract_Edits[[#This Row],[Dep]], Contract_Edits[Index], 0))=Contract_Edits[[#This Row],[Index]]),
   "2-cycle","")</f>
        <v/>
      </c>
      <c r="AL35" s="517" cm="1">
        <f t="array" ref="AL35">IF(Contract_Edits[[#This Row],[BaseFlag]]&lt;&gt;1,0,
   IF(TEXT(Contract_Edits[[#This Row],[Dep]],"0")=TEXT(Contract_Edits[[#This Row],[Index]],"0"),
      0,
      MAX(0, SUMPRODUCT(--(Contract_Edits[BaseFlag]=1),
                        --(TEXT(Contract_Edits[Dep],"0")=TEXT(Contract_Edits[[#This Row],[Dep]],"0"))) - 1)
   )
)</f>
        <v>0</v>
      </c>
      <c r="AM35" s="517" t="str" cm="1">
        <f t="array" ref="AM35">IF(Contract_Edits[[#This Row],[BaseFlag]]=1,
   TEXT(Contract_Edits[[#This Row],[Index]],"0"),
   NearestBaseL(TEXT(Contract_Edits[[#This Row],[ParentKey]],"0"),500,editsIdxTxt,editsParentKeyTxt,baseIdxTxt,baseCost)
)</f>
        <v>151</v>
      </c>
      <c r="AN35" s="517" cm="1">
        <f t="array" ref="AN35">1+SUMPRODUCT(
  (Contract_Edits[BaseFlag]=1)*
  (TEXT(Contract_Edits[ParentAnchor],"0")=TEXT(Contract_Edits[[#This Row],[ParentAnchor]],"0"))*
  (VALUE(TEXT(Contract_Edits[Index],"0"))&lt;VALUE(TEXT(Contract_Edits[[#This Row],[Index]],"0")))
)</f>
        <v>1</v>
      </c>
      <c r="AO35" s="35"/>
      <c r="AP35" s="35" t="str">
        <f ca="1">IFERROR(+IF(AP$24=#REF!,Milestone_Marker,IF(AND(AP$24&gt;#REF!,AP$24&lt;#REF!+#REF!),#REF!,"")),"")</f>
        <v/>
      </c>
      <c r="AQ35" s="35" t="str">
        <f ca="1">IFERROR(+IF(AQ$24=#REF!,Milestone_Marker,IF(AND(AQ$24&gt;#REF!,AQ$24&lt;#REF!+#REF!),#REF!,"")),"")</f>
        <v/>
      </c>
      <c r="AR35" s="35" t="str">
        <f ca="1">IFERROR(+IF(AR$24=#REF!,Milestone_Marker,IF(AND(AR$24&gt;#REF!,AR$24&lt;#REF!+#REF!),#REF!,"")),"")</f>
        <v/>
      </c>
      <c r="AS35" s="35" t="str">
        <f ca="1">IFERROR(+IF(AS$24=#REF!,Milestone_Marker,IF(AND(AS$24&gt;#REF!,AS$24&lt;#REF!+#REF!),#REF!,"")),"")</f>
        <v/>
      </c>
      <c r="AT35" s="35" t="str">
        <f ca="1">IFERROR(+IF(AT$24=#REF!,Milestone_Marker,IF(AND(AT$24&gt;#REF!,AT$24&lt;#REF!+#REF!),#REF!,"")),"")</f>
        <v/>
      </c>
      <c r="AU35" s="35" t="str">
        <f ca="1">IFERROR(+IF(AU$24=#REF!,Milestone_Marker,IF(AND(AU$24&gt;#REF!,AU$24&lt;#REF!+#REF!),#REF!,"")),"")</f>
        <v/>
      </c>
      <c r="AV35" s="35" t="str">
        <f ca="1">IFERROR(+IF(AV$24=#REF!,Milestone_Marker,IF(AND(AV$24&gt;#REF!,AV$24&lt;#REF!+#REF!),#REF!,"")),"")</f>
        <v/>
      </c>
      <c r="AW35" s="35" t="str">
        <f ca="1">IFERROR(+IF(AW$24=#REF!,Milestone_Marker,IF(AND(AW$24&gt;#REF!,AW$24&lt;#REF!+#REF!),#REF!,"")),"")</f>
        <v/>
      </c>
      <c r="AX35" s="35" t="str">
        <f ca="1">IFERROR(+IF(AX$24=#REF!,Milestone_Marker,IF(AND(AX$24&gt;#REF!,AX$24&lt;#REF!+#REF!),#REF!,"")),"")</f>
        <v/>
      </c>
      <c r="AY35" s="35" t="str">
        <f ca="1">IFERROR(+IF(AY$24=#REF!,Milestone_Marker,IF(AND(AY$24&gt;#REF!,AY$24&lt;#REF!+#REF!),#REF!,"")),"")</f>
        <v/>
      </c>
      <c r="AZ35" s="35" t="str">
        <f ca="1">IFERROR(+IF(AZ$24=#REF!,Milestone_Marker,IF(AND(AZ$24&gt;#REF!,AZ$24&lt;#REF!+#REF!),#REF!,"")),"")</f>
        <v/>
      </c>
      <c r="BA35" s="35" t="str">
        <f ca="1">IFERROR(+IF(BA$24=#REF!,Milestone_Marker,IF(AND(BA$24&gt;#REF!,BA$24&lt;#REF!+#REF!),#REF!,"")),"")</f>
        <v/>
      </c>
      <c r="BB35" s="35" t="str">
        <f ca="1">IFERROR(+IF(BB$24=#REF!,Milestone_Marker,IF(AND(BB$24&gt;#REF!,BB$24&lt;#REF!+#REF!),#REF!,"")),"")</f>
        <v/>
      </c>
      <c r="BC35" s="35" t="str">
        <f ca="1">IFERROR(+IF(BC$24=#REF!,Milestone_Marker,IF(AND(BC$24&gt;#REF!,BC$24&lt;#REF!+#REF!),#REF!,"")),"")</f>
        <v/>
      </c>
      <c r="BD35" s="35" t="str">
        <f ca="1">IFERROR(+IF(BD$24=#REF!,Milestone_Marker,IF(AND(BD$24&gt;#REF!,BD$24&lt;#REF!+#REF!),#REF!,"")),"")</f>
        <v/>
      </c>
      <c r="BE35" s="35" t="str">
        <f ca="1">IFERROR(+IF(BE$24=#REF!,Milestone_Marker,IF(AND(BE$24&gt;#REF!,BE$24&lt;#REF!+#REF!),#REF!,"")),"")</f>
        <v/>
      </c>
      <c r="BF35" s="35" t="str">
        <f ca="1">IFERROR(+IF(BF$24=#REF!,Milestone_Marker,IF(AND(BF$24&gt;#REF!,BF$24&lt;#REF!+#REF!),#REF!,"")),"")</f>
        <v/>
      </c>
      <c r="BG35" s="35" t="str">
        <f ca="1">IFERROR(+IF(BG$24=#REF!,Milestone_Marker,IF(AND(BG$24&gt;#REF!,BG$24&lt;#REF!+#REF!),#REF!,"")),"")</f>
        <v/>
      </c>
      <c r="BH35" s="35" t="str">
        <f ca="1">IFERROR(+IF(BH$24=#REF!,Milestone_Marker,IF(AND(BH$24&gt;#REF!,BH$24&lt;#REF!+#REF!),#REF!,"")),"")</f>
        <v/>
      </c>
      <c r="BI35" s="35" t="str">
        <f ca="1">IFERROR(+IF(BI$24=#REF!,Milestone_Marker,IF(AND(BI$24&gt;#REF!,BI$24&lt;#REF!+#REF!),#REF!,"")),"")</f>
        <v/>
      </c>
      <c r="BJ35" s="35" t="str">
        <f ca="1">IFERROR(+IF(BJ$24=#REF!,Milestone_Marker,IF(AND(BJ$24&gt;#REF!,BJ$24&lt;#REF!+#REF!),#REF!,"")),"")</f>
        <v/>
      </c>
      <c r="BK35" s="35" t="str">
        <f ca="1">IFERROR(+IF(BK$24=#REF!,Milestone_Marker,IF(AND(BK$24&gt;#REF!,BK$24&lt;#REF!+#REF!),#REF!,"")),"")</f>
        <v/>
      </c>
      <c r="BL35" s="35" t="str">
        <f ca="1">IFERROR(+IF(BL$24=#REF!,Milestone_Marker,IF(AND(BL$24&gt;#REF!,BL$24&lt;#REF!+#REF!),#REF!,"")),"")</f>
        <v/>
      </c>
      <c r="BM35" s="35" t="str">
        <f ca="1">IFERROR(+IF(BM$24=#REF!,Milestone_Marker,IF(AND(BM$24&gt;#REF!,BM$24&lt;#REF!+#REF!),#REF!,"")),"")</f>
        <v/>
      </c>
      <c r="BN35" s="35" t="str">
        <f ca="1">IFERROR(+IF(BN$24=#REF!,Milestone_Marker,IF(AND(BN$24&gt;#REF!,BN$24&lt;#REF!+#REF!),#REF!,"")),"")</f>
        <v/>
      </c>
      <c r="BO35" s="35" t="str">
        <f ca="1">IFERROR(+IF(BO$24=#REF!,Milestone_Marker,IF(AND(BO$24&gt;#REF!,BO$24&lt;#REF!+#REF!),#REF!,"")),"")</f>
        <v/>
      </c>
      <c r="BP35" s="35" t="str">
        <f ca="1">IFERROR(+IF(BP$24=#REF!,Milestone_Marker,IF(AND(BP$24&gt;#REF!,BP$24&lt;#REF!+#REF!),#REF!,"")),"")</f>
        <v/>
      </c>
      <c r="BQ35" s="35" t="str">
        <f ca="1">IFERROR(+IF(BQ$24=#REF!,Milestone_Marker,IF(AND(BQ$24&gt;#REF!,BQ$24&lt;#REF!+#REF!),#REF!,"")),"")</f>
        <v/>
      </c>
      <c r="BR35" s="35" t="str">
        <f ca="1">IFERROR(+IF(BR$24=#REF!,Milestone_Marker,IF(AND(BR$24&gt;#REF!,BR$24&lt;#REF!+#REF!),#REF!,"")),"")</f>
        <v/>
      </c>
      <c r="BS35" s="35" t="str">
        <f ca="1">IFERROR(+IF(BS$24=#REF!,Milestone_Marker,IF(AND(BS$24&gt;#REF!,BS$24&lt;#REF!+#REF!),#REF!,"")),"")</f>
        <v/>
      </c>
      <c r="BT35" s="35" t="str">
        <f ca="1">IFERROR(+IF(BT$24=#REF!,Milestone_Marker,IF(AND(BT$24&gt;#REF!,BT$24&lt;#REF!+#REF!),#REF!,"")),"")</f>
        <v/>
      </c>
      <c r="BU35" s="35" t="str">
        <f ca="1">IFERROR(+IF(BU$24=#REF!,Milestone_Marker,IF(AND(BU$24&gt;#REF!,BU$24&lt;#REF!+#REF!),#REF!,"")),"")</f>
        <v/>
      </c>
      <c r="BV35" s="35" t="str">
        <f ca="1">IFERROR(+IF(BV$24=#REF!,Milestone_Marker,IF(AND(BV$24&gt;#REF!,BV$24&lt;#REF!+#REF!),#REF!,"")),"")</f>
        <v/>
      </c>
      <c r="BW35" s="35" t="str">
        <f ca="1">IFERROR(+IF(BW$24=#REF!,Milestone_Marker,IF(AND(BW$24&gt;#REF!,BW$24&lt;#REF!+#REF!),#REF!,"")),"")</f>
        <v/>
      </c>
      <c r="BX35" s="35" t="str">
        <f ca="1">IFERROR(+IF(BX$24=#REF!,Milestone_Marker,IF(AND(BX$24&gt;#REF!,BX$24&lt;#REF!+#REF!),#REF!,"")),"")</f>
        <v/>
      </c>
      <c r="BY35" s="35" t="str">
        <f ca="1">IFERROR(+IF(BY$24=#REF!,Milestone_Marker,IF(AND(BY$24&gt;#REF!,BY$24&lt;#REF!+#REF!),#REF!,"")),"")</f>
        <v/>
      </c>
      <c r="BZ35" s="35" t="str">
        <f ca="1">IFERROR(+IF(BZ$24=#REF!,Milestone_Marker,IF(AND(BZ$24&gt;#REF!,BZ$24&lt;#REF!+#REF!),#REF!,"")),"")</f>
        <v/>
      </c>
      <c r="CA35" s="35" t="str">
        <f ca="1">IFERROR(+IF(CA$24=#REF!,Milestone_Marker,IF(AND(CA$24&gt;#REF!,CA$24&lt;#REF!+#REF!),#REF!,"")),"")</f>
        <v/>
      </c>
      <c r="CB35" s="35" t="str">
        <f ca="1">IFERROR(+IF(CB$24=#REF!,Milestone_Marker,IF(AND(CB$24&gt;#REF!,CB$24&lt;#REF!+#REF!),#REF!,"")),"")</f>
        <v/>
      </c>
      <c r="CC35" s="35" t="str">
        <f ca="1">IFERROR(+IF(CC$24=#REF!,Milestone_Marker,IF(AND(CC$24&gt;#REF!,CC$24&lt;#REF!+#REF!),#REF!,"")),"")</f>
        <v/>
      </c>
      <c r="CD35" s="35" t="str">
        <f ca="1">IFERROR(+IF(CD$24=#REF!,Milestone_Marker,IF(AND(CD$24&gt;#REF!,CD$24&lt;#REF!+#REF!),#REF!,"")),"")</f>
        <v/>
      </c>
      <c r="CE35" s="35" t="str">
        <f ca="1">IFERROR(+IF(CE$24=#REF!,Milestone_Marker,IF(AND(CE$24&gt;#REF!,CE$24&lt;#REF!+#REF!),#REF!,"")),"")</f>
        <v/>
      </c>
      <c r="CF35" s="35" t="str">
        <f ca="1">IFERROR(+IF(CF$24=#REF!,Milestone_Marker,IF(AND(CF$24&gt;#REF!,CF$24&lt;#REF!+#REF!),#REF!,"")),"")</f>
        <v/>
      </c>
      <c r="CG35" s="35" t="str">
        <f ca="1">IFERROR(+IF(CG$24=#REF!,Milestone_Marker,IF(AND(CG$24&gt;#REF!,CG$24&lt;#REF!+#REF!),#REF!,"")),"")</f>
        <v/>
      </c>
      <c r="CH35" s="35" t="str">
        <f ca="1">IFERROR(+IF(CH$24=#REF!,Milestone_Marker,IF(AND(CH$24&gt;#REF!,CH$24&lt;#REF!+#REF!),#REF!,"")),"")</f>
        <v/>
      </c>
      <c r="CI35" s="35" t="str">
        <f ca="1">IFERROR(+IF(CI$24=#REF!,Milestone_Marker,IF(AND(CI$24&gt;#REF!,CI$24&lt;#REF!+#REF!),#REF!,"")),"")</f>
        <v/>
      </c>
      <c r="CJ35" s="35" t="str">
        <f ca="1">IFERROR(+IF(CJ$24=#REF!,Milestone_Marker,IF(AND(CJ$24&gt;#REF!,CJ$24&lt;#REF!+#REF!),#REF!,"")),"")</f>
        <v/>
      </c>
      <c r="CK35" s="35" t="str">
        <f ca="1">IFERROR(+IF(CK$24=#REF!,Milestone_Marker,IF(AND(CK$24&gt;#REF!,CK$24&lt;#REF!+#REF!),#REF!,"")),"")</f>
        <v/>
      </c>
      <c r="CL35" s="35" t="str">
        <f ca="1">IFERROR(+IF(CL$24=#REF!,Milestone_Marker,IF(AND(CL$24&gt;#REF!,CL$24&lt;#REF!+#REF!),#REF!,"")),"")</f>
        <v/>
      </c>
      <c r="CM35" s="35" t="str">
        <f ca="1">IFERROR(+IF(CM$24=#REF!,Milestone_Marker,IF(AND(CM$24&gt;#REF!,CM$24&lt;#REF!+#REF!),#REF!,"")),"")</f>
        <v/>
      </c>
      <c r="CN35" s="35" t="str">
        <f ca="1">IFERROR(+IF(CN$24=#REF!,Milestone_Marker,IF(AND(CN$24&gt;#REF!,CN$24&lt;#REF!+#REF!),#REF!,"")),"")</f>
        <v/>
      </c>
      <c r="CO35" s="35" t="str">
        <f ca="1">IFERROR(+IF(CO$24=#REF!,Milestone_Marker,IF(AND(CO$24&gt;#REF!,CO$24&lt;#REF!+#REF!),#REF!,"")),"")</f>
        <v/>
      </c>
      <c r="CP35" s="35" t="str">
        <f ca="1">IFERROR(+IF(CP$24=#REF!,Milestone_Marker,IF(AND(CP$24&gt;#REF!,CP$24&lt;#REF!+#REF!),#REF!,"")),"")</f>
        <v/>
      </c>
      <c r="CQ35" s="35" t="str">
        <f ca="1">IFERROR(+IF(CQ$24=#REF!,Milestone_Marker,IF(AND(CQ$24&gt;#REF!,CQ$24&lt;#REF!+#REF!),#REF!,"")),"")</f>
        <v/>
      </c>
      <c r="CR35" s="35" t="str">
        <f ca="1">IFERROR(+IF(CR$24=#REF!,Milestone_Marker,IF(AND(CR$24&gt;#REF!,CR$24&lt;#REF!+#REF!),#REF!,"")),"")</f>
        <v/>
      </c>
      <c r="CS35" s="35" t="str">
        <f ca="1">IFERROR(+IF(CS$24=#REF!,Milestone_Marker,IF(AND(CS$24&gt;#REF!,CS$24&lt;#REF!+#REF!),#REF!,"")),"")</f>
        <v/>
      </c>
      <c r="CT35" s="35" t="str">
        <f ca="1">IFERROR(+IF(CT$24=#REF!,Milestone_Marker,IF(AND(CT$24&gt;#REF!,CT$24&lt;#REF!+#REF!),#REF!,"")),"")</f>
        <v/>
      </c>
      <c r="CU35" s="35" t="str">
        <f ca="1">IFERROR(+IF(CU$24=#REF!,Milestone_Marker,IF(AND(CU$24&gt;#REF!,CU$24&lt;#REF!+#REF!),#REF!,"")),"")</f>
        <v/>
      </c>
      <c r="CV35" s="35" t="str">
        <f ca="1">IFERROR(+IF(CV$24=#REF!,Milestone_Marker,IF(AND(CV$24&gt;#REF!,CV$24&lt;#REF!+#REF!),#REF!,"")),"")</f>
        <v/>
      </c>
      <c r="CW35" s="35" t="str">
        <f ca="1">IFERROR(+IF(CW$24=#REF!,Milestone_Marker,IF(AND(CW$24&gt;#REF!,CW$24&lt;#REF!+#REF!),#REF!,"")),"")</f>
        <v/>
      </c>
      <c r="CX35" s="35" t="str">
        <f ca="1">IFERROR(+IF(CX$24=#REF!,Milestone_Marker,IF(AND(CX$24&gt;#REF!,CX$24&lt;#REF!+#REF!),#REF!,"")),"")</f>
        <v/>
      </c>
      <c r="CY35" s="35" t="str">
        <f ca="1">IFERROR(+IF(CY$24=#REF!,Milestone_Marker,IF(AND(CY$24&gt;#REF!,CY$24&lt;#REF!+#REF!),#REF!,"")),"")</f>
        <v/>
      </c>
      <c r="CZ35" s="35" t="str">
        <f ca="1">IFERROR(+IF(CZ$24=#REF!,Milestone_Marker,IF(AND(CZ$24&gt;#REF!,CZ$24&lt;#REF!+#REF!),#REF!,"")),"")</f>
        <v/>
      </c>
      <c r="DA35" s="35" t="str">
        <f ca="1">IFERROR(+IF(DA$24=#REF!,Milestone_Marker,IF(AND(DA$24&gt;#REF!,DA$24&lt;#REF!+#REF!),#REF!,"")),"")</f>
        <v/>
      </c>
      <c r="DB35" s="35" t="str">
        <f ca="1">IFERROR(+IF(DB$24=#REF!,Milestone_Marker,IF(AND(DB$24&gt;#REF!,DB$24&lt;#REF!+#REF!),#REF!,"")),"")</f>
        <v/>
      </c>
      <c r="DC35" s="35" t="str">
        <f ca="1">IFERROR(+IF(DC$24=#REF!,Milestone_Marker,IF(AND(DC$24&gt;#REF!,DC$24&lt;#REF!+#REF!),#REF!,"")),"")</f>
        <v/>
      </c>
      <c r="DD35" s="35" t="str">
        <f ca="1">IFERROR(+IF(DD$24=#REF!,Milestone_Marker,IF(AND(DD$24&gt;#REF!,DD$24&lt;#REF!+#REF!),#REF!,"")),"")</f>
        <v/>
      </c>
      <c r="DE35" s="35" t="str">
        <f ca="1">IFERROR(+IF(DE$24=#REF!,Milestone_Marker,IF(AND(DE$24&gt;#REF!,DE$24&lt;#REF!+#REF!),#REF!,"")),"")</f>
        <v/>
      </c>
      <c r="DF35" s="35"/>
      <c r="DG35" s="35"/>
      <c r="DH35" s="35"/>
      <c r="DI35" s="35"/>
      <c r="DJ35" s="35"/>
      <c r="DK35" s="35"/>
      <c r="DL35" s="35"/>
      <c r="DM35" s="35"/>
      <c r="DN35" s="35"/>
      <c r="DO35" s="35"/>
      <c r="DP35" s="35"/>
      <c r="DQ35" s="35"/>
      <c r="DR35" s="35"/>
      <c r="DS35" s="35"/>
      <c r="DT35" s="35"/>
      <c r="DU35" s="35"/>
      <c r="DV35" s="35"/>
      <c r="DW35" s="35"/>
      <c r="DX35" s="35"/>
      <c r="DY35" s="35"/>
      <c r="DZ35" s="35"/>
      <c r="EA35" s="35"/>
      <c r="EB35" s="35"/>
      <c r="EC35" s="35"/>
      <c r="ED35" s="35"/>
      <c r="EE35" s="35"/>
    </row>
    <row r="36" spans="1:135" s="40" customFormat="1" ht="30">
      <c r="A36" t="s">
        <v>552</v>
      </c>
      <c r="B36" t="s">
        <v>555</v>
      </c>
      <c r="C36" t="s">
        <v>560</v>
      </c>
      <c r="D36" s="458" t="s">
        <v>561</v>
      </c>
      <c r="E36" s="458">
        <v>1</v>
      </c>
      <c r="F36">
        <v>468.75</v>
      </c>
      <c r="G36">
        <v>468.75</v>
      </c>
      <c r="H36">
        <v>151</v>
      </c>
      <c r="I36">
        <v>468.75</v>
      </c>
      <c r="J36">
        <v>21</v>
      </c>
      <c r="K36" s="107"/>
      <c r="L36" s="463">
        <v>21</v>
      </c>
      <c r="M36" s="490">
        <v>1.5</v>
      </c>
      <c r="N36" s="160">
        <v>0</v>
      </c>
      <c r="O36" s="546" cm="1">
        <f t="array" ref="O3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45957</v>
      </c>
      <c r="P36" s="567" t="s">
        <v>458</v>
      </c>
      <c r="Q36" s="567"/>
      <c r="R36" s="499"/>
      <c r="S36" s="463" cm="1">
        <f t="array" ref="S3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6" s="34">
        <v>1</v>
      </c>
      <c r="U36" s="490"/>
      <c r="V3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15.020799999999999</v>
      </c>
      <c r="W36" s="557"/>
      <c r="X36" s="545"/>
      <c r="Y36" s="548" t="s">
        <v>855</v>
      </c>
      <c r="Z36" s="160" t="s">
        <v>458</v>
      </c>
      <c r="AA36" s="563">
        <v>104800</v>
      </c>
      <c r="AB36" cm="1">
        <f t="array" ref="AB36">ROW()-ROW(Contract_Edits[#Headers])</f>
        <v>12</v>
      </c>
      <c r="AC36">
        <f>IF(Contract_Edits[[#This Row],[RowPos]]&gt;1, Contract_Edits[[#This Row],[RowPos]]-1, 0)</f>
        <v>11</v>
      </c>
      <c r="AD36" s="35">
        <f>IF(N(Contract_Edits[[#This Row],[Dep]])=0, N(Contract_Edits[[#This Row],[Index]]), N(Contract_Edits[[#This Row],[Dep]]))</f>
        <v>151</v>
      </c>
      <c r="AE36" s="35" cm="1">
        <f t="array" ref="AE36">IF(OR(Contract_Edits[[#This Row],[Dep]]=0, TRIM(Contract_Edits[[#This Row],[Dep]])=""),
   0,
   IFERROR(
      _xlfn.XLOOKUP(1, (Contract_Edits[Dep]=Contract_Edits[[#This Row],[Dep]])*(Contract_Edits[RowPos]&lt;Contract_Edits[[#This Row],[RowPos]]), Contract_Edits[RowPos], , 0, -1),
      0
   )
)</f>
        <v>11</v>
      </c>
      <c r="AF36" s="35">
        <f>IF(OR(Contract_Edits[[#This Row],[Dep]]=0,Contract_Edits[[#This Row],[Dep]]=""),0,
   COUNTIFS(Contract_Edits[Dep],Contract_Edits[[#This Row],[Dep]],Contract_Edits[RowPos],"&lt;="&amp;Contract_Edits[[#This Row],[RowPos]],Contract_Edits[Approve],"Yes")
)</f>
        <v>8</v>
      </c>
      <c r="AG36" s="517">
        <f>--(
  ISNUMBER(SEARCH("BASE PARENT", UPPER(CLEAN(TRIM(_xlfn.XLOOKUP(TEXT(Contract_Edits[[#This Row],[Index]],"0"), baseIdxTxt, baseCost, "")))))) +
  ISNUMBER(SEARCH("DEPENDENCY GROUP", UPPER(CLEAN(TRIM(_xlfn.XLOOKUP(TEXT(Contract_Edits[[#This Row],[Index]],"0"), baseIdxTxt, baseCost, ""))))))
)</f>
        <v>0</v>
      </c>
      <c r="AH36" s="517" t="str" cm="1">
        <f t="array" ref="AH36">IF(Contract_Edits[[#This Row],[BaseFlag]]=1,
   10*BaseDepthL(TEXT(Contract_Edits[[#This Row],[Index]],"0"),500,editsIdxTxt,editsParentKeyTxt,baseIdxTxt,baseCost)-5,
   ""
)</f>
        <v/>
      </c>
      <c r="AI36" s="517" cm="1">
        <f t="array" ref="AI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6" s="517" t="str">
        <f>IF(Contract_Edits[[#This Row],[Dep]]=0,"Root",
   IF(ISNUMBER(MATCH(Contract_Edits[[#This Row],[Dep]],Contract_Edits[Index],0)),"OK","Missing")
)</f>
        <v>OK</v>
      </c>
      <c r="AK36" s="517" t="str">
        <f>IF(AND(Contract_Edits[[#This Row],[Dep]]&lt;&gt;0,
        ISNUMBER(MATCH(Contract_Edits[[#This Row],[Dep]], Contract_Edits[Index], 0)),
        INDEX(Contract_Edits[Dep], MATCH(Contract_Edits[[#This Row],[Dep]], Contract_Edits[Index], 0))=Contract_Edits[[#This Row],[Index]]),
   "2-cycle","")</f>
        <v/>
      </c>
      <c r="AL36" s="517" cm="1">
        <f t="array" ref="AL36">IF(Contract_Edits[[#This Row],[BaseFlag]]&lt;&gt;1,0,
   IF(TEXT(Contract_Edits[[#This Row],[Dep]],"0")=TEXT(Contract_Edits[[#This Row],[Index]],"0"),
      0,
      MAX(0, SUMPRODUCT(--(Contract_Edits[BaseFlag]=1),
                        --(TEXT(Contract_Edits[Dep],"0")=TEXT(Contract_Edits[[#This Row],[Dep]],"0"))) - 1)
   )
)</f>
        <v>0</v>
      </c>
      <c r="AM36" s="517" t="str" cm="1">
        <f t="array" ref="AM36">IF(Contract_Edits[[#This Row],[BaseFlag]]=1,
   TEXT(Contract_Edits[[#This Row],[Index]],"0"),
   NearestBaseL(TEXT(Contract_Edits[[#This Row],[ParentKey]],"0"),500,editsIdxTxt,editsParentKeyTxt,baseIdxTxt,baseCost)
)</f>
        <v>151</v>
      </c>
      <c r="AN36" s="517" cm="1">
        <f t="array" ref="AN36">1+SUMPRODUCT(
  (Contract_Edits[BaseFlag]=1)*
  (TEXT(Contract_Edits[ParentAnchor],"0")=TEXT(Contract_Edits[[#This Row],[ParentAnchor]],"0"))*
  (VALUE(TEXT(Contract_Edits[Index],"0"))&lt;VALUE(TEXT(Contract_Edits[[#This Row],[Index]],"0")))
)</f>
        <v>1</v>
      </c>
      <c r="AO36" s="35"/>
      <c r="AP36" s="35" t="str">
        <f ca="1">IFERROR(+IF(AP$24=#REF!,Milestone_Marker,IF(AND(AP$24&gt;#REF!,AP$24&lt;#REF!+#REF!),#REF!,"")),"")</f>
        <v/>
      </c>
      <c r="AQ36" s="35" t="str">
        <f ca="1">IFERROR(+IF(AQ$24=#REF!,Milestone_Marker,IF(AND(AQ$24&gt;#REF!,AQ$24&lt;#REF!+#REF!),#REF!,"")),"")</f>
        <v/>
      </c>
      <c r="AR36" s="35" t="str">
        <f ca="1">IFERROR(+IF(AR$24=#REF!,Milestone_Marker,IF(AND(AR$24&gt;#REF!,AR$24&lt;#REF!+#REF!),#REF!,"")),"")</f>
        <v/>
      </c>
      <c r="AS36" s="35" t="str">
        <f ca="1">IFERROR(+IF(AS$24=#REF!,Milestone_Marker,IF(AND(AS$24&gt;#REF!,AS$24&lt;#REF!+#REF!),#REF!,"")),"")</f>
        <v/>
      </c>
      <c r="AT36" s="35" t="str">
        <f ca="1">IFERROR(+IF(AT$24=#REF!,Milestone_Marker,IF(AND(AT$24&gt;#REF!,AT$24&lt;#REF!+#REF!),#REF!,"")),"")</f>
        <v/>
      </c>
      <c r="AU36" s="35" t="str">
        <f ca="1">IFERROR(+IF(AU$24=#REF!,Milestone_Marker,IF(AND(AU$24&gt;#REF!,AU$24&lt;#REF!+#REF!),#REF!,"")),"")</f>
        <v/>
      </c>
      <c r="AV36" s="35" t="str">
        <f ca="1">IFERROR(+IF(AV$24=#REF!,Milestone_Marker,IF(AND(AV$24&gt;#REF!,AV$24&lt;#REF!+#REF!),#REF!,"")),"")</f>
        <v/>
      </c>
      <c r="AW36" s="35" t="str">
        <f ca="1">IFERROR(+IF(AW$24=#REF!,Milestone_Marker,IF(AND(AW$24&gt;#REF!,AW$24&lt;#REF!+#REF!),#REF!,"")),"")</f>
        <v/>
      </c>
      <c r="AX36" s="35" t="str">
        <f ca="1">IFERROR(+IF(AX$24=#REF!,Milestone_Marker,IF(AND(AX$24&gt;#REF!,AX$24&lt;#REF!+#REF!),#REF!,"")),"")</f>
        <v/>
      </c>
      <c r="AY36" s="35" t="str">
        <f ca="1">IFERROR(+IF(AY$24=#REF!,Milestone_Marker,IF(AND(AY$24&gt;#REF!,AY$24&lt;#REF!+#REF!),#REF!,"")),"")</f>
        <v/>
      </c>
      <c r="AZ36" s="35" t="str">
        <f ca="1">IFERROR(+IF(AZ$24=#REF!,Milestone_Marker,IF(AND(AZ$24&gt;#REF!,AZ$24&lt;#REF!+#REF!),#REF!,"")),"")</f>
        <v/>
      </c>
      <c r="BA36" s="35" t="str">
        <f ca="1">IFERROR(+IF(BA$24=#REF!,Milestone_Marker,IF(AND(BA$24&gt;#REF!,BA$24&lt;#REF!+#REF!),#REF!,"")),"")</f>
        <v/>
      </c>
      <c r="BB36" s="35" t="str">
        <f ca="1">IFERROR(+IF(BB$24=#REF!,Milestone_Marker,IF(AND(BB$24&gt;#REF!,BB$24&lt;#REF!+#REF!),#REF!,"")),"")</f>
        <v/>
      </c>
      <c r="BC36" s="35" t="str">
        <f ca="1">IFERROR(+IF(BC$24=#REF!,Milestone_Marker,IF(AND(BC$24&gt;#REF!,BC$24&lt;#REF!+#REF!),#REF!,"")),"")</f>
        <v/>
      </c>
      <c r="BD36" s="35" t="str">
        <f ca="1">IFERROR(+IF(BD$24=#REF!,Milestone_Marker,IF(AND(BD$24&gt;#REF!,BD$24&lt;#REF!+#REF!),#REF!,"")),"")</f>
        <v/>
      </c>
      <c r="BE36" s="35" t="str">
        <f ca="1">IFERROR(+IF(BE$24=#REF!,Milestone_Marker,IF(AND(BE$24&gt;#REF!,BE$24&lt;#REF!+#REF!),#REF!,"")),"")</f>
        <v/>
      </c>
      <c r="BF36" s="35" t="str">
        <f ca="1">IFERROR(+IF(BF$24=#REF!,Milestone_Marker,IF(AND(BF$24&gt;#REF!,BF$24&lt;#REF!+#REF!),#REF!,"")),"")</f>
        <v/>
      </c>
      <c r="BG36" s="35" t="str">
        <f ca="1">IFERROR(+IF(BG$24=#REF!,Milestone_Marker,IF(AND(BG$24&gt;#REF!,BG$24&lt;#REF!+#REF!),#REF!,"")),"")</f>
        <v/>
      </c>
      <c r="BH36" s="35" t="str">
        <f ca="1">IFERROR(+IF(BH$24=#REF!,Milestone_Marker,IF(AND(BH$24&gt;#REF!,BH$24&lt;#REF!+#REF!),#REF!,"")),"")</f>
        <v/>
      </c>
      <c r="BI36" s="35" t="str">
        <f ca="1">IFERROR(+IF(BI$24=#REF!,Milestone_Marker,IF(AND(BI$24&gt;#REF!,BI$24&lt;#REF!+#REF!),#REF!,"")),"")</f>
        <v/>
      </c>
      <c r="BJ36" s="35" t="str">
        <f ca="1">IFERROR(+IF(BJ$24=#REF!,Milestone_Marker,IF(AND(BJ$24&gt;#REF!,BJ$24&lt;#REF!+#REF!),#REF!,"")),"")</f>
        <v/>
      </c>
      <c r="BK36" s="35" t="str">
        <f ca="1">IFERROR(+IF(BK$24=#REF!,Milestone_Marker,IF(AND(BK$24&gt;#REF!,BK$24&lt;#REF!+#REF!),#REF!,"")),"")</f>
        <v/>
      </c>
      <c r="BL36" s="35" t="str">
        <f ca="1">IFERROR(+IF(BL$24=#REF!,Milestone_Marker,IF(AND(BL$24&gt;#REF!,BL$24&lt;#REF!+#REF!),#REF!,"")),"")</f>
        <v/>
      </c>
      <c r="BM36" s="35" t="str">
        <f ca="1">IFERROR(+IF(BM$24=#REF!,Milestone_Marker,IF(AND(BM$24&gt;#REF!,BM$24&lt;#REF!+#REF!),#REF!,"")),"")</f>
        <v/>
      </c>
      <c r="BN36" s="35" t="str">
        <f ca="1">IFERROR(+IF(BN$24=#REF!,Milestone_Marker,IF(AND(BN$24&gt;#REF!,BN$24&lt;#REF!+#REF!),#REF!,"")),"")</f>
        <v/>
      </c>
      <c r="BO36" s="35" t="str">
        <f ca="1">IFERROR(+IF(BO$24=#REF!,Milestone_Marker,IF(AND(BO$24&gt;#REF!,BO$24&lt;#REF!+#REF!),#REF!,"")),"")</f>
        <v/>
      </c>
      <c r="BP36" s="35" t="str">
        <f ca="1">IFERROR(+IF(BP$24=#REF!,Milestone_Marker,IF(AND(BP$24&gt;#REF!,BP$24&lt;#REF!+#REF!),#REF!,"")),"")</f>
        <v/>
      </c>
      <c r="BQ36" s="35" t="str">
        <f ca="1">IFERROR(+IF(BQ$24=#REF!,Milestone_Marker,IF(AND(BQ$24&gt;#REF!,BQ$24&lt;#REF!+#REF!),#REF!,"")),"")</f>
        <v/>
      </c>
      <c r="BR36" s="35" t="str">
        <f ca="1">IFERROR(+IF(BR$24=#REF!,Milestone_Marker,IF(AND(BR$24&gt;#REF!,BR$24&lt;#REF!+#REF!),#REF!,"")),"")</f>
        <v/>
      </c>
      <c r="BS36" s="35" t="str">
        <f ca="1">IFERROR(+IF(BS$24=#REF!,Milestone_Marker,IF(AND(BS$24&gt;#REF!,BS$24&lt;#REF!+#REF!),#REF!,"")),"")</f>
        <v/>
      </c>
      <c r="BT36" s="35" t="str">
        <f ca="1">IFERROR(+IF(BT$24=#REF!,Milestone_Marker,IF(AND(BT$24&gt;#REF!,BT$24&lt;#REF!+#REF!),#REF!,"")),"")</f>
        <v/>
      </c>
      <c r="BU36" s="35" t="str">
        <f ca="1">IFERROR(+IF(BU$24=#REF!,Milestone_Marker,IF(AND(BU$24&gt;#REF!,BU$24&lt;#REF!+#REF!),#REF!,"")),"")</f>
        <v/>
      </c>
      <c r="BV36" s="35" t="str">
        <f ca="1">IFERROR(+IF(BV$24=#REF!,Milestone_Marker,IF(AND(BV$24&gt;#REF!,BV$24&lt;#REF!+#REF!),#REF!,"")),"")</f>
        <v/>
      </c>
      <c r="BW36" s="35" t="str">
        <f ca="1">IFERROR(+IF(BW$24=#REF!,Milestone_Marker,IF(AND(BW$24&gt;#REF!,BW$24&lt;#REF!+#REF!),#REF!,"")),"")</f>
        <v/>
      </c>
      <c r="BX36" s="35" t="str">
        <f ca="1">IFERROR(+IF(BX$24=#REF!,Milestone_Marker,IF(AND(BX$24&gt;#REF!,BX$24&lt;#REF!+#REF!),#REF!,"")),"")</f>
        <v/>
      </c>
      <c r="BY36" s="35" t="str">
        <f ca="1">IFERROR(+IF(BY$24=#REF!,Milestone_Marker,IF(AND(BY$24&gt;#REF!,BY$24&lt;#REF!+#REF!),#REF!,"")),"")</f>
        <v/>
      </c>
      <c r="BZ36" s="35" t="str">
        <f ca="1">IFERROR(+IF(BZ$24=#REF!,Milestone_Marker,IF(AND(BZ$24&gt;#REF!,BZ$24&lt;#REF!+#REF!),#REF!,"")),"")</f>
        <v/>
      </c>
      <c r="CA36" s="35" t="str">
        <f ca="1">IFERROR(+IF(CA$24=#REF!,Milestone_Marker,IF(AND(CA$24&gt;#REF!,CA$24&lt;#REF!+#REF!),#REF!,"")),"")</f>
        <v/>
      </c>
      <c r="CB36" s="35" t="str">
        <f ca="1">IFERROR(+IF(CB$24=#REF!,Milestone_Marker,IF(AND(CB$24&gt;#REF!,CB$24&lt;#REF!+#REF!),#REF!,"")),"")</f>
        <v/>
      </c>
      <c r="CC36" s="35" t="str">
        <f ca="1">IFERROR(+IF(CC$24=#REF!,Milestone_Marker,IF(AND(CC$24&gt;#REF!,CC$24&lt;#REF!+#REF!),#REF!,"")),"")</f>
        <v/>
      </c>
      <c r="CD36" s="35" t="str">
        <f ca="1">IFERROR(+IF(CD$24=#REF!,Milestone_Marker,IF(AND(CD$24&gt;#REF!,CD$24&lt;#REF!+#REF!),#REF!,"")),"")</f>
        <v/>
      </c>
      <c r="CE36" s="35" t="str">
        <f ca="1">IFERROR(+IF(CE$24=#REF!,Milestone_Marker,IF(AND(CE$24&gt;#REF!,CE$24&lt;#REF!+#REF!),#REF!,"")),"")</f>
        <v/>
      </c>
      <c r="CF36" s="35" t="str">
        <f ca="1">IFERROR(+IF(CF$24=#REF!,Milestone_Marker,IF(AND(CF$24&gt;#REF!,CF$24&lt;#REF!+#REF!),#REF!,"")),"")</f>
        <v/>
      </c>
      <c r="CG36" s="35" t="str">
        <f ca="1">IFERROR(+IF(CG$24=#REF!,Milestone_Marker,IF(AND(CG$24&gt;#REF!,CG$24&lt;#REF!+#REF!),#REF!,"")),"")</f>
        <v/>
      </c>
      <c r="CH36" s="35" t="str">
        <f ca="1">IFERROR(+IF(CH$24=#REF!,Milestone_Marker,IF(AND(CH$24&gt;#REF!,CH$24&lt;#REF!+#REF!),#REF!,"")),"")</f>
        <v/>
      </c>
      <c r="CI36" s="35" t="str">
        <f ca="1">IFERROR(+IF(CI$24=#REF!,Milestone_Marker,IF(AND(CI$24&gt;#REF!,CI$24&lt;#REF!+#REF!),#REF!,"")),"")</f>
        <v/>
      </c>
      <c r="CJ36" s="35" t="str">
        <f ca="1">IFERROR(+IF(CJ$24=#REF!,Milestone_Marker,IF(AND(CJ$24&gt;#REF!,CJ$24&lt;#REF!+#REF!),#REF!,"")),"")</f>
        <v/>
      </c>
      <c r="CK36" s="35" t="str">
        <f ca="1">IFERROR(+IF(CK$24=#REF!,Milestone_Marker,IF(AND(CK$24&gt;#REF!,CK$24&lt;#REF!+#REF!),#REF!,"")),"")</f>
        <v/>
      </c>
      <c r="CL36" s="35" t="str">
        <f ca="1">IFERROR(+IF(CL$24=#REF!,Milestone_Marker,IF(AND(CL$24&gt;#REF!,CL$24&lt;#REF!+#REF!),#REF!,"")),"")</f>
        <v/>
      </c>
      <c r="CM36" s="35" t="str">
        <f ca="1">IFERROR(+IF(CM$24=#REF!,Milestone_Marker,IF(AND(CM$24&gt;#REF!,CM$24&lt;#REF!+#REF!),#REF!,"")),"")</f>
        <v/>
      </c>
      <c r="CN36" s="35" t="str">
        <f ca="1">IFERROR(+IF(CN$24=#REF!,Milestone_Marker,IF(AND(CN$24&gt;#REF!,CN$24&lt;#REF!+#REF!),#REF!,"")),"")</f>
        <v/>
      </c>
      <c r="CO36" s="35" t="str">
        <f ca="1">IFERROR(+IF(CO$24=#REF!,Milestone_Marker,IF(AND(CO$24&gt;#REF!,CO$24&lt;#REF!+#REF!),#REF!,"")),"")</f>
        <v/>
      </c>
      <c r="CP36" s="35" t="str">
        <f ca="1">IFERROR(+IF(CP$24=#REF!,Milestone_Marker,IF(AND(CP$24&gt;#REF!,CP$24&lt;#REF!+#REF!),#REF!,"")),"")</f>
        <v/>
      </c>
      <c r="CQ36" s="35" t="str">
        <f ca="1">IFERROR(+IF(CQ$24=#REF!,Milestone_Marker,IF(AND(CQ$24&gt;#REF!,CQ$24&lt;#REF!+#REF!),#REF!,"")),"")</f>
        <v/>
      </c>
      <c r="CR36" s="35" t="str">
        <f ca="1">IFERROR(+IF(CR$24=#REF!,Milestone_Marker,IF(AND(CR$24&gt;#REF!,CR$24&lt;#REF!+#REF!),#REF!,"")),"")</f>
        <v/>
      </c>
      <c r="CS36" s="35" t="str">
        <f ca="1">IFERROR(+IF(CS$24=#REF!,Milestone_Marker,IF(AND(CS$24&gt;#REF!,CS$24&lt;#REF!+#REF!),#REF!,"")),"")</f>
        <v/>
      </c>
      <c r="CT36" s="35" t="str">
        <f ca="1">IFERROR(+IF(CT$24=#REF!,Milestone_Marker,IF(AND(CT$24&gt;#REF!,CT$24&lt;#REF!+#REF!),#REF!,"")),"")</f>
        <v/>
      </c>
      <c r="CU36" s="35" t="str">
        <f ca="1">IFERROR(+IF(CU$24=#REF!,Milestone_Marker,IF(AND(CU$24&gt;#REF!,CU$24&lt;#REF!+#REF!),#REF!,"")),"")</f>
        <v/>
      </c>
      <c r="CV36" s="35" t="str">
        <f ca="1">IFERROR(+IF(CV$24=#REF!,Milestone_Marker,IF(AND(CV$24&gt;#REF!,CV$24&lt;#REF!+#REF!),#REF!,"")),"")</f>
        <v/>
      </c>
      <c r="CW36" s="35" t="str">
        <f ca="1">IFERROR(+IF(CW$24=#REF!,Milestone_Marker,IF(AND(CW$24&gt;#REF!,CW$24&lt;#REF!+#REF!),#REF!,"")),"")</f>
        <v/>
      </c>
      <c r="CX36" s="35" t="str">
        <f ca="1">IFERROR(+IF(CX$24=#REF!,Milestone_Marker,IF(AND(CX$24&gt;#REF!,CX$24&lt;#REF!+#REF!),#REF!,"")),"")</f>
        <v/>
      </c>
      <c r="CY36" s="35" t="str">
        <f ca="1">IFERROR(+IF(CY$24=#REF!,Milestone_Marker,IF(AND(CY$24&gt;#REF!,CY$24&lt;#REF!+#REF!),#REF!,"")),"")</f>
        <v/>
      </c>
      <c r="CZ36" s="35" t="str">
        <f ca="1">IFERROR(+IF(CZ$24=#REF!,Milestone_Marker,IF(AND(CZ$24&gt;#REF!,CZ$24&lt;#REF!+#REF!),#REF!,"")),"")</f>
        <v/>
      </c>
      <c r="DA36" s="35" t="str">
        <f ca="1">IFERROR(+IF(DA$24=#REF!,Milestone_Marker,IF(AND(DA$24&gt;#REF!,DA$24&lt;#REF!+#REF!),#REF!,"")),"")</f>
        <v/>
      </c>
      <c r="DB36" s="35" t="str">
        <f ca="1">IFERROR(+IF(DB$24=#REF!,Milestone_Marker,IF(AND(DB$24&gt;#REF!,DB$24&lt;#REF!+#REF!),#REF!,"")),"")</f>
        <v/>
      </c>
      <c r="DC36" s="35" t="str">
        <f ca="1">IFERROR(+IF(DC$24=#REF!,Milestone_Marker,IF(AND(DC$24&gt;#REF!,DC$24&lt;#REF!+#REF!),#REF!,"")),"")</f>
        <v/>
      </c>
      <c r="DD36" s="35" t="str">
        <f ca="1">IFERROR(+IF(DD$24=#REF!,Milestone_Marker,IF(AND(DD$24&gt;#REF!,DD$24&lt;#REF!+#REF!),#REF!,"")),"")</f>
        <v/>
      </c>
      <c r="DE36" s="35" t="str">
        <f ca="1">IFERROR(+IF(DE$24=#REF!,Milestone_Marker,IF(AND(DE$24&gt;#REF!,DE$24&lt;#REF!+#REF!),#REF!,"")),"")</f>
        <v/>
      </c>
      <c r="DF36" s="35"/>
      <c r="DG36" s="35"/>
      <c r="DH36" s="35"/>
      <c r="DI36" s="35"/>
      <c r="DJ36" s="35"/>
      <c r="DK36" s="35"/>
      <c r="DL36" s="35"/>
      <c r="DM36" s="35"/>
      <c r="DN36" s="35"/>
      <c r="DO36" s="35"/>
      <c r="DP36" s="35"/>
      <c r="DQ36" s="35"/>
      <c r="DR36" s="35"/>
      <c r="DS36" s="35"/>
      <c r="DT36" s="35"/>
      <c r="DU36" s="35"/>
      <c r="DV36" s="35"/>
      <c r="DW36" s="35"/>
      <c r="DX36" s="35"/>
      <c r="DY36" s="35"/>
      <c r="DZ36" s="35"/>
      <c r="EA36" s="35"/>
      <c r="EB36" s="35"/>
      <c r="EC36" s="35"/>
      <c r="ED36" s="35"/>
      <c r="EE36" s="35"/>
    </row>
    <row r="37" spans="1:135" s="40" customFormat="1" ht="15">
      <c r="A37" t="s">
        <v>552</v>
      </c>
      <c r="B37" t="s">
        <v>523</v>
      </c>
      <c r="C37" t="s">
        <v>712</v>
      </c>
      <c r="D37" s="458" t="s">
        <v>1491</v>
      </c>
      <c r="E37" s="458">
        <v>1</v>
      </c>
      <c r="F37">
        <v>312.5</v>
      </c>
      <c r="G37">
        <v>312.5</v>
      </c>
      <c r="H37">
        <v>151</v>
      </c>
      <c r="I37"/>
      <c r="J37">
        <v>126</v>
      </c>
      <c r="K37" s="107"/>
      <c r="L37" s="463">
        <v>126</v>
      </c>
      <c r="M37" s="176">
        <v>1</v>
      </c>
      <c r="N37" s="160">
        <v>0</v>
      </c>
      <c r="O37" s="546" cm="1">
        <f t="array" ref="O3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45958</v>
      </c>
      <c r="P37" s="566" t="s">
        <v>797</v>
      </c>
      <c r="Q37" s="566">
        <v>0</v>
      </c>
      <c r="R37" s="22"/>
      <c r="S37" s="463" cm="1">
        <f t="array" ref="S3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7">
        <v>1</v>
      </c>
      <c r="U37" s="176"/>
      <c r="V3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15.020899999999999</v>
      </c>
      <c r="W37" s="497"/>
      <c r="X37" s="176" t="s">
        <v>852</v>
      </c>
      <c r="Y37" s="548" t="s">
        <v>855</v>
      </c>
      <c r="Z37" s="160" t="s">
        <v>458</v>
      </c>
      <c r="AA37" s="563"/>
      <c r="AB37" cm="1">
        <f t="array" ref="AB37">ROW()-ROW(Contract_Edits[#Headers])</f>
        <v>13</v>
      </c>
      <c r="AC37">
        <f>IF(Contract_Edits[[#This Row],[RowPos]]&gt;1, Contract_Edits[[#This Row],[RowPos]]-1, 0)</f>
        <v>12</v>
      </c>
      <c r="AD37" s="35">
        <f>IF(N(Contract_Edits[[#This Row],[Dep]])=0, N(Contract_Edits[[#This Row],[Index]]), N(Contract_Edits[[#This Row],[Dep]]))</f>
        <v>151</v>
      </c>
      <c r="AE37" s="35" cm="1">
        <f t="array" ref="AE37">IF(OR(Contract_Edits[[#This Row],[Dep]]=0, TRIM(Contract_Edits[[#This Row],[Dep]])=""),
   0,
   IFERROR(
      _xlfn.XLOOKUP(1, (Contract_Edits[Dep]=Contract_Edits[[#This Row],[Dep]])*(Contract_Edits[RowPos]&lt;Contract_Edits[[#This Row],[RowPos]]), Contract_Edits[RowPos], , 0, -1),
      0
   )
)</f>
        <v>12</v>
      </c>
      <c r="AF37" s="35">
        <f>IF(OR(Contract_Edits[[#This Row],[Dep]]=0,Contract_Edits[[#This Row],[Dep]]=""),0,
   COUNTIFS(Contract_Edits[Dep],Contract_Edits[[#This Row],[Dep]],Contract_Edits[RowPos],"&lt;="&amp;Contract_Edits[[#This Row],[RowPos]],Contract_Edits[Approve],"Yes")
)</f>
        <v>9</v>
      </c>
      <c r="AG37" s="517">
        <f>--(
  ISNUMBER(SEARCH("BASE PARENT", UPPER(CLEAN(TRIM(_xlfn.XLOOKUP(TEXT(Contract_Edits[[#This Row],[Index]],"0"), baseIdxTxt, baseCost, "")))))) +
  ISNUMBER(SEARCH("DEPENDENCY GROUP", UPPER(CLEAN(TRIM(_xlfn.XLOOKUP(TEXT(Contract_Edits[[#This Row],[Index]],"0"), baseIdxTxt, baseCost, ""))))))
)</f>
        <v>0</v>
      </c>
      <c r="AH37" s="517" t="str" cm="1">
        <f t="array" ref="AH37">IF(Contract_Edits[[#This Row],[BaseFlag]]=1,
   10*BaseDepthL(TEXT(Contract_Edits[[#This Row],[Index]],"0"),500,editsIdxTxt,editsParentKeyTxt,baseIdxTxt,baseCost)-5,
   ""
)</f>
        <v/>
      </c>
      <c r="AI37" s="517" cm="1">
        <f t="array" ref="AI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7" s="517" t="str">
        <f>IF(Contract_Edits[[#This Row],[Dep]]=0,"Root",
   IF(ISNUMBER(MATCH(Contract_Edits[[#This Row],[Dep]],Contract_Edits[Index],0)),"OK","Missing")
)</f>
        <v>OK</v>
      </c>
      <c r="AK37" s="517" t="str">
        <f>IF(AND(Contract_Edits[[#This Row],[Dep]]&lt;&gt;0,
        ISNUMBER(MATCH(Contract_Edits[[#This Row],[Dep]], Contract_Edits[Index], 0)),
        INDEX(Contract_Edits[Dep], MATCH(Contract_Edits[[#This Row],[Dep]], Contract_Edits[Index], 0))=Contract_Edits[[#This Row],[Index]]),
   "2-cycle","")</f>
        <v/>
      </c>
      <c r="AL37" s="517" cm="1">
        <f t="array" ref="AL37">IF(Contract_Edits[[#This Row],[BaseFlag]]&lt;&gt;1,0,
   IF(TEXT(Contract_Edits[[#This Row],[Dep]],"0")=TEXT(Contract_Edits[[#This Row],[Index]],"0"),
      0,
      MAX(0, SUMPRODUCT(--(Contract_Edits[BaseFlag]=1),
                        --(TEXT(Contract_Edits[Dep],"0")=TEXT(Contract_Edits[[#This Row],[Dep]],"0"))) - 1)
   )
)</f>
        <v>0</v>
      </c>
      <c r="AM37" s="517" t="str" cm="1">
        <f t="array" ref="AM37">IF(Contract_Edits[[#This Row],[BaseFlag]]=1,
   TEXT(Contract_Edits[[#This Row],[Index]],"0"),
   NearestBaseL(TEXT(Contract_Edits[[#This Row],[ParentKey]],"0"),500,editsIdxTxt,editsParentKeyTxt,baseIdxTxt,baseCost)
)</f>
        <v>151</v>
      </c>
      <c r="AN37" s="517" cm="1">
        <f t="array" ref="AN37">1+SUMPRODUCT(
  (Contract_Edits[BaseFlag]=1)*
  (TEXT(Contract_Edits[ParentAnchor],"0")=TEXT(Contract_Edits[[#This Row],[ParentAnchor]],"0"))*
  (VALUE(TEXT(Contract_Edits[Index],"0"))&lt;VALUE(TEXT(Contract_Edits[[#This Row],[Index]],"0")))
)</f>
        <v>1</v>
      </c>
      <c r="AO37" s="35"/>
      <c r="AP37" s="35" t="str">
        <f ca="1">IFERROR(+IF(AP$24=#REF!,Milestone_Marker,IF(AND(AP$24&gt;#REF!,AP$24&lt;#REF!+#REF!),#REF!,"")),"")</f>
        <v/>
      </c>
      <c r="AQ37" s="35" t="str">
        <f ca="1">IFERROR(+IF(AQ$24=#REF!,Milestone_Marker,IF(AND(AQ$24&gt;#REF!,AQ$24&lt;#REF!+#REF!),#REF!,"")),"")</f>
        <v/>
      </c>
      <c r="AR37" s="35" t="str">
        <f ca="1">IFERROR(+IF(AR$24=#REF!,Milestone_Marker,IF(AND(AR$24&gt;#REF!,AR$24&lt;#REF!+#REF!),#REF!,"")),"")</f>
        <v/>
      </c>
      <c r="AS37" s="35" t="str">
        <f ca="1">IFERROR(+IF(AS$24=#REF!,Milestone_Marker,IF(AND(AS$24&gt;#REF!,AS$24&lt;#REF!+#REF!),#REF!,"")),"")</f>
        <v/>
      </c>
      <c r="AT37" s="35" t="str">
        <f ca="1">IFERROR(+IF(AT$24=#REF!,Milestone_Marker,IF(AND(AT$24&gt;#REF!,AT$24&lt;#REF!+#REF!),#REF!,"")),"")</f>
        <v/>
      </c>
      <c r="AU37" s="35" t="str">
        <f ca="1">IFERROR(+IF(AU$24=#REF!,Milestone_Marker,IF(AND(AU$24&gt;#REF!,AU$24&lt;#REF!+#REF!),#REF!,"")),"")</f>
        <v/>
      </c>
      <c r="AV37" s="35" t="str">
        <f ca="1">IFERROR(+IF(AV$24=#REF!,Milestone_Marker,IF(AND(AV$24&gt;#REF!,AV$24&lt;#REF!+#REF!),#REF!,"")),"")</f>
        <v/>
      </c>
      <c r="AW37" s="35" t="str">
        <f ca="1">IFERROR(+IF(AW$24=#REF!,Milestone_Marker,IF(AND(AW$24&gt;#REF!,AW$24&lt;#REF!+#REF!),#REF!,"")),"")</f>
        <v/>
      </c>
      <c r="AX37" s="35" t="str">
        <f ca="1">IFERROR(+IF(AX$24=#REF!,Milestone_Marker,IF(AND(AX$24&gt;#REF!,AX$24&lt;#REF!+#REF!),#REF!,"")),"")</f>
        <v/>
      </c>
      <c r="AY37" s="35" t="str">
        <f ca="1">IFERROR(+IF(AY$24=#REF!,Milestone_Marker,IF(AND(AY$24&gt;#REF!,AY$24&lt;#REF!+#REF!),#REF!,"")),"")</f>
        <v/>
      </c>
      <c r="AZ37" s="35" t="str">
        <f ca="1">IFERROR(+IF(AZ$24=#REF!,Milestone_Marker,IF(AND(AZ$24&gt;#REF!,AZ$24&lt;#REF!+#REF!),#REF!,"")),"")</f>
        <v/>
      </c>
      <c r="BA37" s="35" t="str">
        <f ca="1">IFERROR(+IF(BA$24=#REF!,Milestone_Marker,IF(AND(BA$24&gt;#REF!,BA$24&lt;#REF!+#REF!),#REF!,"")),"")</f>
        <v/>
      </c>
      <c r="BB37" s="35" t="str">
        <f ca="1">IFERROR(+IF(BB$24=#REF!,Milestone_Marker,IF(AND(BB$24&gt;#REF!,BB$24&lt;#REF!+#REF!),#REF!,"")),"")</f>
        <v/>
      </c>
      <c r="BC37" s="35" t="str">
        <f ca="1">IFERROR(+IF(BC$24=#REF!,Milestone_Marker,IF(AND(BC$24&gt;#REF!,BC$24&lt;#REF!+#REF!),#REF!,"")),"")</f>
        <v/>
      </c>
      <c r="BD37" s="35" t="str">
        <f ca="1">IFERROR(+IF(BD$24=#REF!,Milestone_Marker,IF(AND(BD$24&gt;#REF!,BD$24&lt;#REF!+#REF!),#REF!,"")),"")</f>
        <v/>
      </c>
      <c r="BE37" s="35" t="str">
        <f ca="1">IFERROR(+IF(BE$24=#REF!,Milestone_Marker,IF(AND(BE$24&gt;#REF!,BE$24&lt;#REF!+#REF!),#REF!,"")),"")</f>
        <v/>
      </c>
      <c r="BF37" s="35" t="str">
        <f ca="1">IFERROR(+IF(BF$24=#REF!,Milestone_Marker,IF(AND(BF$24&gt;#REF!,BF$24&lt;#REF!+#REF!),#REF!,"")),"")</f>
        <v/>
      </c>
      <c r="BG37" s="35" t="str">
        <f ca="1">IFERROR(+IF(BG$24=#REF!,Milestone_Marker,IF(AND(BG$24&gt;#REF!,BG$24&lt;#REF!+#REF!),#REF!,"")),"")</f>
        <v/>
      </c>
      <c r="BH37" s="35" t="str">
        <f ca="1">IFERROR(+IF(BH$24=#REF!,Milestone_Marker,IF(AND(BH$24&gt;#REF!,BH$24&lt;#REF!+#REF!),#REF!,"")),"")</f>
        <v/>
      </c>
      <c r="BI37" s="35" t="str">
        <f ca="1">IFERROR(+IF(BI$24=#REF!,Milestone_Marker,IF(AND(BI$24&gt;#REF!,BI$24&lt;#REF!+#REF!),#REF!,"")),"")</f>
        <v/>
      </c>
      <c r="BJ37" s="35" t="str">
        <f ca="1">IFERROR(+IF(BJ$24=#REF!,Milestone_Marker,IF(AND(BJ$24&gt;#REF!,BJ$24&lt;#REF!+#REF!),#REF!,"")),"")</f>
        <v/>
      </c>
      <c r="BK37" s="35" t="str">
        <f ca="1">IFERROR(+IF(BK$24=#REF!,Milestone_Marker,IF(AND(BK$24&gt;#REF!,BK$24&lt;#REF!+#REF!),#REF!,"")),"")</f>
        <v/>
      </c>
      <c r="BL37" s="35" t="str">
        <f ca="1">IFERROR(+IF(BL$24=#REF!,Milestone_Marker,IF(AND(BL$24&gt;#REF!,BL$24&lt;#REF!+#REF!),#REF!,"")),"")</f>
        <v/>
      </c>
      <c r="BM37" s="35" t="str">
        <f ca="1">IFERROR(+IF(BM$24=#REF!,Milestone_Marker,IF(AND(BM$24&gt;#REF!,BM$24&lt;#REF!+#REF!),#REF!,"")),"")</f>
        <v/>
      </c>
      <c r="BN37" s="35" t="str">
        <f ca="1">IFERROR(+IF(BN$24=#REF!,Milestone_Marker,IF(AND(BN$24&gt;#REF!,BN$24&lt;#REF!+#REF!),#REF!,"")),"")</f>
        <v/>
      </c>
      <c r="BO37" s="35" t="str">
        <f ca="1">IFERROR(+IF(BO$24=#REF!,Milestone_Marker,IF(AND(BO$24&gt;#REF!,BO$24&lt;#REF!+#REF!),#REF!,"")),"")</f>
        <v/>
      </c>
      <c r="BP37" s="35" t="str">
        <f ca="1">IFERROR(+IF(BP$24=#REF!,Milestone_Marker,IF(AND(BP$24&gt;#REF!,BP$24&lt;#REF!+#REF!),#REF!,"")),"")</f>
        <v/>
      </c>
      <c r="BQ37" s="35" t="str">
        <f ca="1">IFERROR(+IF(BQ$24=#REF!,Milestone_Marker,IF(AND(BQ$24&gt;#REF!,BQ$24&lt;#REF!+#REF!),#REF!,"")),"")</f>
        <v/>
      </c>
      <c r="BR37" s="35" t="str">
        <f ca="1">IFERROR(+IF(BR$24=#REF!,Milestone_Marker,IF(AND(BR$24&gt;#REF!,BR$24&lt;#REF!+#REF!),#REF!,"")),"")</f>
        <v/>
      </c>
      <c r="BS37" s="35" t="str">
        <f ca="1">IFERROR(+IF(BS$24=#REF!,Milestone_Marker,IF(AND(BS$24&gt;#REF!,BS$24&lt;#REF!+#REF!),#REF!,"")),"")</f>
        <v/>
      </c>
      <c r="BT37" s="35" t="str">
        <f ca="1">IFERROR(+IF(BT$24=#REF!,Milestone_Marker,IF(AND(BT$24&gt;#REF!,BT$24&lt;#REF!+#REF!),#REF!,"")),"")</f>
        <v/>
      </c>
      <c r="BU37" s="35" t="str">
        <f ca="1">IFERROR(+IF(BU$24=#REF!,Milestone_Marker,IF(AND(BU$24&gt;#REF!,BU$24&lt;#REF!+#REF!),#REF!,"")),"")</f>
        <v/>
      </c>
      <c r="BV37" s="35" t="str">
        <f ca="1">IFERROR(+IF(BV$24=#REF!,Milestone_Marker,IF(AND(BV$24&gt;#REF!,BV$24&lt;#REF!+#REF!),#REF!,"")),"")</f>
        <v/>
      </c>
      <c r="BW37" s="35" t="str">
        <f ca="1">IFERROR(+IF(BW$24=#REF!,Milestone_Marker,IF(AND(BW$24&gt;#REF!,BW$24&lt;#REF!+#REF!),#REF!,"")),"")</f>
        <v/>
      </c>
      <c r="BX37" s="35" t="str">
        <f ca="1">IFERROR(+IF(BX$24=#REF!,Milestone_Marker,IF(AND(BX$24&gt;#REF!,BX$24&lt;#REF!+#REF!),#REF!,"")),"")</f>
        <v/>
      </c>
      <c r="BY37" s="35" t="str">
        <f ca="1">IFERROR(+IF(BY$24=#REF!,Milestone_Marker,IF(AND(BY$24&gt;#REF!,BY$24&lt;#REF!+#REF!),#REF!,"")),"")</f>
        <v/>
      </c>
      <c r="BZ37" s="35" t="str">
        <f ca="1">IFERROR(+IF(BZ$24=#REF!,Milestone_Marker,IF(AND(BZ$24&gt;#REF!,BZ$24&lt;#REF!+#REF!),#REF!,"")),"")</f>
        <v/>
      </c>
      <c r="CA37" s="35" t="str">
        <f ca="1">IFERROR(+IF(CA$24=#REF!,Milestone_Marker,IF(AND(CA$24&gt;#REF!,CA$24&lt;#REF!+#REF!),#REF!,"")),"")</f>
        <v/>
      </c>
      <c r="CB37" s="35" t="str">
        <f ca="1">IFERROR(+IF(CB$24=#REF!,Milestone_Marker,IF(AND(CB$24&gt;#REF!,CB$24&lt;#REF!+#REF!),#REF!,"")),"")</f>
        <v/>
      </c>
      <c r="CC37" s="35" t="str">
        <f ca="1">IFERROR(+IF(CC$24=#REF!,Milestone_Marker,IF(AND(CC$24&gt;#REF!,CC$24&lt;#REF!+#REF!),#REF!,"")),"")</f>
        <v/>
      </c>
      <c r="CD37" s="35" t="str">
        <f ca="1">IFERROR(+IF(CD$24=#REF!,Milestone_Marker,IF(AND(CD$24&gt;#REF!,CD$24&lt;#REF!+#REF!),#REF!,"")),"")</f>
        <v/>
      </c>
      <c r="CE37" s="35" t="str">
        <f ca="1">IFERROR(+IF(CE$24=#REF!,Milestone_Marker,IF(AND(CE$24&gt;#REF!,CE$24&lt;#REF!+#REF!),#REF!,"")),"")</f>
        <v/>
      </c>
      <c r="CF37" s="35" t="str">
        <f ca="1">IFERROR(+IF(CF$24=#REF!,Milestone_Marker,IF(AND(CF$24&gt;#REF!,CF$24&lt;#REF!+#REF!),#REF!,"")),"")</f>
        <v/>
      </c>
      <c r="CG37" s="35" t="str">
        <f ca="1">IFERROR(+IF(CG$24=#REF!,Milestone_Marker,IF(AND(CG$24&gt;#REF!,CG$24&lt;#REF!+#REF!),#REF!,"")),"")</f>
        <v/>
      </c>
      <c r="CH37" s="35" t="str">
        <f ca="1">IFERROR(+IF(CH$24=#REF!,Milestone_Marker,IF(AND(CH$24&gt;#REF!,CH$24&lt;#REF!+#REF!),#REF!,"")),"")</f>
        <v/>
      </c>
      <c r="CI37" s="35" t="str">
        <f ca="1">IFERROR(+IF(CI$24=#REF!,Milestone_Marker,IF(AND(CI$24&gt;#REF!,CI$24&lt;#REF!+#REF!),#REF!,"")),"")</f>
        <v/>
      </c>
      <c r="CJ37" s="35" t="str">
        <f ca="1">IFERROR(+IF(CJ$24=#REF!,Milestone_Marker,IF(AND(CJ$24&gt;#REF!,CJ$24&lt;#REF!+#REF!),#REF!,"")),"")</f>
        <v/>
      </c>
      <c r="CK37" s="35" t="str">
        <f ca="1">IFERROR(+IF(CK$24=#REF!,Milestone_Marker,IF(AND(CK$24&gt;#REF!,CK$24&lt;#REF!+#REF!),#REF!,"")),"")</f>
        <v/>
      </c>
      <c r="CL37" s="35" t="str">
        <f ca="1">IFERROR(+IF(CL$24=#REF!,Milestone_Marker,IF(AND(CL$24&gt;#REF!,CL$24&lt;#REF!+#REF!),#REF!,"")),"")</f>
        <v/>
      </c>
      <c r="CM37" s="35" t="str">
        <f ca="1">IFERROR(+IF(CM$24=#REF!,Milestone_Marker,IF(AND(CM$24&gt;#REF!,CM$24&lt;#REF!+#REF!),#REF!,"")),"")</f>
        <v/>
      </c>
      <c r="CN37" s="35" t="str">
        <f ca="1">IFERROR(+IF(CN$24=#REF!,Milestone_Marker,IF(AND(CN$24&gt;#REF!,CN$24&lt;#REF!+#REF!),#REF!,"")),"")</f>
        <v/>
      </c>
      <c r="CO37" s="35" t="str">
        <f ca="1">IFERROR(+IF(CO$24=#REF!,Milestone_Marker,IF(AND(CO$24&gt;#REF!,CO$24&lt;#REF!+#REF!),#REF!,"")),"")</f>
        <v/>
      </c>
      <c r="CP37" s="35" t="str">
        <f ca="1">IFERROR(+IF(CP$24=#REF!,Milestone_Marker,IF(AND(CP$24&gt;#REF!,CP$24&lt;#REF!+#REF!),#REF!,"")),"")</f>
        <v/>
      </c>
      <c r="CQ37" s="35" t="str">
        <f ca="1">IFERROR(+IF(CQ$24=#REF!,Milestone_Marker,IF(AND(CQ$24&gt;#REF!,CQ$24&lt;#REF!+#REF!),#REF!,"")),"")</f>
        <v/>
      </c>
      <c r="CR37" s="35" t="str">
        <f ca="1">IFERROR(+IF(CR$24=#REF!,Milestone_Marker,IF(AND(CR$24&gt;#REF!,CR$24&lt;#REF!+#REF!),#REF!,"")),"")</f>
        <v/>
      </c>
      <c r="CS37" s="35" t="str">
        <f ca="1">IFERROR(+IF(CS$24=#REF!,Milestone_Marker,IF(AND(CS$24&gt;#REF!,CS$24&lt;#REF!+#REF!),#REF!,"")),"")</f>
        <v/>
      </c>
      <c r="CT37" s="35" t="str">
        <f ca="1">IFERROR(+IF(CT$24=#REF!,Milestone_Marker,IF(AND(CT$24&gt;#REF!,CT$24&lt;#REF!+#REF!),#REF!,"")),"")</f>
        <v/>
      </c>
      <c r="CU37" s="35" t="str">
        <f ca="1">IFERROR(+IF(CU$24=#REF!,Milestone_Marker,IF(AND(CU$24&gt;#REF!,CU$24&lt;#REF!+#REF!),#REF!,"")),"")</f>
        <v/>
      </c>
      <c r="CV37" s="35" t="str">
        <f ca="1">IFERROR(+IF(CV$24=#REF!,Milestone_Marker,IF(AND(CV$24&gt;#REF!,CV$24&lt;#REF!+#REF!),#REF!,"")),"")</f>
        <v/>
      </c>
      <c r="CW37" s="35" t="str">
        <f ca="1">IFERROR(+IF(CW$24=#REF!,Milestone_Marker,IF(AND(CW$24&gt;#REF!,CW$24&lt;#REF!+#REF!),#REF!,"")),"")</f>
        <v/>
      </c>
      <c r="CX37" s="35" t="str">
        <f ca="1">IFERROR(+IF(CX$24=#REF!,Milestone_Marker,IF(AND(CX$24&gt;#REF!,CX$24&lt;#REF!+#REF!),#REF!,"")),"")</f>
        <v/>
      </c>
      <c r="CY37" s="35" t="str">
        <f ca="1">IFERROR(+IF(CY$24=#REF!,Milestone_Marker,IF(AND(CY$24&gt;#REF!,CY$24&lt;#REF!+#REF!),#REF!,"")),"")</f>
        <v/>
      </c>
      <c r="CZ37" s="35" t="str">
        <f ca="1">IFERROR(+IF(CZ$24=#REF!,Milestone_Marker,IF(AND(CZ$24&gt;#REF!,CZ$24&lt;#REF!+#REF!),#REF!,"")),"")</f>
        <v/>
      </c>
      <c r="DA37" s="35" t="str">
        <f ca="1">IFERROR(+IF(DA$24=#REF!,Milestone_Marker,IF(AND(DA$24&gt;#REF!,DA$24&lt;#REF!+#REF!),#REF!,"")),"")</f>
        <v/>
      </c>
      <c r="DB37" s="35" t="str">
        <f ca="1">IFERROR(+IF(DB$24=#REF!,Milestone_Marker,IF(AND(DB$24&gt;#REF!,DB$24&lt;#REF!+#REF!),#REF!,"")),"")</f>
        <v/>
      </c>
      <c r="DC37" s="35" t="str">
        <f ca="1">IFERROR(+IF(DC$24=#REF!,Milestone_Marker,IF(AND(DC$24&gt;#REF!,DC$24&lt;#REF!+#REF!),#REF!,"")),"")</f>
        <v/>
      </c>
      <c r="DD37" s="35" t="str">
        <f ca="1">IFERROR(+IF(DD$24=#REF!,Milestone_Marker,IF(AND(DD$24&gt;#REF!,DD$24&lt;#REF!+#REF!),#REF!,"")),"")</f>
        <v/>
      </c>
      <c r="DE37" s="35" t="str">
        <f ca="1">IFERROR(+IF(DE$24=#REF!,Milestone_Marker,IF(AND(DE$24&gt;#REF!,DE$24&lt;#REF!+#REF!),#REF!,"")),"")</f>
        <v/>
      </c>
      <c r="DF37" s="35"/>
      <c r="DG37" s="35"/>
      <c r="DH37" s="35"/>
      <c r="DI37" s="35"/>
      <c r="DJ37" s="35"/>
      <c r="DK37" s="35"/>
      <c r="DL37" s="35"/>
      <c r="DM37" s="35"/>
      <c r="DN37" s="35"/>
      <c r="DO37" s="35"/>
      <c r="DP37" s="35"/>
      <c r="DQ37" s="35"/>
      <c r="DR37" s="35"/>
      <c r="DS37" s="35"/>
      <c r="DT37" s="35"/>
      <c r="DU37" s="35"/>
      <c r="DV37" s="35"/>
      <c r="DW37" s="35"/>
      <c r="DX37" s="35"/>
      <c r="DY37" s="35"/>
      <c r="DZ37" s="35"/>
      <c r="EA37" s="35"/>
      <c r="EB37" s="35"/>
      <c r="EC37" s="35"/>
      <c r="ED37" s="35"/>
      <c r="EE37" s="35"/>
    </row>
    <row r="38" spans="1:135" s="40" customFormat="1" ht="15">
      <c r="A38" t="s">
        <v>552</v>
      </c>
      <c r="B38" t="s">
        <v>793</v>
      </c>
      <c r="C38" t="s">
        <v>560</v>
      </c>
      <c r="D38" s="458" t="s">
        <v>1480</v>
      </c>
      <c r="E38" s="458">
        <v>1</v>
      </c>
      <c r="F38">
        <v>0</v>
      </c>
      <c r="G38">
        <v>0</v>
      </c>
      <c r="H38">
        <v>151</v>
      </c>
      <c r="I38">
        <v>0</v>
      </c>
      <c r="J38">
        <v>198</v>
      </c>
      <c r="K38" s="107"/>
      <c r="L38" s="463">
        <v>198</v>
      </c>
      <c r="M38" s="543"/>
      <c r="N38" s="544"/>
      <c r="O38" s="546" cm="1">
        <f t="array" ref="O3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45959</v>
      </c>
      <c r="P38" s="568" t="s">
        <v>458</v>
      </c>
      <c r="Q38" s="568"/>
      <c r="R38" s="499"/>
      <c r="S38" s="463" cm="1">
        <f t="array" ref="S3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8" s="34"/>
      <c r="U38" s="490"/>
      <c r="V3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15.020999999999999</v>
      </c>
      <c r="W38" s="557"/>
      <c r="X38" s="545"/>
      <c r="Y38" s="548" t="s">
        <v>855</v>
      </c>
      <c r="Z38" s="160" t="s">
        <v>458</v>
      </c>
      <c r="AA38" s="563"/>
      <c r="AB38" s="34" cm="1">
        <f t="array" ref="AB38">ROW()-ROW(Contract_Edits[#Headers])</f>
        <v>14</v>
      </c>
      <c r="AC38" s="34">
        <f>IF(Contract_Edits[[#This Row],[RowPos]]&gt;1, Contract_Edits[[#This Row],[RowPos]]-1, 0)</f>
        <v>13</v>
      </c>
      <c r="AD38" s="35">
        <f>IF(N(Contract_Edits[[#This Row],[Dep]])=0, N(Contract_Edits[[#This Row],[Index]]), N(Contract_Edits[[#This Row],[Dep]]))</f>
        <v>151</v>
      </c>
      <c r="AE38" s="35" cm="1">
        <f t="array" ref="AE38">IF(OR(Contract_Edits[[#This Row],[Dep]]=0, TRIM(Contract_Edits[[#This Row],[Dep]])=""),
   0,
   IFERROR(
      _xlfn.XLOOKUP(1, (Contract_Edits[Dep]=Contract_Edits[[#This Row],[Dep]])*(Contract_Edits[RowPos]&lt;Contract_Edits[[#This Row],[RowPos]]), Contract_Edits[RowPos], , 0, -1),
      0
   )
)</f>
        <v>13</v>
      </c>
      <c r="AF38" s="35">
        <f>IF(OR(Contract_Edits[[#This Row],[Dep]]=0,Contract_Edits[[#This Row],[Dep]]=""),0,
   COUNTIFS(Contract_Edits[Dep],Contract_Edits[[#This Row],[Dep]],Contract_Edits[RowPos],"&lt;="&amp;Contract_Edits[[#This Row],[RowPos]],Contract_Edits[Approve],"Yes")
)</f>
        <v>10</v>
      </c>
      <c r="AG38" s="517">
        <f>--(
  ISNUMBER(SEARCH("BASE PARENT", UPPER(CLEAN(TRIM(_xlfn.XLOOKUP(TEXT(Contract_Edits[[#This Row],[Index]],"0"), baseIdxTxt, baseCost, "")))))) +
  ISNUMBER(SEARCH("DEPENDENCY GROUP", UPPER(CLEAN(TRIM(_xlfn.XLOOKUP(TEXT(Contract_Edits[[#This Row],[Index]],"0"), baseIdxTxt, baseCost, ""))))))
)</f>
        <v>0</v>
      </c>
      <c r="AH38" s="517" t="str" cm="1">
        <f t="array" ref="AH38">IF(Contract_Edits[[#This Row],[BaseFlag]]=1,
   10*BaseDepthL(TEXT(Contract_Edits[[#This Row],[Index]],"0"),500,editsIdxTxt,editsParentKeyTxt,baseIdxTxt,baseCost)-5,
   ""
)</f>
        <v/>
      </c>
      <c r="AI38" s="517" cm="1">
        <f t="array" ref="AI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8" s="517" t="str">
        <f>IF(Contract_Edits[[#This Row],[Dep]]=0,"Root",
   IF(ISNUMBER(MATCH(Contract_Edits[[#This Row],[Dep]],Contract_Edits[Index],0)),"OK","Missing")
)</f>
        <v>OK</v>
      </c>
      <c r="AK38" s="517" t="str">
        <f>IF(AND(Contract_Edits[[#This Row],[Dep]]&lt;&gt;0,
        ISNUMBER(MATCH(Contract_Edits[[#This Row],[Dep]], Contract_Edits[Index], 0)),
        INDEX(Contract_Edits[Dep], MATCH(Contract_Edits[[#This Row],[Dep]], Contract_Edits[Index], 0))=Contract_Edits[[#This Row],[Index]]),
   "2-cycle","")</f>
        <v/>
      </c>
      <c r="AL38" s="517" cm="1">
        <f t="array" ref="AL38">IF(Contract_Edits[[#This Row],[BaseFlag]]&lt;&gt;1,0,
   IF(TEXT(Contract_Edits[[#This Row],[Dep]],"0")=TEXT(Contract_Edits[[#This Row],[Index]],"0"),
      0,
      MAX(0, SUMPRODUCT(--(Contract_Edits[BaseFlag]=1),
                        --(TEXT(Contract_Edits[Dep],"0")=TEXT(Contract_Edits[[#This Row],[Dep]],"0"))) - 1)
   )
)</f>
        <v>0</v>
      </c>
      <c r="AM38" s="517" t="str" cm="1">
        <f t="array" ref="AM38">IF(Contract_Edits[[#This Row],[BaseFlag]]=1,
   TEXT(Contract_Edits[[#This Row],[Index]],"0"),
   NearestBaseL(TEXT(Contract_Edits[[#This Row],[ParentKey]],"0"),500,editsIdxTxt,editsParentKeyTxt,baseIdxTxt,baseCost)
)</f>
        <v>151</v>
      </c>
      <c r="AN38" s="517" cm="1">
        <f t="array" ref="AN38">1+SUMPRODUCT(
  (Contract_Edits[BaseFlag]=1)*
  (TEXT(Contract_Edits[ParentAnchor],"0")=TEXT(Contract_Edits[[#This Row],[ParentAnchor]],"0"))*
  (VALUE(TEXT(Contract_Edits[Index],"0"))&lt;VALUE(TEXT(Contract_Edits[[#This Row],[Index]],"0")))
)</f>
        <v>2</v>
      </c>
      <c r="AO38" s="35"/>
      <c r="AP38" s="35" t="str">
        <f ca="1">IFERROR(+IF(AP$24=#REF!,Milestone_Marker,IF(AND(AP$24&gt;#REF!,AP$24&lt;#REF!+#REF!),#REF!,"")),"")</f>
        <v/>
      </c>
      <c r="AQ38" s="35" t="str">
        <f ca="1">IFERROR(+IF(AQ$24=#REF!,Milestone_Marker,IF(AND(AQ$24&gt;#REF!,AQ$24&lt;#REF!+#REF!),#REF!,"")),"")</f>
        <v/>
      </c>
      <c r="AR38" s="35" t="str">
        <f ca="1">IFERROR(+IF(AR$24=#REF!,Milestone_Marker,IF(AND(AR$24&gt;#REF!,AR$24&lt;#REF!+#REF!),#REF!,"")),"")</f>
        <v/>
      </c>
      <c r="AS38" s="35" t="str">
        <f ca="1">IFERROR(+IF(AS$24=#REF!,Milestone_Marker,IF(AND(AS$24&gt;#REF!,AS$24&lt;#REF!+#REF!),#REF!,"")),"")</f>
        <v/>
      </c>
      <c r="AT38" s="35" t="str">
        <f ca="1">IFERROR(+IF(AT$24=#REF!,Milestone_Marker,IF(AND(AT$24&gt;#REF!,AT$24&lt;#REF!+#REF!),#REF!,"")),"")</f>
        <v/>
      </c>
      <c r="AU38" s="35" t="str">
        <f ca="1">IFERROR(+IF(AU$24=#REF!,Milestone_Marker,IF(AND(AU$24&gt;#REF!,AU$24&lt;#REF!+#REF!),#REF!,"")),"")</f>
        <v/>
      </c>
      <c r="AV38" s="35" t="str">
        <f ca="1">IFERROR(+IF(AV$24=#REF!,Milestone_Marker,IF(AND(AV$24&gt;#REF!,AV$24&lt;#REF!+#REF!),#REF!,"")),"")</f>
        <v/>
      </c>
      <c r="AW38" s="35" t="str">
        <f ca="1">IFERROR(+IF(AW$24=#REF!,Milestone_Marker,IF(AND(AW$24&gt;#REF!,AW$24&lt;#REF!+#REF!),#REF!,"")),"")</f>
        <v/>
      </c>
      <c r="AX38" s="35" t="str">
        <f ca="1">IFERROR(+IF(AX$24=#REF!,Milestone_Marker,IF(AND(AX$24&gt;#REF!,AX$24&lt;#REF!+#REF!),#REF!,"")),"")</f>
        <v/>
      </c>
      <c r="AY38" s="35" t="str">
        <f ca="1">IFERROR(+IF(AY$24=#REF!,Milestone_Marker,IF(AND(AY$24&gt;#REF!,AY$24&lt;#REF!+#REF!),#REF!,"")),"")</f>
        <v/>
      </c>
      <c r="AZ38" s="35" t="str">
        <f ca="1">IFERROR(+IF(AZ$24=#REF!,Milestone_Marker,IF(AND(AZ$24&gt;#REF!,AZ$24&lt;#REF!+#REF!),#REF!,"")),"")</f>
        <v/>
      </c>
      <c r="BA38" s="35" t="str">
        <f ca="1">IFERROR(+IF(BA$24=#REF!,Milestone_Marker,IF(AND(BA$24&gt;#REF!,BA$24&lt;#REF!+#REF!),#REF!,"")),"")</f>
        <v/>
      </c>
      <c r="BB38" s="35" t="str">
        <f ca="1">IFERROR(+IF(BB$24=#REF!,Milestone_Marker,IF(AND(BB$24&gt;#REF!,BB$24&lt;#REF!+#REF!),#REF!,"")),"")</f>
        <v/>
      </c>
      <c r="BC38" s="35" t="str">
        <f ca="1">IFERROR(+IF(BC$24=#REF!,Milestone_Marker,IF(AND(BC$24&gt;#REF!,BC$24&lt;#REF!+#REF!),#REF!,"")),"")</f>
        <v/>
      </c>
      <c r="BD38" s="35" t="str">
        <f ca="1">IFERROR(+IF(BD$24=#REF!,Milestone_Marker,IF(AND(BD$24&gt;#REF!,BD$24&lt;#REF!+#REF!),#REF!,"")),"")</f>
        <v/>
      </c>
      <c r="BE38" s="35" t="str">
        <f ca="1">IFERROR(+IF(BE$24=#REF!,Milestone_Marker,IF(AND(BE$24&gt;#REF!,BE$24&lt;#REF!+#REF!),#REF!,"")),"")</f>
        <v/>
      </c>
      <c r="BF38" s="35" t="str">
        <f ca="1">IFERROR(+IF(BF$24=#REF!,Milestone_Marker,IF(AND(BF$24&gt;#REF!,BF$24&lt;#REF!+#REF!),#REF!,"")),"")</f>
        <v/>
      </c>
      <c r="BG38" s="35" t="str">
        <f ca="1">IFERROR(+IF(BG$24=#REF!,Milestone_Marker,IF(AND(BG$24&gt;#REF!,BG$24&lt;#REF!+#REF!),#REF!,"")),"")</f>
        <v/>
      </c>
      <c r="BH38" s="35" t="str">
        <f ca="1">IFERROR(+IF(BH$24=#REF!,Milestone_Marker,IF(AND(BH$24&gt;#REF!,BH$24&lt;#REF!+#REF!),#REF!,"")),"")</f>
        <v/>
      </c>
      <c r="BI38" s="35" t="str">
        <f ca="1">IFERROR(+IF(BI$24=#REF!,Milestone_Marker,IF(AND(BI$24&gt;#REF!,BI$24&lt;#REF!+#REF!),#REF!,"")),"")</f>
        <v/>
      </c>
      <c r="BJ38" s="35" t="str">
        <f ca="1">IFERROR(+IF(BJ$24=#REF!,Milestone_Marker,IF(AND(BJ$24&gt;#REF!,BJ$24&lt;#REF!+#REF!),#REF!,"")),"")</f>
        <v/>
      </c>
      <c r="BK38" s="35" t="str">
        <f ca="1">IFERROR(+IF(BK$24=#REF!,Milestone_Marker,IF(AND(BK$24&gt;#REF!,BK$24&lt;#REF!+#REF!),#REF!,"")),"")</f>
        <v/>
      </c>
      <c r="BL38" s="35" t="str">
        <f ca="1">IFERROR(+IF(BL$24=#REF!,Milestone_Marker,IF(AND(BL$24&gt;#REF!,BL$24&lt;#REF!+#REF!),#REF!,"")),"")</f>
        <v/>
      </c>
      <c r="BM38" s="35" t="str">
        <f ca="1">IFERROR(+IF(BM$24=#REF!,Milestone_Marker,IF(AND(BM$24&gt;#REF!,BM$24&lt;#REF!+#REF!),#REF!,"")),"")</f>
        <v/>
      </c>
      <c r="BN38" s="35" t="str">
        <f ca="1">IFERROR(+IF(BN$24=#REF!,Milestone_Marker,IF(AND(BN$24&gt;#REF!,BN$24&lt;#REF!+#REF!),#REF!,"")),"")</f>
        <v/>
      </c>
      <c r="BO38" s="35" t="str">
        <f ca="1">IFERROR(+IF(BO$24=#REF!,Milestone_Marker,IF(AND(BO$24&gt;#REF!,BO$24&lt;#REF!+#REF!),#REF!,"")),"")</f>
        <v/>
      </c>
      <c r="BP38" s="35" t="str">
        <f ca="1">IFERROR(+IF(BP$24=#REF!,Milestone_Marker,IF(AND(BP$24&gt;#REF!,BP$24&lt;#REF!+#REF!),#REF!,"")),"")</f>
        <v/>
      </c>
      <c r="BQ38" s="35" t="str">
        <f ca="1">IFERROR(+IF(BQ$24=#REF!,Milestone_Marker,IF(AND(BQ$24&gt;#REF!,BQ$24&lt;#REF!+#REF!),#REF!,"")),"")</f>
        <v/>
      </c>
      <c r="BR38" s="35" t="str">
        <f ca="1">IFERROR(+IF(BR$24=#REF!,Milestone_Marker,IF(AND(BR$24&gt;#REF!,BR$24&lt;#REF!+#REF!),#REF!,"")),"")</f>
        <v/>
      </c>
      <c r="BS38" s="35" t="str">
        <f ca="1">IFERROR(+IF(BS$24=#REF!,Milestone_Marker,IF(AND(BS$24&gt;#REF!,BS$24&lt;#REF!+#REF!),#REF!,"")),"")</f>
        <v/>
      </c>
      <c r="BT38" s="35" t="str">
        <f ca="1">IFERROR(+IF(BT$24=#REF!,Milestone_Marker,IF(AND(BT$24&gt;#REF!,BT$24&lt;#REF!+#REF!),#REF!,"")),"")</f>
        <v/>
      </c>
      <c r="BU38" s="35" t="str">
        <f ca="1">IFERROR(+IF(BU$24=#REF!,Milestone_Marker,IF(AND(BU$24&gt;#REF!,BU$24&lt;#REF!+#REF!),#REF!,"")),"")</f>
        <v/>
      </c>
      <c r="BV38" s="35" t="str">
        <f ca="1">IFERROR(+IF(BV$24=#REF!,Milestone_Marker,IF(AND(BV$24&gt;#REF!,BV$24&lt;#REF!+#REF!),#REF!,"")),"")</f>
        <v/>
      </c>
      <c r="BW38" s="35" t="str">
        <f ca="1">IFERROR(+IF(BW$24=#REF!,Milestone_Marker,IF(AND(BW$24&gt;#REF!,BW$24&lt;#REF!+#REF!),#REF!,"")),"")</f>
        <v/>
      </c>
      <c r="BX38" s="35" t="str">
        <f ca="1">IFERROR(+IF(BX$24=#REF!,Milestone_Marker,IF(AND(BX$24&gt;#REF!,BX$24&lt;#REF!+#REF!),#REF!,"")),"")</f>
        <v/>
      </c>
      <c r="BY38" s="35" t="str">
        <f ca="1">IFERROR(+IF(BY$24=#REF!,Milestone_Marker,IF(AND(BY$24&gt;#REF!,BY$24&lt;#REF!+#REF!),#REF!,"")),"")</f>
        <v/>
      </c>
      <c r="BZ38" s="35" t="str">
        <f ca="1">IFERROR(+IF(BZ$24=#REF!,Milestone_Marker,IF(AND(BZ$24&gt;#REF!,BZ$24&lt;#REF!+#REF!),#REF!,"")),"")</f>
        <v/>
      </c>
      <c r="CA38" s="35" t="str">
        <f ca="1">IFERROR(+IF(CA$24=#REF!,Milestone_Marker,IF(AND(CA$24&gt;#REF!,CA$24&lt;#REF!+#REF!),#REF!,"")),"")</f>
        <v/>
      </c>
      <c r="CB38" s="35" t="str">
        <f ca="1">IFERROR(+IF(CB$24=#REF!,Milestone_Marker,IF(AND(CB$24&gt;#REF!,CB$24&lt;#REF!+#REF!),#REF!,"")),"")</f>
        <v/>
      </c>
      <c r="CC38" s="35" t="str">
        <f ca="1">IFERROR(+IF(CC$24=#REF!,Milestone_Marker,IF(AND(CC$24&gt;#REF!,CC$24&lt;#REF!+#REF!),#REF!,"")),"")</f>
        <v/>
      </c>
      <c r="CD38" s="35" t="str">
        <f ca="1">IFERROR(+IF(CD$24=#REF!,Milestone_Marker,IF(AND(CD$24&gt;#REF!,CD$24&lt;#REF!+#REF!),#REF!,"")),"")</f>
        <v/>
      </c>
      <c r="CE38" s="35" t="str">
        <f ca="1">IFERROR(+IF(CE$24=#REF!,Milestone_Marker,IF(AND(CE$24&gt;#REF!,CE$24&lt;#REF!+#REF!),#REF!,"")),"")</f>
        <v/>
      </c>
      <c r="CF38" s="35" t="str">
        <f ca="1">IFERROR(+IF(CF$24=#REF!,Milestone_Marker,IF(AND(CF$24&gt;#REF!,CF$24&lt;#REF!+#REF!),#REF!,"")),"")</f>
        <v/>
      </c>
      <c r="CG38" s="35" t="str">
        <f ca="1">IFERROR(+IF(CG$24=#REF!,Milestone_Marker,IF(AND(CG$24&gt;#REF!,CG$24&lt;#REF!+#REF!),#REF!,"")),"")</f>
        <v/>
      </c>
      <c r="CH38" s="35" t="str">
        <f ca="1">IFERROR(+IF(CH$24=#REF!,Milestone_Marker,IF(AND(CH$24&gt;#REF!,CH$24&lt;#REF!+#REF!),#REF!,"")),"")</f>
        <v/>
      </c>
      <c r="CI38" s="35" t="str">
        <f ca="1">IFERROR(+IF(CI$24=#REF!,Milestone_Marker,IF(AND(CI$24&gt;#REF!,CI$24&lt;#REF!+#REF!),#REF!,"")),"")</f>
        <v/>
      </c>
      <c r="CJ38" s="35" t="str">
        <f ca="1">IFERROR(+IF(CJ$24=#REF!,Milestone_Marker,IF(AND(CJ$24&gt;#REF!,CJ$24&lt;#REF!+#REF!),#REF!,"")),"")</f>
        <v/>
      </c>
      <c r="CK38" s="35" t="str">
        <f ca="1">IFERROR(+IF(CK$24=#REF!,Milestone_Marker,IF(AND(CK$24&gt;#REF!,CK$24&lt;#REF!+#REF!),#REF!,"")),"")</f>
        <v/>
      </c>
      <c r="CL38" s="35" t="str">
        <f ca="1">IFERROR(+IF(CL$24=#REF!,Milestone_Marker,IF(AND(CL$24&gt;#REF!,CL$24&lt;#REF!+#REF!),#REF!,"")),"")</f>
        <v/>
      </c>
      <c r="CM38" s="35" t="str">
        <f ca="1">IFERROR(+IF(CM$24=#REF!,Milestone_Marker,IF(AND(CM$24&gt;#REF!,CM$24&lt;#REF!+#REF!),#REF!,"")),"")</f>
        <v/>
      </c>
      <c r="CN38" s="35" t="str">
        <f ca="1">IFERROR(+IF(CN$24=#REF!,Milestone_Marker,IF(AND(CN$24&gt;#REF!,CN$24&lt;#REF!+#REF!),#REF!,"")),"")</f>
        <v/>
      </c>
      <c r="CO38" s="35" t="str">
        <f ca="1">IFERROR(+IF(CO$24=#REF!,Milestone_Marker,IF(AND(CO$24&gt;#REF!,CO$24&lt;#REF!+#REF!),#REF!,"")),"")</f>
        <v/>
      </c>
      <c r="CP38" s="35" t="str">
        <f ca="1">IFERROR(+IF(CP$24=#REF!,Milestone_Marker,IF(AND(CP$24&gt;#REF!,CP$24&lt;#REF!+#REF!),#REF!,"")),"")</f>
        <v/>
      </c>
      <c r="CQ38" s="35" t="str">
        <f ca="1">IFERROR(+IF(CQ$24=#REF!,Milestone_Marker,IF(AND(CQ$24&gt;#REF!,CQ$24&lt;#REF!+#REF!),#REF!,"")),"")</f>
        <v/>
      </c>
      <c r="CR38" s="35" t="str">
        <f ca="1">IFERROR(+IF(CR$24=#REF!,Milestone_Marker,IF(AND(CR$24&gt;#REF!,CR$24&lt;#REF!+#REF!),#REF!,"")),"")</f>
        <v/>
      </c>
      <c r="CS38" s="35" t="str">
        <f ca="1">IFERROR(+IF(CS$24=#REF!,Milestone_Marker,IF(AND(CS$24&gt;#REF!,CS$24&lt;#REF!+#REF!),#REF!,"")),"")</f>
        <v/>
      </c>
      <c r="CT38" s="35" t="str">
        <f ca="1">IFERROR(+IF(CT$24=#REF!,Milestone_Marker,IF(AND(CT$24&gt;#REF!,CT$24&lt;#REF!+#REF!),#REF!,"")),"")</f>
        <v/>
      </c>
      <c r="CU38" s="35" t="str">
        <f ca="1">IFERROR(+IF(CU$24=#REF!,Milestone_Marker,IF(AND(CU$24&gt;#REF!,CU$24&lt;#REF!+#REF!),#REF!,"")),"")</f>
        <v/>
      </c>
      <c r="CV38" s="35" t="str">
        <f ca="1">IFERROR(+IF(CV$24=#REF!,Milestone_Marker,IF(AND(CV$24&gt;#REF!,CV$24&lt;#REF!+#REF!),#REF!,"")),"")</f>
        <v/>
      </c>
      <c r="CW38" s="35" t="str">
        <f ca="1">IFERROR(+IF(CW$24=#REF!,Milestone_Marker,IF(AND(CW$24&gt;#REF!,CW$24&lt;#REF!+#REF!),#REF!,"")),"")</f>
        <v/>
      </c>
      <c r="CX38" s="35" t="str">
        <f ca="1">IFERROR(+IF(CX$24=#REF!,Milestone_Marker,IF(AND(CX$24&gt;#REF!,CX$24&lt;#REF!+#REF!),#REF!,"")),"")</f>
        <v/>
      </c>
      <c r="CY38" s="35" t="str">
        <f ca="1">IFERROR(+IF(CY$24=#REF!,Milestone_Marker,IF(AND(CY$24&gt;#REF!,CY$24&lt;#REF!+#REF!),#REF!,"")),"")</f>
        <v/>
      </c>
      <c r="CZ38" s="35" t="str">
        <f ca="1">IFERROR(+IF(CZ$24=#REF!,Milestone_Marker,IF(AND(CZ$24&gt;#REF!,CZ$24&lt;#REF!+#REF!),#REF!,"")),"")</f>
        <v/>
      </c>
      <c r="DA38" s="35" t="str">
        <f ca="1">IFERROR(+IF(DA$24=#REF!,Milestone_Marker,IF(AND(DA$24&gt;#REF!,DA$24&lt;#REF!+#REF!),#REF!,"")),"")</f>
        <v/>
      </c>
      <c r="DB38" s="35" t="str">
        <f ca="1">IFERROR(+IF(DB$24=#REF!,Milestone_Marker,IF(AND(DB$24&gt;#REF!,DB$24&lt;#REF!+#REF!),#REF!,"")),"")</f>
        <v/>
      </c>
      <c r="DC38" s="35" t="str">
        <f ca="1">IFERROR(+IF(DC$24=#REF!,Milestone_Marker,IF(AND(DC$24&gt;#REF!,DC$24&lt;#REF!+#REF!),#REF!,"")),"")</f>
        <v/>
      </c>
      <c r="DD38" s="35" t="str">
        <f ca="1">IFERROR(+IF(DD$24=#REF!,Milestone_Marker,IF(AND(DD$24&gt;#REF!,DD$24&lt;#REF!+#REF!),#REF!,"")),"")</f>
        <v/>
      </c>
      <c r="DE38" s="35" t="str">
        <f ca="1">IFERROR(+IF(DE$24=#REF!,Milestone_Marker,IF(AND(DE$24&gt;#REF!,DE$24&lt;#REF!+#REF!),#REF!,"")),"")</f>
        <v/>
      </c>
      <c r="DF38" s="35"/>
      <c r="DG38" s="35"/>
      <c r="DH38" s="35"/>
      <c r="DI38" s="35"/>
      <c r="DJ38" s="35"/>
      <c r="DK38" s="35"/>
      <c r="DL38" s="35"/>
      <c r="DM38" s="35"/>
      <c r="DN38" s="35"/>
      <c r="DO38" s="35"/>
      <c r="DP38" s="35"/>
      <c r="DQ38" s="35"/>
      <c r="DR38" s="35"/>
      <c r="DS38" s="35"/>
      <c r="DT38" s="35"/>
      <c r="DU38" s="35"/>
      <c r="DV38" s="35"/>
      <c r="DW38" s="35"/>
      <c r="DX38" s="35"/>
      <c r="DY38" s="35"/>
      <c r="DZ38" s="35"/>
      <c r="EA38" s="35"/>
      <c r="EB38" s="35"/>
      <c r="EC38" s="35"/>
      <c r="ED38" s="35"/>
      <c r="EE38" s="35"/>
    </row>
    <row r="39" spans="1:135" s="40" customFormat="1" ht="15">
      <c r="A39" t="s">
        <v>747</v>
      </c>
      <c r="B39" t="s">
        <v>744</v>
      </c>
      <c r="C39" t="s">
        <v>568</v>
      </c>
      <c r="D39" s="458" t="s">
        <v>750</v>
      </c>
      <c r="E39" s="458">
        <v>0</v>
      </c>
      <c r="F39"/>
      <c r="G39"/>
      <c r="H39">
        <v>151</v>
      </c>
      <c r="I39"/>
      <c r="J39">
        <v>152</v>
      </c>
      <c r="K39" s="107"/>
      <c r="L39" s="518">
        <v>152</v>
      </c>
      <c r="M39" s="490"/>
      <c r="N39" s="160">
        <v>0</v>
      </c>
      <c r="O39" s="546" cm="1">
        <f t="array" ref="O3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45959</v>
      </c>
      <c r="P39" s="567"/>
      <c r="Q39" s="567"/>
      <c r="R39" s="499"/>
      <c r="S39" s="463" cm="1">
        <f t="array" ref="S3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9" s="34">
        <v>1</v>
      </c>
      <c r="U39" s="490"/>
      <c r="V3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25.01</v>
      </c>
      <c r="W39" s="557"/>
      <c r="X39" s="545"/>
      <c r="Y39" s="548"/>
      <c r="Z39" s="535" t="s">
        <v>458</v>
      </c>
      <c r="AA39" s="544">
        <v>101400</v>
      </c>
      <c r="AB39" cm="1">
        <f t="array" ref="AB39">ROW()-ROW(Contract_Edits[#Headers])</f>
        <v>15</v>
      </c>
      <c r="AC39">
        <f>IF(Contract_Edits[[#This Row],[RowPos]]&gt;1, Contract_Edits[[#This Row],[RowPos]]-1, 0)</f>
        <v>14</v>
      </c>
      <c r="AD39" s="35">
        <f>IF(N(Contract_Edits[[#This Row],[Dep]])=0, N(Contract_Edits[[#This Row],[Index]]), N(Contract_Edits[[#This Row],[Dep]]))</f>
        <v>151</v>
      </c>
      <c r="AE39" s="35" cm="1">
        <f t="array" ref="AE39">IF(OR(Contract_Edits[[#This Row],[Dep]]=0, TRIM(Contract_Edits[[#This Row],[Dep]])=""),
   0,
   IFERROR(
      _xlfn.XLOOKUP(1, (Contract_Edits[Dep]=Contract_Edits[[#This Row],[Dep]])*(Contract_Edits[RowPos]&lt;Contract_Edits[[#This Row],[RowPos]]), Contract_Edits[RowPos], , 0, -1),
      0
   )
)</f>
        <v>14</v>
      </c>
      <c r="AF39" s="35">
        <f>IF(OR(Contract_Edits[[#This Row],[Dep]]=0,Contract_Edits[[#This Row],[Dep]]=""),0,
   COUNTIFS(Contract_Edits[Dep],Contract_Edits[[#This Row],[Dep]],Contract_Edits[RowPos],"&lt;="&amp;Contract_Edits[[#This Row],[RowPos]],Contract_Edits[Approve],"Yes")
)</f>
        <v>11</v>
      </c>
      <c r="AG39" s="517">
        <f>--(
  ISNUMBER(SEARCH("BASE PARENT", UPPER(CLEAN(TRIM(_xlfn.XLOOKUP(TEXT(Contract_Edits[[#This Row],[Index]],"0"), baseIdxTxt, baseCost, "")))))) +
  ISNUMBER(SEARCH("DEPENDENCY GROUP", UPPER(CLEAN(TRIM(_xlfn.XLOOKUP(TEXT(Contract_Edits[[#This Row],[Index]],"0"), baseIdxTxt, baseCost, ""))))))
)</f>
        <v>1</v>
      </c>
      <c r="AH39" s="517" cm="1">
        <f t="array" ref="AH39">IF(Contract_Edits[[#This Row],[BaseFlag]]=1,
   10*BaseDepthL(TEXT(Contract_Edits[[#This Row],[Index]],"0"),500,editsIdxTxt,editsParentKeyTxt,baseIdxTxt,baseCost)-5,
   ""
)</f>
        <v>25</v>
      </c>
      <c r="AI39" s="517" cm="1">
        <f t="array" ref="AI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9" s="517" t="str">
        <f>IF(Contract_Edits[[#This Row],[Dep]]=0,"Root",
   IF(ISNUMBER(MATCH(Contract_Edits[[#This Row],[Dep]],Contract_Edits[Index],0)),"OK","Missing")
)</f>
        <v>OK</v>
      </c>
      <c r="AK39" s="517" t="str">
        <f>IF(AND(Contract_Edits[[#This Row],[Dep]]&lt;&gt;0,
        ISNUMBER(MATCH(Contract_Edits[[#This Row],[Dep]], Contract_Edits[Index], 0)),
        INDEX(Contract_Edits[Dep], MATCH(Contract_Edits[[#This Row],[Dep]], Contract_Edits[Index], 0))=Contract_Edits[[#This Row],[Index]]),
   "2-cycle","")</f>
        <v/>
      </c>
      <c r="AL39" s="517" cm="1">
        <f t="array" ref="AL39">IF(Contract_Edits[[#This Row],[BaseFlag]]&lt;&gt;1,0,
   IF(TEXT(Contract_Edits[[#This Row],[Dep]],"0")=TEXT(Contract_Edits[[#This Row],[Index]],"0"),
      0,
      MAX(0, SUMPRODUCT(--(Contract_Edits[BaseFlag]=1),
                        --(TEXT(Contract_Edits[Dep],"0")=TEXT(Contract_Edits[[#This Row],[Dep]],"0"))) - 1)
   )
)</f>
        <v>0</v>
      </c>
      <c r="AM39" s="517" t="str" cm="1">
        <f t="array" ref="AM39">IF(Contract_Edits[[#This Row],[BaseFlag]]=1,
   TEXT(Contract_Edits[[#This Row],[Index]],"0"),
   NearestBaseL(TEXT(Contract_Edits[[#This Row],[ParentKey]],"0"),500,editsIdxTxt,editsParentKeyTxt,baseIdxTxt,baseCost)
)</f>
        <v>152</v>
      </c>
      <c r="AN39" s="517" cm="1">
        <f t="array" ref="AN39">1+SUMPRODUCT(
  (Contract_Edits[BaseFlag]=1)*
  (TEXT(Contract_Edits[ParentAnchor],"0")=TEXT(Contract_Edits[[#This Row],[ParentAnchor]],"0"))*
  (VALUE(TEXT(Contract_Edits[Index],"0"))&lt;VALUE(TEXT(Contract_Edits[[#This Row],[Index]],"0")))
)</f>
        <v>1</v>
      </c>
      <c r="AO39" s="35"/>
      <c r="AP39" s="35" t="str">
        <f ca="1">IFERROR(+IF(AP$24=#REF!,Milestone_Marker,IF(AND(AP$24&gt;#REF!,AP$24&lt;#REF!+#REF!),#REF!,"")),"")</f>
        <v/>
      </c>
      <c r="AQ39" s="35" t="str">
        <f ca="1">IFERROR(+IF(AQ$24=#REF!,Milestone_Marker,IF(AND(AQ$24&gt;#REF!,AQ$24&lt;#REF!+#REF!),#REF!,"")),"")</f>
        <v/>
      </c>
      <c r="AR39" s="35" t="str">
        <f ca="1">IFERROR(+IF(AR$24=#REF!,Milestone_Marker,IF(AND(AR$24&gt;#REF!,AR$24&lt;#REF!+#REF!),#REF!,"")),"")</f>
        <v/>
      </c>
      <c r="AS39" s="35" t="str">
        <f ca="1">IFERROR(+IF(AS$24=#REF!,Milestone_Marker,IF(AND(AS$24&gt;#REF!,AS$24&lt;#REF!+#REF!),#REF!,"")),"")</f>
        <v/>
      </c>
      <c r="AT39" s="35" t="str">
        <f ca="1">IFERROR(+IF(AT$24=#REF!,Milestone_Marker,IF(AND(AT$24&gt;#REF!,AT$24&lt;#REF!+#REF!),#REF!,"")),"")</f>
        <v/>
      </c>
      <c r="AU39" s="35" t="str">
        <f ca="1">IFERROR(+IF(AU$24=#REF!,Milestone_Marker,IF(AND(AU$24&gt;#REF!,AU$24&lt;#REF!+#REF!),#REF!,"")),"")</f>
        <v/>
      </c>
      <c r="AV39" s="35" t="str">
        <f ca="1">IFERROR(+IF(AV$24=#REF!,Milestone_Marker,IF(AND(AV$24&gt;#REF!,AV$24&lt;#REF!+#REF!),#REF!,"")),"")</f>
        <v/>
      </c>
      <c r="AW39" s="35" t="str">
        <f ca="1">IFERROR(+IF(AW$24=#REF!,Milestone_Marker,IF(AND(AW$24&gt;#REF!,AW$24&lt;#REF!+#REF!),#REF!,"")),"")</f>
        <v/>
      </c>
      <c r="AX39" s="35" t="str">
        <f ca="1">IFERROR(+IF(AX$24=#REF!,Milestone_Marker,IF(AND(AX$24&gt;#REF!,AX$24&lt;#REF!+#REF!),#REF!,"")),"")</f>
        <v/>
      </c>
      <c r="AY39" s="35" t="str">
        <f ca="1">IFERROR(+IF(AY$24=#REF!,Milestone_Marker,IF(AND(AY$24&gt;#REF!,AY$24&lt;#REF!+#REF!),#REF!,"")),"")</f>
        <v/>
      </c>
      <c r="AZ39" s="35" t="str">
        <f ca="1">IFERROR(+IF(AZ$24=#REF!,Milestone_Marker,IF(AND(AZ$24&gt;#REF!,AZ$24&lt;#REF!+#REF!),#REF!,"")),"")</f>
        <v/>
      </c>
      <c r="BA39" s="35" t="str">
        <f ca="1">IFERROR(+IF(BA$24=#REF!,Milestone_Marker,IF(AND(BA$24&gt;#REF!,BA$24&lt;#REF!+#REF!),#REF!,"")),"")</f>
        <v/>
      </c>
      <c r="BB39" s="35" t="str">
        <f ca="1">IFERROR(+IF(BB$24=#REF!,Milestone_Marker,IF(AND(BB$24&gt;#REF!,BB$24&lt;#REF!+#REF!),#REF!,"")),"")</f>
        <v/>
      </c>
      <c r="BC39" s="35" t="str">
        <f ca="1">IFERROR(+IF(BC$24=#REF!,Milestone_Marker,IF(AND(BC$24&gt;#REF!,BC$24&lt;#REF!+#REF!),#REF!,"")),"")</f>
        <v/>
      </c>
      <c r="BD39" s="35" t="str">
        <f ca="1">IFERROR(+IF(BD$24=#REF!,Milestone_Marker,IF(AND(BD$24&gt;#REF!,BD$24&lt;#REF!+#REF!),#REF!,"")),"")</f>
        <v/>
      </c>
      <c r="BE39" s="35" t="str">
        <f ca="1">IFERROR(+IF(BE$24=#REF!,Milestone_Marker,IF(AND(BE$24&gt;#REF!,BE$24&lt;#REF!+#REF!),#REF!,"")),"")</f>
        <v/>
      </c>
      <c r="BF39" s="35" t="str">
        <f ca="1">IFERROR(+IF(BF$24=#REF!,Milestone_Marker,IF(AND(BF$24&gt;#REF!,BF$24&lt;#REF!+#REF!),#REF!,"")),"")</f>
        <v/>
      </c>
      <c r="BG39" s="35" t="str">
        <f ca="1">IFERROR(+IF(BG$24=#REF!,Milestone_Marker,IF(AND(BG$24&gt;#REF!,BG$24&lt;#REF!+#REF!),#REF!,"")),"")</f>
        <v/>
      </c>
      <c r="BH39" s="35" t="str">
        <f ca="1">IFERROR(+IF(BH$24=#REF!,Milestone_Marker,IF(AND(BH$24&gt;#REF!,BH$24&lt;#REF!+#REF!),#REF!,"")),"")</f>
        <v/>
      </c>
      <c r="BI39" s="35" t="str">
        <f ca="1">IFERROR(+IF(BI$24=#REF!,Milestone_Marker,IF(AND(BI$24&gt;#REF!,BI$24&lt;#REF!+#REF!),#REF!,"")),"")</f>
        <v/>
      </c>
      <c r="BJ39" s="35" t="str">
        <f ca="1">IFERROR(+IF(BJ$24=#REF!,Milestone_Marker,IF(AND(BJ$24&gt;#REF!,BJ$24&lt;#REF!+#REF!),#REF!,"")),"")</f>
        <v/>
      </c>
      <c r="BK39" s="35" t="str">
        <f ca="1">IFERROR(+IF(BK$24=#REF!,Milestone_Marker,IF(AND(BK$24&gt;#REF!,BK$24&lt;#REF!+#REF!),#REF!,"")),"")</f>
        <v/>
      </c>
      <c r="BL39" s="35" t="str">
        <f ca="1">IFERROR(+IF(BL$24=#REF!,Milestone_Marker,IF(AND(BL$24&gt;#REF!,BL$24&lt;#REF!+#REF!),#REF!,"")),"")</f>
        <v/>
      </c>
      <c r="BM39" s="35" t="str">
        <f ca="1">IFERROR(+IF(BM$24=#REF!,Milestone_Marker,IF(AND(BM$24&gt;#REF!,BM$24&lt;#REF!+#REF!),#REF!,"")),"")</f>
        <v/>
      </c>
      <c r="BN39" s="35" t="str">
        <f ca="1">IFERROR(+IF(BN$24=#REF!,Milestone_Marker,IF(AND(BN$24&gt;#REF!,BN$24&lt;#REF!+#REF!),#REF!,"")),"")</f>
        <v/>
      </c>
      <c r="BO39" s="35" t="str">
        <f ca="1">IFERROR(+IF(BO$24=#REF!,Milestone_Marker,IF(AND(BO$24&gt;#REF!,BO$24&lt;#REF!+#REF!),#REF!,"")),"")</f>
        <v/>
      </c>
      <c r="BP39" s="35" t="str">
        <f ca="1">IFERROR(+IF(BP$24=#REF!,Milestone_Marker,IF(AND(BP$24&gt;#REF!,BP$24&lt;#REF!+#REF!),#REF!,"")),"")</f>
        <v/>
      </c>
      <c r="BQ39" s="35" t="str">
        <f ca="1">IFERROR(+IF(BQ$24=#REF!,Milestone_Marker,IF(AND(BQ$24&gt;#REF!,BQ$24&lt;#REF!+#REF!),#REF!,"")),"")</f>
        <v/>
      </c>
      <c r="BR39" s="35" t="str">
        <f ca="1">IFERROR(+IF(BR$24=#REF!,Milestone_Marker,IF(AND(BR$24&gt;#REF!,BR$24&lt;#REF!+#REF!),#REF!,"")),"")</f>
        <v/>
      </c>
      <c r="BS39" s="35" t="str">
        <f ca="1">IFERROR(+IF(BS$24=#REF!,Milestone_Marker,IF(AND(BS$24&gt;#REF!,BS$24&lt;#REF!+#REF!),#REF!,"")),"")</f>
        <v/>
      </c>
      <c r="BT39" s="35" t="str">
        <f ca="1">IFERROR(+IF(BT$24=#REF!,Milestone_Marker,IF(AND(BT$24&gt;#REF!,BT$24&lt;#REF!+#REF!),#REF!,"")),"")</f>
        <v/>
      </c>
      <c r="BU39" s="35" t="str">
        <f ca="1">IFERROR(+IF(BU$24=#REF!,Milestone_Marker,IF(AND(BU$24&gt;#REF!,BU$24&lt;#REF!+#REF!),#REF!,"")),"")</f>
        <v/>
      </c>
      <c r="BV39" s="35" t="str">
        <f ca="1">IFERROR(+IF(BV$24=#REF!,Milestone_Marker,IF(AND(BV$24&gt;#REF!,BV$24&lt;#REF!+#REF!),#REF!,"")),"")</f>
        <v/>
      </c>
      <c r="BW39" s="35" t="str">
        <f ca="1">IFERROR(+IF(BW$24=#REF!,Milestone_Marker,IF(AND(BW$24&gt;#REF!,BW$24&lt;#REF!+#REF!),#REF!,"")),"")</f>
        <v/>
      </c>
      <c r="BX39" s="35" t="str">
        <f ca="1">IFERROR(+IF(BX$24=#REF!,Milestone_Marker,IF(AND(BX$24&gt;#REF!,BX$24&lt;#REF!+#REF!),#REF!,"")),"")</f>
        <v/>
      </c>
      <c r="BY39" s="35" t="str">
        <f ca="1">IFERROR(+IF(BY$24=#REF!,Milestone_Marker,IF(AND(BY$24&gt;#REF!,BY$24&lt;#REF!+#REF!),#REF!,"")),"")</f>
        <v/>
      </c>
      <c r="BZ39" s="35" t="str">
        <f ca="1">IFERROR(+IF(BZ$24=#REF!,Milestone_Marker,IF(AND(BZ$24&gt;#REF!,BZ$24&lt;#REF!+#REF!),#REF!,"")),"")</f>
        <v/>
      </c>
      <c r="CA39" s="35" t="str">
        <f ca="1">IFERROR(+IF(CA$24=#REF!,Milestone_Marker,IF(AND(CA$24&gt;#REF!,CA$24&lt;#REF!+#REF!),#REF!,"")),"")</f>
        <v/>
      </c>
      <c r="CB39" s="35" t="str">
        <f ca="1">IFERROR(+IF(CB$24=#REF!,Milestone_Marker,IF(AND(CB$24&gt;#REF!,CB$24&lt;#REF!+#REF!),#REF!,"")),"")</f>
        <v/>
      </c>
      <c r="CC39" s="35" t="str">
        <f ca="1">IFERROR(+IF(CC$24=#REF!,Milestone_Marker,IF(AND(CC$24&gt;#REF!,CC$24&lt;#REF!+#REF!),#REF!,"")),"")</f>
        <v/>
      </c>
      <c r="CD39" s="35" t="str">
        <f ca="1">IFERROR(+IF(CD$24=#REF!,Milestone_Marker,IF(AND(CD$24&gt;#REF!,CD$24&lt;#REF!+#REF!),#REF!,"")),"")</f>
        <v/>
      </c>
      <c r="CE39" s="35" t="str">
        <f ca="1">IFERROR(+IF(CE$24=#REF!,Milestone_Marker,IF(AND(CE$24&gt;#REF!,CE$24&lt;#REF!+#REF!),#REF!,"")),"")</f>
        <v/>
      </c>
      <c r="CF39" s="35" t="str">
        <f ca="1">IFERROR(+IF(CF$24=#REF!,Milestone_Marker,IF(AND(CF$24&gt;#REF!,CF$24&lt;#REF!+#REF!),#REF!,"")),"")</f>
        <v/>
      </c>
      <c r="CG39" s="35" t="str">
        <f ca="1">IFERROR(+IF(CG$24=#REF!,Milestone_Marker,IF(AND(CG$24&gt;#REF!,CG$24&lt;#REF!+#REF!),#REF!,"")),"")</f>
        <v/>
      </c>
      <c r="CH39" s="35" t="str">
        <f ca="1">IFERROR(+IF(CH$24=#REF!,Milestone_Marker,IF(AND(CH$24&gt;#REF!,CH$24&lt;#REF!+#REF!),#REF!,"")),"")</f>
        <v/>
      </c>
      <c r="CI39" s="35" t="str">
        <f ca="1">IFERROR(+IF(CI$24=#REF!,Milestone_Marker,IF(AND(CI$24&gt;#REF!,CI$24&lt;#REF!+#REF!),#REF!,"")),"")</f>
        <v/>
      </c>
      <c r="CJ39" s="35" t="str">
        <f ca="1">IFERROR(+IF(CJ$24=#REF!,Milestone_Marker,IF(AND(CJ$24&gt;#REF!,CJ$24&lt;#REF!+#REF!),#REF!,"")),"")</f>
        <v/>
      </c>
      <c r="CK39" s="35" t="str">
        <f ca="1">IFERROR(+IF(CK$24=#REF!,Milestone_Marker,IF(AND(CK$24&gt;#REF!,CK$24&lt;#REF!+#REF!),#REF!,"")),"")</f>
        <v/>
      </c>
      <c r="CL39" s="35" t="str">
        <f ca="1">IFERROR(+IF(CL$24=#REF!,Milestone_Marker,IF(AND(CL$24&gt;#REF!,CL$24&lt;#REF!+#REF!),#REF!,"")),"")</f>
        <v/>
      </c>
      <c r="CM39" s="35" t="str">
        <f ca="1">IFERROR(+IF(CM$24=#REF!,Milestone_Marker,IF(AND(CM$24&gt;#REF!,CM$24&lt;#REF!+#REF!),#REF!,"")),"")</f>
        <v/>
      </c>
      <c r="CN39" s="35" t="str">
        <f ca="1">IFERROR(+IF(CN$24=#REF!,Milestone_Marker,IF(AND(CN$24&gt;#REF!,CN$24&lt;#REF!+#REF!),#REF!,"")),"")</f>
        <v/>
      </c>
      <c r="CO39" s="35" t="str">
        <f ca="1">IFERROR(+IF(CO$24=#REF!,Milestone_Marker,IF(AND(CO$24&gt;#REF!,CO$24&lt;#REF!+#REF!),#REF!,"")),"")</f>
        <v/>
      </c>
      <c r="CP39" s="35" t="str">
        <f ca="1">IFERROR(+IF(CP$24=#REF!,Milestone_Marker,IF(AND(CP$24&gt;#REF!,CP$24&lt;#REF!+#REF!),#REF!,"")),"")</f>
        <v/>
      </c>
      <c r="CQ39" s="35" t="str">
        <f ca="1">IFERROR(+IF(CQ$24=#REF!,Milestone_Marker,IF(AND(CQ$24&gt;#REF!,CQ$24&lt;#REF!+#REF!),#REF!,"")),"")</f>
        <v/>
      </c>
      <c r="CR39" s="35" t="str">
        <f ca="1">IFERROR(+IF(CR$24=#REF!,Milestone_Marker,IF(AND(CR$24&gt;#REF!,CR$24&lt;#REF!+#REF!),#REF!,"")),"")</f>
        <v/>
      </c>
      <c r="CS39" s="35" t="str">
        <f ca="1">IFERROR(+IF(CS$24=#REF!,Milestone_Marker,IF(AND(CS$24&gt;#REF!,CS$24&lt;#REF!+#REF!),#REF!,"")),"")</f>
        <v/>
      </c>
      <c r="CT39" s="35" t="str">
        <f ca="1">IFERROR(+IF(CT$24=#REF!,Milestone_Marker,IF(AND(CT$24&gt;#REF!,CT$24&lt;#REF!+#REF!),#REF!,"")),"")</f>
        <v/>
      </c>
      <c r="CU39" s="35" t="str">
        <f ca="1">IFERROR(+IF(CU$24=#REF!,Milestone_Marker,IF(AND(CU$24&gt;#REF!,CU$24&lt;#REF!+#REF!),#REF!,"")),"")</f>
        <v/>
      </c>
      <c r="CV39" s="35" t="str">
        <f ca="1">IFERROR(+IF(CV$24=#REF!,Milestone_Marker,IF(AND(CV$24&gt;#REF!,CV$24&lt;#REF!+#REF!),#REF!,"")),"")</f>
        <v/>
      </c>
      <c r="CW39" s="35" t="str">
        <f ca="1">IFERROR(+IF(CW$24=#REF!,Milestone_Marker,IF(AND(CW$24&gt;#REF!,CW$24&lt;#REF!+#REF!),#REF!,"")),"")</f>
        <v/>
      </c>
      <c r="CX39" s="35" t="str">
        <f ca="1">IFERROR(+IF(CX$24=#REF!,Milestone_Marker,IF(AND(CX$24&gt;#REF!,CX$24&lt;#REF!+#REF!),#REF!,"")),"")</f>
        <v/>
      </c>
      <c r="CY39" s="35" t="str">
        <f ca="1">IFERROR(+IF(CY$24=#REF!,Milestone_Marker,IF(AND(CY$24&gt;#REF!,CY$24&lt;#REF!+#REF!),#REF!,"")),"")</f>
        <v/>
      </c>
      <c r="CZ39" s="35" t="str">
        <f ca="1">IFERROR(+IF(CZ$24=#REF!,Milestone_Marker,IF(AND(CZ$24&gt;#REF!,CZ$24&lt;#REF!+#REF!),#REF!,"")),"")</f>
        <v/>
      </c>
      <c r="DA39" s="35" t="str">
        <f ca="1">IFERROR(+IF(DA$24=#REF!,Milestone_Marker,IF(AND(DA$24&gt;#REF!,DA$24&lt;#REF!+#REF!),#REF!,"")),"")</f>
        <v/>
      </c>
      <c r="DB39" s="35" t="str">
        <f ca="1">IFERROR(+IF(DB$24=#REF!,Milestone_Marker,IF(AND(DB$24&gt;#REF!,DB$24&lt;#REF!+#REF!),#REF!,"")),"")</f>
        <v/>
      </c>
      <c r="DC39" s="35" t="str">
        <f ca="1">IFERROR(+IF(DC$24=#REF!,Milestone_Marker,IF(AND(DC$24&gt;#REF!,DC$24&lt;#REF!+#REF!),#REF!,"")),"")</f>
        <v/>
      </c>
      <c r="DD39" s="35" t="str">
        <f ca="1">IFERROR(+IF(DD$24=#REF!,Milestone_Marker,IF(AND(DD$24&gt;#REF!,DD$24&lt;#REF!+#REF!),#REF!,"")),"")</f>
        <v/>
      </c>
      <c r="DE39" s="35" t="str">
        <f ca="1">IFERROR(+IF(DE$24=#REF!,Milestone_Marker,IF(AND(DE$24&gt;#REF!,DE$24&lt;#REF!+#REF!),#REF!,"")),"")</f>
        <v/>
      </c>
      <c r="DF39" s="35"/>
      <c r="DG39" s="35"/>
      <c r="DH39" s="35"/>
      <c r="DI39" s="35"/>
      <c r="DJ39" s="35"/>
      <c r="DK39" s="35"/>
      <c r="DL39" s="35"/>
      <c r="DM39" s="35"/>
      <c r="DN39" s="35"/>
      <c r="DO39" s="35"/>
      <c r="DP39" s="35"/>
      <c r="DQ39" s="35"/>
      <c r="DR39" s="35"/>
      <c r="DS39" s="35"/>
      <c r="DT39" s="35"/>
      <c r="DU39" s="35"/>
      <c r="DV39" s="35"/>
      <c r="DW39" s="35"/>
      <c r="DX39" s="35"/>
      <c r="DY39" s="35"/>
      <c r="DZ39" s="35"/>
      <c r="EA39" s="35"/>
      <c r="EB39" s="35"/>
      <c r="EC39" s="35"/>
      <c r="ED39" s="35"/>
      <c r="EE39" s="35"/>
    </row>
    <row r="40" spans="1:135" s="40" customFormat="1" ht="30">
      <c r="A40" t="s">
        <v>519</v>
      </c>
      <c r="B40" t="s">
        <v>639</v>
      </c>
      <c r="C40" t="s">
        <v>649</v>
      </c>
      <c r="D40" s="458" t="s">
        <v>650</v>
      </c>
      <c r="E40" s="458">
        <v>75</v>
      </c>
      <c r="F40">
        <v>72.5</v>
      </c>
      <c r="G40">
        <v>5437.5</v>
      </c>
      <c r="H40">
        <v>152</v>
      </c>
      <c r="I40"/>
      <c r="J40">
        <v>78</v>
      </c>
      <c r="K40" s="107"/>
      <c r="L40" s="463">
        <v>78</v>
      </c>
      <c r="M40" s="490">
        <v>3</v>
      </c>
      <c r="N40" s="160">
        <v>0</v>
      </c>
      <c r="O40" s="546" cm="1">
        <f t="array" ref="O4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45959</v>
      </c>
      <c r="P40" s="567" t="s">
        <v>797</v>
      </c>
      <c r="Q40" s="567"/>
      <c r="R40" s="499"/>
      <c r="S40" s="463" cm="1">
        <f t="array" ref="S4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152</v>
      </c>
      <c r="T40" s="34">
        <v>1</v>
      </c>
      <c r="U40" s="490"/>
      <c r="V4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25.010100000000001</v>
      </c>
      <c r="W40" s="557"/>
      <c r="X40" s="545"/>
      <c r="Y40" s="548" t="s">
        <v>861</v>
      </c>
      <c r="Z40" s="160" t="s">
        <v>458</v>
      </c>
      <c r="AA40" s="563">
        <v>101400</v>
      </c>
      <c r="AB40" cm="1">
        <f t="array" ref="AB40">ROW()-ROW(Contract_Edits[#Headers])</f>
        <v>16</v>
      </c>
      <c r="AC40">
        <f>IF(Contract_Edits[[#This Row],[RowPos]]&gt;1, Contract_Edits[[#This Row],[RowPos]]-1, 0)</f>
        <v>15</v>
      </c>
      <c r="AD40" s="35">
        <f>IF(N(Contract_Edits[[#This Row],[Dep]])=0, N(Contract_Edits[[#This Row],[Index]]), N(Contract_Edits[[#This Row],[Dep]]))</f>
        <v>152</v>
      </c>
      <c r="AE40" s="35" cm="1">
        <f t="array" ref="AE40">IF(OR(Contract_Edits[[#This Row],[Dep]]=0, TRIM(Contract_Edits[[#This Row],[Dep]])=""),
   0,
   IFERROR(
      _xlfn.XLOOKUP(1, (Contract_Edits[Dep]=Contract_Edits[[#This Row],[Dep]])*(Contract_Edits[RowPos]&lt;Contract_Edits[[#This Row],[RowPos]]), Contract_Edits[RowPos], , 0, -1),
      0
   )
)</f>
        <v>0</v>
      </c>
      <c r="AF40" s="35">
        <f>IF(OR(Contract_Edits[[#This Row],[Dep]]=0,Contract_Edits[[#This Row],[Dep]]=""),0,
   COUNTIFS(Contract_Edits[Dep],Contract_Edits[[#This Row],[Dep]],Contract_Edits[RowPos],"&lt;="&amp;Contract_Edits[[#This Row],[RowPos]],Contract_Edits[Approve],"Yes")
)</f>
        <v>1</v>
      </c>
      <c r="AG40" s="517">
        <f>--(
  ISNUMBER(SEARCH("BASE PARENT", UPPER(CLEAN(TRIM(_xlfn.XLOOKUP(TEXT(Contract_Edits[[#This Row],[Index]],"0"), baseIdxTxt, baseCost, "")))))) +
  ISNUMBER(SEARCH("DEPENDENCY GROUP", UPPER(CLEAN(TRIM(_xlfn.XLOOKUP(TEXT(Contract_Edits[[#This Row],[Index]],"0"), baseIdxTxt, baseCost, ""))))))
)</f>
        <v>0</v>
      </c>
      <c r="AH40" s="517" t="str" cm="1">
        <f t="array" ref="AH40">IF(Contract_Edits[[#This Row],[BaseFlag]]=1,
   10*BaseDepthL(TEXT(Contract_Edits[[#This Row],[Index]],"0"),500,editsIdxTxt,editsParentKeyTxt,baseIdxTxt,baseCost)-5,
   ""
)</f>
        <v/>
      </c>
      <c r="AI40" s="517" cm="1">
        <f t="array" ref="AI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25</v>
      </c>
      <c r="AJ40" s="517" t="str">
        <f>IF(Contract_Edits[[#This Row],[Dep]]=0,"Root",
   IF(ISNUMBER(MATCH(Contract_Edits[[#This Row],[Dep]],Contract_Edits[Index],0)),"OK","Missing")
)</f>
        <v>OK</v>
      </c>
      <c r="AK40" s="517" t="str">
        <f>IF(AND(Contract_Edits[[#This Row],[Dep]]&lt;&gt;0,
        ISNUMBER(MATCH(Contract_Edits[[#This Row],[Dep]], Contract_Edits[Index], 0)),
        INDEX(Contract_Edits[Dep], MATCH(Contract_Edits[[#This Row],[Dep]], Contract_Edits[Index], 0))=Contract_Edits[[#This Row],[Index]]),
   "2-cycle","")</f>
        <v/>
      </c>
      <c r="AL40" s="517" cm="1">
        <f t="array" ref="AL40">IF(Contract_Edits[[#This Row],[BaseFlag]]&lt;&gt;1,0,
   IF(TEXT(Contract_Edits[[#This Row],[Dep]],"0")=TEXT(Contract_Edits[[#This Row],[Index]],"0"),
      0,
      MAX(0, SUMPRODUCT(--(Contract_Edits[BaseFlag]=1),
                        --(TEXT(Contract_Edits[Dep],"0")=TEXT(Contract_Edits[[#This Row],[Dep]],"0"))) - 1)
   )
)</f>
        <v>0</v>
      </c>
      <c r="AM40" s="517" t="str" cm="1">
        <f t="array" ref="AM40">IF(Contract_Edits[[#This Row],[BaseFlag]]=1,
   TEXT(Contract_Edits[[#This Row],[Index]],"0"),
   NearestBaseL(TEXT(Contract_Edits[[#This Row],[ParentKey]],"0"),500,editsIdxTxt,editsParentKeyTxt,baseIdxTxt,baseCost)
)</f>
        <v>152</v>
      </c>
      <c r="AN40" s="517" cm="1">
        <f t="array" ref="AN40">1+SUMPRODUCT(
  (Contract_Edits[BaseFlag]=1)*
  (TEXT(Contract_Edits[ParentAnchor],"0")=TEXT(Contract_Edits[[#This Row],[ParentAnchor]],"0"))*
  (VALUE(TEXT(Contract_Edits[Index],"0"))&lt;VALUE(TEXT(Contract_Edits[[#This Row],[Index]],"0")))
)</f>
        <v>1</v>
      </c>
      <c r="AO40" s="35"/>
      <c r="AP40" s="35" t="str">
        <f ca="1">IFERROR(+IF(AP$24=#REF!,Milestone_Marker,IF(AND(AP$24&gt;#REF!,AP$24&lt;#REF!+#REF!),#REF!,"")),"")</f>
        <v/>
      </c>
      <c r="AQ40" s="35" t="str">
        <f ca="1">IFERROR(+IF(AQ$24=#REF!,Milestone_Marker,IF(AND(AQ$24&gt;#REF!,AQ$24&lt;#REF!+#REF!),#REF!,"")),"")</f>
        <v/>
      </c>
      <c r="AR40" s="35" t="str">
        <f ca="1">IFERROR(+IF(AR$24=#REF!,Milestone_Marker,IF(AND(AR$24&gt;#REF!,AR$24&lt;#REF!+#REF!),#REF!,"")),"")</f>
        <v/>
      </c>
      <c r="AS40" s="35" t="str">
        <f ca="1">IFERROR(+IF(AS$24=#REF!,Milestone_Marker,IF(AND(AS$24&gt;#REF!,AS$24&lt;#REF!+#REF!),#REF!,"")),"")</f>
        <v/>
      </c>
      <c r="AT40" s="35" t="str">
        <f ca="1">IFERROR(+IF(AT$24=#REF!,Milestone_Marker,IF(AND(AT$24&gt;#REF!,AT$24&lt;#REF!+#REF!),#REF!,"")),"")</f>
        <v/>
      </c>
      <c r="AU40" s="35" t="str">
        <f ca="1">IFERROR(+IF(AU$24=#REF!,Milestone_Marker,IF(AND(AU$24&gt;#REF!,AU$24&lt;#REF!+#REF!),#REF!,"")),"")</f>
        <v/>
      </c>
      <c r="AV40" s="35" t="str">
        <f ca="1">IFERROR(+IF(AV$24=#REF!,Milestone_Marker,IF(AND(AV$24&gt;#REF!,AV$24&lt;#REF!+#REF!),#REF!,"")),"")</f>
        <v/>
      </c>
      <c r="AW40" s="35" t="str">
        <f ca="1">IFERROR(+IF(AW$24=#REF!,Milestone_Marker,IF(AND(AW$24&gt;#REF!,AW$24&lt;#REF!+#REF!),#REF!,"")),"")</f>
        <v/>
      </c>
      <c r="AX40" s="35" t="str">
        <f ca="1">IFERROR(+IF(AX$24=#REF!,Milestone_Marker,IF(AND(AX$24&gt;#REF!,AX$24&lt;#REF!+#REF!),#REF!,"")),"")</f>
        <v/>
      </c>
      <c r="AY40" s="35" t="str">
        <f ca="1">IFERROR(+IF(AY$24=#REF!,Milestone_Marker,IF(AND(AY$24&gt;#REF!,AY$24&lt;#REF!+#REF!),#REF!,"")),"")</f>
        <v/>
      </c>
      <c r="AZ40" s="35" t="str">
        <f ca="1">IFERROR(+IF(AZ$24=#REF!,Milestone_Marker,IF(AND(AZ$24&gt;#REF!,AZ$24&lt;#REF!+#REF!),#REF!,"")),"")</f>
        <v/>
      </c>
      <c r="BA40" s="35" t="str">
        <f ca="1">IFERROR(+IF(BA$24=#REF!,Milestone_Marker,IF(AND(BA$24&gt;#REF!,BA$24&lt;#REF!+#REF!),#REF!,"")),"")</f>
        <v/>
      </c>
      <c r="BB40" s="35" t="str">
        <f ca="1">IFERROR(+IF(BB$24=#REF!,Milestone_Marker,IF(AND(BB$24&gt;#REF!,BB$24&lt;#REF!+#REF!),#REF!,"")),"")</f>
        <v/>
      </c>
      <c r="BC40" s="35" t="str">
        <f ca="1">IFERROR(+IF(BC$24=#REF!,Milestone_Marker,IF(AND(BC$24&gt;#REF!,BC$24&lt;#REF!+#REF!),#REF!,"")),"")</f>
        <v/>
      </c>
      <c r="BD40" s="35" t="str">
        <f ca="1">IFERROR(+IF(BD$24=#REF!,Milestone_Marker,IF(AND(BD$24&gt;#REF!,BD$24&lt;#REF!+#REF!),#REF!,"")),"")</f>
        <v/>
      </c>
      <c r="BE40" s="35" t="str">
        <f ca="1">IFERROR(+IF(BE$24=#REF!,Milestone_Marker,IF(AND(BE$24&gt;#REF!,BE$24&lt;#REF!+#REF!),#REF!,"")),"")</f>
        <v/>
      </c>
      <c r="BF40" s="35" t="str">
        <f ca="1">IFERROR(+IF(BF$24=#REF!,Milestone_Marker,IF(AND(BF$24&gt;#REF!,BF$24&lt;#REF!+#REF!),#REF!,"")),"")</f>
        <v/>
      </c>
      <c r="BG40" s="35" t="str">
        <f ca="1">IFERROR(+IF(BG$24=#REF!,Milestone_Marker,IF(AND(BG$24&gt;#REF!,BG$24&lt;#REF!+#REF!),#REF!,"")),"")</f>
        <v/>
      </c>
      <c r="BH40" s="35" t="str">
        <f ca="1">IFERROR(+IF(BH$24=#REF!,Milestone_Marker,IF(AND(BH$24&gt;#REF!,BH$24&lt;#REF!+#REF!),#REF!,"")),"")</f>
        <v/>
      </c>
      <c r="BI40" s="35" t="str">
        <f ca="1">IFERROR(+IF(BI$24=#REF!,Milestone_Marker,IF(AND(BI$24&gt;#REF!,BI$24&lt;#REF!+#REF!),#REF!,"")),"")</f>
        <v/>
      </c>
      <c r="BJ40" s="35" t="str">
        <f ca="1">IFERROR(+IF(BJ$24=#REF!,Milestone_Marker,IF(AND(BJ$24&gt;#REF!,BJ$24&lt;#REF!+#REF!),#REF!,"")),"")</f>
        <v/>
      </c>
      <c r="BK40" s="35" t="str">
        <f ca="1">IFERROR(+IF(BK$24=#REF!,Milestone_Marker,IF(AND(BK$24&gt;#REF!,BK$24&lt;#REF!+#REF!),#REF!,"")),"")</f>
        <v/>
      </c>
      <c r="BL40" s="35" t="str">
        <f ca="1">IFERROR(+IF(BL$24=#REF!,Milestone_Marker,IF(AND(BL$24&gt;#REF!,BL$24&lt;#REF!+#REF!),#REF!,"")),"")</f>
        <v/>
      </c>
      <c r="BM40" s="35" t="str">
        <f ca="1">IFERROR(+IF(BM$24=#REF!,Milestone_Marker,IF(AND(BM$24&gt;#REF!,BM$24&lt;#REF!+#REF!),#REF!,"")),"")</f>
        <v/>
      </c>
      <c r="BN40" s="35" t="str">
        <f ca="1">IFERROR(+IF(BN$24=#REF!,Milestone_Marker,IF(AND(BN$24&gt;#REF!,BN$24&lt;#REF!+#REF!),#REF!,"")),"")</f>
        <v/>
      </c>
      <c r="BO40" s="35" t="str">
        <f ca="1">IFERROR(+IF(BO$24=#REF!,Milestone_Marker,IF(AND(BO$24&gt;#REF!,BO$24&lt;#REF!+#REF!),#REF!,"")),"")</f>
        <v/>
      </c>
      <c r="BP40" s="35" t="str">
        <f ca="1">IFERROR(+IF(BP$24=#REF!,Milestone_Marker,IF(AND(BP$24&gt;#REF!,BP$24&lt;#REF!+#REF!),#REF!,"")),"")</f>
        <v/>
      </c>
      <c r="BQ40" s="35" t="str">
        <f ca="1">IFERROR(+IF(BQ$24=#REF!,Milestone_Marker,IF(AND(BQ$24&gt;#REF!,BQ$24&lt;#REF!+#REF!),#REF!,"")),"")</f>
        <v/>
      </c>
      <c r="BR40" s="35" t="str">
        <f ca="1">IFERROR(+IF(BR$24=#REF!,Milestone_Marker,IF(AND(BR$24&gt;#REF!,BR$24&lt;#REF!+#REF!),#REF!,"")),"")</f>
        <v/>
      </c>
      <c r="BS40" s="35" t="str">
        <f ca="1">IFERROR(+IF(BS$24=#REF!,Milestone_Marker,IF(AND(BS$24&gt;#REF!,BS$24&lt;#REF!+#REF!),#REF!,"")),"")</f>
        <v/>
      </c>
      <c r="BT40" s="35" t="str">
        <f ca="1">IFERROR(+IF(BT$24=#REF!,Milestone_Marker,IF(AND(BT$24&gt;#REF!,BT$24&lt;#REF!+#REF!),#REF!,"")),"")</f>
        <v/>
      </c>
      <c r="BU40" s="35" t="str">
        <f ca="1">IFERROR(+IF(BU$24=#REF!,Milestone_Marker,IF(AND(BU$24&gt;#REF!,BU$24&lt;#REF!+#REF!),#REF!,"")),"")</f>
        <v/>
      </c>
      <c r="BV40" s="35" t="str">
        <f ca="1">IFERROR(+IF(BV$24=#REF!,Milestone_Marker,IF(AND(BV$24&gt;#REF!,BV$24&lt;#REF!+#REF!),#REF!,"")),"")</f>
        <v/>
      </c>
      <c r="BW40" s="35" t="str">
        <f ca="1">IFERROR(+IF(BW$24=#REF!,Milestone_Marker,IF(AND(BW$24&gt;#REF!,BW$24&lt;#REF!+#REF!),#REF!,"")),"")</f>
        <v/>
      </c>
      <c r="BX40" s="35" t="str">
        <f ca="1">IFERROR(+IF(BX$24=#REF!,Milestone_Marker,IF(AND(BX$24&gt;#REF!,BX$24&lt;#REF!+#REF!),#REF!,"")),"")</f>
        <v/>
      </c>
      <c r="BY40" s="35" t="str">
        <f ca="1">IFERROR(+IF(BY$24=#REF!,Milestone_Marker,IF(AND(BY$24&gt;#REF!,BY$24&lt;#REF!+#REF!),#REF!,"")),"")</f>
        <v/>
      </c>
      <c r="BZ40" s="35" t="str">
        <f ca="1">IFERROR(+IF(BZ$24=#REF!,Milestone_Marker,IF(AND(BZ$24&gt;#REF!,BZ$24&lt;#REF!+#REF!),#REF!,"")),"")</f>
        <v/>
      </c>
      <c r="CA40" s="35" t="str">
        <f ca="1">IFERROR(+IF(CA$24=#REF!,Milestone_Marker,IF(AND(CA$24&gt;#REF!,CA$24&lt;#REF!+#REF!),#REF!,"")),"")</f>
        <v/>
      </c>
      <c r="CB40" s="35" t="str">
        <f ca="1">IFERROR(+IF(CB$24=#REF!,Milestone_Marker,IF(AND(CB$24&gt;#REF!,CB$24&lt;#REF!+#REF!),#REF!,"")),"")</f>
        <v/>
      </c>
      <c r="CC40" s="35" t="str">
        <f ca="1">IFERROR(+IF(CC$24=#REF!,Milestone_Marker,IF(AND(CC$24&gt;#REF!,CC$24&lt;#REF!+#REF!),#REF!,"")),"")</f>
        <v/>
      </c>
      <c r="CD40" s="35" t="str">
        <f ca="1">IFERROR(+IF(CD$24=#REF!,Milestone_Marker,IF(AND(CD$24&gt;#REF!,CD$24&lt;#REF!+#REF!),#REF!,"")),"")</f>
        <v/>
      </c>
      <c r="CE40" s="35" t="str">
        <f ca="1">IFERROR(+IF(CE$24=#REF!,Milestone_Marker,IF(AND(CE$24&gt;#REF!,CE$24&lt;#REF!+#REF!),#REF!,"")),"")</f>
        <v/>
      </c>
      <c r="CF40" s="35" t="str">
        <f ca="1">IFERROR(+IF(CF$24=#REF!,Milestone_Marker,IF(AND(CF$24&gt;#REF!,CF$24&lt;#REF!+#REF!),#REF!,"")),"")</f>
        <v/>
      </c>
      <c r="CG40" s="35" t="str">
        <f ca="1">IFERROR(+IF(CG$24=#REF!,Milestone_Marker,IF(AND(CG$24&gt;#REF!,CG$24&lt;#REF!+#REF!),#REF!,"")),"")</f>
        <v/>
      </c>
      <c r="CH40" s="35" t="str">
        <f ca="1">IFERROR(+IF(CH$24=#REF!,Milestone_Marker,IF(AND(CH$24&gt;#REF!,CH$24&lt;#REF!+#REF!),#REF!,"")),"")</f>
        <v/>
      </c>
      <c r="CI40" s="35" t="str">
        <f ca="1">IFERROR(+IF(CI$24=#REF!,Milestone_Marker,IF(AND(CI$24&gt;#REF!,CI$24&lt;#REF!+#REF!),#REF!,"")),"")</f>
        <v/>
      </c>
      <c r="CJ40" s="35" t="str">
        <f ca="1">IFERROR(+IF(CJ$24=#REF!,Milestone_Marker,IF(AND(CJ$24&gt;#REF!,CJ$24&lt;#REF!+#REF!),#REF!,"")),"")</f>
        <v/>
      </c>
      <c r="CK40" s="35" t="str">
        <f ca="1">IFERROR(+IF(CK$24=#REF!,Milestone_Marker,IF(AND(CK$24&gt;#REF!,CK$24&lt;#REF!+#REF!),#REF!,"")),"")</f>
        <v/>
      </c>
      <c r="CL40" s="35" t="str">
        <f ca="1">IFERROR(+IF(CL$24=#REF!,Milestone_Marker,IF(AND(CL$24&gt;#REF!,CL$24&lt;#REF!+#REF!),#REF!,"")),"")</f>
        <v/>
      </c>
      <c r="CM40" s="35" t="str">
        <f ca="1">IFERROR(+IF(CM$24=#REF!,Milestone_Marker,IF(AND(CM$24&gt;#REF!,CM$24&lt;#REF!+#REF!),#REF!,"")),"")</f>
        <v/>
      </c>
      <c r="CN40" s="35" t="str">
        <f ca="1">IFERROR(+IF(CN$24=#REF!,Milestone_Marker,IF(AND(CN$24&gt;#REF!,CN$24&lt;#REF!+#REF!),#REF!,"")),"")</f>
        <v/>
      </c>
      <c r="CO40" s="35" t="str">
        <f ca="1">IFERROR(+IF(CO$24=#REF!,Milestone_Marker,IF(AND(CO$24&gt;#REF!,CO$24&lt;#REF!+#REF!),#REF!,"")),"")</f>
        <v/>
      </c>
      <c r="CP40" s="35" t="str">
        <f ca="1">IFERROR(+IF(CP$24=#REF!,Milestone_Marker,IF(AND(CP$24&gt;#REF!,CP$24&lt;#REF!+#REF!),#REF!,"")),"")</f>
        <v/>
      </c>
      <c r="CQ40" s="35" t="str">
        <f ca="1">IFERROR(+IF(CQ$24=#REF!,Milestone_Marker,IF(AND(CQ$24&gt;#REF!,CQ$24&lt;#REF!+#REF!),#REF!,"")),"")</f>
        <v/>
      </c>
      <c r="CR40" s="35" t="str">
        <f ca="1">IFERROR(+IF(CR$24=#REF!,Milestone_Marker,IF(AND(CR$24&gt;#REF!,CR$24&lt;#REF!+#REF!),#REF!,"")),"")</f>
        <v/>
      </c>
      <c r="CS40" s="35" t="str">
        <f ca="1">IFERROR(+IF(CS$24=#REF!,Milestone_Marker,IF(AND(CS$24&gt;#REF!,CS$24&lt;#REF!+#REF!),#REF!,"")),"")</f>
        <v/>
      </c>
      <c r="CT40" s="35" t="str">
        <f ca="1">IFERROR(+IF(CT$24=#REF!,Milestone_Marker,IF(AND(CT$24&gt;#REF!,CT$24&lt;#REF!+#REF!),#REF!,"")),"")</f>
        <v/>
      </c>
      <c r="CU40" s="35" t="str">
        <f ca="1">IFERROR(+IF(CU$24=#REF!,Milestone_Marker,IF(AND(CU$24&gt;#REF!,CU$24&lt;#REF!+#REF!),#REF!,"")),"")</f>
        <v/>
      </c>
      <c r="CV40" s="35" t="str">
        <f ca="1">IFERROR(+IF(CV$24=#REF!,Milestone_Marker,IF(AND(CV$24&gt;#REF!,CV$24&lt;#REF!+#REF!),#REF!,"")),"")</f>
        <v/>
      </c>
      <c r="CW40" s="35" t="str">
        <f ca="1">IFERROR(+IF(CW$24=#REF!,Milestone_Marker,IF(AND(CW$24&gt;#REF!,CW$24&lt;#REF!+#REF!),#REF!,"")),"")</f>
        <v/>
      </c>
      <c r="CX40" s="35" t="str">
        <f ca="1">IFERROR(+IF(CX$24=#REF!,Milestone_Marker,IF(AND(CX$24&gt;#REF!,CX$24&lt;#REF!+#REF!),#REF!,"")),"")</f>
        <v/>
      </c>
      <c r="CY40" s="35" t="str">
        <f ca="1">IFERROR(+IF(CY$24=#REF!,Milestone_Marker,IF(AND(CY$24&gt;#REF!,CY$24&lt;#REF!+#REF!),#REF!,"")),"")</f>
        <v/>
      </c>
      <c r="CZ40" s="35" t="str">
        <f ca="1">IFERROR(+IF(CZ$24=#REF!,Milestone_Marker,IF(AND(CZ$24&gt;#REF!,CZ$24&lt;#REF!+#REF!),#REF!,"")),"")</f>
        <v/>
      </c>
      <c r="DA40" s="35" t="str">
        <f ca="1">IFERROR(+IF(DA$24=#REF!,Milestone_Marker,IF(AND(DA$24&gt;#REF!,DA$24&lt;#REF!+#REF!),#REF!,"")),"")</f>
        <v/>
      </c>
      <c r="DB40" s="35" t="str">
        <f ca="1">IFERROR(+IF(DB$24=#REF!,Milestone_Marker,IF(AND(DB$24&gt;#REF!,DB$24&lt;#REF!+#REF!),#REF!,"")),"")</f>
        <v/>
      </c>
      <c r="DC40" s="35" t="str">
        <f ca="1">IFERROR(+IF(DC$24=#REF!,Milestone_Marker,IF(AND(DC$24&gt;#REF!,DC$24&lt;#REF!+#REF!),#REF!,"")),"")</f>
        <v/>
      </c>
      <c r="DD40" s="35" t="str">
        <f ca="1">IFERROR(+IF(DD$24=#REF!,Milestone_Marker,IF(AND(DD$24&gt;#REF!,DD$24&lt;#REF!+#REF!),#REF!,"")),"")</f>
        <v/>
      </c>
      <c r="DE40" s="35" t="str">
        <f ca="1">IFERROR(+IF(DE$24=#REF!,Milestone_Marker,IF(AND(DE$24&gt;#REF!,DE$24&lt;#REF!+#REF!),#REF!,"")),"")</f>
        <v/>
      </c>
      <c r="DF40" s="35"/>
      <c r="DG40" s="35"/>
      <c r="DH40" s="35"/>
      <c r="DI40" s="35"/>
      <c r="DJ40" s="35"/>
      <c r="DK40" s="35"/>
      <c r="DL40" s="35"/>
      <c r="DM40" s="35"/>
      <c r="DN40" s="35"/>
      <c r="DO40" s="35"/>
      <c r="DP40" s="35"/>
      <c r="DQ40" s="35"/>
      <c r="DR40" s="35"/>
      <c r="DS40" s="35"/>
      <c r="DT40" s="35"/>
      <c r="DU40" s="35"/>
      <c r="DV40" s="35"/>
      <c r="DW40" s="35"/>
      <c r="DX40" s="35"/>
      <c r="DY40" s="35"/>
      <c r="DZ40" s="35"/>
      <c r="EA40" s="35"/>
      <c r="EB40" s="35"/>
      <c r="EC40" s="35"/>
      <c r="ED40" s="35"/>
      <c r="EE40" s="35"/>
    </row>
    <row r="41" spans="1:135" s="40" customFormat="1" ht="15">
      <c r="A41" t="s">
        <v>747</v>
      </c>
      <c r="B41" t="s">
        <v>744</v>
      </c>
      <c r="C41" t="s">
        <v>751</v>
      </c>
      <c r="D41" s="458" t="s">
        <v>752</v>
      </c>
      <c r="E41" s="458">
        <v>0</v>
      </c>
      <c r="F41"/>
      <c r="G41"/>
      <c r="H41">
        <v>152</v>
      </c>
      <c r="I41"/>
      <c r="J41">
        <v>153</v>
      </c>
      <c r="K41" s="107"/>
      <c r="L41" s="463">
        <v>153</v>
      </c>
      <c r="M41" s="490"/>
      <c r="N41" s="160">
        <v>0</v>
      </c>
      <c r="O41" s="546" cm="1">
        <f t="array" ref="O4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45964</v>
      </c>
      <c r="P41" s="567"/>
      <c r="Q41" s="567"/>
      <c r="R41" s="499"/>
      <c r="S41" s="463" cm="1">
        <f t="array" ref="S4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152</v>
      </c>
      <c r="T41" s="34">
        <v>1</v>
      </c>
      <c r="U41" s="490"/>
      <c r="V4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35.01</v>
      </c>
      <c r="W41" s="557"/>
      <c r="X41" s="545"/>
      <c r="Y41" s="548"/>
      <c r="Z41" s="535" t="s">
        <v>458</v>
      </c>
      <c r="AA41" s="544"/>
      <c r="AB41" cm="1">
        <f t="array" ref="AB41">ROW()-ROW(Contract_Edits[#Headers])</f>
        <v>17</v>
      </c>
      <c r="AC41">
        <f>IF(Contract_Edits[[#This Row],[RowPos]]&gt;1, Contract_Edits[[#This Row],[RowPos]]-1, 0)</f>
        <v>16</v>
      </c>
      <c r="AD41" s="35">
        <f>IF(N(Contract_Edits[[#This Row],[Dep]])=0, N(Contract_Edits[[#This Row],[Index]]), N(Contract_Edits[[#This Row],[Dep]]))</f>
        <v>152</v>
      </c>
      <c r="AE41" s="35" cm="1">
        <f t="array" ref="AE41">IF(OR(Contract_Edits[[#This Row],[Dep]]=0, TRIM(Contract_Edits[[#This Row],[Dep]])=""),
   0,
   IFERROR(
      _xlfn.XLOOKUP(1, (Contract_Edits[Dep]=Contract_Edits[[#This Row],[Dep]])*(Contract_Edits[RowPos]&lt;Contract_Edits[[#This Row],[RowPos]]), Contract_Edits[RowPos], , 0, -1),
      0
   )
)</f>
        <v>16</v>
      </c>
      <c r="AF41" s="35">
        <f>IF(OR(Contract_Edits[[#This Row],[Dep]]=0,Contract_Edits[[#This Row],[Dep]]=""),0,
   COUNTIFS(Contract_Edits[Dep],Contract_Edits[[#This Row],[Dep]],Contract_Edits[RowPos],"&lt;="&amp;Contract_Edits[[#This Row],[RowPos]],Contract_Edits[Approve],"Yes")
)</f>
        <v>2</v>
      </c>
      <c r="AG41" s="517">
        <f>--(
  ISNUMBER(SEARCH("BASE PARENT", UPPER(CLEAN(TRIM(_xlfn.XLOOKUP(TEXT(Contract_Edits[[#This Row],[Index]],"0"), baseIdxTxt, baseCost, "")))))) +
  ISNUMBER(SEARCH("DEPENDENCY GROUP", UPPER(CLEAN(TRIM(_xlfn.XLOOKUP(TEXT(Contract_Edits[[#This Row],[Index]],"0"), baseIdxTxt, baseCost, ""))))))
)</f>
        <v>1</v>
      </c>
      <c r="AH41" s="517" cm="1">
        <f t="array" ref="AH41">IF(Contract_Edits[[#This Row],[BaseFlag]]=1,
   10*BaseDepthL(TEXT(Contract_Edits[[#This Row],[Index]],"0"),500,editsIdxTxt,editsParentKeyTxt,baseIdxTxt,baseCost)-5,
   ""
)</f>
        <v>35</v>
      </c>
      <c r="AI41" s="517" cm="1">
        <f t="array" ref="AI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25</v>
      </c>
      <c r="AJ41" s="517" t="str">
        <f>IF(Contract_Edits[[#This Row],[Dep]]=0,"Root",
   IF(ISNUMBER(MATCH(Contract_Edits[[#This Row],[Dep]],Contract_Edits[Index],0)),"OK","Missing")
)</f>
        <v>OK</v>
      </c>
      <c r="AK41" s="517" t="str">
        <f>IF(AND(Contract_Edits[[#This Row],[Dep]]&lt;&gt;0,
        ISNUMBER(MATCH(Contract_Edits[[#This Row],[Dep]], Contract_Edits[Index], 0)),
        INDEX(Contract_Edits[Dep], MATCH(Contract_Edits[[#This Row],[Dep]], Contract_Edits[Index], 0))=Contract_Edits[[#This Row],[Index]]),
   "2-cycle","")</f>
        <v/>
      </c>
      <c r="AL41" s="517" cm="1">
        <f t="array" ref="AL41">IF(Contract_Edits[[#This Row],[BaseFlag]]&lt;&gt;1,0,
   IF(TEXT(Contract_Edits[[#This Row],[Dep]],"0")=TEXT(Contract_Edits[[#This Row],[Index]],"0"),
      0,
      MAX(0, SUMPRODUCT(--(Contract_Edits[BaseFlag]=1),
                        --(TEXT(Contract_Edits[Dep],"0")=TEXT(Contract_Edits[[#This Row],[Dep]],"0"))) - 1)
   )
)</f>
        <v>0</v>
      </c>
      <c r="AM41" s="517" t="str" cm="1">
        <f t="array" ref="AM41">IF(Contract_Edits[[#This Row],[BaseFlag]]=1,
   TEXT(Contract_Edits[[#This Row],[Index]],"0"),
   NearestBaseL(TEXT(Contract_Edits[[#This Row],[ParentKey]],"0"),500,editsIdxTxt,editsParentKeyTxt,baseIdxTxt,baseCost)
)</f>
        <v>153</v>
      </c>
      <c r="AN41" s="517" cm="1">
        <f t="array" ref="AN41">1+SUMPRODUCT(
  (Contract_Edits[BaseFlag]=1)*
  (TEXT(Contract_Edits[ParentAnchor],"0")=TEXT(Contract_Edits[[#This Row],[ParentAnchor]],"0"))*
  (VALUE(TEXT(Contract_Edits[Index],"0"))&lt;VALUE(TEXT(Contract_Edits[[#This Row],[Index]],"0")))
)</f>
        <v>1</v>
      </c>
      <c r="AO41" s="35"/>
      <c r="AP41" s="35" t="str">
        <f ca="1">IFERROR(+IF(AP$24=#REF!,Milestone_Marker,IF(AND(AP$24&gt;#REF!,AP$24&lt;#REF!+#REF!),#REF!,"")),"")</f>
        <v/>
      </c>
      <c r="AQ41" s="35" t="str">
        <f ca="1">IFERROR(+IF(AQ$24=#REF!,Milestone_Marker,IF(AND(AQ$24&gt;#REF!,AQ$24&lt;#REF!+#REF!),#REF!,"")),"")</f>
        <v/>
      </c>
      <c r="AR41" s="35" t="str">
        <f ca="1">IFERROR(+IF(AR$24=#REF!,Milestone_Marker,IF(AND(AR$24&gt;#REF!,AR$24&lt;#REF!+#REF!),#REF!,"")),"")</f>
        <v/>
      </c>
      <c r="AS41" s="35" t="str">
        <f ca="1">IFERROR(+IF(AS$24=#REF!,Milestone_Marker,IF(AND(AS$24&gt;#REF!,AS$24&lt;#REF!+#REF!),#REF!,"")),"")</f>
        <v/>
      </c>
      <c r="AT41" s="35" t="str">
        <f ca="1">IFERROR(+IF(AT$24=#REF!,Milestone_Marker,IF(AND(AT$24&gt;#REF!,AT$24&lt;#REF!+#REF!),#REF!,"")),"")</f>
        <v/>
      </c>
      <c r="AU41" s="35" t="str">
        <f ca="1">IFERROR(+IF(AU$24=#REF!,Milestone_Marker,IF(AND(AU$24&gt;#REF!,AU$24&lt;#REF!+#REF!),#REF!,"")),"")</f>
        <v/>
      </c>
      <c r="AV41" s="35" t="str">
        <f ca="1">IFERROR(+IF(AV$24=#REF!,Milestone_Marker,IF(AND(AV$24&gt;#REF!,AV$24&lt;#REF!+#REF!),#REF!,"")),"")</f>
        <v/>
      </c>
      <c r="AW41" s="35" t="str">
        <f ca="1">IFERROR(+IF(AW$24=#REF!,Milestone_Marker,IF(AND(AW$24&gt;#REF!,AW$24&lt;#REF!+#REF!),#REF!,"")),"")</f>
        <v/>
      </c>
      <c r="AX41" s="35" t="str">
        <f ca="1">IFERROR(+IF(AX$24=#REF!,Milestone_Marker,IF(AND(AX$24&gt;#REF!,AX$24&lt;#REF!+#REF!),#REF!,"")),"")</f>
        <v/>
      </c>
      <c r="AY41" s="35" t="str">
        <f ca="1">IFERROR(+IF(AY$24=#REF!,Milestone_Marker,IF(AND(AY$24&gt;#REF!,AY$24&lt;#REF!+#REF!),#REF!,"")),"")</f>
        <v/>
      </c>
      <c r="AZ41" s="35" t="str">
        <f ca="1">IFERROR(+IF(AZ$24=#REF!,Milestone_Marker,IF(AND(AZ$24&gt;#REF!,AZ$24&lt;#REF!+#REF!),#REF!,"")),"")</f>
        <v/>
      </c>
      <c r="BA41" s="35" t="str">
        <f ca="1">IFERROR(+IF(BA$24=#REF!,Milestone_Marker,IF(AND(BA$24&gt;#REF!,BA$24&lt;#REF!+#REF!),#REF!,"")),"")</f>
        <v/>
      </c>
      <c r="BB41" s="35" t="str">
        <f ca="1">IFERROR(+IF(BB$24=#REF!,Milestone_Marker,IF(AND(BB$24&gt;#REF!,BB$24&lt;#REF!+#REF!),#REF!,"")),"")</f>
        <v/>
      </c>
      <c r="BC41" s="35" t="str">
        <f ca="1">IFERROR(+IF(BC$24=#REF!,Milestone_Marker,IF(AND(BC$24&gt;#REF!,BC$24&lt;#REF!+#REF!),#REF!,"")),"")</f>
        <v/>
      </c>
      <c r="BD41" s="35" t="str">
        <f ca="1">IFERROR(+IF(BD$24=#REF!,Milestone_Marker,IF(AND(BD$24&gt;#REF!,BD$24&lt;#REF!+#REF!),#REF!,"")),"")</f>
        <v/>
      </c>
      <c r="BE41" s="35" t="str">
        <f ca="1">IFERROR(+IF(BE$24=#REF!,Milestone_Marker,IF(AND(BE$24&gt;#REF!,BE$24&lt;#REF!+#REF!),#REF!,"")),"")</f>
        <v/>
      </c>
      <c r="BF41" s="35" t="str">
        <f ca="1">IFERROR(+IF(BF$24=#REF!,Milestone_Marker,IF(AND(BF$24&gt;#REF!,BF$24&lt;#REF!+#REF!),#REF!,"")),"")</f>
        <v/>
      </c>
      <c r="BG41" s="35" t="str">
        <f ca="1">IFERROR(+IF(BG$24=#REF!,Milestone_Marker,IF(AND(BG$24&gt;#REF!,BG$24&lt;#REF!+#REF!),#REF!,"")),"")</f>
        <v/>
      </c>
      <c r="BH41" s="35" t="str">
        <f ca="1">IFERROR(+IF(BH$24=#REF!,Milestone_Marker,IF(AND(BH$24&gt;#REF!,BH$24&lt;#REF!+#REF!),#REF!,"")),"")</f>
        <v/>
      </c>
      <c r="BI41" s="35" t="str">
        <f ca="1">IFERROR(+IF(BI$24=#REF!,Milestone_Marker,IF(AND(BI$24&gt;#REF!,BI$24&lt;#REF!+#REF!),#REF!,"")),"")</f>
        <v/>
      </c>
      <c r="BJ41" s="35" t="str">
        <f ca="1">IFERROR(+IF(BJ$24=#REF!,Milestone_Marker,IF(AND(BJ$24&gt;#REF!,BJ$24&lt;#REF!+#REF!),#REF!,"")),"")</f>
        <v/>
      </c>
      <c r="BK41" s="35" t="str">
        <f ca="1">IFERROR(+IF(BK$24=#REF!,Milestone_Marker,IF(AND(BK$24&gt;#REF!,BK$24&lt;#REF!+#REF!),#REF!,"")),"")</f>
        <v/>
      </c>
      <c r="BL41" s="35" t="str">
        <f ca="1">IFERROR(+IF(BL$24=#REF!,Milestone_Marker,IF(AND(BL$24&gt;#REF!,BL$24&lt;#REF!+#REF!),#REF!,"")),"")</f>
        <v/>
      </c>
      <c r="BM41" s="35" t="str">
        <f ca="1">IFERROR(+IF(BM$24=#REF!,Milestone_Marker,IF(AND(BM$24&gt;#REF!,BM$24&lt;#REF!+#REF!),#REF!,"")),"")</f>
        <v/>
      </c>
      <c r="BN41" s="35" t="str">
        <f ca="1">IFERROR(+IF(BN$24=#REF!,Milestone_Marker,IF(AND(BN$24&gt;#REF!,BN$24&lt;#REF!+#REF!),#REF!,"")),"")</f>
        <v/>
      </c>
      <c r="BO41" s="35" t="str">
        <f ca="1">IFERROR(+IF(BO$24=#REF!,Milestone_Marker,IF(AND(BO$24&gt;#REF!,BO$24&lt;#REF!+#REF!),#REF!,"")),"")</f>
        <v/>
      </c>
      <c r="BP41" s="35" t="str">
        <f ca="1">IFERROR(+IF(BP$24=#REF!,Milestone_Marker,IF(AND(BP$24&gt;#REF!,BP$24&lt;#REF!+#REF!),#REF!,"")),"")</f>
        <v/>
      </c>
      <c r="BQ41" s="35" t="str">
        <f ca="1">IFERROR(+IF(BQ$24=#REF!,Milestone_Marker,IF(AND(BQ$24&gt;#REF!,BQ$24&lt;#REF!+#REF!),#REF!,"")),"")</f>
        <v/>
      </c>
      <c r="BR41" s="35" t="str">
        <f ca="1">IFERROR(+IF(BR$24=#REF!,Milestone_Marker,IF(AND(BR$24&gt;#REF!,BR$24&lt;#REF!+#REF!),#REF!,"")),"")</f>
        <v/>
      </c>
      <c r="BS41" s="35" t="str">
        <f ca="1">IFERROR(+IF(BS$24=#REF!,Milestone_Marker,IF(AND(BS$24&gt;#REF!,BS$24&lt;#REF!+#REF!),#REF!,"")),"")</f>
        <v/>
      </c>
      <c r="BT41" s="35" t="str">
        <f ca="1">IFERROR(+IF(BT$24=#REF!,Milestone_Marker,IF(AND(BT$24&gt;#REF!,BT$24&lt;#REF!+#REF!),#REF!,"")),"")</f>
        <v/>
      </c>
      <c r="BU41" s="35" t="str">
        <f ca="1">IFERROR(+IF(BU$24=#REF!,Milestone_Marker,IF(AND(BU$24&gt;#REF!,BU$24&lt;#REF!+#REF!),#REF!,"")),"")</f>
        <v/>
      </c>
      <c r="BV41" s="35" t="str">
        <f ca="1">IFERROR(+IF(BV$24=#REF!,Milestone_Marker,IF(AND(BV$24&gt;#REF!,BV$24&lt;#REF!+#REF!),#REF!,"")),"")</f>
        <v/>
      </c>
      <c r="BW41" s="35" t="str">
        <f ca="1">IFERROR(+IF(BW$24=#REF!,Milestone_Marker,IF(AND(BW$24&gt;#REF!,BW$24&lt;#REF!+#REF!),#REF!,"")),"")</f>
        <v/>
      </c>
      <c r="BX41" s="35" t="str">
        <f ca="1">IFERROR(+IF(BX$24=#REF!,Milestone_Marker,IF(AND(BX$24&gt;#REF!,BX$24&lt;#REF!+#REF!),#REF!,"")),"")</f>
        <v/>
      </c>
      <c r="BY41" s="35" t="str">
        <f ca="1">IFERROR(+IF(BY$24=#REF!,Milestone_Marker,IF(AND(BY$24&gt;#REF!,BY$24&lt;#REF!+#REF!),#REF!,"")),"")</f>
        <v/>
      </c>
      <c r="BZ41" s="35" t="str">
        <f ca="1">IFERROR(+IF(BZ$24=#REF!,Milestone_Marker,IF(AND(BZ$24&gt;#REF!,BZ$24&lt;#REF!+#REF!),#REF!,"")),"")</f>
        <v/>
      </c>
      <c r="CA41" s="35" t="str">
        <f ca="1">IFERROR(+IF(CA$24=#REF!,Milestone_Marker,IF(AND(CA$24&gt;#REF!,CA$24&lt;#REF!+#REF!),#REF!,"")),"")</f>
        <v/>
      </c>
      <c r="CB41" s="35" t="str">
        <f ca="1">IFERROR(+IF(CB$24=#REF!,Milestone_Marker,IF(AND(CB$24&gt;#REF!,CB$24&lt;#REF!+#REF!),#REF!,"")),"")</f>
        <v/>
      </c>
      <c r="CC41" s="35" t="str">
        <f ca="1">IFERROR(+IF(CC$24=#REF!,Milestone_Marker,IF(AND(CC$24&gt;#REF!,CC$24&lt;#REF!+#REF!),#REF!,"")),"")</f>
        <v/>
      </c>
      <c r="CD41" s="35" t="str">
        <f ca="1">IFERROR(+IF(CD$24=#REF!,Milestone_Marker,IF(AND(CD$24&gt;#REF!,CD$24&lt;#REF!+#REF!),#REF!,"")),"")</f>
        <v/>
      </c>
      <c r="CE41" s="35" t="str">
        <f ca="1">IFERROR(+IF(CE$24=#REF!,Milestone_Marker,IF(AND(CE$24&gt;#REF!,CE$24&lt;#REF!+#REF!),#REF!,"")),"")</f>
        <v/>
      </c>
      <c r="CF41" s="35" t="str">
        <f ca="1">IFERROR(+IF(CF$24=#REF!,Milestone_Marker,IF(AND(CF$24&gt;#REF!,CF$24&lt;#REF!+#REF!),#REF!,"")),"")</f>
        <v/>
      </c>
      <c r="CG41" s="35" t="str">
        <f ca="1">IFERROR(+IF(CG$24=#REF!,Milestone_Marker,IF(AND(CG$24&gt;#REF!,CG$24&lt;#REF!+#REF!),#REF!,"")),"")</f>
        <v/>
      </c>
      <c r="CH41" s="35" t="str">
        <f ca="1">IFERROR(+IF(CH$24=#REF!,Milestone_Marker,IF(AND(CH$24&gt;#REF!,CH$24&lt;#REF!+#REF!),#REF!,"")),"")</f>
        <v/>
      </c>
      <c r="CI41" s="35" t="str">
        <f ca="1">IFERROR(+IF(CI$24=#REF!,Milestone_Marker,IF(AND(CI$24&gt;#REF!,CI$24&lt;#REF!+#REF!),#REF!,"")),"")</f>
        <v/>
      </c>
      <c r="CJ41" s="35" t="str">
        <f ca="1">IFERROR(+IF(CJ$24=#REF!,Milestone_Marker,IF(AND(CJ$24&gt;#REF!,CJ$24&lt;#REF!+#REF!),#REF!,"")),"")</f>
        <v/>
      </c>
      <c r="CK41" s="35" t="str">
        <f ca="1">IFERROR(+IF(CK$24=#REF!,Milestone_Marker,IF(AND(CK$24&gt;#REF!,CK$24&lt;#REF!+#REF!),#REF!,"")),"")</f>
        <v/>
      </c>
      <c r="CL41" s="35" t="str">
        <f ca="1">IFERROR(+IF(CL$24=#REF!,Milestone_Marker,IF(AND(CL$24&gt;#REF!,CL$24&lt;#REF!+#REF!),#REF!,"")),"")</f>
        <v/>
      </c>
      <c r="CM41" s="35" t="str">
        <f ca="1">IFERROR(+IF(CM$24=#REF!,Milestone_Marker,IF(AND(CM$24&gt;#REF!,CM$24&lt;#REF!+#REF!),#REF!,"")),"")</f>
        <v/>
      </c>
      <c r="CN41" s="35" t="str">
        <f ca="1">IFERROR(+IF(CN$24=#REF!,Milestone_Marker,IF(AND(CN$24&gt;#REF!,CN$24&lt;#REF!+#REF!),#REF!,"")),"")</f>
        <v/>
      </c>
      <c r="CO41" s="35" t="str">
        <f ca="1">IFERROR(+IF(CO$24=#REF!,Milestone_Marker,IF(AND(CO$24&gt;#REF!,CO$24&lt;#REF!+#REF!),#REF!,"")),"")</f>
        <v/>
      </c>
      <c r="CP41" s="35" t="str">
        <f ca="1">IFERROR(+IF(CP$24=#REF!,Milestone_Marker,IF(AND(CP$24&gt;#REF!,CP$24&lt;#REF!+#REF!),#REF!,"")),"")</f>
        <v/>
      </c>
      <c r="CQ41" s="35" t="str">
        <f ca="1">IFERROR(+IF(CQ$24=#REF!,Milestone_Marker,IF(AND(CQ$24&gt;#REF!,CQ$24&lt;#REF!+#REF!),#REF!,"")),"")</f>
        <v/>
      </c>
      <c r="CR41" s="35" t="str">
        <f ca="1">IFERROR(+IF(CR$24=#REF!,Milestone_Marker,IF(AND(CR$24&gt;#REF!,CR$24&lt;#REF!+#REF!),#REF!,"")),"")</f>
        <v/>
      </c>
      <c r="CS41" s="35" t="str">
        <f ca="1">IFERROR(+IF(CS$24=#REF!,Milestone_Marker,IF(AND(CS$24&gt;#REF!,CS$24&lt;#REF!+#REF!),#REF!,"")),"")</f>
        <v/>
      </c>
      <c r="CT41" s="35" t="str">
        <f ca="1">IFERROR(+IF(CT$24=#REF!,Milestone_Marker,IF(AND(CT$24&gt;#REF!,CT$24&lt;#REF!+#REF!),#REF!,"")),"")</f>
        <v/>
      </c>
      <c r="CU41" s="35" t="str">
        <f ca="1">IFERROR(+IF(CU$24=#REF!,Milestone_Marker,IF(AND(CU$24&gt;#REF!,CU$24&lt;#REF!+#REF!),#REF!,"")),"")</f>
        <v/>
      </c>
      <c r="CV41" s="35" t="str">
        <f ca="1">IFERROR(+IF(CV$24=#REF!,Milestone_Marker,IF(AND(CV$24&gt;#REF!,CV$24&lt;#REF!+#REF!),#REF!,"")),"")</f>
        <v/>
      </c>
      <c r="CW41" s="35" t="str">
        <f ca="1">IFERROR(+IF(CW$24=#REF!,Milestone_Marker,IF(AND(CW$24&gt;#REF!,CW$24&lt;#REF!+#REF!),#REF!,"")),"")</f>
        <v/>
      </c>
      <c r="CX41" s="35" t="str">
        <f ca="1">IFERROR(+IF(CX$24=#REF!,Milestone_Marker,IF(AND(CX$24&gt;#REF!,CX$24&lt;#REF!+#REF!),#REF!,"")),"")</f>
        <v/>
      </c>
      <c r="CY41" s="35" t="str">
        <f ca="1">IFERROR(+IF(CY$24=#REF!,Milestone_Marker,IF(AND(CY$24&gt;#REF!,CY$24&lt;#REF!+#REF!),#REF!,"")),"")</f>
        <v/>
      </c>
      <c r="CZ41" s="35" t="str">
        <f ca="1">IFERROR(+IF(CZ$24=#REF!,Milestone_Marker,IF(AND(CZ$24&gt;#REF!,CZ$24&lt;#REF!+#REF!),#REF!,"")),"")</f>
        <v/>
      </c>
      <c r="DA41" s="35" t="str">
        <f ca="1">IFERROR(+IF(DA$24=#REF!,Milestone_Marker,IF(AND(DA$24&gt;#REF!,DA$24&lt;#REF!+#REF!),#REF!,"")),"")</f>
        <v/>
      </c>
      <c r="DB41" s="35" t="str">
        <f ca="1">IFERROR(+IF(DB$24=#REF!,Milestone_Marker,IF(AND(DB$24&gt;#REF!,DB$24&lt;#REF!+#REF!),#REF!,"")),"")</f>
        <v/>
      </c>
      <c r="DC41" s="35" t="str">
        <f ca="1">IFERROR(+IF(DC$24=#REF!,Milestone_Marker,IF(AND(DC$24&gt;#REF!,DC$24&lt;#REF!+#REF!),#REF!,"")),"")</f>
        <v/>
      </c>
      <c r="DD41" s="35" t="str">
        <f ca="1">IFERROR(+IF(DD$24=#REF!,Milestone_Marker,IF(AND(DD$24&gt;#REF!,DD$24&lt;#REF!+#REF!),#REF!,"")),"")</f>
        <v/>
      </c>
      <c r="DE41" s="35" t="str">
        <f ca="1">IFERROR(+IF(DE$24=#REF!,Milestone_Marker,IF(AND(DE$24&gt;#REF!,DE$24&lt;#REF!+#REF!),#REF!,"")),"")</f>
        <v/>
      </c>
      <c r="DF41" s="35"/>
      <c r="DG41" s="35"/>
      <c r="DH41" s="35"/>
      <c r="DI41" s="35"/>
      <c r="DJ41" s="35"/>
      <c r="DK41" s="35"/>
      <c r="DL41" s="35"/>
      <c r="DM41" s="35"/>
      <c r="DN41" s="35"/>
      <c r="DO41" s="35"/>
      <c r="DP41" s="35"/>
      <c r="DQ41" s="35"/>
      <c r="DR41" s="35"/>
      <c r="DS41" s="35"/>
      <c r="DT41" s="35"/>
      <c r="DU41" s="35"/>
      <c r="DV41" s="35"/>
      <c r="DW41" s="35"/>
      <c r="DX41" s="35"/>
      <c r="DY41" s="35"/>
      <c r="DZ41" s="35"/>
      <c r="EA41" s="35"/>
      <c r="EB41" s="35"/>
      <c r="EC41" s="35"/>
      <c r="ED41" s="35"/>
      <c r="EE41" s="35"/>
    </row>
    <row r="42" spans="1:135" s="40" customFormat="1" ht="15">
      <c r="A42" t="s">
        <v>519</v>
      </c>
      <c r="B42" t="s">
        <v>555</v>
      </c>
      <c r="C42" t="s">
        <v>564</v>
      </c>
      <c r="D42" s="458" t="s">
        <v>565</v>
      </c>
      <c r="E42" s="458">
        <v>2</v>
      </c>
      <c r="F42">
        <v>580</v>
      </c>
      <c r="G42">
        <v>1160</v>
      </c>
      <c r="H42">
        <v>153</v>
      </c>
      <c r="I42"/>
      <c r="J42">
        <v>23</v>
      </c>
      <c r="K42" s="107"/>
      <c r="L42" s="463">
        <v>23</v>
      </c>
      <c r="M42" s="176">
        <v>1</v>
      </c>
      <c r="N42" s="160">
        <v>0</v>
      </c>
      <c r="O42" s="546" cm="1">
        <f t="array" ref="O4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45964</v>
      </c>
      <c r="P42" s="566" t="s">
        <v>797</v>
      </c>
      <c r="Q42" s="566">
        <v>0</v>
      </c>
      <c r="R42" s="22"/>
      <c r="S42" s="463" cm="1">
        <f t="array" ref="S4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153</v>
      </c>
      <c r="T42">
        <v>1</v>
      </c>
      <c r="U42" s="176"/>
      <c r="V4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35.010100000000001</v>
      </c>
      <c r="W42" s="497"/>
      <c r="X42" s="176" t="s">
        <v>852</v>
      </c>
      <c r="Y42" s="547" t="s">
        <v>862</v>
      </c>
      <c r="Z42" s="160" t="s">
        <v>458</v>
      </c>
      <c r="AA42" s="563">
        <v>101400</v>
      </c>
      <c r="AB42" cm="1">
        <f t="array" ref="AB42">ROW()-ROW(Contract_Edits[#Headers])</f>
        <v>18</v>
      </c>
      <c r="AC42">
        <f>IF(Contract_Edits[[#This Row],[RowPos]]&gt;1, Contract_Edits[[#This Row],[RowPos]]-1, 0)</f>
        <v>17</v>
      </c>
      <c r="AD42" s="35">
        <f>IF(N(Contract_Edits[[#This Row],[Dep]])=0, N(Contract_Edits[[#This Row],[Index]]), N(Contract_Edits[[#This Row],[Dep]]))</f>
        <v>153</v>
      </c>
      <c r="AE42" s="35" cm="1">
        <f t="array" ref="AE42">IF(OR(Contract_Edits[[#This Row],[Dep]]=0, TRIM(Contract_Edits[[#This Row],[Dep]])=""),
   0,
   IFERROR(
      _xlfn.XLOOKUP(1, (Contract_Edits[Dep]=Contract_Edits[[#This Row],[Dep]])*(Contract_Edits[RowPos]&lt;Contract_Edits[[#This Row],[RowPos]]), Contract_Edits[RowPos], , 0, -1),
      0
   )
)</f>
        <v>0</v>
      </c>
      <c r="AF42" s="35">
        <f>IF(OR(Contract_Edits[[#This Row],[Dep]]=0,Contract_Edits[[#This Row],[Dep]]=""),0,
   COUNTIFS(Contract_Edits[Dep],Contract_Edits[[#This Row],[Dep]],Contract_Edits[RowPos],"&lt;="&amp;Contract_Edits[[#This Row],[RowPos]],Contract_Edits[Approve],"Yes")
)</f>
        <v>1</v>
      </c>
      <c r="AG42" s="517">
        <f>--(
  ISNUMBER(SEARCH("BASE PARENT", UPPER(CLEAN(TRIM(_xlfn.XLOOKUP(TEXT(Contract_Edits[[#This Row],[Index]],"0"), baseIdxTxt, baseCost, "")))))) +
  ISNUMBER(SEARCH("DEPENDENCY GROUP", UPPER(CLEAN(TRIM(_xlfn.XLOOKUP(TEXT(Contract_Edits[[#This Row],[Index]],"0"), baseIdxTxt, baseCost, ""))))))
)</f>
        <v>0</v>
      </c>
      <c r="AH42" s="517" t="str" cm="1">
        <f t="array" ref="AH42">IF(Contract_Edits[[#This Row],[BaseFlag]]=1,
   10*BaseDepthL(TEXT(Contract_Edits[[#This Row],[Index]],"0"),500,editsIdxTxt,editsParentKeyTxt,baseIdxTxt,baseCost)-5,
   ""
)</f>
        <v/>
      </c>
      <c r="AI42" s="517" cm="1">
        <f t="array" ref="AI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J42" s="517" t="str">
        <f>IF(Contract_Edits[[#This Row],[Dep]]=0,"Root",
   IF(ISNUMBER(MATCH(Contract_Edits[[#This Row],[Dep]],Contract_Edits[Index],0)),"OK","Missing")
)</f>
        <v>OK</v>
      </c>
      <c r="AK42" s="517" t="str">
        <f>IF(AND(Contract_Edits[[#This Row],[Dep]]&lt;&gt;0,
        ISNUMBER(MATCH(Contract_Edits[[#This Row],[Dep]], Contract_Edits[Index], 0)),
        INDEX(Contract_Edits[Dep], MATCH(Contract_Edits[[#This Row],[Dep]], Contract_Edits[Index], 0))=Contract_Edits[[#This Row],[Index]]),
   "2-cycle","")</f>
        <v/>
      </c>
      <c r="AL42" s="517" cm="1">
        <f t="array" ref="AL42">IF(Contract_Edits[[#This Row],[BaseFlag]]&lt;&gt;1,0,
   IF(TEXT(Contract_Edits[[#This Row],[Dep]],"0")=TEXT(Contract_Edits[[#This Row],[Index]],"0"),
      0,
      MAX(0, SUMPRODUCT(--(Contract_Edits[BaseFlag]=1),
                        --(TEXT(Contract_Edits[Dep],"0")=TEXT(Contract_Edits[[#This Row],[Dep]],"0"))) - 1)
   )
)</f>
        <v>0</v>
      </c>
      <c r="AM42" s="517" t="str" cm="1">
        <f t="array" ref="AM42">IF(Contract_Edits[[#This Row],[BaseFlag]]=1,
   TEXT(Contract_Edits[[#This Row],[Index]],"0"),
   NearestBaseL(TEXT(Contract_Edits[[#This Row],[ParentKey]],"0"),500,editsIdxTxt,editsParentKeyTxt,baseIdxTxt,baseCost)
)</f>
        <v>153</v>
      </c>
      <c r="AN42" s="517" cm="1">
        <f t="array" ref="AN42">1+SUMPRODUCT(
  (Contract_Edits[BaseFlag]=1)*
  (TEXT(Contract_Edits[ParentAnchor],"0")=TEXT(Contract_Edits[[#This Row],[ParentAnchor]],"0"))*
  (VALUE(TEXT(Contract_Edits[Index],"0"))&lt;VALUE(TEXT(Contract_Edits[[#This Row],[Index]],"0")))
)</f>
        <v>1</v>
      </c>
      <c r="AO42" s="35"/>
      <c r="AP42" s="35" t="str">
        <f ca="1">IFERROR(+IF(AP$24=#REF!,Milestone_Marker,IF(AND(AP$24&gt;#REF!,AP$24&lt;#REF!+#REF!),#REF!,"")),"")</f>
        <v/>
      </c>
      <c r="AQ42" s="35" t="str">
        <f ca="1">IFERROR(+IF(AQ$24=#REF!,Milestone_Marker,IF(AND(AQ$24&gt;#REF!,AQ$24&lt;#REF!+#REF!),#REF!,"")),"")</f>
        <v/>
      </c>
      <c r="AR42" s="35" t="str">
        <f ca="1">IFERROR(+IF(AR$24=#REF!,Milestone_Marker,IF(AND(AR$24&gt;#REF!,AR$24&lt;#REF!+#REF!),#REF!,"")),"")</f>
        <v/>
      </c>
      <c r="AS42" s="35" t="str">
        <f ca="1">IFERROR(+IF(AS$24=#REF!,Milestone_Marker,IF(AND(AS$24&gt;#REF!,AS$24&lt;#REF!+#REF!),#REF!,"")),"")</f>
        <v/>
      </c>
      <c r="AT42" s="35" t="str">
        <f ca="1">IFERROR(+IF(AT$24=#REF!,Milestone_Marker,IF(AND(AT$24&gt;#REF!,AT$24&lt;#REF!+#REF!),#REF!,"")),"")</f>
        <v/>
      </c>
      <c r="AU42" s="35" t="str">
        <f ca="1">IFERROR(+IF(AU$24=#REF!,Milestone_Marker,IF(AND(AU$24&gt;#REF!,AU$24&lt;#REF!+#REF!),#REF!,"")),"")</f>
        <v/>
      </c>
      <c r="AV42" s="35" t="str">
        <f ca="1">IFERROR(+IF(AV$24=#REF!,Milestone_Marker,IF(AND(AV$24&gt;#REF!,AV$24&lt;#REF!+#REF!),#REF!,"")),"")</f>
        <v/>
      </c>
      <c r="AW42" s="35" t="str">
        <f ca="1">IFERROR(+IF(AW$24=#REF!,Milestone_Marker,IF(AND(AW$24&gt;#REF!,AW$24&lt;#REF!+#REF!),#REF!,"")),"")</f>
        <v/>
      </c>
      <c r="AX42" s="35" t="str">
        <f ca="1">IFERROR(+IF(AX$24=#REF!,Milestone_Marker,IF(AND(AX$24&gt;#REF!,AX$24&lt;#REF!+#REF!),#REF!,"")),"")</f>
        <v/>
      </c>
      <c r="AY42" s="35" t="str">
        <f ca="1">IFERROR(+IF(AY$24=#REF!,Milestone_Marker,IF(AND(AY$24&gt;#REF!,AY$24&lt;#REF!+#REF!),#REF!,"")),"")</f>
        <v/>
      </c>
      <c r="AZ42" s="35" t="str">
        <f ca="1">IFERROR(+IF(AZ$24=#REF!,Milestone_Marker,IF(AND(AZ$24&gt;#REF!,AZ$24&lt;#REF!+#REF!),#REF!,"")),"")</f>
        <v/>
      </c>
      <c r="BA42" s="35" t="str">
        <f ca="1">IFERROR(+IF(BA$24=#REF!,Milestone_Marker,IF(AND(BA$24&gt;#REF!,BA$24&lt;#REF!+#REF!),#REF!,"")),"")</f>
        <v/>
      </c>
      <c r="BB42" s="35" t="str">
        <f ca="1">IFERROR(+IF(BB$24=#REF!,Milestone_Marker,IF(AND(BB$24&gt;#REF!,BB$24&lt;#REF!+#REF!),#REF!,"")),"")</f>
        <v/>
      </c>
      <c r="BC42" s="35" t="str">
        <f ca="1">IFERROR(+IF(BC$24=#REF!,Milestone_Marker,IF(AND(BC$24&gt;#REF!,BC$24&lt;#REF!+#REF!),#REF!,"")),"")</f>
        <v/>
      </c>
      <c r="BD42" s="35" t="str">
        <f ca="1">IFERROR(+IF(BD$24=#REF!,Milestone_Marker,IF(AND(BD$24&gt;#REF!,BD$24&lt;#REF!+#REF!),#REF!,"")),"")</f>
        <v/>
      </c>
      <c r="BE42" s="35" t="str">
        <f ca="1">IFERROR(+IF(BE$24=#REF!,Milestone_Marker,IF(AND(BE$24&gt;#REF!,BE$24&lt;#REF!+#REF!),#REF!,"")),"")</f>
        <v/>
      </c>
      <c r="BF42" s="35" t="str">
        <f ca="1">IFERROR(+IF(BF$24=#REF!,Milestone_Marker,IF(AND(BF$24&gt;#REF!,BF$24&lt;#REF!+#REF!),#REF!,"")),"")</f>
        <v/>
      </c>
      <c r="BG42" s="35" t="str">
        <f ca="1">IFERROR(+IF(BG$24=#REF!,Milestone_Marker,IF(AND(BG$24&gt;#REF!,BG$24&lt;#REF!+#REF!),#REF!,"")),"")</f>
        <v/>
      </c>
      <c r="BH42" s="35" t="str">
        <f ca="1">IFERROR(+IF(BH$24=#REF!,Milestone_Marker,IF(AND(BH$24&gt;#REF!,BH$24&lt;#REF!+#REF!),#REF!,"")),"")</f>
        <v/>
      </c>
      <c r="BI42" s="35" t="str">
        <f ca="1">IFERROR(+IF(BI$24=#REF!,Milestone_Marker,IF(AND(BI$24&gt;#REF!,BI$24&lt;#REF!+#REF!),#REF!,"")),"")</f>
        <v/>
      </c>
      <c r="BJ42" s="35" t="str">
        <f ca="1">IFERROR(+IF(BJ$24=#REF!,Milestone_Marker,IF(AND(BJ$24&gt;#REF!,BJ$24&lt;#REF!+#REF!),#REF!,"")),"")</f>
        <v/>
      </c>
      <c r="BK42" s="35" t="str">
        <f ca="1">IFERROR(+IF(BK$24=#REF!,Milestone_Marker,IF(AND(BK$24&gt;#REF!,BK$24&lt;#REF!+#REF!),#REF!,"")),"")</f>
        <v/>
      </c>
      <c r="BL42" s="35" t="str">
        <f ca="1">IFERROR(+IF(BL$24=#REF!,Milestone_Marker,IF(AND(BL$24&gt;#REF!,BL$24&lt;#REF!+#REF!),#REF!,"")),"")</f>
        <v/>
      </c>
      <c r="BM42" s="35" t="str">
        <f ca="1">IFERROR(+IF(BM$24=#REF!,Milestone_Marker,IF(AND(BM$24&gt;#REF!,BM$24&lt;#REF!+#REF!),#REF!,"")),"")</f>
        <v/>
      </c>
      <c r="BN42" s="35" t="str">
        <f ca="1">IFERROR(+IF(BN$24=#REF!,Milestone_Marker,IF(AND(BN$24&gt;#REF!,BN$24&lt;#REF!+#REF!),#REF!,"")),"")</f>
        <v/>
      </c>
      <c r="BO42" s="35" t="str">
        <f ca="1">IFERROR(+IF(BO$24=#REF!,Milestone_Marker,IF(AND(BO$24&gt;#REF!,BO$24&lt;#REF!+#REF!),#REF!,"")),"")</f>
        <v/>
      </c>
      <c r="BP42" s="35" t="str">
        <f ca="1">IFERROR(+IF(BP$24=#REF!,Milestone_Marker,IF(AND(BP$24&gt;#REF!,BP$24&lt;#REF!+#REF!),#REF!,"")),"")</f>
        <v/>
      </c>
      <c r="BQ42" s="35" t="str">
        <f ca="1">IFERROR(+IF(BQ$24=#REF!,Milestone_Marker,IF(AND(BQ$24&gt;#REF!,BQ$24&lt;#REF!+#REF!),#REF!,"")),"")</f>
        <v/>
      </c>
      <c r="BR42" s="35" t="str">
        <f ca="1">IFERROR(+IF(BR$24=#REF!,Milestone_Marker,IF(AND(BR$24&gt;#REF!,BR$24&lt;#REF!+#REF!),#REF!,"")),"")</f>
        <v/>
      </c>
      <c r="BS42" s="35" t="str">
        <f ca="1">IFERROR(+IF(BS$24=#REF!,Milestone_Marker,IF(AND(BS$24&gt;#REF!,BS$24&lt;#REF!+#REF!),#REF!,"")),"")</f>
        <v/>
      </c>
      <c r="BT42" s="35" t="str">
        <f ca="1">IFERROR(+IF(BT$24=#REF!,Milestone_Marker,IF(AND(BT$24&gt;#REF!,BT$24&lt;#REF!+#REF!),#REF!,"")),"")</f>
        <v/>
      </c>
      <c r="BU42" s="35" t="str">
        <f ca="1">IFERROR(+IF(BU$24=#REF!,Milestone_Marker,IF(AND(BU$24&gt;#REF!,BU$24&lt;#REF!+#REF!),#REF!,"")),"")</f>
        <v/>
      </c>
      <c r="BV42" s="35" t="str">
        <f ca="1">IFERROR(+IF(BV$24=#REF!,Milestone_Marker,IF(AND(BV$24&gt;#REF!,BV$24&lt;#REF!+#REF!),#REF!,"")),"")</f>
        <v/>
      </c>
      <c r="BW42" s="35" t="str">
        <f ca="1">IFERROR(+IF(BW$24=#REF!,Milestone_Marker,IF(AND(BW$24&gt;#REF!,BW$24&lt;#REF!+#REF!),#REF!,"")),"")</f>
        <v/>
      </c>
      <c r="BX42" s="35" t="str">
        <f ca="1">IFERROR(+IF(BX$24=#REF!,Milestone_Marker,IF(AND(BX$24&gt;#REF!,BX$24&lt;#REF!+#REF!),#REF!,"")),"")</f>
        <v/>
      </c>
      <c r="BY42" s="35" t="str">
        <f ca="1">IFERROR(+IF(BY$24=#REF!,Milestone_Marker,IF(AND(BY$24&gt;#REF!,BY$24&lt;#REF!+#REF!),#REF!,"")),"")</f>
        <v/>
      </c>
      <c r="BZ42" s="35" t="str">
        <f ca="1">IFERROR(+IF(BZ$24=#REF!,Milestone_Marker,IF(AND(BZ$24&gt;#REF!,BZ$24&lt;#REF!+#REF!),#REF!,"")),"")</f>
        <v/>
      </c>
      <c r="CA42" s="35" t="str">
        <f ca="1">IFERROR(+IF(CA$24=#REF!,Milestone_Marker,IF(AND(CA$24&gt;#REF!,CA$24&lt;#REF!+#REF!),#REF!,"")),"")</f>
        <v/>
      </c>
      <c r="CB42" s="35" t="str">
        <f ca="1">IFERROR(+IF(CB$24=#REF!,Milestone_Marker,IF(AND(CB$24&gt;#REF!,CB$24&lt;#REF!+#REF!),#REF!,"")),"")</f>
        <v/>
      </c>
      <c r="CC42" s="35" t="str">
        <f ca="1">IFERROR(+IF(CC$24=#REF!,Milestone_Marker,IF(AND(CC$24&gt;#REF!,CC$24&lt;#REF!+#REF!),#REF!,"")),"")</f>
        <v/>
      </c>
      <c r="CD42" s="35" t="str">
        <f ca="1">IFERROR(+IF(CD$24=#REF!,Milestone_Marker,IF(AND(CD$24&gt;#REF!,CD$24&lt;#REF!+#REF!),#REF!,"")),"")</f>
        <v/>
      </c>
      <c r="CE42" s="35" t="str">
        <f ca="1">IFERROR(+IF(CE$24=#REF!,Milestone_Marker,IF(AND(CE$24&gt;#REF!,CE$24&lt;#REF!+#REF!),#REF!,"")),"")</f>
        <v/>
      </c>
      <c r="CF42" s="35" t="str">
        <f ca="1">IFERROR(+IF(CF$24=#REF!,Milestone_Marker,IF(AND(CF$24&gt;#REF!,CF$24&lt;#REF!+#REF!),#REF!,"")),"")</f>
        <v/>
      </c>
      <c r="CG42" s="35" t="str">
        <f ca="1">IFERROR(+IF(CG$24=#REF!,Milestone_Marker,IF(AND(CG$24&gt;#REF!,CG$24&lt;#REF!+#REF!),#REF!,"")),"")</f>
        <v/>
      </c>
      <c r="CH42" s="35" t="str">
        <f ca="1">IFERROR(+IF(CH$24=#REF!,Milestone_Marker,IF(AND(CH$24&gt;#REF!,CH$24&lt;#REF!+#REF!),#REF!,"")),"")</f>
        <v/>
      </c>
      <c r="CI42" s="35" t="str">
        <f ca="1">IFERROR(+IF(CI$24=#REF!,Milestone_Marker,IF(AND(CI$24&gt;#REF!,CI$24&lt;#REF!+#REF!),#REF!,"")),"")</f>
        <v/>
      </c>
      <c r="CJ42" s="35" t="str">
        <f ca="1">IFERROR(+IF(CJ$24=#REF!,Milestone_Marker,IF(AND(CJ$24&gt;#REF!,CJ$24&lt;#REF!+#REF!),#REF!,"")),"")</f>
        <v/>
      </c>
      <c r="CK42" s="35" t="str">
        <f ca="1">IFERROR(+IF(CK$24=#REF!,Milestone_Marker,IF(AND(CK$24&gt;#REF!,CK$24&lt;#REF!+#REF!),#REF!,"")),"")</f>
        <v/>
      </c>
      <c r="CL42" s="35" t="str">
        <f ca="1">IFERROR(+IF(CL$24=#REF!,Milestone_Marker,IF(AND(CL$24&gt;#REF!,CL$24&lt;#REF!+#REF!),#REF!,"")),"")</f>
        <v/>
      </c>
      <c r="CM42" s="35" t="str">
        <f ca="1">IFERROR(+IF(CM$24=#REF!,Milestone_Marker,IF(AND(CM$24&gt;#REF!,CM$24&lt;#REF!+#REF!),#REF!,"")),"")</f>
        <v/>
      </c>
      <c r="CN42" s="35" t="str">
        <f ca="1">IFERROR(+IF(CN$24=#REF!,Milestone_Marker,IF(AND(CN$24&gt;#REF!,CN$24&lt;#REF!+#REF!),#REF!,"")),"")</f>
        <v/>
      </c>
      <c r="CO42" s="35" t="str">
        <f ca="1">IFERROR(+IF(CO$24=#REF!,Milestone_Marker,IF(AND(CO$24&gt;#REF!,CO$24&lt;#REF!+#REF!),#REF!,"")),"")</f>
        <v/>
      </c>
      <c r="CP42" s="35" t="str">
        <f ca="1">IFERROR(+IF(CP$24=#REF!,Milestone_Marker,IF(AND(CP$24&gt;#REF!,CP$24&lt;#REF!+#REF!),#REF!,"")),"")</f>
        <v/>
      </c>
      <c r="CQ42" s="35" t="str">
        <f ca="1">IFERROR(+IF(CQ$24=#REF!,Milestone_Marker,IF(AND(CQ$24&gt;#REF!,CQ$24&lt;#REF!+#REF!),#REF!,"")),"")</f>
        <v/>
      </c>
      <c r="CR42" s="35" t="str">
        <f ca="1">IFERROR(+IF(CR$24=#REF!,Milestone_Marker,IF(AND(CR$24&gt;#REF!,CR$24&lt;#REF!+#REF!),#REF!,"")),"")</f>
        <v/>
      </c>
      <c r="CS42" s="35" t="str">
        <f ca="1">IFERROR(+IF(CS$24=#REF!,Milestone_Marker,IF(AND(CS$24&gt;#REF!,CS$24&lt;#REF!+#REF!),#REF!,"")),"")</f>
        <v/>
      </c>
      <c r="CT42" s="35" t="str">
        <f ca="1">IFERROR(+IF(CT$24=#REF!,Milestone_Marker,IF(AND(CT$24&gt;#REF!,CT$24&lt;#REF!+#REF!),#REF!,"")),"")</f>
        <v/>
      </c>
      <c r="CU42" s="35" t="str">
        <f ca="1">IFERROR(+IF(CU$24=#REF!,Milestone_Marker,IF(AND(CU$24&gt;#REF!,CU$24&lt;#REF!+#REF!),#REF!,"")),"")</f>
        <v/>
      </c>
      <c r="CV42" s="35" t="str">
        <f ca="1">IFERROR(+IF(CV$24=#REF!,Milestone_Marker,IF(AND(CV$24&gt;#REF!,CV$24&lt;#REF!+#REF!),#REF!,"")),"")</f>
        <v/>
      </c>
      <c r="CW42" s="35" t="str">
        <f ca="1">IFERROR(+IF(CW$24=#REF!,Milestone_Marker,IF(AND(CW$24&gt;#REF!,CW$24&lt;#REF!+#REF!),#REF!,"")),"")</f>
        <v/>
      </c>
      <c r="CX42" s="35" t="str">
        <f ca="1">IFERROR(+IF(CX$24=#REF!,Milestone_Marker,IF(AND(CX$24&gt;#REF!,CX$24&lt;#REF!+#REF!),#REF!,"")),"")</f>
        <v/>
      </c>
      <c r="CY42" s="35" t="str">
        <f ca="1">IFERROR(+IF(CY$24=#REF!,Milestone_Marker,IF(AND(CY$24&gt;#REF!,CY$24&lt;#REF!+#REF!),#REF!,"")),"")</f>
        <v/>
      </c>
      <c r="CZ42" s="35" t="str">
        <f ca="1">IFERROR(+IF(CZ$24=#REF!,Milestone_Marker,IF(AND(CZ$24&gt;#REF!,CZ$24&lt;#REF!+#REF!),#REF!,"")),"")</f>
        <v/>
      </c>
      <c r="DA42" s="35" t="str">
        <f ca="1">IFERROR(+IF(DA$24=#REF!,Milestone_Marker,IF(AND(DA$24&gt;#REF!,DA$24&lt;#REF!+#REF!),#REF!,"")),"")</f>
        <v/>
      </c>
      <c r="DB42" s="35" t="str">
        <f ca="1">IFERROR(+IF(DB$24=#REF!,Milestone_Marker,IF(AND(DB$24&gt;#REF!,DB$24&lt;#REF!+#REF!),#REF!,"")),"")</f>
        <v/>
      </c>
      <c r="DC42" s="35" t="str">
        <f ca="1">IFERROR(+IF(DC$24=#REF!,Milestone_Marker,IF(AND(DC$24&gt;#REF!,DC$24&lt;#REF!+#REF!),#REF!,"")),"")</f>
        <v/>
      </c>
      <c r="DD42" s="35" t="str">
        <f ca="1">IFERROR(+IF(DD$24=#REF!,Milestone_Marker,IF(AND(DD$24&gt;#REF!,DD$24&lt;#REF!+#REF!),#REF!,"")),"")</f>
        <v/>
      </c>
      <c r="DE42" s="35" t="str">
        <f ca="1">IFERROR(+IF(DE$24=#REF!,Milestone_Marker,IF(AND(DE$24&gt;#REF!,DE$24&lt;#REF!+#REF!),#REF!,"")),"")</f>
        <v/>
      </c>
      <c r="DF42" s="35"/>
      <c r="DG42" s="35"/>
      <c r="DH42" s="35"/>
      <c r="DI42" s="35"/>
      <c r="DJ42" s="35"/>
      <c r="DK42" s="35"/>
      <c r="DL42" s="35"/>
      <c r="DM42" s="35"/>
      <c r="DN42" s="35"/>
      <c r="DO42" s="35"/>
      <c r="DP42" s="35"/>
      <c r="DQ42" s="35"/>
      <c r="DR42" s="35"/>
      <c r="DS42" s="35"/>
      <c r="DT42" s="35"/>
      <c r="DU42" s="35"/>
      <c r="DV42" s="35"/>
      <c r="DW42" s="35"/>
      <c r="DX42" s="35"/>
      <c r="DY42" s="35"/>
      <c r="DZ42" s="35"/>
      <c r="EA42" s="35"/>
      <c r="EB42" s="35"/>
      <c r="EC42" s="35"/>
      <c r="ED42" s="35"/>
      <c r="EE42" s="35"/>
    </row>
    <row r="43" spans="1:135" s="40" customFormat="1" ht="15">
      <c r="A43" t="s">
        <v>519</v>
      </c>
      <c r="B43" t="s">
        <v>521</v>
      </c>
      <c r="C43" t="s">
        <v>715</v>
      </c>
      <c r="D43" s="458" t="s">
        <v>716</v>
      </c>
      <c r="E43" s="458">
        <v>1</v>
      </c>
      <c r="F43">
        <v>6403.2</v>
      </c>
      <c r="G43">
        <v>6403.2</v>
      </c>
      <c r="H43">
        <v>153</v>
      </c>
      <c r="I43"/>
      <c r="J43">
        <v>129</v>
      </c>
      <c r="K43" s="107"/>
      <c r="L43" s="463">
        <v>129</v>
      </c>
      <c r="M43" s="176">
        <v>2</v>
      </c>
      <c r="N43" s="160">
        <v>0</v>
      </c>
      <c r="O43" s="546" cm="1">
        <f t="array" ref="O4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45965</v>
      </c>
      <c r="P43" s="566" t="s">
        <v>797</v>
      </c>
      <c r="Q43" s="566">
        <v>0</v>
      </c>
      <c r="R43" s="22"/>
      <c r="S43" s="463" cm="1">
        <f t="array" ref="S4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153</v>
      </c>
      <c r="T43">
        <v>1</v>
      </c>
      <c r="U43" s="176"/>
      <c r="V4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35.010199999999998</v>
      </c>
      <c r="W43" s="497"/>
      <c r="X43" s="176" t="s">
        <v>863</v>
      </c>
      <c r="Y43" s="547" t="s">
        <v>862</v>
      </c>
      <c r="Z43" s="160" t="s">
        <v>458</v>
      </c>
      <c r="AA43" s="563">
        <v>101400</v>
      </c>
      <c r="AB43" cm="1">
        <f t="array" ref="AB43">ROW()-ROW(Contract_Edits[#Headers])</f>
        <v>19</v>
      </c>
      <c r="AC43">
        <f>IF(Contract_Edits[[#This Row],[RowPos]]&gt;1, Contract_Edits[[#This Row],[RowPos]]-1, 0)</f>
        <v>18</v>
      </c>
      <c r="AD43" s="35">
        <f>IF(N(Contract_Edits[[#This Row],[Dep]])=0, N(Contract_Edits[[#This Row],[Index]]), N(Contract_Edits[[#This Row],[Dep]]))</f>
        <v>153</v>
      </c>
      <c r="AE43" s="35" cm="1">
        <f t="array" ref="AE43">IF(OR(Contract_Edits[[#This Row],[Dep]]=0, TRIM(Contract_Edits[[#This Row],[Dep]])=""),
   0,
   IFERROR(
      _xlfn.XLOOKUP(1, (Contract_Edits[Dep]=Contract_Edits[[#This Row],[Dep]])*(Contract_Edits[RowPos]&lt;Contract_Edits[[#This Row],[RowPos]]), Contract_Edits[RowPos], , 0, -1),
      0
   )
)</f>
        <v>18</v>
      </c>
      <c r="AF43" s="35">
        <f>IF(OR(Contract_Edits[[#This Row],[Dep]]=0,Contract_Edits[[#This Row],[Dep]]=""),0,
   COUNTIFS(Contract_Edits[Dep],Contract_Edits[[#This Row],[Dep]],Contract_Edits[RowPos],"&lt;="&amp;Contract_Edits[[#This Row],[RowPos]],Contract_Edits[Approve],"Yes")
)</f>
        <v>2</v>
      </c>
      <c r="AG43" s="517">
        <f>--(
  ISNUMBER(SEARCH("BASE PARENT", UPPER(CLEAN(TRIM(_xlfn.XLOOKUP(TEXT(Contract_Edits[[#This Row],[Index]],"0"), baseIdxTxt, baseCost, "")))))) +
  ISNUMBER(SEARCH("DEPENDENCY GROUP", UPPER(CLEAN(TRIM(_xlfn.XLOOKUP(TEXT(Contract_Edits[[#This Row],[Index]],"0"), baseIdxTxt, baseCost, ""))))))
)</f>
        <v>0</v>
      </c>
      <c r="AH43" s="517" t="str" cm="1">
        <f t="array" ref="AH43">IF(Contract_Edits[[#This Row],[BaseFlag]]=1,
   10*BaseDepthL(TEXT(Contract_Edits[[#This Row],[Index]],"0"),500,editsIdxTxt,editsParentKeyTxt,baseIdxTxt,baseCost)-5,
   ""
)</f>
        <v/>
      </c>
      <c r="AI43" s="517" cm="1">
        <f t="array" ref="AI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J43" s="517" t="str">
        <f>IF(Contract_Edits[[#This Row],[Dep]]=0,"Root",
   IF(ISNUMBER(MATCH(Contract_Edits[[#This Row],[Dep]],Contract_Edits[Index],0)),"OK","Missing")
)</f>
        <v>OK</v>
      </c>
      <c r="AK43" s="517" t="str">
        <f>IF(AND(Contract_Edits[[#This Row],[Dep]]&lt;&gt;0,
        ISNUMBER(MATCH(Contract_Edits[[#This Row],[Dep]], Contract_Edits[Index], 0)),
        INDEX(Contract_Edits[Dep], MATCH(Contract_Edits[[#This Row],[Dep]], Contract_Edits[Index], 0))=Contract_Edits[[#This Row],[Index]]),
   "2-cycle","")</f>
        <v/>
      </c>
      <c r="AL43" s="517" cm="1">
        <f t="array" ref="AL43">IF(Contract_Edits[[#This Row],[BaseFlag]]&lt;&gt;1,0,
   IF(TEXT(Contract_Edits[[#This Row],[Dep]],"0")=TEXT(Contract_Edits[[#This Row],[Index]],"0"),
      0,
      MAX(0, SUMPRODUCT(--(Contract_Edits[BaseFlag]=1),
                        --(TEXT(Contract_Edits[Dep],"0")=TEXT(Contract_Edits[[#This Row],[Dep]],"0"))) - 1)
   )
)</f>
        <v>0</v>
      </c>
      <c r="AM43" s="517" t="str" cm="1">
        <f t="array" ref="AM43">IF(Contract_Edits[[#This Row],[BaseFlag]]=1,
   TEXT(Contract_Edits[[#This Row],[Index]],"0"),
   NearestBaseL(TEXT(Contract_Edits[[#This Row],[ParentKey]],"0"),500,editsIdxTxt,editsParentKeyTxt,baseIdxTxt,baseCost)
)</f>
        <v>153</v>
      </c>
      <c r="AN43" s="517" cm="1">
        <f t="array" ref="AN43">1+SUMPRODUCT(
  (Contract_Edits[BaseFlag]=1)*
  (TEXT(Contract_Edits[ParentAnchor],"0")=TEXT(Contract_Edits[[#This Row],[ParentAnchor]],"0"))*
  (VALUE(TEXT(Contract_Edits[Index],"0"))&lt;VALUE(TEXT(Contract_Edits[[#This Row],[Index]],"0")))
)</f>
        <v>1</v>
      </c>
      <c r="AO43" s="35"/>
      <c r="AP43" s="35" t="str">
        <f ca="1">IFERROR(+IF(AP$24=#REF!,Milestone_Marker,IF(AND(AP$24&gt;#REF!,AP$24&lt;#REF!+#REF!),#REF!,"")),"")</f>
        <v/>
      </c>
      <c r="AQ43" s="35" t="str">
        <f ca="1">IFERROR(+IF(AQ$24=#REF!,Milestone_Marker,IF(AND(AQ$24&gt;#REF!,AQ$24&lt;#REF!+#REF!),#REF!,"")),"")</f>
        <v/>
      </c>
      <c r="AR43" s="35" t="str">
        <f ca="1">IFERROR(+IF(AR$24=#REF!,Milestone_Marker,IF(AND(AR$24&gt;#REF!,AR$24&lt;#REF!+#REF!),#REF!,"")),"")</f>
        <v/>
      </c>
      <c r="AS43" s="35" t="str">
        <f ca="1">IFERROR(+IF(AS$24=#REF!,Milestone_Marker,IF(AND(AS$24&gt;#REF!,AS$24&lt;#REF!+#REF!),#REF!,"")),"")</f>
        <v/>
      </c>
      <c r="AT43" s="35" t="str">
        <f ca="1">IFERROR(+IF(AT$24=#REF!,Milestone_Marker,IF(AND(AT$24&gt;#REF!,AT$24&lt;#REF!+#REF!),#REF!,"")),"")</f>
        <v/>
      </c>
      <c r="AU43" s="35" t="str">
        <f ca="1">IFERROR(+IF(AU$24=#REF!,Milestone_Marker,IF(AND(AU$24&gt;#REF!,AU$24&lt;#REF!+#REF!),#REF!,"")),"")</f>
        <v/>
      </c>
      <c r="AV43" s="35" t="str">
        <f ca="1">IFERROR(+IF(AV$24=#REF!,Milestone_Marker,IF(AND(AV$24&gt;#REF!,AV$24&lt;#REF!+#REF!),#REF!,"")),"")</f>
        <v/>
      </c>
      <c r="AW43" s="35" t="str">
        <f ca="1">IFERROR(+IF(AW$24=#REF!,Milestone_Marker,IF(AND(AW$24&gt;#REF!,AW$24&lt;#REF!+#REF!),#REF!,"")),"")</f>
        <v/>
      </c>
      <c r="AX43" s="35" t="str">
        <f ca="1">IFERROR(+IF(AX$24=#REF!,Milestone_Marker,IF(AND(AX$24&gt;#REF!,AX$24&lt;#REF!+#REF!),#REF!,"")),"")</f>
        <v/>
      </c>
      <c r="AY43" s="35" t="str">
        <f ca="1">IFERROR(+IF(AY$24=#REF!,Milestone_Marker,IF(AND(AY$24&gt;#REF!,AY$24&lt;#REF!+#REF!),#REF!,"")),"")</f>
        <v/>
      </c>
      <c r="AZ43" s="35" t="str">
        <f ca="1">IFERROR(+IF(AZ$24=#REF!,Milestone_Marker,IF(AND(AZ$24&gt;#REF!,AZ$24&lt;#REF!+#REF!),#REF!,"")),"")</f>
        <v/>
      </c>
      <c r="BA43" s="35" t="str">
        <f ca="1">IFERROR(+IF(BA$24=#REF!,Milestone_Marker,IF(AND(BA$24&gt;#REF!,BA$24&lt;#REF!+#REF!),#REF!,"")),"")</f>
        <v/>
      </c>
      <c r="BB43" s="35" t="str">
        <f ca="1">IFERROR(+IF(BB$24=#REF!,Milestone_Marker,IF(AND(BB$24&gt;#REF!,BB$24&lt;#REF!+#REF!),#REF!,"")),"")</f>
        <v/>
      </c>
      <c r="BC43" s="35" t="str">
        <f ca="1">IFERROR(+IF(BC$24=#REF!,Milestone_Marker,IF(AND(BC$24&gt;#REF!,BC$24&lt;#REF!+#REF!),#REF!,"")),"")</f>
        <v/>
      </c>
      <c r="BD43" s="35" t="str">
        <f ca="1">IFERROR(+IF(BD$24=#REF!,Milestone_Marker,IF(AND(BD$24&gt;#REF!,BD$24&lt;#REF!+#REF!),#REF!,"")),"")</f>
        <v/>
      </c>
      <c r="BE43" s="35" t="str">
        <f ca="1">IFERROR(+IF(BE$24=#REF!,Milestone_Marker,IF(AND(BE$24&gt;#REF!,BE$24&lt;#REF!+#REF!),#REF!,"")),"")</f>
        <v/>
      </c>
      <c r="BF43" s="35" t="str">
        <f ca="1">IFERROR(+IF(BF$24=#REF!,Milestone_Marker,IF(AND(BF$24&gt;#REF!,BF$24&lt;#REF!+#REF!),#REF!,"")),"")</f>
        <v/>
      </c>
      <c r="BG43" s="35" t="str">
        <f ca="1">IFERROR(+IF(BG$24=#REF!,Milestone_Marker,IF(AND(BG$24&gt;#REF!,BG$24&lt;#REF!+#REF!),#REF!,"")),"")</f>
        <v/>
      </c>
      <c r="BH43" s="35" t="str">
        <f ca="1">IFERROR(+IF(BH$24=#REF!,Milestone_Marker,IF(AND(BH$24&gt;#REF!,BH$24&lt;#REF!+#REF!),#REF!,"")),"")</f>
        <v/>
      </c>
      <c r="BI43" s="35" t="str">
        <f ca="1">IFERROR(+IF(BI$24=#REF!,Milestone_Marker,IF(AND(BI$24&gt;#REF!,BI$24&lt;#REF!+#REF!),#REF!,"")),"")</f>
        <v/>
      </c>
      <c r="BJ43" s="35" t="str">
        <f ca="1">IFERROR(+IF(BJ$24=#REF!,Milestone_Marker,IF(AND(BJ$24&gt;#REF!,BJ$24&lt;#REF!+#REF!),#REF!,"")),"")</f>
        <v/>
      </c>
      <c r="BK43" s="35" t="str">
        <f ca="1">IFERROR(+IF(BK$24=#REF!,Milestone_Marker,IF(AND(BK$24&gt;#REF!,BK$24&lt;#REF!+#REF!),#REF!,"")),"")</f>
        <v/>
      </c>
      <c r="BL43" s="35" t="str">
        <f ca="1">IFERROR(+IF(BL$24=#REF!,Milestone_Marker,IF(AND(BL$24&gt;#REF!,BL$24&lt;#REF!+#REF!),#REF!,"")),"")</f>
        <v/>
      </c>
      <c r="BM43" s="35" t="str">
        <f ca="1">IFERROR(+IF(BM$24=#REF!,Milestone_Marker,IF(AND(BM$24&gt;#REF!,BM$24&lt;#REF!+#REF!),#REF!,"")),"")</f>
        <v/>
      </c>
      <c r="BN43" s="35" t="str">
        <f ca="1">IFERROR(+IF(BN$24=#REF!,Milestone_Marker,IF(AND(BN$24&gt;#REF!,BN$24&lt;#REF!+#REF!),#REF!,"")),"")</f>
        <v/>
      </c>
      <c r="BO43" s="35" t="str">
        <f ca="1">IFERROR(+IF(BO$24=#REF!,Milestone_Marker,IF(AND(BO$24&gt;#REF!,BO$24&lt;#REF!+#REF!),#REF!,"")),"")</f>
        <v/>
      </c>
      <c r="BP43" s="35" t="str">
        <f ca="1">IFERROR(+IF(BP$24=#REF!,Milestone_Marker,IF(AND(BP$24&gt;#REF!,BP$24&lt;#REF!+#REF!),#REF!,"")),"")</f>
        <v/>
      </c>
      <c r="BQ43" s="35" t="str">
        <f ca="1">IFERROR(+IF(BQ$24=#REF!,Milestone_Marker,IF(AND(BQ$24&gt;#REF!,BQ$24&lt;#REF!+#REF!),#REF!,"")),"")</f>
        <v/>
      </c>
      <c r="BR43" s="35" t="str">
        <f ca="1">IFERROR(+IF(BR$24=#REF!,Milestone_Marker,IF(AND(BR$24&gt;#REF!,BR$24&lt;#REF!+#REF!),#REF!,"")),"")</f>
        <v/>
      </c>
      <c r="BS43" s="35" t="str">
        <f ca="1">IFERROR(+IF(BS$24=#REF!,Milestone_Marker,IF(AND(BS$24&gt;#REF!,BS$24&lt;#REF!+#REF!),#REF!,"")),"")</f>
        <v/>
      </c>
      <c r="BT43" s="35" t="str">
        <f ca="1">IFERROR(+IF(BT$24=#REF!,Milestone_Marker,IF(AND(BT$24&gt;#REF!,BT$24&lt;#REF!+#REF!),#REF!,"")),"")</f>
        <v/>
      </c>
      <c r="BU43" s="35" t="str">
        <f ca="1">IFERROR(+IF(BU$24=#REF!,Milestone_Marker,IF(AND(BU$24&gt;#REF!,BU$24&lt;#REF!+#REF!),#REF!,"")),"")</f>
        <v/>
      </c>
      <c r="BV43" s="35" t="str">
        <f ca="1">IFERROR(+IF(BV$24=#REF!,Milestone_Marker,IF(AND(BV$24&gt;#REF!,BV$24&lt;#REF!+#REF!),#REF!,"")),"")</f>
        <v/>
      </c>
      <c r="BW43" s="35" t="str">
        <f ca="1">IFERROR(+IF(BW$24=#REF!,Milestone_Marker,IF(AND(BW$24&gt;#REF!,BW$24&lt;#REF!+#REF!),#REF!,"")),"")</f>
        <v/>
      </c>
      <c r="BX43" s="35" t="str">
        <f ca="1">IFERROR(+IF(BX$24=#REF!,Milestone_Marker,IF(AND(BX$24&gt;#REF!,BX$24&lt;#REF!+#REF!),#REF!,"")),"")</f>
        <v/>
      </c>
      <c r="BY43" s="35" t="str">
        <f ca="1">IFERROR(+IF(BY$24=#REF!,Milestone_Marker,IF(AND(BY$24&gt;#REF!,BY$24&lt;#REF!+#REF!),#REF!,"")),"")</f>
        <v/>
      </c>
      <c r="BZ43" s="35" t="str">
        <f ca="1">IFERROR(+IF(BZ$24=#REF!,Milestone_Marker,IF(AND(BZ$24&gt;#REF!,BZ$24&lt;#REF!+#REF!),#REF!,"")),"")</f>
        <v/>
      </c>
      <c r="CA43" s="35" t="str">
        <f ca="1">IFERROR(+IF(CA$24=#REF!,Milestone_Marker,IF(AND(CA$24&gt;#REF!,CA$24&lt;#REF!+#REF!),#REF!,"")),"")</f>
        <v/>
      </c>
      <c r="CB43" s="35" t="str">
        <f ca="1">IFERROR(+IF(CB$24=#REF!,Milestone_Marker,IF(AND(CB$24&gt;#REF!,CB$24&lt;#REF!+#REF!),#REF!,"")),"")</f>
        <v/>
      </c>
      <c r="CC43" s="35" t="str">
        <f ca="1">IFERROR(+IF(CC$24=#REF!,Milestone_Marker,IF(AND(CC$24&gt;#REF!,CC$24&lt;#REF!+#REF!),#REF!,"")),"")</f>
        <v/>
      </c>
      <c r="CD43" s="35" t="str">
        <f ca="1">IFERROR(+IF(CD$24=#REF!,Milestone_Marker,IF(AND(CD$24&gt;#REF!,CD$24&lt;#REF!+#REF!),#REF!,"")),"")</f>
        <v/>
      </c>
      <c r="CE43" s="35" t="str">
        <f ca="1">IFERROR(+IF(CE$24=#REF!,Milestone_Marker,IF(AND(CE$24&gt;#REF!,CE$24&lt;#REF!+#REF!),#REF!,"")),"")</f>
        <v/>
      </c>
      <c r="CF43" s="35" t="str">
        <f ca="1">IFERROR(+IF(CF$24=#REF!,Milestone_Marker,IF(AND(CF$24&gt;#REF!,CF$24&lt;#REF!+#REF!),#REF!,"")),"")</f>
        <v/>
      </c>
      <c r="CG43" s="35" t="str">
        <f ca="1">IFERROR(+IF(CG$24=#REF!,Milestone_Marker,IF(AND(CG$24&gt;#REF!,CG$24&lt;#REF!+#REF!),#REF!,"")),"")</f>
        <v/>
      </c>
      <c r="CH43" s="35" t="str">
        <f ca="1">IFERROR(+IF(CH$24=#REF!,Milestone_Marker,IF(AND(CH$24&gt;#REF!,CH$24&lt;#REF!+#REF!),#REF!,"")),"")</f>
        <v/>
      </c>
      <c r="CI43" s="35" t="str">
        <f ca="1">IFERROR(+IF(CI$24=#REF!,Milestone_Marker,IF(AND(CI$24&gt;#REF!,CI$24&lt;#REF!+#REF!),#REF!,"")),"")</f>
        <v/>
      </c>
      <c r="CJ43" s="35" t="str">
        <f ca="1">IFERROR(+IF(CJ$24=#REF!,Milestone_Marker,IF(AND(CJ$24&gt;#REF!,CJ$24&lt;#REF!+#REF!),#REF!,"")),"")</f>
        <v/>
      </c>
      <c r="CK43" s="35" t="str">
        <f ca="1">IFERROR(+IF(CK$24=#REF!,Milestone_Marker,IF(AND(CK$24&gt;#REF!,CK$24&lt;#REF!+#REF!),#REF!,"")),"")</f>
        <v/>
      </c>
      <c r="CL43" s="35" t="str">
        <f ca="1">IFERROR(+IF(CL$24=#REF!,Milestone_Marker,IF(AND(CL$24&gt;#REF!,CL$24&lt;#REF!+#REF!),#REF!,"")),"")</f>
        <v/>
      </c>
      <c r="CM43" s="35" t="str">
        <f ca="1">IFERROR(+IF(CM$24=#REF!,Milestone_Marker,IF(AND(CM$24&gt;#REF!,CM$24&lt;#REF!+#REF!),#REF!,"")),"")</f>
        <v/>
      </c>
      <c r="CN43" s="35" t="str">
        <f ca="1">IFERROR(+IF(CN$24=#REF!,Milestone_Marker,IF(AND(CN$24&gt;#REF!,CN$24&lt;#REF!+#REF!),#REF!,"")),"")</f>
        <v/>
      </c>
      <c r="CO43" s="35" t="str">
        <f ca="1">IFERROR(+IF(CO$24=#REF!,Milestone_Marker,IF(AND(CO$24&gt;#REF!,CO$24&lt;#REF!+#REF!),#REF!,"")),"")</f>
        <v/>
      </c>
      <c r="CP43" s="35" t="str">
        <f ca="1">IFERROR(+IF(CP$24=#REF!,Milestone_Marker,IF(AND(CP$24&gt;#REF!,CP$24&lt;#REF!+#REF!),#REF!,"")),"")</f>
        <v/>
      </c>
      <c r="CQ43" s="35" t="str">
        <f ca="1">IFERROR(+IF(CQ$24=#REF!,Milestone_Marker,IF(AND(CQ$24&gt;#REF!,CQ$24&lt;#REF!+#REF!),#REF!,"")),"")</f>
        <v/>
      </c>
      <c r="CR43" s="35" t="str">
        <f ca="1">IFERROR(+IF(CR$24=#REF!,Milestone_Marker,IF(AND(CR$24&gt;#REF!,CR$24&lt;#REF!+#REF!),#REF!,"")),"")</f>
        <v/>
      </c>
      <c r="CS43" s="35" t="str">
        <f ca="1">IFERROR(+IF(CS$24=#REF!,Milestone_Marker,IF(AND(CS$24&gt;#REF!,CS$24&lt;#REF!+#REF!),#REF!,"")),"")</f>
        <v/>
      </c>
      <c r="CT43" s="35" t="str">
        <f ca="1">IFERROR(+IF(CT$24=#REF!,Milestone_Marker,IF(AND(CT$24&gt;#REF!,CT$24&lt;#REF!+#REF!),#REF!,"")),"")</f>
        <v/>
      </c>
      <c r="CU43" s="35" t="str">
        <f ca="1">IFERROR(+IF(CU$24=#REF!,Milestone_Marker,IF(AND(CU$24&gt;#REF!,CU$24&lt;#REF!+#REF!),#REF!,"")),"")</f>
        <v/>
      </c>
      <c r="CV43" s="35" t="str">
        <f ca="1">IFERROR(+IF(CV$24=#REF!,Milestone_Marker,IF(AND(CV$24&gt;#REF!,CV$24&lt;#REF!+#REF!),#REF!,"")),"")</f>
        <v/>
      </c>
      <c r="CW43" s="35" t="str">
        <f ca="1">IFERROR(+IF(CW$24=#REF!,Milestone_Marker,IF(AND(CW$24&gt;#REF!,CW$24&lt;#REF!+#REF!),#REF!,"")),"")</f>
        <v/>
      </c>
      <c r="CX43" s="35" t="str">
        <f ca="1">IFERROR(+IF(CX$24=#REF!,Milestone_Marker,IF(AND(CX$24&gt;#REF!,CX$24&lt;#REF!+#REF!),#REF!,"")),"")</f>
        <v/>
      </c>
      <c r="CY43" s="35" t="str">
        <f ca="1">IFERROR(+IF(CY$24=#REF!,Milestone_Marker,IF(AND(CY$24&gt;#REF!,CY$24&lt;#REF!+#REF!),#REF!,"")),"")</f>
        <v/>
      </c>
      <c r="CZ43" s="35" t="str">
        <f ca="1">IFERROR(+IF(CZ$24=#REF!,Milestone_Marker,IF(AND(CZ$24&gt;#REF!,CZ$24&lt;#REF!+#REF!),#REF!,"")),"")</f>
        <v/>
      </c>
      <c r="DA43" s="35" t="str">
        <f ca="1">IFERROR(+IF(DA$24=#REF!,Milestone_Marker,IF(AND(DA$24&gt;#REF!,DA$24&lt;#REF!+#REF!),#REF!,"")),"")</f>
        <v/>
      </c>
      <c r="DB43" s="35" t="str">
        <f ca="1">IFERROR(+IF(DB$24=#REF!,Milestone_Marker,IF(AND(DB$24&gt;#REF!,DB$24&lt;#REF!+#REF!),#REF!,"")),"")</f>
        <v/>
      </c>
      <c r="DC43" s="35" t="str">
        <f ca="1">IFERROR(+IF(DC$24=#REF!,Milestone_Marker,IF(AND(DC$24&gt;#REF!,DC$24&lt;#REF!+#REF!),#REF!,"")),"")</f>
        <v/>
      </c>
      <c r="DD43" s="35" t="str">
        <f ca="1">IFERROR(+IF(DD$24=#REF!,Milestone_Marker,IF(AND(DD$24&gt;#REF!,DD$24&lt;#REF!+#REF!),#REF!,"")),"")</f>
        <v/>
      </c>
      <c r="DE43" s="35" t="str">
        <f ca="1">IFERROR(+IF(DE$24=#REF!,Milestone_Marker,IF(AND(DE$24&gt;#REF!,DE$24&lt;#REF!+#REF!),#REF!,"")),"")</f>
        <v/>
      </c>
      <c r="DF43" s="35"/>
      <c r="DG43" s="35"/>
      <c r="DH43" s="35"/>
      <c r="DI43" s="35"/>
      <c r="DJ43" s="35"/>
      <c r="DK43" s="35"/>
      <c r="DL43" s="35"/>
      <c r="DM43" s="35"/>
      <c r="DN43" s="35"/>
      <c r="DO43" s="35"/>
      <c r="DP43" s="35"/>
      <c r="DQ43" s="35"/>
      <c r="DR43" s="35"/>
      <c r="DS43" s="35"/>
      <c r="DT43" s="35"/>
      <c r="DU43" s="35"/>
      <c r="DV43" s="35"/>
      <c r="DW43" s="35"/>
      <c r="DX43" s="35"/>
      <c r="DY43" s="35"/>
      <c r="DZ43" s="35"/>
      <c r="EA43" s="35"/>
      <c r="EB43" s="35"/>
      <c r="EC43" s="35"/>
      <c r="ED43" s="35"/>
      <c r="EE43" s="35"/>
    </row>
    <row r="44" spans="1:135" s="40" customFormat="1" ht="15">
      <c r="A44" t="s">
        <v>747</v>
      </c>
      <c r="B44" t="s">
        <v>744</v>
      </c>
      <c r="C44" t="s">
        <v>688</v>
      </c>
      <c r="D44" s="458" t="s">
        <v>753</v>
      </c>
      <c r="E44" s="458">
        <v>0</v>
      </c>
      <c r="F44"/>
      <c r="G44"/>
      <c r="H44">
        <v>153</v>
      </c>
      <c r="I44"/>
      <c r="J44">
        <v>154</v>
      </c>
      <c r="K44" s="107"/>
      <c r="L44" s="463">
        <v>154</v>
      </c>
      <c r="M44" s="490"/>
      <c r="N44" s="160">
        <v>0</v>
      </c>
      <c r="O44" s="546" cm="1">
        <f t="array" ref="O4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45967</v>
      </c>
      <c r="P44" s="567"/>
      <c r="Q44" s="567"/>
      <c r="R44" s="499"/>
      <c r="S44" s="463" cm="1">
        <f t="array" ref="S4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153</v>
      </c>
      <c r="T44" s="34">
        <v>1</v>
      </c>
      <c r="U44" s="490"/>
      <c r="V4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45.01</v>
      </c>
      <c r="W44" s="557"/>
      <c r="X44" s="545"/>
      <c r="Y44" s="548"/>
      <c r="Z44" s="535" t="s">
        <v>458</v>
      </c>
      <c r="AA44" s="544"/>
      <c r="AB44" cm="1">
        <f t="array" ref="AB44">ROW()-ROW(Contract_Edits[#Headers])</f>
        <v>20</v>
      </c>
      <c r="AC44">
        <f>IF(Contract_Edits[[#This Row],[RowPos]]&gt;1, Contract_Edits[[#This Row],[RowPos]]-1, 0)</f>
        <v>19</v>
      </c>
      <c r="AD44" s="35">
        <f>IF(N(Contract_Edits[[#This Row],[Dep]])=0, N(Contract_Edits[[#This Row],[Index]]), N(Contract_Edits[[#This Row],[Dep]]))</f>
        <v>153</v>
      </c>
      <c r="AE44" s="35" cm="1">
        <f t="array" ref="AE44">IF(OR(Contract_Edits[[#This Row],[Dep]]=0, TRIM(Contract_Edits[[#This Row],[Dep]])=""),
   0,
   IFERROR(
      _xlfn.XLOOKUP(1, (Contract_Edits[Dep]=Contract_Edits[[#This Row],[Dep]])*(Contract_Edits[RowPos]&lt;Contract_Edits[[#This Row],[RowPos]]), Contract_Edits[RowPos], , 0, -1),
      0
   )
)</f>
        <v>19</v>
      </c>
      <c r="AF44" s="35">
        <f>IF(OR(Contract_Edits[[#This Row],[Dep]]=0,Contract_Edits[[#This Row],[Dep]]=""),0,
   COUNTIFS(Contract_Edits[Dep],Contract_Edits[[#This Row],[Dep]],Contract_Edits[RowPos],"&lt;="&amp;Contract_Edits[[#This Row],[RowPos]],Contract_Edits[Approve],"Yes")
)</f>
        <v>3</v>
      </c>
      <c r="AG44" s="517">
        <f>--(
  ISNUMBER(SEARCH("BASE PARENT", UPPER(CLEAN(TRIM(_xlfn.XLOOKUP(TEXT(Contract_Edits[[#This Row],[Index]],"0"), baseIdxTxt, baseCost, "")))))) +
  ISNUMBER(SEARCH("DEPENDENCY GROUP", UPPER(CLEAN(TRIM(_xlfn.XLOOKUP(TEXT(Contract_Edits[[#This Row],[Index]],"0"), baseIdxTxt, baseCost, ""))))))
)</f>
        <v>1</v>
      </c>
      <c r="AH44" s="517" cm="1">
        <f t="array" ref="AH44">IF(Contract_Edits[[#This Row],[BaseFlag]]=1,
   10*BaseDepthL(TEXT(Contract_Edits[[#This Row],[Index]],"0"),500,editsIdxTxt,editsParentKeyTxt,baseIdxTxt,baseCost)-5,
   ""
)</f>
        <v>45</v>
      </c>
      <c r="AI44" s="517" cm="1">
        <f t="array" ref="AI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J44" s="517" t="str">
        <f>IF(Contract_Edits[[#This Row],[Dep]]=0,"Root",
   IF(ISNUMBER(MATCH(Contract_Edits[[#This Row],[Dep]],Contract_Edits[Index],0)),"OK","Missing")
)</f>
        <v>OK</v>
      </c>
      <c r="AK44" s="517" t="str">
        <f>IF(AND(Contract_Edits[[#This Row],[Dep]]&lt;&gt;0,
        ISNUMBER(MATCH(Contract_Edits[[#This Row],[Dep]], Contract_Edits[Index], 0)),
        INDEX(Contract_Edits[Dep], MATCH(Contract_Edits[[#This Row],[Dep]], Contract_Edits[Index], 0))=Contract_Edits[[#This Row],[Index]]),
   "2-cycle","")</f>
        <v/>
      </c>
      <c r="AL44" s="517" cm="1">
        <f t="array" ref="AL44">IF(Contract_Edits[[#This Row],[BaseFlag]]&lt;&gt;1,0,
   IF(TEXT(Contract_Edits[[#This Row],[Dep]],"0")=TEXT(Contract_Edits[[#This Row],[Index]],"0"),
      0,
      MAX(0, SUMPRODUCT(--(Contract_Edits[BaseFlag]=1),
                        --(TEXT(Contract_Edits[Dep],"0")=TEXT(Contract_Edits[[#This Row],[Dep]],"0"))) - 1)
   )
)</f>
        <v>1</v>
      </c>
      <c r="AM44" s="517" t="str" cm="1">
        <f t="array" ref="AM44">IF(Contract_Edits[[#This Row],[BaseFlag]]=1,
   TEXT(Contract_Edits[[#This Row],[Index]],"0"),
   NearestBaseL(TEXT(Contract_Edits[[#This Row],[ParentKey]],"0"),500,editsIdxTxt,editsParentKeyTxt,baseIdxTxt,baseCost)
)</f>
        <v>154</v>
      </c>
      <c r="AN44" s="517" cm="1">
        <f t="array" ref="AN44">1+SUMPRODUCT(
  (Contract_Edits[BaseFlag]=1)*
  (TEXT(Contract_Edits[ParentAnchor],"0")=TEXT(Contract_Edits[[#This Row],[ParentAnchor]],"0"))*
  (VALUE(TEXT(Contract_Edits[Index],"0"))&lt;VALUE(TEXT(Contract_Edits[[#This Row],[Index]],"0")))
)</f>
        <v>1</v>
      </c>
      <c r="AO44" s="35"/>
      <c r="AP44" s="35" t="str">
        <f ca="1">IFERROR(+IF(AP$24=#REF!,Milestone_Marker,IF(AND(AP$24&gt;#REF!,AP$24&lt;#REF!+#REF!),#REF!,"")),"")</f>
        <v/>
      </c>
      <c r="AQ44" s="35" t="str">
        <f ca="1">IFERROR(+IF(AQ$24=#REF!,Milestone_Marker,IF(AND(AQ$24&gt;#REF!,AQ$24&lt;#REF!+#REF!),#REF!,"")),"")</f>
        <v/>
      </c>
      <c r="AR44" s="35" t="str">
        <f ca="1">IFERROR(+IF(AR$24=#REF!,Milestone_Marker,IF(AND(AR$24&gt;#REF!,AR$24&lt;#REF!+#REF!),#REF!,"")),"")</f>
        <v/>
      </c>
      <c r="AS44" s="35" t="str">
        <f ca="1">IFERROR(+IF(AS$24=#REF!,Milestone_Marker,IF(AND(AS$24&gt;#REF!,AS$24&lt;#REF!+#REF!),#REF!,"")),"")</f>
        <v/>
      </c>
      <c r="AT44" s="35" t="str">
        <f ca="1">IFERROR(+IF(AT$24=#REF!,Milestone_Marker,IF(AND(AT$24&gt;#REF!,AT$24&lt;#REF!+#REF!),#REF!,"")),"")</f>
        <v/>
      </c>
      <c r="AU44" s="35" t="str">
        <f ca="1">IFERROR(+IF(AU$24=#REF!,Milestone_Marker,IF(AND(AU$24&gt;#REF!,AU$24&lt;#REF!+#REF!),#REF!,"")),"")</f>
        <v/>
      </c>
      <c r="AV44" s="35" t="str">
        <f ca="1">IFERROR(+IF(AV$24=#REF!,Milestone_Marker,IF(AND(AV$24&gt;#REF!,AV$24&lt;#REF!+#REF!),#REF!,"")),"")</f>
        <v/>
      </c>
      <c r="AW44" s="35" t="str">
        <f ca="1">IFERROR(+IF(AW$24=#REF!,Milestone_Marker,IF(AND(AW$24&gt;#REF!,AW$24&lt;#REF!+#REF!),#REF!,"")),"")</f>
        <v/>
      </c>
      <c r="AX44" s="35" t="str">
        <f ca="1">IFERROR(+IF(AX$24=#REF!,Milestone_Marker,IF(AND(AX$24&gt;#REF!,AX$24&lt;#REF!+#REF!),#REF!,"")),"")</f>
        <v/>
      </c>
      <c r="AY44" s="35" t="str">
        <f ca="1">IFERROR(+IF(AY$24=#REF!,Milestone_Marker,IF(AND(AY$24&gt;#REF!,AY$24&lt;#REF!+#REF!),#REF!,"")),"")</f>
        <v/>
      </c>
      <c r="AZ44" s="35" t="str">
        <f ca="1">IFERROR(+IF(AZ$24=#REF!,Milestone_Marker,IF(AND(AZ$24&gt;#REF!,AZ$24&lt;#REF!+#REF!),#REF!,"")),"")</f>
        <v/>
      </c>
      <c r="BA44" s="35" t="str">
        <f ca="1">IFERROR(+IF(BA$24=#REF!,Milestone_Marker,IF(AND(BA$24&gt;#REF!,BA$24&lt;#REF!+#REF!),#REF!,"")),"")</f>
        <v/>
      </c>
      <c r="BB44" s="35" t="str">
        <f ca="1">IFERROR(+IF(BB$24=#REF!,Milestone_Marker,IF(AND(BB$24&gt;#REF!,BB$24&lt;#REF!+#REF!),#REF!,"")),"")</f>
        <v/>
      </c>
      <c r="BC44" s="35" t="str">
        <f ca="1">IFERROR(+IF(BC$24=#REF!,Milestone_Marker,IF(AND(BC$24&gt;#REF!,BC$24&lt;#REF!+#REF!),#REF!,"")),"")</f>
        <v/>
      </c>
      <c r="BD44" s="35" t="str">
        <f ca="1">IFERROR(+IF(BD$24=#REF!,Milestone_Marker,IF(AND(BD$24&gt;#REF!,BD$24&lt;#REF!+#REF!),#REF!,"")),"")</f>
        <v/>
      </c>
      <c r="BE44" s="35" t="str">
        <f ca="1">IFERROR(+IF(BE$24=#REF!,Milestone_Marker,IF(AND(BE$24&gt;#REF!,BE$24&lt;#REF!+#REF!),#REF!,"")),"")</f>
        <v/>
      </c>
      <c r="BF44" s="35" t="str">
        <f ca="1">IFERROR(+IF(BF$24=#REF!,Milestone_Marker,IF(AND(BF$24&gt;#REF!,BF$24&lt;#REF!+#REF!),#REF!,"")),"")</f>
        <v/>
      </c>
      <c r="BG44" s="35" t="str">
        <f ca="1">IFERROR(+IF(BG$24=#REF!,Milestone_Marker,IF(AND(BG$24&gt;#REF!,BG$24&lt;#REF!+#REF!),#REF!,"")),"")</f>
        <v/>
      </c>
      <c r="BH44" s="35" t="str">
        <f ca="1">IFERROR(+IF(BH$24=#REF!,Milestone_Marker,IF(AND(BH$24&gt;#REF!,BH$24&lt;#REF!+#REF!),#REF!,"")),"")</f>
        <v/>
      </c>
      <c r="BI44" s="35" t="str">
        <f ca="1">IFERROR(+IF(BI$24=#REF!,Milestone_Marker,IF(AND(BI$24&gt;#REF!,BI$24&lt;#REF!+#REF!),#REF!,"")),"")</f>
        <v/>
      </c>
      <c r="BJ44" s="35" t="str">
        <f ca="1">IFERROR(+IF(BJ$24=#REF!,Milestone_Marker,IF(AND(BJ$24&gt;#REF!,BJ$24&lt;#REF!+#REF!),#REF!,"")),"")</f>
        <v/>
      </c>
      <c r="BK44" s="35" t="str">
        <f ca="1">IFERROR(+IF(BK$24=#REF!,Milestone_Marker,IF(AND(BK$24&gt;#REF!,BK$24&lt;#REF!+#REF!),#REF!,"")),"")</f>
        <v/>
      </c>
      <c r="BL44" s="35" t="str">
        <f ca="1">IFERROR(+IF(BL$24=#REF!,Milestone_Marker,IF(AND(BL$24&gt;#REF!,BL$24&lt;#REF!+#REF!),#REF!,"")),"")</f>
        <v/>
      </c>
      <c r="BM44" s="35" t="str">
        <f ca="1">IFERROR(+IF(BM$24=#REF!,Milestone_Marker,IF(AND(BM$24&gt;#REF!,BM$24&lt;#REF!+#REF!),#REF!,"")),"")</f>
        <v/>
      </c>
      <c r="BN44" s="35" t="str">
        <f ca="1">IFERROR(+IF(BN$24=#REF!,Milestone_Marker,IF(AND(BN$24&gt;#REF!,BN$24&lt;#REF!+#REF!),#REF!,"")),"")</f>
        <v/>
      </c>
      <c r="BO44" s="35" t="str">
        <f ca="1">IFERROR(+IF(BO$24=#REF!,Milestone_Marker,IF(AND(BO$24&gt;#REF!,BO$24&lt;#REF!+#REF!),#REF!,"")),"")</f>
        <v/>
      </c>
      <c r="BP44" s="35" t="str">
        <f ca="1">IFERROR(+IF(BP$24=#REF!,Milestone_Marker,IF(AND(BP$24&gt;#REF!,BP$24&lt;#REF!+#REF!),#REF!,"")),"")</f>
        <v/>
      </c>
      <c r="BQ44" s="35" t="str">
        <f ca="1">IFERROR(+IF(BQ$24=#REF!,Milestone_Marker,IF(AND(BQ$24&gt;#REF!,BQ$24&lt;#REF!+#REF!),#REF!,"")),"")</f>
        <v/>
      </c>
      <c r="BR44" s="35" t="str">
        <f ca="1">IFERROR(+IF(BR$24=#REF!,Milestone_Marker,IF(AND(BR$24&gt;#REF!,BR$24&lt;#REF!+#REF!),#REF!,"")),"")</f>
        <v/>
      </c>
      <c r="BS44" s="35" t="str">
        <f ca="1">IFERROR(+IF(BS$24=#REF!,Milestone_Marker,IF(AND(BS$24&gt;#REF!,BS$24&lt;#REF!+#REF!),#REF!,"")),"")</f>
        <v/>
      </c>
      <c r="BT44" s="35" t="str">
        <f ca="1">IFERROR(+IF(BT$24=#REF!,Milestone_Marker,IF(AND(BT$24&gt;#REF!,BT$24&lt;#REF!+#REF!),#REF!,"")),"")</f>
        <v/>
      </c>
      <c r="BU44" s="35" t="str">
        <f ca="1">IFERROR(+IF(BU$24=#REF!,Milestone_Marker,IF(AND(BU$24&gt;#REF!,BU$24&lt;#REF!+#REF!),#REF!,"")),"")</f>
        <v/>
      </c>
      <c r="BV44" s="35" t="str">
        <f ca="1">IFERROR(+IF(BV$24=#REF!,Milestone_Marker,IF(AND(BV$24&gt;#REF!,BV$24&lt;#REF!+#REF!),#REF!,"")),"")</f>
        <v/>
      </c>
      <c r="BW44" s="35" t="str">
        <f ca="1">IFERROR(+IF(BW$24=#REF!,Milestone_Marker,IF(AND(BW$24&gt;#REF!,BW$24&lt;#REF!+#REF!),#REF!,"")),"")</f>
        <v/>
      </c>
      <c r="BX44" s="35" t="str">
        <f ca="1">IFERROR(+IF(BX$24=#REF!,Milestone_Marker,IF(AND(BX$24&gt;#REF!,BX$24&lt;#REF!+#REF!),#REF!,"")),"")</f>
        <v/>
      </c>
      <c r="BY44" s="35" t="str">
        <f ca="1">IFERROR(+IF(BY$24=#REF!,Milestone_Marker,IF(AND(BY$24&gt;#REF!,BY$24&lt;#REF!+#REF!),#REF!,"")),"")</f>
        <v/>
      </c>
      <c r="BZ44" s="35" t="str">
        <f ca="1">IFERROR(+IF(BZ$24=#REF!,Milestone_Marker,IF(AND(BZ$24&gt;#REF!,BZ$24&lt;#REF!+#REF!),#REF!,"")),"")</f>
        <v/>
      </c>
      <c r="CA44" s="35" t="str">
        <f ca="1">IFERROR(+IF(CA$24=#REF!,Milestone_Marker,IF(AND(CA$24&gt;#REF!,CA$24&lt;#REF!+#REF!),#REF!,"")),"")</f>
        <v/>
      </c>
      <c r="CB44" s="35" t="str">
        <f ca="1">IFERROR(+IF(CB$24=#REF!,Milestone_Marker,IF(AND(CB$24&gt;#REF!,CB$24&lt;#REF!+#REF!),#REF!,"")),"")</f>
        <v/>
      </c>
      <c r="CC44" s="35" t="str">
        <f ca="1">IFERROR(+IF(CC$24=#REF!,Milestone_Marker,IF(AND(CC$24&gt;#REF!,CC$24&lt;#REF!+#REF!),#REF!,"")),"")</f>
        <v/>
      </c>
      <c r="CD44" s="35" t="str">
        <f ca="1">IFERROR(+IF(CD$24=#REF!,Milestone_Marker,IF(AND(CD$24&gt;#REF!,CD$24&lt;#REF!+#REF!),#REF!,"")),"")</f>
        <v/>
      </c>
      <c r="CE44" s="35" t="str">
        <f ca="1">IFERROR(+IF(CE$24=#REF!,Milestone_Marker,IF(AND(CE$24&gt;#REF!,CE$24&lt;#REF!+#REF!),#REF!,"")),"")</f>
        <v/>
      </c>
      <c r="CF44" s="35" t="str">
        <f ca="1">IFERROR(+IF(CF$24=#REF!,Milestone_Marker,IF(AND(CF$24&gt;#REF!,CF$24&lt;#REF!+#REF!),#REF!,"")),"")</f>
        <v/>
      </c>
      <c r="CG44" s="35" t="str">
        <f ca="1">IFERROR(+IF(CG$24=#REF!,Milestone_Marker,IF(AND(CG$24&gt;#REF!,CG$24&lt;#REF!+#REF!),#REF!,"")),"")</f>
        <v/>
      </c>
      <c r="CH44" s="35" t="str">
        <f ca="1">IFERROR(+IF(CH$24=#REF!,Milestone_Marker,IF(AND(CH$24&gt;#REF!,CH$24&lt;#REF!+#REF!),#REF!,"")),"")</f>
        <v/>
      </c>
      <c r="CI44" s="35" t="str">
        <f ca="1">IFERROR(+IF(CI$24=#REF!,Milestone_Marker,IF(AND(CI$24&gt;#REF!,CI$24&lt;#REF!+#REF!),#REF!,"")),"")</f>
        <v/>
      </c>
      <c r="CJ44" s="35" t="str">
        <f ca="1">IFERROR(+IF(CJ$24=#REF!,Milestone_Marker,IF(AND(CJ$24&gt;#REF!,CJ$24&lt;#REF!+#REF!),#REF!,"")),"")</f>
        <v/>
      </c>
      <c r="CK44" s="35" t="str">
        <f ca="1">IFERROR(+IF(CK$24=#REF!,Milestone_Marker,IF(AND(CK$24&gt;#REF!,CK$24&lt;#REF!+#REF!),#REF!,"")),"")</f>
        <v/>
      </c>
      <c r="CL44" s="35" t="str">
        <f ca="1">IFERROR(+IF(CL$24=#REF!,Milestone_Marker,IF(AND(CL$24&gt;#REF!,CL$24&lt;#REF!+#REF!),#REF!,"")),"")</f>
        <v/>
      </c>
      <c r="CM44" s="35" t="str">
        <f ca="1">IFERROR(+IF(CM$24=#REF!,Milestone_Marker,IF(AND(CM$24&gt;#REF!,CM$24&lt;#REF!+#REF!),#REF!,"")),"")</f>
        <v/>
      </c>
      <c r="CN44" s="35" t="str">
        <f ca="1">IFERROR(+IF(CN$24=#REF!,Milestone_Marker,IF(AND(CN$24&gt;#REF!,CN$24&lt;#REF!+#REF!),#REF!,"")),"")</f>
        <v/>
      </c>
      <c r="CO44" s="35" t="str">
        <f ca="1">IFERROR(+IF(CO$24=#REF!,Milestone_Marker,IF(AND(CO$24&gt;#REF!,CO$24&lt;#REF!+#REF!),#REF!,"")),"")</f>
        <v/>
      </c>
      <c r="CP44" s="35" t="str">
        <f ca="1">IFERROR(+IF(CP$24=#REF!,Milestone_Marker,IF(AND(CP$24&gt;#REF!,CP$24&lt;#REF!+#REF!),#REF!,"")),"")</f>
        <v/>
      </c>
      <c r="CQ44" s="35" t="str">
        <f ca="1">IFERROR(+IF(CQ$24=#REF!,Milestone_Marker,IF(AND(CQ$24&gt;#REF!,CQ$24&lt;#REF!+#REF!),#REF!,"")),"")</f>
        <v/>
      </c>
      <c r="CR44" s="35" t="str">
        <f ca="1">IFERROR(+IF(CR$24=#REF!,Milestone_Marker,IF(AND(CR$24&gt;#REF!,CR$24&lt;#REF!+#REF!),#REF!,"")),"")</f>
        <v/>
      </c>
      <c r="CS44" s="35" t="str">
        <f ca="1">IFERROR(+IF(CS$24=#REF!,Milestone_Marker,IF(AND(CS$24&gt;#REF!,CS$24&lt;#REF!+#REF!),#REF!,"")),"")</f>
        <v/>
      </c>
      <c r="CT44" s="35" t="str">
        <f ca="1">IFERROR(+IF(CT$24=#REF!,Milestone_Marker,IF(AND(CT$24&gt;#REF!,CT$24&lt;#REF!+#REF!),#REF!,"")),"")</f>
        <v/>
      </c>
      <c r="CU44" s="35" t="str">
        <f ca="1">IFERROR(+IF(CU$24=#REF!,Milestone_Marker,IF(AND(CU$24&gt;#REF!,CU$24&lt;#REF!+#REF!),#REF!,"")),"")</f>
        <v/>
      </c>
      <c r="CV44" s="35" t="str">
        <f ca="1">IFERROR(+IF(CV$24=#REF!,Milestone_Marker,IF(AND(CV$24&gt;#REF!,CV$24&lt;#REF!+#REF!),#REF!,"")),"")</f>
        <v/>
      </c>
      <c r="CW44" s="35" t="str">
        <f ca="1">IFERROR(+IF(CW$24=#REF!,Milestone_Marker,IF(AND(CW$24&gt;#REF!,CW$24&lt;#REF!+#REF!),#REF!,"")),"")</f>
        <v/>
      </c>
      <c r="CX44" s="35" t="str">
        <f ca="1">IFERROR(+IF(CX$24=#REF!,Milestone_Marker,IF(AND(CX$24&gt;#REF!,CX$24&lt;#REF!+#REF!),#REF!,"")),"")</f>
        <v/>
      </c>
      <c r="CY44" s="35" t="str">
        <f ca="1">IFERROR(+IF(CY$24=#REF!,Milestone_Marker,IF(AND(CY$24&gt;#REF!,CY$24&lt;#REF!+#REF!),#REF!,"")),"")</f>
        <v/>
      </c>
      <c r="CZ44" s="35" t="str">
        <f ca="1">IFERROR(+IF(CZ$24=#REF!,Milestone_Marker,IF(AND(CZ$24&gt;#REF!,CZ$24&lt;#REF!+#REF!),#REF!,"")),"")</f>
        <v/>
      </c>
      <c r="DA44" s="35" t="str">
        <f ca="1">IFERROR(+IF(DA$24=#REF!,Milestone_Marker,IF(AND(DA$24&gt;#REF!,DA$24&lt;#REF!+#REF!),#REF!,"")),"")</f>
        <v/>
      </c>
      <c r="DB44" s="35" t="str">
        <f ca="1">IFERROR(+IF(DB$24=#REF!,Milestone_Marker,IF(AND(DB$24&gt;#REF!,DB$24&lt;#REF!+#REF!),#REF!,"")),"")</f>
        <v/>
      </c>
      <c r="DC44" s="35" t="str">
        <f ca="1">IFERROR(+IF(DC$24=#REF!,Milestone_Marker,IF(AND(DC$24&gt;#REF!,DC$24&lt;#REF!+#REF!),#REF!,"")),"")</f>
        <v/>
      </c>
      <c r="DD44" s="35" t="str">
        <f ca="1">IFERROR(+IF(DD$24=#REF!,Milestone_Marker,IF(AND(DD$24&gt;#REF!,DD$24&lt;#REF!+#REF!),#REF!,"")),"")</f>
        <v/>
      </c>
      <c r="DE44" s="35" t="str">
        <f ca="1">IFERROR(+IF(DE$24=#REF!,Milestone_Marker,IF(AND(DE$24&gt;#REF!,DE$24&lt;#REF!+#REF!),#REF!,"")),"")</f>
        <v/>
      </c>
      <c r="DF44" s="35"/>
      <c r="DG44" s="35"/>
      <c r="DH44" s="35"/>
      <c r="DI44" s="35"/>
      <c r="DJ44" s="35"/>
      <c r="DK44" s="35"/>
      <c r="DL44" s="35"/>
      <c r="DM44" s="35"/>
      <c r="DN44" s="35"/>
      <c r="DO44" s="35"/>
      <c r="DP44" s="35"/>
      <c r="DQ44" s="35"/>
      <c r="DR44" s="35"/>
      <c r="DS44" s="35"/>
      <c r="DT44" s="35"/>
      <c r="DU44" s="35"/>
      <c r="DV44" s="35"/>
      <c r="DW44" s="35"/>
      <c r="DX44" s="35"/>
      <c r="DY44" s="35"/>
      <c r="DZ44" s="35"/>
      <c r="EA44" s="35"/>
      <c r="EB44" s="35"/>
      <c r="EC44" s="35"/>
      <c r="ED44" s="35"/>
      <c r="EE44" s="35"/>
    </row>
    <row r="45" spans="1:135" s="40" customFormat="1" ht="15">
      <c r="A45" t="s">
        <v>519</v>
      </c>
      <c r="B45" t="s">
        <v>521</v>
      </c>
      <c r="C45" t="s">
        <v>688</v>
      </c>
      <c r="D45" s="458" t="s">
        <v>689</v>
      </c>
      <c r="E45" s="458">
        <v>1</v>
      </c>
      <c r="F45">
        <v>652.5</v>
      </c>
      <c r="G45">
        <v>652.5</v>
      </c>
      <c r="H45">
        <v>154</v>
      </c>
      <c r="I45"/>
      <c r="J45">
        <v>107</v>
      </c>
      <c r="K45" s="107"/>
      <c r="L45" s="463">
        <v>107</v>
      </c>
      <c r="M45" s="176">
        <v>1</v>
      </c>
      <c r="N45" s="160">
        <v>0</v>
      </c>
      <c r="O45" s="546" cm="1">
        <f t="array" ref="O4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45967</v>
      </c>
      <c r="P45" s="566" t="s">
        <v>797</v>
      </c>
      <c r="Q45" s="566">
        <v>0</v>
      </c>
      <c r="R45" s="22"/>
      <c r="S45" s="463" cm="1">
        <f t="array" ref="S4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154</v>
      </c>
      <c r="T45">
        <v>1</v>
      </c>
      <c r="U45" s="176"/>
      <c r="V4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45.010100000000001</v>
      </c>
      <c r="W45" s="497"/>
      <c r="X45" s="176" t="s">
        <v>852</v>
      </c>
      <c r="Y45" s="547" t="s">
        <v>864</v>
      </c>
      <c r="Z45" s="160" t="s">
        <v>458</v>
      </c>
      <c r="AA45" s="563">
        <v>102400</v>
      </c>
      <c r="AB45" cm="1">
        <f t="array" ref="AB45">ROW()-ROW(Contract_Edits[#Headers])</f>
        <v>21</v>
      </c>
      <c r="AC45">
        <f>IF(Contract_Edits[[#This Row],[RowPos]]&gt;1, Contract_Edits[[#This Row],[RowPos]]-1, 0)</f>
        <v>20</v>
      </c>
      <c r="AD45" s="35">
        <f>IF(N(Contract_Edits[[#This Row],[Dep]])=0, N(Contract_Edits[[#This Row],[Index]]), N(Contract_Edits[[#This Row],[Dep]]))</f>
        <v>154</v>
      </c>
      <c r="AE45" s="35" cm="1">
        <f t="array" ref="AE45">IF(OR(Contract_Edits[[#This Row],[Dep]]=0, TRIM(Contract_Edits[[#This Row],[Dep]])=""),
   0,
   IFERROR(
      _xlfn.XLOOKUP(1, (Contract_Edits[Dep]=Contract_Edits[[#This Row],[Dep]])*(Contract_Edits[RowPos]&lt;Contract_Edits[[#This Row],[RowPos]]), Contract_Edits[RowPos], , 0, -1),
      0
   )
)</f>
        <v>0</v>
      </c>
      <c r="AF45" s="35">
        <f>IF(OR(Contract_Edits[[#This Row],[Dep]]=0,Contract_Edits[[#This Row],[Dep]]=""),0,
   COUNTIFS(Contract_Edits[Dep],Contract_Edits[[#This Row],[Dep]],Contract_Edits[RowPos],"&lt;="&amp;Contract_Edits[[#This Row],[RowPos]],Contract_Edits[Approve],"Yes")
)</f>
        <v>1</v>
      </c>
      <c r="AG45" s="517">
        <f>--(
  ISNUMBER(SEARCH("BASE PARENT", UPPER(CLEAN(TRIM(_xlfn.XLOOKUP(TEXT(Contract_Edits[[#This Row],[Index]],"0"), baseIdxTxt, baseCost, "")))))) +
  ISNUMBER(SEARCH("DEPENDENCY GROUP", UPPER(CLEAN(TRIM(_xlfn.XLOOKUP(TEXT(Contract_Edits[[#This Row],[Index]],"0"), baseIdxTxt, baseCost, ""))))))
)</f>
        <v>0</v>
      </c>
      <c r="AH45" s="517" t="str" cm="1">
        <f t="array" ref="AH45">IF(Contract_Edits[[#This Row],[BaseFlag]]=1,
   10*BaseDepthL(TEXT(Contract_Edits[[#This Row],[Index]],"0"),500,editsIdxTxt,editsParentKeyTxt,baseIdxTxt,baseCost)-5,
   ""
)</f>
        <v/>
      </c>
      <c r="AI45" s="517" cm="1">
        <f t="array" ref="AI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45" s="517" t="str">
        <f>IF(Contract_Edits[[#This Row],[Dep]]=0,"Root",
   IF(ISNUMBER(MATCH(Contract_Edits[[#This Row],[Dep]],Contract_Edits[Index],0)),"OK","Missing")
)</f>
        <v>OK</v>
      </c>
      <c r="AK45" s="517" t="str">
        <f>IF(AND(Contract_Edits[[#This Row],[Dep]]&lt;&gt;0,
        ISNUMBER(MATCH(Contract_Edits[[#This Row],[Dep]], Contract_Edits[Index], 0)),
        INDEX(Contract_Edits[Dep], MATCH(Contract_Edits[[#This Row],[Dep]], Contract_Edits[Index], 0))=Contract_Edits[[#This Row],[Index]]),
   "2-cycle","")</f>
        <v/>
      </c>
      <c r="AL45" s="517" cm="1">
        <f t="array" ref="AL45">IF(Contract_Edits[[#This Row],[BaseFlag]]&lt;&gt;1,0,
   IF(TEXT(Contract_Edits[[#This Row],[Dep]],"0")=TEXT(Contract_Edits[[#This Row],[Index]],"0"),
      0,
      MAX(0, SUMPRODUCT(--(Contract_Edits[BaseFlag]=1),
                        --(TEXT(Contract_Edits[Dep],"0")=TEXT(Contract_Edits[[#This Row],[Dep]],"0"))) - 1)
   )
)</f>
        <v>0</v>
      </c>
      <c r="AM45" s="517" t="str" cm="1">
        <f t="array" ref="AM45">IF(Contract_Edits[[#This Row],[BaseFlag]]=1,
   TEXT(Contract_Edits[[#This Row],[Index]],"0"),
   NearestBaseL(TEXT(Contract_Edits[[#This Row],[ParentKey]],"0"),500,editsIdxTxt,editsParentKeyTxt,baseIdxTxt,baseCost)
)</f>
        <v>154</v>
      </c>
      <c r="AN45" s="517" cm="1">
        <f t="array" ref="AN45">1+SUMPRODUCT(
  (Contract_Edits[BaseFlag]=1)*
  (TEXT(Contract_Edits[ParentAnchor],"0")=TEXT(Contract_Edits[[#This Row],[ParentAnchor]],"0"))*
  (VALUE(TEXT(Contract_Edits[Index],"0"))&lt;VALUE(TEXT(Contract_Edits[[#This Row],[Index]],"0")))
)</f>
        <v>1</v>
      </c>
      <c r="AO45" s="35"/>
      <c r="AP45" s="35" t="str">
        <f ca="1">IFERROR(+IF(AP$24=#REF!,Milestone_Marker,IF(AND(AP$24&gt;#REF!,AP$24&lt;#REF!+#REF!),#REF!,"")),"")</f>
        <v/>
      </c>
      <c r="AQ45" s="35" t="str">
        <f ca="1">IFERROR(+IF(AQ$24=#REF!,Milestone_Marker,IF(AND(AQ$24&gt;#REF!,AQ$24&lt;#REF!+#REF!),#REF!,"")),"")</f>
        <v/>
      </c>
      <c r="AR45" s="35" t="str">
        <f ca="1">IFERROR(+IF(AR$24=#REF!,Milestone_Marker,IF(AND(AR$24&gt;#REF!,AR$24&lt;#REF!+#REF!),#REF!,"")),"")</f>
        <v/>
      </c>
      <c r="AS45" s="35" t="str">
        <f ca="1">IFERROR(+IF(AS$24=#REF!,Milestone_Marker,IF(AND(AS$24&gt;#REF!,AS$24&lt;#REF!+#REF!),#REF!,"")),"")</f>
        <v/>
      </c>
      <c r="AT45" s="35" t="str">
        <f ca="1">IFERROR(+IF(AT$24=#REF!,Milestone_Marker,IF(AND(AT$24&gt;#REF!,AT$24&lt;#REF!+#REF!),#REF!,"")),"")</f>
        <v/>
      </c>
      <c r="AU45" s="35" t="str">
        <f ca="1">IFERROR(+IF(AU$24=#REF!,Milestone_Marker,IF(AND(AU$24&gt;#REF!,AU$24&lt;#REF!+#REF!),#REF!,"")),"")</f>
        <v/>
      </c>
      <c r="AV45" s="35" t="str">
        <f ca="1">IFERROR(+IF(AV$24=#REF!,Milestone_Marker,IF(AND(AV$24&gt;#REF!,AV$24&lt;#REF!+#REF!),#REF!,"")),"")</f>
        <v/>
      </c>
      <c r="AW45" s="35" t="str">
        <f ca="1">IFERROR(+IF(AW$24=#REF!,Milestone_Marker,IF(AND(AW$24&gt;#REF!,AW$24&lt;#REF!+#REF!),#REF!,"")),"")</f>
        <v/>
      </c>
      <c r="AX45" s="35" t="str">
        <f ca="1">IFERROR(+IF(AX$24=#REF!,Milestone_Marker,IF(AND(AX$24&gt;#REF!,AX$24&lt;#REF!+#REF!),#REF!,"")),"")</f>
        <v/>
      </c>
      <c r="AY45" s="35" t="str">
        <f ca="1">IFERROR(+IF(AY$24=#REF!,Milestone_Marker,IF(AND(AY$24&gt;#REF!,AY$24&lt;#REF!+#REF!),#REF!,"")),"")</f>
        <v/>
      </c>
      <c r="AZ45" s="35" t="str">
        <f ca="1">IFERROR(+IF(AZ$24=#REF!,Milestone_Marker,IF(AND(AZ$24&gt;#REF!,AZ$24&lt;#REF!+#REF!),#REF!,"")),"")</f>
        <v/>
      </c>
      <c r="BA45" s="35" t="str">
        <f ca="1">IFERROR(+IF(BA$24=#REF!,Milestone_Marker,IF(AND(BA$24&gt;#REF!,BA$24&lt;#REF!+#REF!),#REF!,"")),"")</f>
        <v/>
      </c>
      <c r="BB45" s="35" t="str">
        <f ca="1">IFERROR(+IF(BB$24=#REF!,Milestone_Marker,IF(AND(BB$24&gt;#REF!,BB$24&lt;#REF!+#REF!),#REF!,"")),"")</f>
        <v/>
      </c>
      <c r="BC45" s="35" t="str">
        <f ca="1">IFERROR(+IF(BC$24=#REF!,Milestone_Marker,IF(AND(BC$24&gt;#REF!,BC$24&lt;#REF!+#REF!),#REF!,"")),"")</f>
        <v/>
      </c>
      <c r="BD45" s="35" t="str">
        <f ca="1">IFERROR(+IF(BD$24=#REF!,Milestone_Marker,IF(AND(BD$24&gt;#REF!,BD$24&lt;#REF!+#REF!),#REF!,"")),"")</f>
        <v/>
      </c>
      <c r="BE45" s="35" t="str">
        <f ca="1">IFERROR(+IF(BE$24=#REF!,Milestone_Marker,IF(AND(BE$24&gt;#REF!,BE$24&lt;#REF!+#REF!),#REF!,"")),"")</f>
        <v/>
      </c>
      <c r="BF45" s="35" t="str">
        <f ca="1">IFERROR(+IF(BF$24=#REF!,Milestone_Marker,IF(AND(BF$24&gt;#REF!,BF$24&lt;#REF!+#REF!),#REF!,"")),"")</f>
        <v/>
      </c>
      <c r="BG45" s="35" t="str">
        <f ca="1">IFERROR(+IF(BG$24=#REF!,Milestone_Marker,IF(AND(BG$24&gt;#REF!,BG$24&lt;#REF!+#REF!),#REF!,"")),"")</f>
        <v/>
      </c>
      <c r="BH45" s="35" t="str">
        <f ca="1">IFERROR(+IF(BH$24=#REF!,Milestone_Marker,IF(AND(BH$24&gt;#REF!,BH$24&lt;#REF!+#REF!),#REF!,"")),"")</f>
        <v/>
      </c>
      <c r="BI45" s="35" t="str">
        <f ca="1">IFERROR(+IF(BI$24=#REF!,Milestone_Marker,IF(AND(BI$24&gt;#REF!,BI$24&lt;#REF!+#REF!),#REF!,"")),"")</f>
        <v/>
      </c>
      <c r="BJ45" s="35" t="str">
        <f ca="1">IFERROR(+IF(BJ$24=#REF!,Milestone_Marker,IF(AND(BJ$24&gt;#REF!,BJ$24&lt;#REF!+#REF!),#REF!,"")),"")</f>
        <v/>
      </c>
      <c r="BK45" s="35" t="str">
        <f ca="1">IFERROR(+IF(BK$24=#REF!,Milestone_Marker,IF(AND(BK$24&gt;#REF!,BK$24&lt;#REF!+#REF!),#REF!,"")),"")</f>
        <v/>
      </c>
      <c r="BL45" s="35" t="str">
        <f ca="1">IFERROR(+IF(BL$24=#REF!,Milestone_Marker,IF(AND(BL$24&gt;#REF!,BL$24&lt;#REF!+#REF!),#REF!,"")),"")</f>
        <v/>
      </c>
      <c r="BM45" s="35" t="str">
        <f ca="1">IFERROR(+IF(BM$24=#REF!,Milestone_Marker,IF(AND(BM$24&gt;#REF!,BM$24&lt;#REF!+#REF!),#REF!,"")),"")</f>
        <v/>
      </c>
      <c r="BN45" s="35" t="str">
        <f ca="1">IFERROR(+IF(BN$24=#REF!,Milestone_Marker,IF(AND(BN$24&gt;#REF!,BN$24&lt;#REF!+#REF!),#REF!,"")),"")</f>
        <v/>
      </c>
      <c r="BO45" s="35" t="str">
        <f ca="1">IFERROR(+IF(BO$24=#REF!,Milestone_Marker,IF(AND(BO$24&gt;#REF!,BO$24&lt;#REF!+#REF!),#REF!,"")),"")</f>
        <v/>
      </c>
      <c r="BP45" s="35" t="str">
        <f ca="1">IFERROR(+IF(BP$24=#REF!,Milestone_Marker,IF(AND(BP$24&gt;#REF!,BP$24&lt;#REF!+#REF!),#REF!,"")),"")</f>
        <v/>
      </c>
      <c r="BQ45" s="35" t="str">
        <f ca="1">IFERROR(+IF(BQ$24=#REF!,Milestone_Marker,IF(AND(BQ$24&gt;#REF!,BQ$24&lt;#REF!+#REF!),#REF!,"")),"")</f>
        <v/>
      </c>
      <c r="BR45" s="35" t="str">
        <f ca="1">IFERROR(+IF(BR$24=#REF!,Milestone_Marker,IF(AND(BR$24&gt;#REF!,BR$24&lt;#REF!+#REF!),#REF!,"")),"")</f>
        <v/>
      </c>
      <c r="BS45" s="35" t="str">
        <f ca="1">IFERROR(+IF(BS$24=#REF!,Milestone_Marker,IF(AND(BS$24&gt;#REF!,BS$24&lt;#REF!+#REF!),#REF!,"")),"")</f>
        <v/>
      </c>
      <c r="BT45" s="35" t="str">
        <f ca="1">IFERROR(+IF(BT$24=#REF!,Milestone_Marker,IF(AND(BT$24&gt;#REF!,BT$24&lt;#REF!+#REF!),#REF!,"")),"")</f>
        <v/>
      </c>
      <c r="BU45" s="35" t="str">
        <f ca="1">IFERROR(+IF(BU$24=#REF!,Milestone_Marker,IF(AND(BU$24&gt;#REF!,BU$24&lt;#REF!+#REF!),#REF!,"")),"")</f>
        <v/>
      </c>
      <c r="BV45" s="35" t="str">
        <f ca="1">IFERROR(+IF(BV$24=#REF!,Milestone_Marker,IF(AND(BV$24&gt;#REF!,BV$24&lt;#REF!+#REF!),#REF!,"")),"")</f>
        <v/>
      </c>
      <c r="BW45" s="35" t="str">
        <f ca="1">IFERROR(+IF(BW$24=#REF!,Milestone_Marker,IF(AND(BW$24&gt;#REF!,BW$24&lt;#REF!+#REF!),#REF!,"")),"")</f>
        <v/>
      </c>
      <c r="BX45" s="35" t="str">
        <f ca="1">IFERROR(+IF(BX$24=#REF!,Milestone_Marker,IF(AND(BX$24&gt;#REF!,BX$24&lt;#REF!+#REF!),#REF!,"")),"")</f>
        <v/>
      </c>
      <c r="BY45" s="35" t="str">
        <f ca="1">IFERROR(+IF(BY$24=#REF!,Milestone_Marker,IF(AND(BY$24&gt;#REF!,BY$24&lt;#REF!+#REF!),#REF!,"")),"")</f>
        <v/>
      </c>
      <c r="BZ45" s="35" t="str">
        <f ca="1">IFERROR(+IF(BZ$24=#REF!,Milestone_Marker,IF(AND(BZ$24&gt;#REF!,BZ$24&lt;#REF!+#REF!),#REF!,"")),"")</f>
        <v/>
      </c>
      <c r="CA45" s="35" t="str">
        <f ca="1">IFERROR(+IF(CA$24=#REF!,Milestone_Marker,IF(AND(CA$24&gt;#REF!,CA$24&lt;#REF!+#REF!),#REF!,"")),"")</f>
        <v/>
      </c>
      <c r="CB45" s="35" t="str">
        <f ca="1">IFERROR(+IF(CB$24=#REF!,Milestone_Marker,IF(AND(CB$24&gt;#REF!,CB$24&lt;#REF!+#REF!),#REF!,"")),"")</f>
        <v/>
      </c>
      <c r="CC45" s="35" t="str">
        <f ca="1">IFERROR(+IF(CC$24=#REF!,Milestone_Marker,IF(AND(CC$24&gt;#REF!,CC$24&lt;#REF!+#REF!),#REF!,"")),"")</f>
        <v/>
      </c>
      <c r="CD45" s="35" t="str">
        <f ca="1">IFERROR(+IF(CD$24=#REF!,Milestone_Marker,IF(AND(CD$24&gt;#REF!,CD$24&lt;#REF!+#REF!),#REF!,"")),"")</f>
        <v/>
      </c>
      <c r="CE45" s="35" t="str">
        <f ca="1">IFERROR(+IF(CE$24=#REF!,Milestone_Marker,IF(AND(CE$24&gt;#REF!,CE$24&lt;#REF!+#REF!),#REF!,"")),"")</f>
        <v/>
      </c>
      <c r="CF45" s="35" t="str">
        <f ca="1">IFERROR(+IF(CF$24=#REF!,Milestone_Marker,IF(AND(CF$24&gt;#REF!,CF$24&lt;#REF!+#REF!),#REF!,"")),"")</f>
        <v/>
      </c>
      <c r="CG45" s="35" t="str">
        <f ca="1">IFERROR(+IF(CG$24=#REF!,Milestone_Marker,IF(AND(CG$24&gt;#REF!,CG$24&lt;#REF!+#REF!),#REF!,"")),"")</f>
        <v/>
      </c>
      <c r="CH45" s="35" t="str">
        <f ca="1">IFERROR(+IF(CH$24=#REF!,Milestone_Marker,IF(AND(CH$24&gt;#REF!,CH$24&lt;#REF!+#REF!),#REF!,"")),"")</f>
        <v/>
      </c>
      <c r="CI45" s="35" t="str">
        <f ca="1">IFERROR(+IF(CI$24=#REF!,Milestone_Marker,IF(AND(CI$24&gt;#REF!,CI$24&lt;#REF!+#REF!),#REF!,"")),"")</f>
        <v/>
      </c>
      <c r="CJ45" s="35" t="str">
        <f ca="1">IFERROR(+IF(CJ$24=#REF!,Milestone_Marker,IF(AND(CJ$24&gt;#REF!,CJ$24&lt;#REF!+#REF!),#REF!,"")),"")</f>
        <v/>
      </c>
      <c r="CK45" s="35" t="str">
        <f ca="1">IFERROR(+IF(CK$24=#REF!,Milestone_Marker,IF(AND(CK$24&gt;#REF!,CK$24&lt;#REF!+#REF!),#REF!,"")),"")</f>
        <v/>
      </c>
      <c r="CL45" s="35" t="str">
        <f ca="1">IFERROR(+IF(CL$24=#REF!,Milestone_Marker,IF(AND(CL$24&gt;#REF!,CL$24&lt;#REF!+#REF!),#REF!,"")),"")</f>
        <v/>
      </c>
      <c r="CM45" s="35" t="str">
        <f ca="1">IFERROR(+IF(CM$24=#REF!,Milestone_Marker,IF(AND(CM$24&gt;#REF!,CM$24&lt;#REF!+#REF!),#REF!,"")),"")</f>
        <v/>
      </c>
      <c r="CN45" s="35" t="str">
        <f ca="1">IFERROR(+IF(CN$24=#REF!,Milestone_Marker,IF(AND(CN$24&gt;#REF!,CN$24&lt;#REF!+#REF!),#REF!,"")),"")</f>
        <v/>
      </c>
      <c r="CO45" s="35" t="str">
        <f ca="1">IFERROR(+IF(CO$24=#REF!,Milestone_Marker,IF(AND(CO$24&gt;#REF!,CO$24&lt;#REF!+#REF!),#REF!,"")),"")</f>
        <v/>
      </c>
      <c r="CP45" s="35" t="str">
        <f ca="1">IFERROR(+IF(CP$24=#REF!,Milestone_Marker,IF(AND(CP$24&gt;#REF!,CP$24&lt;#REF!+#REF!),#REF!,"")),"")</f>
        <v/>
      </c>
      <c r="CQ45" s="35" t="str">
        <f ca="1">IFERROR(+IF(CQ$24=#REF!,Milestone_Marker,IF(AND(CQ$24&gt;#REF!,CQ$24&lt;#REF!+#REF!),#REF!,"")),"")</f>
        <v/>
      </c>
      <c r="CR45" s="35" t="str">
        <f ca="1">IFERROR(+IF(CR$24=#REF!,Milestone_Marker,IF(AND(CR$24&gt;#REF!,CR$24&lt;#REF!+#REF!),#REF!,"")),"")</f>
        <v/>
      </c>
      <c r="CS45" s="35" t="str">
        <f ca="1">IFERROR(+IF(CS$24=#REF!,Milestone_Marker,IF(AND(CS$24&gt;#REF!,CS$24&lt;#REF!+#REF!),#REF!,"")),"")</f>
        <v/>
      </c>
      <c r="CT45" s="35" t="str">
        <f ca="1">IFERROR(+IF(CT$24=#REF!,Milestone_Marker,IF(AND(CT$24&gt;#REF!,CT$24&lt;#REF!+#REF!),#REF!,"")),"")</f>
        <v/>
      </c>
      <c r="CU45" s="35" t="str">
        <f ca="1">IFERROR(+IF(CU$24=#REF!,Milestone_Marker,IF(AND(CU$24&gt;#REF!,CU$24&lt;#REF!+#REF!),#REF!,"")),"")</f>
        <v/>
      </c>
      <c r="CV45" s="35" t="str">
        <f ca="1">IFERROR(+IF(CV$24=#REF!,Milestone_Marker,IF(AND(CV$24&gt;#REF!,CV$24&lt;#REF!+#REF!),#REF!,"")),"")</f>
        <v/>
      </c>
      <c r="CW45" s="35" t="str">
        <f ca="1">IFERROR(+IF(CW$24=#REF!,Milestone_Marker,IF(AND(CW$24&gt;#REF!,CW$24&lt;#REF!+#REF!),#REF!,"")),"")</f>
        <v/>
      </c>
      <c r="CX45" s="35" t="str">
        <f ca="1">IFERROR(+IF(CX$24=#REF!,Milestone_Marker,IF(AND(CX$24&gt;#REF!,CX$24&lt;#REF!+#REF!),#REF!,"")),"")</f>
        <v/>
      </c>
      <c r="CY45" s="35" t="str">
        <f ca="1">IFERROR(+IF(CY$24=#REF!,Milestone_Marker,IF(AND(CY$24&gt;#REF!,CY$24&lt;#REF!+#REF!),#REF!,"")),"")</f>
        <v/>
      </c>
      <c r="CZ45" s="35" t="str">
        <f ca="1">IFERROR(+IF(CZ$24=#REF!,Milestone_Marker,IF(AND(CZ$24&gt;#REF!,CZ$24&lt;#REF!+#REF!),#REF!,"")),"")</f>
        <v/>
      </c>
      <c r="DA45" s="35" t="str">
        <f ca="1">IFERROR(+IF(DA$24=#REF!,Milestone_Marker,IF(AND(DA$24&gt;#REF!,DA$24&lt;#REF!+#REF!),#REF!,"")),"")</f>
        <v/>
      </c>
      <c r="DB45" s="35" t="str">
        <f ca="1">IFERROR(+IF(DB$24=#REF!,Milestone_Marker,IF(AND(DB$24&gt;#REF!,DB$24&lt;#REF!+#REF!),#REF!,"")),"")</f>
        <v/>
      </c>
      <c r="DC45" s="35" t="str">
        <f ca="1">IFERROR(+IF(DC$24=#REF!,Milestone_Marker,IF(AND(DC$24&gt;#REF!,DC$24&lt;#REF!+#REF!),#REF!,"")),"")</f>
        <v/>
      </c>
      <c r="DD45" s="35" t="str">
        <f ca="1">IFERROR(+IF(DD$24=#REF!,Milestone_Marker,IF(AND(DD$24&gt;#REF!,DD$24&lt;#REF!+#REF!),#REF!,"")),"")</f>
        <v/>
      </c>
      <c r="DE45" s="35" t="str">
        <f ca="1">IFERROR(+IF(DE$24=#REF!,Milestone_Marker,IF(AND(DE$24&gt;#REF!,DE$24&lt;#REF!+#REF!),#REF!,"")),"")</f>
        <v/>
      </c>
      <c r="DF45" s="35"/>
      <c r="DG45" s="35"/>
      <c r="DH45" s="35"/>
      <c r="DI45" s="35"/>
      <c r="DJ45" s="35"/>
      <c r="DK45" s="35"/>
      <c r="DL45" s="35"/>
      <c r="DM45" s="35"/>
      <c r="DN45" s="35"/>
      <c r="DO45" s="35"/>
      <c r="DP45" s="35"/>
      <c r="DQ45" s="35"/>
      <c r="DR45" s="35"/>
      <c r="DS45" s="35"/>
      <c r="DT45" s="35"/>
      <c r="DU45" s="35"/>
      <c r="DV45" s="35"/>
      <c r="DW45" s="35"/>
      <c r="DX45" s="35"/>
      <c r="DY45" s="35"/>
      <c r="DZ45" s="35"/>
      <c r="EA45" s="35"/>
      <c r="EB45" s="35"/>
      <c r="EC45" s="35"/>
      <c r="ED45" s="35"/>
      <c r="EE45" s="35"/>
    </row>
    <row r="46" spans="1:135" s="40" customFormat="1" ht="15">
      <c r="A46" t="s">
        <v>519</v>
      </c>
      <c r="B46" t="s">
        <v>523</v>
      </c>
      <c r="C46" t="s">
        <v>688</v>
      </c>
      <c r="D46" s="458" t="s">
        <v>718</v>
      </c>
      <c r="E46" s="458">
        <v>1</v>
      </c>
      <c r="F46">
        <v>11890</v>
      </c>
      <c r="G46">
        <v>11890</v>
      </c>
      <c r="H46">
        <v>154</v>
      </c>
      <c r="I46"/>
      <c r="J46">
        <v>130</v>
      </c>
      <c r="K46" s="107"/>
      <c r="L46" s="463">
        <v>130</v>
      </c>
      <c r="M46" s="176">
        <v>2</v>
      </c>
      <c r="N46" s="160">
        <v>0</v>
      </c>
      <c r="O46" s="546" cm="1">
        <f t="array" ref="O4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45968</v>
      </c>
      <c r="P46" s="566" t="s">
        <v>797</v>
      </c>
      <c r="Q46" s="566">
        <v>0</v>
      </c>
      <c r="R46" s="22"/>
      <c r="S46" s="463" cm="1">
        <f t="array" ref="S4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154</v>
      </c>
      <c r="T46">
        <v>1</v>
      </c>
      <c r="U46" s="176"/>
      <c r="V4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45.010199999999998</v>
      </c>
      <c r="W46" s="497"/>
      <c r="X46" s="176" t="s">
        <v>852</v>
      </c>
      <c r="Y46" s="547" t="s">
        <v>864</v>
      </c>
      <c r="Z46" s="160" t="s">
        <v>458</v>
      </c>
      <c r="AA46" s="563">
        <v>102400</v>
      </c>
      <c r="AB46" cm="1">
        <f t="array" ref="AB46">ROW()-ROW(Contract_Edits[#Headers])</f>
        <v>22</v>
      </c>
      <c r="AC46">
        <f>IF(Contract_Edits[[#This Row],[RowPos]]&gt;1, Contract_Edits[[#This Row],[RowPos]]-1, 0)</f>
        <v>21</v>
      </c>
      <c r="AD46" s="35">
        <f>IF(N(Contract_Edits[[#This Row],[Dep]])=0, N(Contract_Edits[[#This Row],[Index]]), N(Contract_Edits[[#This Row],[Dep]]))</f>
        <v>154</v>
      </c>
      <c r="AE46" s="35" cm="1">
        <f t="array" ref="AE46">IF(OR(Contract_Edits[[#This Row],[Dep]]=0, TRIM(Contract_Edits[[#This Row],[Dep]])=""),
   0,
   IFERROR(
      _xlfn.XLOOKUP(1, (Contract_Edits[Dep]=Contract_Edits[[#This Row],[Dep]])*(Contract_Edits[RowPos]&lt;Contract_Edits[[#This Row],[RowPos]]), Contract_Edits[RowPos], , 0, -1),
      0
   )
)</f>
        <v>21</v>
      </c>
      <c r="AF46" s="35">
        <f>IF(OR(Contract_Edits[[#This Row],[Dep]]=0,Contract_Edits[[#This Row],[Dep]]=""),0,
   COUNTIFS(Contract_Edits[Dep],Contract_Edits[[#This Row],[Dep]],Contract_Edits[RowPos],"&lt;="&amp;Contract_Edits[[#This Row],[RowPos]],Contract_Edits[Approve],"Yes")
)</f>
        <v>2</v>
      </c>
      <c r="AG46" s="517">
        <f>--(
  ISNUMBER(SEARCH("BASE PARENT", UPPER(CLEAN(TRIM(_xlfn.XLOOKUP(TEXT(Contract_Edits[[#This Row],[Index]],"0"), baseIdxTxt, baseCost, "")))))) +
  ISNUMBER(SEARCH("DEPENDENCY GROUP", UPPER(CLEAN(TRIM(_xlfn.XLOOKUP(TEXT(Contract_Edits[[#This Row],[Index]],"0"), baseIdxTxt, baseCost, ""))))))
)</f>
        <v>0</v>
      </c>
      <c r="AH46" s="517" t="str" cm="1">
        <f t="array" ref="AH46">IF(Contract_Edits[[#This Row],[BaseFlag]]=1,
   10*BaseDepthL(TEXT(Contract_Edits[[#This Row],[Index]],"0"),500,editsIdxTxt,editsParentKeyTxt,baseIdxTxt,baseCost)-5,
   ""
)</f>
        <v/>
      </c>
      <c r="AI46" s="517" cm="1">
        <f t="array" ref="AI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46" s="517" t="str">
        <f>IF(Contract_Edits[[#This Row],[Dep]]=0,"Root",
   IF(ISNUMBER(MATCH(Contract_Edits[[#This Row],[Dep]],Contract_Edits[Index],0)),"OK","Missing")
)</f>
        <v>OK</v>
      </c>
      <c r="AK46" s="517" t="str">
        <f>IF(AND(Contract_Edits[[#This Row],[Dep]]&lt;&gt;0,
        ISNUMBER(MATCH(Contract_Edits[[#This Row],[Dep]], Contract_Edits[Index], 0)),
        INDEX(Contract_Edits[Dep], MATCH(Contract_Edits[[#This Row],[Dep]], Contract_Edits[Index], 0))=Contract_Edits[[#This Row],[Index]]),
   "2-cycle","")</f>
        <v/>
      </c>
      <c r="AL46" s="517" cm="1">
        <f t="array" ref="AL46">IF(Contract_Edits[[#This Row],[BaseFlag]]&lt;&gt;1,0,
   IF(TEXT(Contract_Edits[[#This Row],[Dep]],"0")=TEXT(Contract_Edits[[#This Row],[Index]],"0"),
      0,
      MAX(0, SUMPRODUCT(--(Contract_Edits[BaseFlag]=1),
                        --(TEXT(Contract_Edits[Dep],"0")=TEXT(Contract_Edits[[#This Row],[Dep]],"0"))) - 1)
   )
)</f>
        <v>0</v>
      </c>
      <c r="AM46" s="517" t="str" cm="1">
        <f t="array" ref="AM46">IF(Contract_Edits[[#This Row],[BaseFlag]]=1,
   TEXT(Contract_Edits[[#This Row],[Index]],"0"),
   NearestBaseL(TEXT(Contract_Edits[[#This Row],[ParentKey]],"0"),500,editsIdxTxt,editsParentKeyTxt,baseIdxTxt,baseCost)
)</f>
        <v>154</v>
      </c>
      <c r="AN46" s="517" cm="1">
        <f t="array" ref="AN46">1+SUMPRODUCT(
  (Contract_Edits[BaseFlag]=1)*
  (TEXT(Contract_Edits[ParentAnchor],"0")=TEXT(Contract_Edits[[#This Row],[ParentAnchor]],"0"))*
  (VALUE(TEXT(Contract_Edits[Index],"0"))&lt;VALUE(TEXT(Contract_Edits[[#This Row],[Index]],"0")))
)</f>
        <v>1</v>
      </c>
      <c r="AO46" s="35"/>
      <c r="AP46" s="35" t="str">
        <f ca="1">IFERROR(+IF(AP$24=#REF!,Milestone_Marker,IF(AND(AP$24&gt;#REF!,AP$24&lt;#REF!+#REF!),#REF!,"")),"")</f>
        <v/>
      </c>
      <c r="AQ46" s="35" t="str">
        <f ca="1">IFERROR(+IF(AQ$24=#REF!,Milestone_Marker,IF(AND(AQ$24&gt;#REF!,AQ$24&lt;#REF!+#REF!),#REF!,"")),"")</f>
        <v/>
      </c>
      <c r="AR46" s="35" t="str">
        <f ca="1">IFERROR(+IF(AR$24=#REF!,Milestone_Marker,IF(AND(AR$24&gt;#REF!,AR$24&lt;#REF!+#REF!),#REF!,"")),"")</f>
        <v/>
      </c>
      <c r="AS46" s="35" t="str">
        <f ca="1">IFERROR(+IF(AS$24=#REF!,Milestone_Marker,IF(AND(AS$24&gt;#REF!,AS$24&lt;#REF!+#REF!),#REF!,"")),"")</f>
        <v/>
      </c>
      <c r="AT46" s="35" t="str">
        <f ca="1">IFERROR(+IF(AT$24=#REF!,Milestone_Marker,IF(AND(AT$24&gt;#REF!,AT$24&lt;#REF!+#REF!),#REF!,"")),"")</f>
        <v/>
      </c>
      <c r="AU46" s="35" t="str">
        <f ca="1">IFERROR(+IF(AU$24=#REF!,Milestone_Marker,IF(AND(AU$24&gt;#REF!,AU$24&lt;#REF!+#REF!),#REF!,"")),"")</f>
        <v/>
      </c>
      <c r="AV46" s="35" t="str">
        <f ca="1">IFERROR(+IF(AV$24=#REF!,Milestone_Marker,IF(AND(AV$24&gt;#REF!,AV$24&lt;#REF!+#REF!),#REF!,"")),"")</f>
        <v/>
      </c>
      <c r="AW46" s="35" t="str">
        <f ca="1">IFERROR(+IF(AW$24=#REF!,Milestone_Marker,IF(AND(AW$24&gt;#REF!,AW$24&lt;#REF!+#REF!),#REF!,"")),"")</f>
        <v/>
      </c>
      <c r="AX46" s="35" t="str">
        <f ca="1">IFERROR(+IF(AX$24=#REF!,Milestone_Marker,IF(AND(AX$24&gt;#REF!,AX$24&lt;#REF!+#REF!),#REF!,"")),"")</f>
        <v/>
      </c>
      <c r="AY46" s="35" t="str">
        <f ca="1">IFERROR(+IF(AY$24=#REF!,Milestone_Marker,IF(AND(AY$24&gt;#REF!,AY$24&lt;#REF!+#REF!),#REF!,"")),"")</f>
        <v/>
      </c>
      <c r="AZ46" s="35" t="str">
        <f ca="1">IFERROR(+IF(AZ$24=#REF!,Milestone_Marker,IF(AND(AZ$24&gt;#REF!,AZ$24&lt;#REF!+#REF!),#REF!,"")),"")</f>
        <v/>
      </c>
      <c r="BA46" s="35" t="str">
        <f ca="1">IFERROR(+IF(BA$24=#REF!,Milestone_Marker,IF(AND(BA$24&gt;#REF!,BA$24&lt;#REF!+#REF!),#REF!,"")),"")</f>
        <v/>
      </c>
      <c r="BB46" s="35" t="str">
        <f ca="1">IFERROR(+IF(BB$24=#REF!,Milestone_Marker,IF(AND(BB$24&gt;#REF!,BB$24&lt;#REF!+#REF!),#REF!,"")),"")</f>
        <v/>
      </c>
      <c r="BC46" s="35" t="str">
        <f ca="1">IFERROR(+IF(BC$24=#REF!,Milestone_Marker,IF(AND(BC$24&gt;#REF!,BC$24&lt;#REF!+#REF!),#REF!,"")),"")</f>
        <v/>
      </c>
      <c r="BD46" s="35" t="str">
        <f ca="1">IFERROR(+IF(BD$24=#REF!,Milestone_Marker,IF(AND(BD$24&gt;#REF!,BD$24&lt;#REF!+#REF!),#REF!,"")),"")</f>
        <v/>
      </c>
      <c r="BE46" s="35" t="str">
        <f ca="1">IFERROR(+IF(BE$24=#REF!,Milestone_Marker,IF(AND(BE$24&gt;#REF!,BE$24&lt;#REF!+#REF!),#REF!,"")),"")</f>
        <v/>
      </c>
      <c r="BF46" s="35" t="str">
        <f ca="1">IFERROR(+IF(BF$24=#REF!,Milestone_Marker,IF(AND(BF$24&gt;#REF!,BF$24&lt;#REF!+#REF!),#REF!,"")),"")</f>
        <v/>
      </c>
      <c r="BG46" s="35" t="str">
        <f ca="1">IFERROR(+IF(BG$24=#REF!,Milestone_Marker,IF(AND(BG$24&gt;#REF!,BG$24&lt;#REF!+#REF!),#REF!,"")),"")</f>
        <v/>
      </c>
      <c r="BH46" s="35" t="str">
        <f ca="1">IFERROR(+IF(BH$24=#REF!,Milestone_Marker,IF(AND(BH$24&gt;#REF!,BH$24&lt;#REF!+#REF!),#REF!,"")),"")</f>
        <v/>
      </c>
      <c r="BI46" s="35" t="str">
        <f ca="1">IFERROR(+IF(BI$24=#REF!,Milestone_Marker,IF(AND(BI$24&gt;#REF!,BI$24&lt;#REF!+#REF!),#REF!,"")),"")</f>
        <v/>
      </c>
      <c r="BJ46" s="35" t="str">
        <f ca="1">IFERROR(+IF(BJ$24=#REF!,Milestone_Marker,IF(AND(BJ$24&gt;#REF!,BJ$24&lt;#REF!+#REF!),#REF!,"")),"")</f>
        <v/>
      </c>
      <c r="BK46" s="35" t="str">
        <f ca="1">IFERROR(+IF(BK$24=#REF!,Milestone_Marker,IF(AND(BK$24&gt;#REF!,BK$24&lt;#REF!+#REF!),#REF!,"")),"")</f>
        <v/>
      </c>
      <c r="BL46" s="35" t="str">
        <f ca="1">IFERROR(+IF(BL$24=#REF!,Milestone_Marker,IF(AND(BL$24&gt;#REF!,BL$24&lt;#REF!+#REF!),#REF!,"")),"")</f>
        <v/>
      </c>
      <c r="BM46" s="35" t="str">
        <f ca="1">IFERROR(+IF(BM$24=#REF!,Milestone_Marker,IF(AND(BM$24&gt;#REF!,BM$24&lt;#REF!+#REF!),#REF!,"")),"")</f>
        <v/>
      </c>
      <c r="BN46" s="35" t="str">
        <f ca="1">IFERROR(+IF(BN$24=#REF!,Milestone_Marker,IF(AND(BN$24&gt;#REF!,BN$24&lt;#REF!+#REF!),#REF!,"")),"")</f>
        <v/>
      </c>
      <c r="BO46" s="35" t="str">
        <f ca="1">IFERROR(+IF(BO$24=#REF!,Milestone_Marker,IF(AND(BO$24&gt;#REF!,BO$24&lt;#REF!+#REF!),#REF!,"")),"")</f>
        <v/>
      </c>
      <c r="BP46" s="35" t="str">
        <f ca="1">IFERROR(+IF(BP$24=#REF!,Milestone_Marker,IF(AND(BP$24&gt;#REF!,BP$24&lt;#REF!+#REF!),#REF!,"")),"")</f>
        <v/>
      </c>
      <c r="BQ46" s="35" t="str">
        <f ca="1">IFERROR(+IF(BQ$24=#REF!,Milestone_Marker,IF(AND(BQ$24&gt;#REF!,BQ$24&lt;#REF!+#REF!),#REF!,"")),"")</f>
        <v/>
      </c>
      <c r="BR46" s="35" t="str">
        <f ca="1">IFERROR(+IF(BR$24=#REF!,Milestone_Marker,IF(AND(BR$24&gt;#REF!,BR$24&lt;#REF!+#REF!),#REF!,"")),"")</f>
        <v/>
      </c>
      <c r="BS46" s="35" t="str">
        <f ca="1">IFERROR(+IF(BS$24=#REF!,Milestone_Marker,IF(AND(BS$24&gt;#REF!,BS$24&lt;#REF!+#REF!),#REF!,"")),"")</f>
        <v/>
      </c>
      <c r="BT46" s="35" t="str">
        <f ca="1">IFERROR(+IF(BT$24=#REF!,Milestone_Marker,IF(AND(BT$24&gt;#REF!,BT$24&lt;#REF!+#REF!),#REF!,"")),"")</f>
        <v/>
      </c>
      <c r="BU46" s="35" t="str">
        <f ca="1">IFERROR(+IF(BU$24=#REF!,Milestone_Marker,IF(AND(BU$24&gt;#REF!,BU$24&lt;#REF!+#REF!),#REF!,"")),"")</f>
        <v/>
      </c>
      <c r="BV46" s="35" t="str">
        <f ca="1">IFERROR(+IF(BV$24=#REF!,Milestone_Marker,IF(AND(BV$24&gt;#REF!,BV$24&lt;#REF!+#REF!),#REF!,"")),"")</f>
        <v/>
      </c>
      <c r="BW46" s="35" t="str">
        <f ca="1">IFERROR(+IF(BW$24=#REF!,Milestone_Marker,IF(AND(BW$24&gt;#REF!,BW$24&lt;#REF!+#REF!),#REF!,"")),"")</f>
        <v/>
      </c>
      <c r="BX46" s="35" t="str">
        <f ca="1">IFERROR(+IF(BX$24=#REF!,Milestone_Marker,IF(AND(BX$24&gt;#REF!,BX$24&lt;#REF!+#REF!),#REF!,"")),"")</f>
        <v/>
      </c>
      <c r="BY46" s="35" t="str">
        <f ca="1">IFERROR(+IF(BY$24=#REF!,Milestone_Marker,IF(AND(BY$24&gt;#REF!,BY$24&lt;#REF!+#REF!),#REF!,"")),"")</f>
        <v/>
      </c>
      <c r="BZ46" s="35" t="str">
        <f ca="1">IFERROR(+IF(BZ$24=#REF!,Milestone_Marker,IF(AND(BZ$24&gt;#REF!,BZ$24&lt;#REF!+#REF!),#REF!,"")),"")</f>
        <v/>
      </c>
      <c r="CA46" s="35" t="str">
        <f ca="1">IFERROR(+IF(CA$24=#REF!,Milestone_Marker,IF(AND(CA$24&gt;#REF!,CA$24&lt;#REF!+#REF!),#REF!,"")),"")</f>
        <v/>
      </c>
      <c r="CB46" s="35" t="str">
        <f ca="1">IFERROR(+IF(CB$24=#REF!,Milestone_Marker,IF(AND(CB$24&gt;#REF!,CB$24&lt;#REF!+#REF!),#REF!,"")),"")</f>
        <v/>
      </c>
      <c r="CC46" s="35" t="str">
        <f ca="1">IFERROR(+IF(CC$24=#REF!,Milestone_Marker,IF(AND(CC$24&gt;#REF!,CC$24&lt;#REF!+#REF!),#REF!,"")),"")</f>
        <v/>
      </c>
      <c r="CD46" s="35" t="str">
        <f ca="1">IFERROR(+IF(CD$24=#REF!,Milestone_Marker,IF(AND(CD$24&gt;#REF!,CD$24&lt;#REF!+#REF!),#REF!,"")),"")</f>
        <v/>
      </c>
      <c r="CE46" s="35" t="str">
        <f ca="1">IFERROR(+IF(CE$24=#REF!,Milestone_Marker,IF(AND(CE$24&gt;#REF!,CE$24&lt;#REF!+#REF!),#REF!,"")),"")</f>
        <v/>
      </c>
      <c r="CF46" s="35" t="str">
        <f ca="1">IFERROR(+IF(CF$24=#REF!,Milestone_Marker,IF(AND(CF$24&gt;#REF!,CF$24&lt;#REF!+#REF!),#REF!,"")),"")</f>
        <v/>
      </c>
      <c r="CG46" s="35" t="str">
        <f ca="1">IFERROR(+IF(CG$24=#REF!,Milestone_Marker,IF(AND(CG$24&gt;#REF!,CG$24&lt;#REF!+#REF!),#REF!,"")),"")</f>
        <v/>
      </c>
      <c r="CH46" s="35" t="str">
        <f ca="1">IFERROR(+IF(CH$24=#REF!,Milestone_Marker,IF(AND(CH$24&gt;#REF!,CH$24&lt;#REF!+#REF!),#REF!,"")),"")</f>
        <v/>
      </c>
      <c r="CI46" s="35" t="str">
        <f ca="1">IFERROR(+IF(CI$24=#REF!,Milestone_Marker,IF(AND(CI$24&gt;#REF!,CI$24&lt;#REF!+#REF!),#REF!,"")),"")</f>
        <v/>
      </c>
      <c r="CJ46" s="35" t="str">
        <f ca="1">IFERROR(+IF(CJ$24=#REF!,Milestone_Marker,IF(AND(CJ$24&gt;#REF!,CJ$24&lt;#REF!+#REF!),#REF!,"")),"")</f>
        <v/>
      </c>
      <c r="CK46" s="35" t="str">
        <f ca="1">IFERROR(+IF(CK$24=#REF!,Milestone_Marker,IF(AND(CK$24&gt;#REF!,CK$24&lt;#REF!+#REF!),#REF!,"")),"")</f>
        <v/>
      </c>
      <c r="CL46" s="35" t="str">
        <f ca="1">IFERROR(+IF(CL$24=#REF!,Milestone_Marker,IF(AND(CL$24&gt;#REF!,CL$24&lt;#REF!+#REF!),#REF!,"")),"")</f>
        <v/>
      </c>
      <c r="CM46" s="35" t="str">
        <f ca="1">IFERROR(+IF(CM$24=#REF!,Milestone_Marker,IF(AND(CM$24&gt;#REF!,CM$24&lt;#REF!+#REF!),#REF!,"")),"")</f>
        <v/>
      </c>
      <c r="CN46" s="35" t="str">
        <f ca="1">IFERROR(+IF(CN$24=#REF!,Milestone_Marker,IF(AND(CN$24&gt;#REF!,CN$24&lt;#REF!+#REF!),#REF!,"")),"")</f>
        <v/>
      </c>
      <c r="CO46" s="35" t="str">
        <f ca="1">IFERROR(+IF(CO$24=#REF!,Milestone_Marker,IF(AND(CO$24&gt;#REF!,CO$24&lt;#REF!+#REF!),#REF!,"")),"")</f>
        <v/>
      </c>
      <c r="CP46" s="35" t="str">
        <f ca="1">IFERROR(+IF(CP$24=#REF!,Milestone_Marker,IF(AND(CP$24&gt;#REF!,CP$24&lt;#REF!+#REF!),#REF!,"")),"")</f>
        <v/>
      </c>
      <c r="CQ46" s="35" t="str">
        <f ca="1">IFERROR(+IF(CQ$24=#REF!,Milestone_Marker,IF(AND(CQ$24&gt;#REF!,CQ$24&lt;#REF!+#REF!),#REF!,"")),"")</f>
        <v/>
      </c>
      <c r="CR46" s="35" t="str">
        <f ca="1">IFERROR(+IF(CR$24=#REF!,Milestone_Marker,IF(AND(CR$24&gt;#REF!,CR$24&lt;#REF!+#REF!),#REF!,"")),"")</f>
        <v/>
      </c>
      <c r="CS46" s="35" t="str">
        <f ca="1">IFERROR(+IF(CS$24=#REF!,Milestone_Marker,IF(AND(CS$24&gt;#REF!,CS$24&lt;#REF!+#REF!),#REF!,"")),"")</f>
        <v/>
      </c>
      <c r="CT46" s="35" t="str">
        <f ca="1">IFERROR(+IF(CT$24=#REF!,Milestone_Marker,IF(AND(CT$24&gt;#REF!,CT$24&lt;#REF!+#REF!),#REF!,"")),"")</f>
        <v/>
      </c>
      <c r="CU46" s="35" t="str">
        <f ca="1">IFERROR(+IF(CU$24=#REF!,Milestone_Marker,IF(AND(CU$24&gt;#REF!,CU$24&lt;#REF!+#REF!),#REF!,"")),"")</f>
        <v/>
      </c>
      <c r="CV46" s="35" t="str">
        <f ca="1">IFERROR(+IF(CV$24=#REF!,Milestone_Marker,IF(AND(CV$24&gt;#REF!,CV$24&lt;#REF!+#REF!),#REF!,"")),"")</f>
        <v/>
      </c>
      <c r="CW46" s="35" t="str">
        <f ca="1">IFERROR(+IF(CW$24=#REF!,Milestone_Marker,IF(AND(CW$24&gt;#REF!,CW$24&lt;#REF!+#REF!),#REF!,"")),"")</f>
        <v/>
      </c>
      <c r="CX46" s="35" t="str">
        <f ca="1">IFERROR(+IF(CX$24=#REF!,Milestone_Marker,IF(AND(CX$24&gt;#REF!,CX$24&lt;#REF!+#REF!),#REF!,"")),"")</f>
        <v/>
      </c>
      <c r="CY46" s="35" t="str">
        <f ca="1">IFERROR(+IF(CY$24=#REF!,Milestone_Marker,IF(AND(CY$24&gt;#REF!,CY$24&lt;#REF!+#REF!),#REF!,"")),"")</f>
        <v/>
      </c>
      <c r="CZ46" s="35" t="str">
        <f ca="1">IFERROR(+IF(CZ$24=#REF!,Milestone_Marker,IF(AND(CZ$24&gt;#REF!,CZ$24&lt;#REF!+#REF!),#REF!,"")),"")</f>
        <v/>
      </c>
      <c r="DA46" s="35" t="str">
        <f ca="1">IFERROR(+IF(DA$24=#REF!,Milestone_Marker,IF(AND(DA$24&gt;#REF!,DA$24&lt;#REF!+#REF!),#REF!,"")),"")</f>
        <v/>
      </c>
      <c r="DB46" s="35" t="str">
        <f ca="1">IFERROR(+IF(DB$24=#REF!,Milestone_Marker,IF(AND(DB$24&gt;#REF!,DB$24&lt;#REF!+#REF!),#REF!,"")),"")</f>
        <v/>
      </c>
      <c r="DC46" s="35" t="str">
        <f ca="1">IFERROR(+IF(DC$24=#REF!,Milestone_Marker,IF(AND(DC$24&gt;#REF!,DC$24&lt;#REF!+#REF!),#REF!,"")),"")</f>
        <v/>
      </c>
      <c r="DD46" s="35" t="str">
        <f ca="1">IFERROR(+IF(DD$24=#REF!,Milestone_Marker,IF(AND(DD$24&gt;#REF!,DD$24&lt;#REF!+#REF!),#REF!,"")),"")</f>
        <v/>
      </c>
      <c r="DE46" s="35" t="str">
        <f ca="1">IFERROR(+IF(DE$24=#REF!,Milestone_Marker,IF(AND(DE$24&gt;#REF!,DE$24&lt;#REF!+#REF!),#REF!,"")),"")</f>
        <v/>
      </c>
      <c r="DF46" s="35"/>
      <c r="DG46" s="35"/>
      <c r="DH46" s="35"/>
      <c r="DI46" s="35"/>
      <c r="DJ46" s="35"/>
      <c r="DK46" s="35"/>
      <c r="DL46" s="35"/>
      <c r="DM46" s="35"/>
      <c r="DN46" s="35"/>
      <c r="DO46" s="35"/>
      <c r="DP46" s="35"/>
      <c r="DQ46" s="35"/>
      <c r="DR46" s="35"/>
      <c r="DS46" s="35"/>
      <c r="DT46" s="35"/>
      <c r="DU46" s="35"/>
      <c r="DV46" s="35"/>
      <c r="DW46" s="35"/>
      <c r="DX46" s="35"/>
      <c r="DY46" s="35"/>
      <c r="DZ46" s="35"/>
      <c r="EA46" s="35"/>
      <c r="EB46" s="35"/>
      <c r="EC46" s="35"/>
      <c r="ED46" s="35"/>
      <c r="EE46" s="35"/>
    </row>
    <row r="47" spans="1:135" s="40" customFormat="1" ht="15">
      <c r="A47" t="s">
        <v>519</v>
      </c>
      <c r="B47" t="s">
        <v>521</v>
      </c>
      <c r="C47" t="s">
        <v>688</v>
      </c>
      <c r="D47" s="458" t="s">
        <v>692</v>
      </c>
      <c r="E47" s="458">
        <v>1</v>
      </c>
      <c r="F47">
        <v>1341.25</v>
      </c>
      <c r="G47">
        <v>1341.25</v>
      </c>
      <c r="H47">
        <v>154</v>
      </c>
      <c r="I47"/>
      <c r="J47">
        <v>109</v>
      </c>
      <c r="K47" s="107"/>
      <c r="L47" s="463">
        <v>109</v>
      </c>
      <c r="M47" s="176">
        <v>0</v>
      </c>
      <c r="N47" s="160">
        <v>0</v>
      </c>
      <c r="O47" s="546" cm="1">
        <f t="array" ref="O4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45972</v>
      </c>
      <c r="P47" s="566" t="s">
        <v>797</v>
      </c>
      <c r="Q47" s="566">
        <v>0</v>
      </c>
      <c r="R47" s="22"/>
      <c r="S47" s="463" cm="1">
        <f t="array" ref="S4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154</v>
      </c>
      <c r="T47">
        <v>1</v>
      </c>
      <c r="U47" s="176"/>
      <c r="V4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45.010300000000001</v>
      </c>
      <c r="W47" s="497"/>
      <c r="X47" s="176"/>
      <c r="Y47" s="547" t="s">
        <v>864</v>
      </c>
      <c r="Z47" s="160" t="s">
        <v>458</v>
      </c>
      <c r="AA47" s="563">
        <v>102400</v>
      </c>
      <c r="AB47" cm="1">
        <f t="array" ref="AB47">ROW()-ROW(Contract_Edits[#Headers])</f>
        <v>23</v>
      </c>
      <c r="AC47">
        <f>IF(Contract_Edits[[#This Row],[RowPos]]&gt;1, Contract_Edits[[#This Row],[RowPos]]-1, 0)</f>
        <v>22</v>
      </c>
      <c r="AD47" s="35">
        <f>IF(N(Contract_Edits[[#This Row],[Dep]])=0, N(Contract_Edits[[#This Row],[Index]]), N(Contract_Edits[[#This Row],[Dep]]))</f>
        <v>154</v>
      </c>
      <c r="AE47" s="35" cm="1">
        <f t="array" ref="AE47">IF(OR(Contract_Edits[[#This Row],[Dep]]=0, TRIM(Contract_Edits[[#This Row],[Dep]])=""),
   0,
   IFERROR(
      _xlfn.XLOOKUP(1, (Contract_Edits[Dep]=Contract_Edits[[#This Row],[Dep]])*(Contract_Edits[RowPos]&lt;Contract_Edits[[#This Row],[RowPos]]), Contract_Edits[RowPos], , 0, -1),
      0
   )
)</f>
        <v>22</v>
      </c>
      <c r="AF47" s="35">
        <f>IF(OR(Contract_Edits[[#This Row],[Dep]]=0,Contract_Edits[[#This Row],[Dep]]=""),0,
   COUNTIFS(Contract_Edits[Dep],Contract_Edits[[#This Row],[Dep]],Contract_Edits[RowPos],"&lt;="&amp;Contract_Edits[[#This Row],[RowPos]],Contract_Edits[Approve],"Yes")
)</f>
        <v>3</v>
      </c>
      <c r="AG47" s="517">
        <f>--(
  ISNUMBER(SEARCH("BASE PARENT", UPPER(CLEAN(TRIM(_xlfn.XLOOKUP(TEXT(Contract_Edits[[#This Row],[Index]],"0"), baseIdxTxt, baseCost, "")))))) +
  ISNUMBER(SEARCH("DEPENDENCY GROUP", UPPER(CLEAN(TRIM(_xlfn.XLOOKUP(TEXT(Contract_Edits[[#This Row],[Index]],"0"), baseIdxTxt, baseCost, ""))))))
)</f>
        <v>0</v>
      </c>
      <c r="AH47" s="517" t="str" cm="1">
        <f t="array" ref="AH47">IF(Contract_Edits[[#This Row],[BaseFlag]]=1,
   10*BaseDepthL(TEXT(Contract_Edits[[#This Row],[Index]],"0"),500,editsIdxTxt,editsParentKeyTxt,baseIdxTxt,baseCost)-5,
   ""
)</f>
        <v/>
      </c>
      <c r="AI47" s="517" cm="1">
        <f t="array" ref="AI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47" s="517" t="str">
        <f>IF(Contract_Edits[[#This Row],[Dep]]=0,"Root",
   IF(ISNUMBER(MATCH(Contract_Edits[[#This Row],[Dep]],Contract_Edits[Index],0)),"OK","Missing")
)</f>
        <v>OK</v>
      </c>
      <c r="AK47" s="517" t="str">
        <f>IF(AND(Contract_Edits[[#This Row],[Dep]]&lt;&gt;0,
        ISNUMBER(MATCH(Contract_Edits[[#This Row],[Dep]], Contract_Edits[Index], 0)),
        INDEX(Contract_Edits[Dep], MATCH(Contract_Edits[[#This Row],[Dep]], Contract_Edits[Index], 0))=Contract_Edits[[#This Row],[Index]]),
   "2-cycle","")</f>
        <v/>
      </c>
      <c r="AL47" s="517" cm="1">
        <f t="array" ref="AL47">IF(Contract_Edits[[#This Row],[BaseFlag]]&lt;&gt;1,0,
   IF(TEXT(Contract_Edits[[#This Row],[Dep]],"0")=TEXT(Contract_Edits[[#This Row],[Index]],"0"),
      0,
      MAX(0, SUMPRODUCT(--(Contract_Edits[BaseFlag]=1),
                        --(TEXT(Contract_Edits[Dep],"0")=TEXT(Contract_Edits[[#This Row],[Dep]],"0"))) - 1)
   )
)</f>
        <v>0</v>
      </c>
      <c r="AM47" s="517" t="str" cm="1">
        <f t="array" ref="AM47">IF(Contract_Edits[[#This Row],[BaseFlag]]=1,
   TEXT(Contract_Edits[[#This Row],[Index]],"0"),
   NearestBaseL(TEXT(Contract_Edits[[#This Row],[ParentKey]],"0"),500,editsIdxTxt,editsParentKeyTxt,baseIdxTxt,baseCost)
)</f>
        <v>154</v>
      </c>
      <c r="AN47" s="517" cm="1">
        <f t="array" ref="AN47">1+SUMPRODUCT(
  (Contract_Edits[BaseFlag]=1)*
  (TEXT(Contract_Edits[ParentAnchor],"0")=TEXT(Contract_Edits[[#This Row],[ParentAnchor]],"0"))*
  (VALUE(TEXT(Contract_Edits[Index],"0"))&lt;VALUE(TEXT(Contract_Edits[[#This Row],[Index]],"0")))
)</f>
        <v>1</v>
      </c>
      <c r="AO47" s="35"/>
      <c r="AP47" s="35" t="str">
        <f ca="1">IFERROR(+IF(AP$24=#REF!,Milestone_Marker,IF(AND(AP$24&gt;#REF!,AP$24&lt;#REF!+#REF!),#REF!,"")),"")</f>
        <v/>
      </c>
      <c r="AQ47" s="35" t="str">
        <f ca="1">IFERROR(+IF(AQ$24=#REF!,Milestone_Marker,IF(AND(AQ$24&gt;#REF!,AQ$24&lt;#REF!+#REF!),#REF!,"")),"")</f>
        <v/>
      </c>
      <c r="AR47" s="35" t="str">
        <f ca="1">IFERROR(+IF(AR$24=#REF!,Milestone_Marker,IF(AND(AR$24&gt;#REF!,AR$24&lt;#REF!+#REF!),#REF!,"")),"")</f>
        <v/>
      </c>
      <c r="AS47" s="35" t="str">
        <f ca="1">IFERROR(+IF(AS$24=#REF!,Milestone_Marker,IF(AND(AS$24&gt;#REF!,AS$24&lt;#REF!+#REF!),#REF!,"")),"")</f>
        <v/>
      </c>
      <c r="AT47" s="35" t="str">
        <f ca="1">IFERROR(+IF(AT$24=#REF!,Milestone_Marker,IF(AND(AT$24&gt;#REF!,AT$24&lt;#REF!+#REF!),#REF!,"")),"")</f>
        <v/>
      </c>
      <c r="AU47" s="35" t="str">
        <f ca="1">IFERROR(+IF(AU$24=#REF!,Milestone_Marker,IF(AND(AU$24&gt;#REF!,AU$24&lt;#REF!+#REF!),#REF!,"")),"")</f>
        <v/>
      </c>
      <c r="AV47" s="35" t="str">
        <f ca="1">IFERROR(+IF(AV$24=#REF!,Milestone_Marker,IF(AND(AV$24&gt;#REF!,AV$24&lt;#REF!+#REF!),#REF!,"")),"")</f>
        <v/>
      </c>
      <c r="AW47" s="35" t="str">
        <f ca="1">IFERROR(+IF(AW$24=#REF!,Milestone_Marker,IF(AND(AW$24&gt;#REF!,AW$24&lt;#REF!+#REF!),#REF!,"")),"")</f>
        <v/>
      </c>
      <c r="AX47" s="35" t="str">
        <f ca="1">IFERROR(+IF(AX$24=#REF!,Milestone_Marker,IF(AND(AX$24&gt;#REF!,AX$24&lt;#REF!+#REF!),#REF!,"")),"")</f>
        <v/>
      </c>
      <c r="AY47" s="35" t="str">
        <f ca="1">IFERROR(+IF(AY$24=#REF!,Milestone_Marker,IF(AND(AY$24&gt;#REF!,AY$24&lt;#REF!+#REF!),#REF!,"")),"")</f>
        <v/>
      </c>
      <c r="AZ47" s="35" t="str">
        <f ca="1">IFERROR(+IF(AZ$24=#REF!,Milestone_Marker,IF(AND(AZ$24&gt;#REF!,AZ$24&lt;#REF!+#REF!),#REF!,"")),"")</f>
        <v/>
      </c>
      <c r="BA47" s="35" t="str">
        <f ca="1">IFERROR(+IF(BA$24=#REF!,Milestone_Marker,IF(AND(BA$24&gt;#REF!,BA$24&lt;#REF!+#REF!),#REF!,"")),"")</f>
        <v/>
      </c>
      <c r="BB47" s="35" t="str">
        <f ca="1">IFERROR(+IF(BB$24=#REF!,Milestone_Marker,IF(AND(BB$24&gt;#REF!,BB$24&lt;#REF!+#REF!),#REF!,"")),"")</f>
        <v/>
      </c>
      <c r="BC47" s="35" t="str">
        <f ca="1">IFERROR(+IF(BC$24=#REF!,Milestone_Marker,IF(AND(BC$24&gt;#REF!,BC$24&lt;#REF!+#REF!),#REF!,"")),"")</f>
        <v/>
      </c>
      <c r="BD47" s="35" t="str">
        <f ca="1">IFERROR(+IF(BD$24=#REF!,Milestone_Marker,IF(AND(BD$24&gt;#REF!,BD$24&lt;#REF!+#REF!),#REF!,"")),"")</f>
        <v/>
      </c>
      <c r="BE47" s="35" t="str">
        <f ca="1">IFERROR(+IF(BE$24=#REF!,Milestone_Marker,IF(AND(BE$24&gt;#REF!,BE$24&lt;#REF!+#REF!),#REF!,"")),"")</f>
        <v/>
      </c>
      <c r="BF47" s="35" t="str">
        <f ca="1">IFERROR(+IF(BF$24=#REF!,Milestone_Marker,IF(AND(BF$24&gt;#REF!,BF$24&lt;#REF!+#REF!),#REF!,"")),"")</f>
        <v/>
      </c>
      <c r="BG47" s="35" t="str">
        <f ca="1">IFERROR(+IF(BG$24=#REF!,Milestone_Marker,IF(AND(BG$24&gt;#REF!,BG$24&lt;#REF!+#REF!),#REF!,"")),"")</f>
        <v/>
      </c>
      <c r="BH47" s="35" t="str">
        <f ca="1">IFERROR(+IF(BH$24=#REF!,Milestone_Marker,IF(AND(BH$24&gt;#REF!,BH$24&lt;#REF!+#REF!),#REF!,"")),"")</f>
        <v/>
      </c>
      <c r="BI47" s="35" t="str">
        <f ca="1">IFERROR(+IF(BI$24=#REF!,Milestone_Marker,IF(AND(BI$24&gt;#REF!,BI$24&lt;#REF!+#REF!),#REF!,"")),"")</f>
        <v/>
      </c>
      <c r="BJ47" s="35" t="str">
        <f ca="1">IFERROR(+IF(BJ$24=#REF!,Milestone_Marker,IF(AND(BJ$24&gt;#REF!,BJ$24&lt;#REF!+#REF!),#REF!,"")),"")</f>
        <v/>
      </c>
      <c r="BK47" s="35" t="str">
        <f ca="1">IFERROR(+IF(BK$24=#REF!,Milestone_Marker,IF(AND(BK$24&gt;#REF!,BK$24&lt;#REF!+#REF!),#REF!,"")),"")</f>
        <v/>
      </c>
      <c r="BL47" s="35" t="str">
        <f ca="1">IFERROR(+IF(BL$24=#REF!,Milestone_Marker,IF(AND(BL$24&gt;#REF!,BL$24&lt;#REF!+#REF!),#REF!,"")),"")</f>
        <v/>
      </c>
      <c r="BM47" s="35" t="str">
        <f ca="1">IFERROR(+IF(BM$24=#REF!,Milestone_Marker,IF(AND(BM$24&gt;#REF!,BM$24&lt;#REF!+#REF!),#REF!,"")),"")</f>
        <v/>
      </c>
      <c r="BN47" s="35" t="str">
        <f ca="1">IFERROR(+IF(BN$24=#REF!,Milestone_Marker,IF(AND(BN$24&gt;#REF!,BN$24&lt;#REF!+#REF!),#REF!,"")),"")</f>
        <v/>
      </c>
      <c r="BO47" s="35" t="str">
        <f ca="1">IFERROR(+IF(BO$24=#REF!,Milestone_Marker,IF(AND(BO$24&gt;#REF!,BO$24&lt;#REF!+#REF!),#REF!,"")),"")</f>
        <v/>
      </c>
      <c r="BP47" s="35" t="str">
        <f ca="1">IFERROR(+IF(BP$24=#REF!,Milestone_Marker,IF(AND(BP$24&gt;#REF!,BP$24&lt;#REF!+#REF!),#REF!,"")),"")</f>
        <v/>
      </c>
      <c r="BQ47" s="35" t="str">
        <f ca="1">IFERROR(+IF(BQ$24=#REF!,Milestone_Marker,IF(AND(BQ$24&gt;#REF!,BQ$24&lt;#REF!+#REF!),#REF!,"")),"")</f>
        <v/>
      </c>
      <c r="BR47" s="35" t="str">
        <f ca="1">IFERROR(+IF(BR$24=#REF!,Milestone_Marker,IF(AND(BR$24&gt;#REF!,BR$24&lt;#REF!+#REF!),#REF!,"")),"")</f>
        <v/>
      </c>
      <c r="BS47" s="35" t="str">
        <f ca="1">IFERROR(+IF(BS$24=#REF!,Milestone_Marker,IF(AND(BS$24&gt;#REF!,BS$24&lt;#REF!+#REF!),#REF!,"")),"")</f>
        <v/>
      </c>
      <c r="BT47" s="35" t="str">
        <f ca="1">IFERROR(+IF(BT$24=#REF!,Milestone_Marker,IF(AND(BT$24&gt;#REF!,BT$24&lt;#REF!+#REF!),#REF!,"")),"")</f>
        <v/>
      </c>
      <c r="BU47" s="35" t="str">
        <f ca="1">IFERROR(+IF(BU$24=#REF!,Milestone_Marker,IF(AND(BU$24&gt;#REF!,BU$24&lt;#REF!+#REF!),#REF!,"")),"")</f>
        <v/>
      </c>
      <c r="BV47" s="35" t="str">
        <f ca="1">IFERROR(+IF(BV$24=#REF!,Milestone_Marker,IF(AND(BV$24&gt;#REF!,BV$24&lt;#REF!+#REF!),#REF!,"")),"")</f>
        <v/>
      </c>
      <c r="BW47" s="35" t="str">
        <f ca="1">IFERROR(+IF(BW$24=#REF!,Milestone_Marker,IF(AND(BW$24&gt;#REF!,BW$24&lt;#REF!+#REF!),#REF!,"")),"")</f>
        <v/>
      </c>
      <c r="BX47" s="35" t="str">
        <f ca="1">IFERROR(+IF(BX$24=#REF!,Milestone_Marker,IF(AND(BX$24&gt;#REF!,BX$24&lt;#REF!+#REF!),#REF!,"")),"")</f>
        <v/>
      </c>
      <c r="BY47" s="35" t="str">
        <f ca="1">IFERROR(+IF(BY$24=#REF!,Milestone_Marker,IF(AND(BY$24&gt;#REF!,BY$24&lt;#REF!+#REF!),#REF!,"")),"")</f>
        <v/>
      </c>
      <c r="BZ47" s="35" t="str">
        <f ca="1">IFERROR(+IF(BZ$24=#REF!,Milestone_Marker,IF(AND(BZ$24&gt;#REF!,BZ$24&lt;#REF!+#REF!),#REF!,"")),"")</f>
        <v/>
      </c>
      <c r="CA47" s="35" t="str">
        <f ca="1">IFERROR(+IF(CA$24=#REF!,Milestone_Marker,IF(AND(CA$24&gt;#REF!,CA$24&lt;#REF!+#REF!),#REF!,"")),"")</f>
        <v/>
      </c>
      <c r="CB47" s="35" t="str">
        <f ca="1">IFERROR(+IF(CB$24=#REF!,Milestone_Marker,IF(AND(CB$24&gt;#REF!,CB$24&lt;#REF!+#REF!),#REF!,"")),"")</f>
        <v/>
      </c>
      <c r="CC47" s="35" t="str">
        <f ca="1">IFERROR(+IF(CC$24=#REF!,Milestone_Marker,IF(AND(CC$24&gt;#REF!,CC$24&lt;#REF!+#REF!),#REF!,"")),"")</f>
        <v/>
      </c>
      <c r="CD47" s="35" t="str">
        <f ca="1">IFERROR(+IF(CD$24=#REF!,Milestone_Marker,IF(AND(CD$24&gt;#REF!,CD$24&lt;#REF!+#REF!),#REF!,"")),"")</f>
        <v/>
      </c>
      <c r="CE47" s="35" t="str">
        <f ca="1">IFERROR(+IF(CE$24=#REF!,Milestone_Marker,IF(AND(CE$24&gt;#REF!,CE$24&lt;#REF!+#REF!),#REF!,"")),"")</f>
        <v/>
      </c>
      <c r="CF47" s="35" t="str">
        <f ca="1">IFERROR(+IF(CF$24=#REF!,Milestone_Marker,IF(AND(CF$24&gt;#REF!,CF$24&lt;#REF!+#REF!),#REF!,"")),"")</f>
        <v/>
      </c>
      <c r="CG47" s="35" t="str">
        <f ca="1">IFERROR(+IF(CG$24=#REF!,Milestone_Marker,IF(AND(CG$24&gt;#REF!,CG$24&lt;#REF!+#REF!),#REF!,"")),"")</f>
        <v/>
      </c>
      <c r="CH47" s="35" t="str">
        <f ca="1">IFERROR(+IF(CH$24=#REF!,Milestone_Marker,IF(AND(CH$24&gt;#REF!,CH$24&lt;#REF!+#REF!),#REF!,"")),"")</f>
        <v/>
      </c>
      <c r="CI47" s="35" t="str">
        <f ca="1">IFERROR(+IF(CI$24=#REF!,Milestone_Marker,IF(AND(CI$24&gt;#REF!,CI$24&lt;#REF!+#REF!),#REF!,"")),"")</f>
        <v/>
      </c>
      <c r="CJ47" s="35" t="str">
        <f ca="1">IFERROR(+IF(CJ$24=#REF!,Milestone_Marker,IF(AND(CJ$24&gt;#REF!,CJ$24&lt;#REF!+#REF!),#REF!,"")),"")</f>
        <v/>
      </c>
      <c r="CK47" s="35" t="str">
        <f ca="1">IFERROR(+IF(CK$24=#REF!,Milestone_Marker,IF(AND(CK$24&gt;#REF!,CK$24&lt;#REF!+#REF!),#REF!,"")),"")</f>
        <v/>
      </c>
      <c r="CL47" s="35" t="str">
        <f ca="1">IFERROR(+IF(CL$24=#REF!,Milestone_Marker,IF(AND(CL$24&gt;#REF!,CL$24&lt;#REF!+#REF!),#REF!,"")),"")</f>
        <v/>
      </c>
      <c r="CM47" s="35" t="str">
        <f ca="1">IFERROR(+IF(CM$24=#REF!,Milestone_Marker,IF(AND(CM$24&gt;#REF!,CM$24&lt;#REF!+#REF!),#REF!,"")),"")</f>
        <v/>
      </c>
      <c r="CN47" s="35" t="str">
        <f ca="1">IFERROR(+IF(CN$24=#REF!,Milestone_Marker,IF(AND(CN$24&gt;#REF!,CN$24&lt;#REF!+#REF!),#REF!,"")),"")</f>
        <v/>
      </c>
      <c r="CO47" s="35" t="str">
        <f ca="1">IFERROR(+IF(CO$24=#REF!,Milestone_Marker,IF(AND(CO$24&gt;#REF!,CO$24&lt;#REF!+#REF!),#REF!,"")),"")</f>
        <v/>
      </c>
      <c r="CP47" s="35" t="str">
        <f ca="1">IFERROR(+IF(CP$24=#REF!,Milestone_Marker,IF(AND(CP$24&gt;#REF!,CP$24&lt;#REF!+#REF!),#REF!,"")),"")</f>
        <v/>
      </c>
      <c r="CQ47" s="35" t="str">
        <f ca="1">IFERROR(+IF(CQ$24=#REF!,Milestone_Marker,IF(AND(CQ$24&gt;#REF!,CQ$24&lt;#REF!+#REF!),#REF!,"")),"")</f>
        <v/>
      </c>
      <c r="CR47" s="35" t="str">
        <f ca="1">IFERROR(+IF(CR$24=#REF!,Milestone_Marker,IF(AND(CR$24&gt;#REF!,CR$24&lt;#REF!+#REF!),#REF!,"")),"")</f>
        <v/>
      </c>
      <c r="CS47" s="35" t="str">
        <f ca="1">IFERROR(+IF(CS$24=#REF!,Milestone_Marker,IF(AND(CS$24&gt;#REF!,CS$24&lt;#REF!+#REF!),#REF!,"")),"")</f>
        <v/>
      </c>
      <c r="CT47" s="35" t="str">
        <f ca="1">IFERROR(+IF(CT$24=#REF!,Milestone_Marker,IF(AND(CT$24&gt;#REF!,CT$24&lt;#REF!+#REF!),#REF!,"")),"")</f>
        <v/>
      </c>
      <c r="CU47" s="35" t="str">
        <f ca="1">IFERROR(+IF(CU$24=#REF!,Milestone_Marker,IF(AND(CU$24&gt;#REF!,CU$24&lt;#REF!+#REF!),#REF!,"")),"")</f>
        <v/>
      </c>
      <c r="CV47" s="35" t="str">
        <f ca="1">IFERROR(+IF(CV$24=#REF!,Milestone_Marker,IF(AND(CV$24&gt;#REF!,CV$24&lt;#REF!+#REF!),#REF!,"")),"")</f>
        <v/>
      </c>
      <c r="CW47" s="35" t="str">
        <f ca="1">IFERROR(+IF(CW$24=#REF!,Milestone_Marker,IF(AND(CW$24&gt;#REF!,CW$24&lt;#REF!+#REF!),#REF!,"")),"")</f>
        <v/>
      </c>
      <c r="CX47" s="35" t="str">
        <f ca="1">IFERROR(+IF(CX$24=#REF!,Milestone_Marker,IF(AND(CX$24&gt;#REF!,CX$24&lt;#REF!+#REF!),#REF!,"")),"")</f>
        <v/>
      </c>
      <c r="CY47" s="35" t="str">
        <f ca="1">IFERROR(+IF(CY$24=#REF!,Milestone_Marker,IF(AND(CY$24&gt;#REF!,CY$24&lt;#REF!+#REF!),#REF!,"")),"")</f>
        <v/>
      </c>
      <c r="CZ47" s="35" t="str">
        <f ca="1">IFERROR(+IF(CZ$24=#REF!,Milestone_Marker,IF(AND(CZ$24&gt;#REF!,CZ$24&lt;#REF!+#REF!),#REF!,"")),"")</f>
        <v/>
      </c>
      <c r="DA47" s="35" t="str">
        <f ca="1">IFERROR(+IF(DA$24=#REF!,Milestone_Marker,IF(AND(DA$24&gt;#REF!,DA$24&lt;#REF!+#REF!),#REF!,"")),"")</f>
        <v/>
      </c>
      <c r="DB47" s="35" t="str">
        <f ca="1">IFERROR(+IF(DB$24=#REF!,Milestone_Marker,IF(AND(DB$24&gt;#REF!,DB$24&lt;#REF!+#REF!),#REF!,"")),"")</f>
        <v/>
      </c>
      <c r="DC47" s="35" t="str">
        <f ca="1">IFERROR(+IF(DC$24=#REF!,Milestone_Marker,IF(AND(DC$24&gt;#REF!,DC$24&lt;#REF!+#REF!),#REF!,"")),"")</f>
        <v/>
      </c>
      <c r="DD47" s="35" t="str">
        <f ca="1">IFERROR(+IF(DD$24=#REF!,Milestone_Marker,IF(AND(DD$24&gt;#REF!,DD$24&lt;#REF!+#REF!),#REF!,"")),"")</f>
        <v/>
      </c>
      <c r="DE47" s="35" t="str">
        <f ca="1">IFERROR(+IF(DE$24=#REF!,Milestone_Marker,IF(AND(DE$24&gt;#REF!,DE$24&lt;#REF!+#REF!),#REF!,"")),"")</f>
        <v/>
      </c>
      <c r="DF47" s="35"/>
      <c r="DG47" s="35"/>
      <c r="DH47" s="35"/>
      <c r="DI47" s="35"/>
      <c r="DJ47" s="35"/>
      <c r="DK47" s="35"/>
      <c r="DL47" s="35"/>
      <c r="DM47" s="35"/>
      <c r="DN47" s="35"/>
      <c r="DO47" s="35"/>
      <c r="DP47" s="35"/>
      <c r="DQ47" s="35"/>
      <c r="DR47" s="35"/>
      <c r="DS47" s="35"/>
      <c r="DT47" s="35"/>
      <c r="DU47" s="35"/>
      <c r="DV47" s="35"/>
      <c r="DW47" s="35"/>
      <c r="DX47" s="35"/>
      <c r="DY47" s="35"/>
      <c r="DZ47" s="35"/>
      <c r="EA47" s="35"/>
      <c r="EB47" s="35"/>
      <c r="EC47" s="35"/>
      <c r="ED47" s="35"/>
      <c r="EE47" s="35"/>
    </row>
    <row r="48" spans="1:135" s="40" customFormat="1" ht="15">
      <c r="A48" t="s">
        <v>747</v>
      </c>
      <c r="B48" t="s">
        <v>744</v>
      </c>
      <c r="C48" t="s">
        <v>550</v>
      </c>
      <c r="D48" s="458" t="s">
        <v>780</v>
      </c>
      <c r="E48" s="458">
        <v>0</v>
      </c>
      <c r="F48"/>
      <c r="G48"/>
      <c r="H48">
        <v>153</v>
      </c>
      <c r="I48"/>
      <c r="J48">
        <v>181</v>
      </c>
      <c r="K48" s="107"/>
      <c r="L48" s="463">
        <v>181</v>
      </c>
      <c r="M48" s="490"/>
      <c r="N48" s="160">
        <v>0</v>
      </c>
      <c r="O48" s="546" cm="1">
        <f t="array" ref="O4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45967</v>
      </c>
      <c r="P48" s="567" t="s">
        <v>797</v>
      </c>
      <c r="Q48" s="567"/>
      <c r="R48" s="499"/>
      <c r="S48" s="463" cm="1">
        <f t="array" ref="S4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153</v>
      </c>
      <c r="T48" s="34">
        <v>1</v>
      </c>
      <c r="U48" s="490">
        <v>1</v>
      </c>
      <c r="V4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45.02</v>
      </c>
      <c r="W48" s="557"/>
      <c r="X48" s="545"/>
      <c r="Y48" s="548"/>
      <c r="Z48" s="160" t="s">
        <v>458</v>
      </c>
      <c r="AA48" s="563"/>
      <c r="AB48" cm="1">
        <f t="array" ref="AB48">ROW()-ROW(Contract_Edits[#Headers])</f>
        <v>24</v>
      </c>
      <c r="AC48">
        <f>IF(Contract_Edits[[#This Row],[RowPos]]&gt;1, Contract_Edits[[#This Row],[RowPos]]-1, 0)</f>
        <v>23</v>
      </c>
      <c r="AD48" s="35">
        <f>IF(N(Contract_Edits[[#This Row],[Dep]])=0, N(Contract_Edits[[#This Row],[Index]]), N(Contract_Edits[[#This Row],[Dep]]))</f>
        <v>153</v>
      </c>
      <c r="AE48" s="35" cm="1">
        <f t="array" ref="AE48">IF(OR(Contract_Edits[[#This Row],[Dep]]=0, TRIM(Contract_Edits[[#This Row],[Dep]])=""),
   0,
   IFERROR(
      _xlfn.XLOOKUP(1, (Contract_Edits[Dep]=Contract_Edits[[#This Row],[Dep]])*(Contract_Edits[RowPos]&lt;Contract_Edits[[#This Row],[RowPos]]), Contract_Edits[RowPos], , 0, -1),
      0
   )
)</f>
        <v>20</v>
      </c>
      <c r="AF48" s="35">
        <f>IF(OR(Contract_Edits[[#This Row],[Dep]]=0,Contract_Edits[[#This Row],[Dep]]=""),0,
   COUNTIFS(Contract_Edits[Dep],Contract_Edits[[#This Row],[Dep]],Contract_Edits[RowPos],"&lt;="&amp;Contract_Edits[[#This Row],[RowPos]],Contract_Edits[Approve],"Yes")
)</f>
        <v>4</v>
      </c>
      <c r="AG48" s="517">
        <f>--(
  ISNUMBER(SEARCH("BASE PARENT", UPPER(CLEAN(TRIM(_xlfn.XLOOKUP(TEXT(Contract_Edits[[#This Row],[Index]],"0"), baseIdxTxt, baseCost, "")))))) +
  ISNUMBER(SEARCH("DEPENDENCY GROUP", UPPER(CLEAN(TRIM(_xlfn.XLOOKUP(TEXT(Contract_Edits[[#This Row],[Index]],"0"), baseIdxTxt, baseCost, ""))))))
)</f>
        <v>1</v>
      </c>
      <c r="AH48" s="517" cm="1">
        <f t="array" ref="AH48">IF(Contract_Edits[[#This Row],[BaseFlag]]=1,
   10*BaseDepthL(TEXT(Contract_Edits[[#This Row],[Index]],"0"),500,editsIdxTxt,editsParentKeyTxt,baseIdxTxt,baseCost)-5,
   ""
)</f>
        <v>45</v>
      </c>
      <c r="AI48" s="517" cm="1">
        <f t="array" ref="AI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J48" s="517" t="str">
        <f>IF(Contract_Edits[[#This Row],[Dep]]=0,"Root",
   IF(ISNUMBER(MATCH(Contract_Edits[[#This Row],[Dep]],Contract_Edits[Index],0)),"OK","Missing")
)</f>
        <v>OK</v>
      </c>
      <c r="AK48" s="517" t="str">
        <f>IF(AND(Contract_Edits[[#This Row],[Dep]]&lt;&gt;0,
        ISNUMBER(MATCH(Contract_Edits[[#This Row],[Dep]], Contract_Edits[Index], 0)),
        INDEX(Contract_Edits[Dep], MATCH(Contract_Edits[[#This Row],[Dep]], Contract_Edits[Index], 0))=Contract_Edits[[#This Row],[Index]]),
   "2-cycle","")</f>
        <v/>
      </c>
      <c r="AL48" s="517" cm="1">
        <f t="array" ref="AL48">IF(Contract_Edits[[#This Row],[BaseFlag]]&lt;&gt;1,0,
   IF(TEXT(Contract_Edits[[#This Row],[Dep]],"0")=TEXT(Contract_Edits[[#This Row],[Index]],"0"),
      0,
      MAX(0, SUMPRODUCT(--(Contract_Edits[BaseFlag]=1),
                        --(TEXT(Contract_Edits[Dep],"0")=TEXT(Contract_Edits[[#This Row],[Dep]],"0"))) - 1)
   )
)</f>
        <v>1</v>
      </c>
      <c r="AM48" s="517" t="str" cm="1">
        <f t="array" ref="AM48">IF(Contract_Edits[[#This Row],[BaseFlag]]=1,
   TEXT(Contract_Edits[[#This Row],[Index]],"0"),
   NearestBaseL(TEXT(Contract_Edits[[#This Row],[ParentKey]],"0"),500,editsIdxTxt,editsParentKeyTxt,baseIdxTxt,baseCost)
)</f>
        <v>181</v>
      </c>
      <c r="AN48" s="517" cm="1">
        <f t="array" ref="AN48">1+SUMPRODUCT(
  (Contract_Edits[BaseFlag]=1)*
  (TEXT(Contract_Edits[ParentAnchor],"0")=TEXT(Contract_Edits[[#This Row],[ParentAnchor]],"0"))*
  (VALUE(TEXT(Contract_Edits[Index],"0"))&lt;VALUE(TEXT(Contract_Edits[[#This Row],[Index]],"0")))
)</f>
        <v>2</v>
      </c>
      <c r="AO48" s="35"/>
      <c r="AP48" s="35" t="str">
        <f ca="1">IFERROR(+IF(AP$24=#REF!,Milestone_Marker,IF(AND(AP$24&gt;#REF!,AP$24&lt;#REF!+#REF!),#REF!,"")),"")</f>
        <v/>
      </c>
      <c r="AQ48" s="35" t="str">
        <f ca="1">IFERROR(+IF(AQ$24=#REF!,Milestone_Marker,IF(AND(AQ$24&gt;#REF!,AQ$24&lt;#REF!+#REF!),#REF!,"")),"")</f>
        <v/>
      </c>
      <c r="AR48" s="35" t="str">
        <f ca="1">IFERROR(+IF(AR$24=#REF!,Milestone_Marker,IF(AND(AR$24&gt;#REF!,AR$24&lt;#REF!+#REF!),#REF!,"")),"")</f>
        <v/>
      </c>
      <c r="AS48" s="35" t="str">
        <f ca="1">IFERROR(+IF(AS$24=#REF!,Milestone_Marker,IF(AND(AS$24&gt;#REF!,AS$24&lt;#REF!+#REF!),#REF!,"")),"")</f>
        <v/>
      </c>
      <c r="AT48" s="35" t="str">
        <f ca="1">IFERROR(+IF(AT$24=#REF!,Milestone_Marker,IF(AND(AT$24&gt;#REF!,AT$24&lt;#REF!+#REF!),#REF!,"")),"")</f>
        <v/>
      </c>
      <c r="AU48" s="35" t="str">
        <f ca="1">IFERROR(+IF(AU$24=#REF!,Milestone_Marker,IF(AND(AU$24&gt;#REF!,AU$24&lt;#REF!+#REF!),#REF!,"")),"")</f>
        <v/>
      </c>
      <c r="AV48" s="35" t="str">
        <f ca="1">IFERROR(+IF(AV$24=#REF!,Milestone_Marker,IF(AND(AV$24&gt;#REF!,AV$24&lt;#REF!+#REF!),#REF!,"")),"")</f>
        <v/>
      </c>
      <c r="AW48" s="35" t="str">
        <f ca="1">IFERROR(+IF(AW$24=#REF!,Milestone_Marker,IF(AND(AW$24&gt;#REF!,AW$24&lt;#REF!+#REF!),#REF!,"")),"")</f>
        <v/>
      </c>
      <c r="AX48" s="35" t="str">
        <f ca="1">IFERROR(+IF(AX$24=#REF!,Milestone_Marker,IF(AND(AX$24&gt;#REF!,AX$24&lt;#REF!+#REF!),#REF!,"")),"")</f>
        <v/>
      </c>
      <c r="AY48" s="35" t="str">
        <f ca="1">IFERROR(+IF(AY$24=#REF!,Milestone_Marker,IF(AND(AY$24&gt;#REF!,AY$24&lt;#REF!+#REF!),#REF!,"")),"")</f>
        <v/>
      </c>
      <c r="AZ48" s="35" t="str">
        <f ca="1">IFERROR(+IF(AZ$24=#REF!,Milestone_Marker,IF(AND(AZ$24&gt;#REF!,AZ$24&lt;#REF!+#REF!),#REF!,"")),"")</f>
        <v/>
      </c>
      <c r="BA48" s="35" t="str">
        <f ca="1">IFERROR(+IF(BA$24=#REF!,Milestone_Marker,IF(AND(BA$24&gt;#REF!,BA$24&lt;#REF!+#REF!),#REF!,"")),"")</f>
        <v/>
      </c>
      <c r="BB48" s="35" t="str">
        <f ca="1">IFERROR(+IF(BB$24=#REF!,Milestone_Marker,IF(AND(BB$24&gt;#REF!,BB$24&lt;#REF!+#REF!),#REF!,"")),"")</f>
        <v/>
      </c>
      <c r="BC48" s="35" t="str">
        <f ca="1">IFERROR(+IF(BC$24=#REF!,Milestone_Marker,IF(AND(BC$24&gt;#REF!,BC$24&lt;#REF!+#REF!),#REF!,"")),"")</f>
        <v/>
      </c>
      <c r="BD48" s="35" t="str">
        <f ca="1">IFERROR(+IF(BD$24=#REF!,Milestone_Marker,IF(AND(BD$24&gt;#REF!,BD$24&lt;#REF!+#REF!),#REF!,"")),"")</f>
        <v/>
      </c>
      <c r="BE48" s="35" t="str">
        <f ca="1">IFERROR(+IF(BE$24=#REF!,Milestone_Marker,IF(AND(BE$24&gt;#REF!,BE$24&lt;#REF!+#REF!),#REF!,"")),"")</f>
        <v/>
      </c>
      <c r="BF48" s="35" t="str">
        <f ca="1">IFERROR(+IF(BF$24=#REF!,Milestone_Marker,IF(AND(BF$24&gt;#REF!,BF$24&lt;#REF!+#REF!),#REF!,"")),"")</f>
        <v/>
      </c>
      <c r="BG48" s="35" t="str">
        <f ca="1">IFERROR(+IF(BG$24=#REF!,Milestone_Marker,IF(AND(BG$24&gt;#REF!,BG$24&lt;#REF!+#REF!),#REF!,"")),"")</f>
        <v/>
      </c>
      <c r="BH48" s="35" t="str">
        <f ca="1">IFERROR(+IF(BH$24=#REF!,Milestone_Marker,IF(AND(BH$24&gt;#REF!,BH$24&lt;#REF!+#REF!),#REF!,"")),"")</f>
        <v/>
      </c>
      <c r="BI48" s="35" t="str">
        <f ca="1">IFERROR(+IF(BI$24=#REF!,Milestone_Marker,IF(AND(BI$24&gt;#REF!,BI$24&lt;#REF!+#REF!),#REF!,"")),"")</f>
        <v/>
      </c>
      <c r="BJ48" s="35" t="str">
        <f ca="1">IFERROR(+IF(BJ$24=#REF!,Milestone_Marker,IF(AND(BJ$24&gt;#REF!,BJ$24&lt;#REF!+#REF!),#REF!,"")),"")</f>
        <v/>
      </c>
      <c r="BK48" s="35" t="str">
        <f ca="1">IFERROR(+IF(BK$24=#REF!,Milestone_Marker,IF(AND(BK$24&gt;#REF!,BK$24&lt;#REF!+#REF!),#REF!,"")),"")</f>
        <v/>
      </c>
      <c r="BL48" s="35" t="str">
        <f ca="1">IFERROR(+IF(BL$24=#REF!,Milestone_Marker,IF(AND(BL$24&gt;#REF!,BL$24&lt;#REF!+#REF!),#REF!,"")),"")</f>
        <v/>
      </c>
      <c r="BM48" s="35" t="str">
        <f ca="1">IFERROR(+IF(BM$24=#REF!,Milestone_Marker,IF(AND(BM$24&gt;#REF!,BM$24&lt;#REF!+#REF!),#REF!,"")),"")</f>
        <v/>
      </c>
      <c r="BN48" s="35" t="str">
        <f ca="1">IFERROR(+IF(BN$24=#REF!,Milestone_Marker,IF(AND(BN$24&gt;#REF!,BN$24&lt;#REF!+#REF!),#REF!,"")),"")</f>
        <v/>
      </c>
      <c r="BO48" s="35" t="str">
        <f ca="1">IFERROR(+IF(BO$24=#REF!,Milestone_Marker,IF(AND(BO$24&gt;#REF!,BO$24&lt;#REF!+#REF!),#REF!,"")),"")</f>
        <v/>
      </c>
      <c r="BP48" s="35" t="str">
        <f ca="1">IFERROR(+IF(BP$24=#REF!,Milestone_Marker,IF(AND(BP$24&gt;#REF!,BP$24&lt;#REF!+#REF!),#REF!,"")),"")</f>
        <v/>
      </c>
      <c r="BQ48" s="35" t="str">
        <f ca="1">IFERROR(+IF(BQ$24=#REF!,Milestone_Marker,IF(AND(BQ$24&gt;#REF!,BQ$24&lt;#REF!+#REF!),#REF!,"")),"")</f>
        <v/>
      </c>
      <c r="BR48" s="35" t="str">
        <f ca="1">IFERROR(+IF(BR$24=#REF!,Milestone_Marker,IF(AND(BR$24&gt;#REF!,BR$24&lt;#REF!+#REF!),#REF!,"")),"")</f>
        <v/>
      </c>
      <c r="BS48" s="35" t="str">
        <f ca="1">IFERROR(+IF(BS$24=#REF!,Milestone_Marker,IF(AND(BS$24&gt;#REF!,BS$24&lt;#REF!+#REF!),#REF!,"")),"")</f>
        <v/>
      </c>
      <c r="BT48" s="35" t="str">
        <f ca="1">IFERROR(+IF(BT$24=#REF!,Milestone_Marker,IF(AND(BT$24&gt;#REF!,BT$24&lt;#REF!+#REF!),#REF!,"")),"")</f>
        <v/>
      </c>
      <c r="BU48" s="35" t="str">
        <f ca="1">IFERROR(+IF(BU$24=#REF!,Milestone_Marker,IF(AND(BU$24&gt;#REF!,BU$24&lt;#REF!+#REF!),#REF!,"")),"")</f>
        <v/>
      </c>
      <c r="BV48" s="35" t="str">
        <f ca="1">IFERROR(+IF(BV$24=#REF!,Milestone_Marker,IF(AND(BV$24&gt;#REF!,BV$24&lt;#REF!+#REF!),#REF!,"")),"")</f>
        <v/>
      </c>
      <c r="BW48" s="35" t="str">
        <f ca="1">IFERROR(+IF(BW$24=#REF!,Milestone_Marker,IF(AND(BW$24&gt;#REF!,BW$24&lt;#REF!+#REF!),#REF!,"")),"")</f>
        <v/>
      </c>
      <c r="BX48" s="35" t="str">
        <f ca="1">IFERROR(+IF(BX$24=#REF!,Milestone_Marker,IF(AND(BX$24&gt;#REF!,BX$24&lt;#REF!+#REF!),#REF!,"")),"")</f>
        <v/>
      </c>
      <c r="BY48" s="35" t="str">
        <f ca="1">IFERROR(+IF(BY$24=#REF!,Milestone_Marker,IF(AND(BY$24&gt;#REF!,BY$24&lt;#REF!+#REF!),#REF!,"")),"")</f>
        <v/>
      </c>
      <c r="BZ48" s="35" t="str">
        <f ca="1">IFERROR(+IF(BZ$24=#REF!,Milestone_Marker,IF(AND(BZ$24&gt;#REF!,BZ$24&lt;#REF!+#REF!),#REF!,"")),"")</f>
        <v/>
      </c>
      <c r="CA48" s="35" t="str">
        <f ca="1">IFERROR(+IF(CA$24=#REF!,Milestone_Marker,IF(AND(CA$24&gt;#REF!,CA$24&lt;#REF!+#REF!),#REF!,"")),"")</f>
        <v/>
      </c>
      <c r="CB48" s="35" t="str">
        <f ca="1">IFERROR(+IF(CB$24=#REF!,Milestone_Marker,IF(AND(CB$24&gt;#REF!,CB$24&lt;#REF!+#REF!),#REF!,"")),"")</f>
        <v/>
      </c>
      <c r="CC48" s="35" t="str">
        <f ca="1">IFERROR(+IF(CC$24=#REF!,Milestone_Marker,IF(AND(CC$24&gt;#REF!,CC$24&lt;#REF!+#REF!),#REF!,"")),"")</f>
        <v/>
      </c>
      <c r="CD48" s="35" t="str">
        <f ca="1">IFERROR(+IF(CD$24=#REF!,Milestone_Marker,IF(AND(CD$24&gt;#REF!,CD$24&lt;#REF!+#REF!),#REF!,"")),"")</f>
        <v/>
      </c>
      <c r="CE48" s="35" t="str">
        <f ca="1">IFERROR(+IF(CE$24=#REF!,Milestone_Marker,IF(AND(CE$24&gt;#REF!,CE$24&lt;#REF!+#REF!),#REF!,"")),"")</f>
        <v/>
      </c>
      <c r="CF48" s="35" t="str">
        <f ca="1">IFERROR(+IF(CF$24=#REF!,Milestone_Marker,IF(AND(CF$24&gt;#REF!,CF$24&lt;#REF!+#REF!),#REF!,"")),"")</f>
        <v/>
      </c>
      <c r="CG48" s="35" t="str">
        <f ca="1">IFERROR(+IF(CG$24=#REF!,Milestone_Marker,IF(AND(CG$24&gt;#REF!,CG$24&lt;#REF!+#REF!),#REF!,"")),"")</f>
        <v/>
      </c>
      <c r="CH48" s="35" t="str">
        <f ca="1">IFERROR(+IF(CH$24=#REF!,Milestone_Marker,IF(AND(CH$24&gt;#REF!,CH$24&lt;#REF!+#REF!),#REF!,"")),"")</f>
        <v/>
      </c>
      <c r="CI48" s="35" t="str">
        <f ca="1">IFERROR(+IF(CI$24=#REF!,Milestone_Marker,IF(AND(CI$24&gt;#REF!,CI$24&lt;#REF!+#REF!),#REF!,"")),"")</f>
        <v/>
      </c>
      <c r="CJ48" s="35" t="str">
        <f ca="1">IFERROR(+IF(CJ$24=#REF!,Milestone_Marker,IF(AND(CJ$24&gt;#REF!,CJ$24&lt;#REF!+#REF!),#REF!,"")),"")</f>
        <v/>
      </c>
      <c r="CK48" s="35" t="str">
        <f ca="1">IFERROR(+IF(CK$24=#REF!,Milestone_Marker,IF(AND(CK$24&gt;#REF!,CK$24&lt;#REF!+#REF!),#REF!,"")),"")</f>
        <v/>
      </c>
      <c r="CL48" s="35" t="str">
        <f ca="1">IFERROR(+IF(CL$24=#REF!,Milestone_Marker,IF(AND(CL$24&gt;#REF!,CL$24&lt;#REF!+#REF!),#REF!,"")),"")</f>
        <v/>
      </c>
      <c r="CM48" s="35" t="str">
        <f ca="1">IFERROR(+IF(CM$24=#REF!,Milestone_Marker,IF(AND(CM$24&gt;#REF!,CM$24&lt;#REF!+#REF!),#REF!,"")),"")</f>
        <v/>
      </c>
      <c r="CN48" s="35" t="str">
        <f ca="1">IFERROR(+IF(CN$24=#REF!,Milestone_Marker,IF(AND(CN$24&gt;#REF!,CN$24&lt;#REF!+#REF!),#REF!,"")),"")</f>
        <v/>
      </c>
      <c r="CO48" s="35" t="str">
        <f ca="1">IFERROR(+IF(CO$24=#REF!,Milestone_Marker,IF(AND(CO$24&gt;#REF!,CO$24&lt;#REF!+#REF!),#REF!,"")),"")</f>
        <v/>
      </c>
      <c r="CP48" s="35" t="str">
        <f ca="1">IFERROR(+IF(CP$24=#REF!,Milestone_Marker,IF(AND(CP$24&gt;#REF!,CP$24&lt;#REF!+#REF!),#REF!,"")),"")</f>
        <v/>
      </c>
      <c r="CQ48" s="35" t="str">
        <f ca="1">IFERROR(+IF(CQ$24=#REF!,Milestone_Marker,IF(AND(CQ$24&gt;#REF!,CQ$24&lt;#REF!+#REF!),#REF!,"")),"")</f>
        <v/>
      </c>
      <c r="CR48" s="35" t="str">
        <f ca="1">IFERROR(+IF(CR$24=#REF!,Milestone_Marker,IF(AND(CR$24&gt;#REF!,CR$24&lt;#REF!+#REF!),#REF!,"")),"")</f>
        <v/>
      </c>
      <c r="CS48" s="35" t="str">
        <f ca="1">IFERROR(+IF(CS$24=#REF!,Milestone_Marker,IF(AND(CS$24&gt;#REF!,CS$24&lt;#REF!+#REF!),#REF!,"")),"")</f>
        <v/>
      </c>
      <c r="CT48" s="35" t="str">
        <f ca="1">IFERROR(+IF(CT$24=#REF!,Milestone_Marker,IF(AND(CT$24&gt;#REF!,CT$24&lt;#REF!+#REF!),#REF!,"")),"")</f>
        <v/>
      </c>
      <c r="CU48" s="35" t="str">
        <f ca="1">IFERROR(+IF(CU$24=#REF!,Milestone_Marker,IF(AND(CU$24&gt;#REF!,CU$24&lt;#REF!+#REF!),#REF!,"")),"")</f>
        <v/>
      </c>
      <c r="CV48" s="35" t="str">
        <f ca="1">IFERROR(+IF(CV$24=#REF!,Milestone_Marker,IF(AND(CV$24&gt;#REF!,CV$24&lt;#REF!+#REF!),#REF!,"")),"")</f>
        <v/>
      </c>
      <c r="CW48" s="35" t="str">
        <f ca="1">IFERROR(+IF(CW$24=#REF!,Milestone_Marker,IF(AND(CW$24&gt;#REF!,CW$24&lt;#REF!+#REF!),#REF!,"")),"")</f>
        <v/>
      </c>
      <c r="CX48" s="35" t="str">
        <f ca="1">IFERROR(+IF(CX$24=#REF!,Milestone_Marker,IF(AND(CX$24&gt;#REF!,CX$24&lt;#REF!+#REF!),#REF!,"")),"")</f>
        <v/>
      </c>
      <c r="CY48" s="35" t="str">
        <f ca="1">IFERROR(+IF(CY$24=#REF!,Milestone_Marker,IF(AND(CY$24&gt;#REF!,CY$24&lt;#REF!+#REF!),#REF!,"")),"")</f>
        <v/>
      </c>
      <c r="CZ48" s="35" t="str">
        <f ca="1">IFERROR(+IF(CZ$24=#REF!,Milestone_Marker,IF(AND(CZ$24&gt;#REF!,CZ$24&lt;#REF!+#REF!),#REF!,"")),"")</f>
        <v/>
      </c>
      <c r="DA48" s="35" t="str">
        <f ca="1">IFERROR(+IF(DA$24=#REF!,Milestone_Marker,IF(AND(DA$24&gt;#REF!,DA$24&lt;#REF!+#REF!),#REF!,"")),"")</f>
        <v/>
      </c>
      <c r="DB48" s="35" t="str">
        <f ca="1">IFERROR(+IF(DB$24=#REF!,Milestone_Marker,IF(AND(DB$24&gt;#REF!,DB$24&lt;#REF!+#REF!),#REF!,"")),"")</f>
        <v/>
      </c>
      <c r="DC48" s="35" t="str">
        <f ca="1">IFERROR(+IF(DC$24=#REF!,Milestone_Marker,IF(AND(DC$24&gt;#REF!,DC$24&lt;#REF!+#REF!),#REF!,"")),"")</f>
        <v/>
      </c>
      <c r="DD48" s="35" t="str">
        <f ca="1">IFERROR(+IF(DD$24=#REF!,Milestone_Marker,IF(AND(DD$24&gt;#REF!,DD$24&lt;#REF!+#REF!),#REF!,"")),"")</f>
        <v/>
      </c>
      <c r="DE48" s="35" t="str">
        <f ca="1">IFERROR(+IF(DE$24=#REF!,Milestone_Marker,IF(AND(DE$24&gt;#REF!,DE$24&lt;#REF!+#REF!),#REF!,"")),"")</f>
        <v/>
      </c>
      <c r="DF48" s="35"/>
      <c r="DG48" s="35"/>
      <c r="DH48" s="35"/>
      <c r="DI48" s="35"/>
      <c r="DJ48" s="35"/>
      <c r="DK48" s="35"/>
      <c r="DL48" s="35"/>
      <c r="DM48" s="35"/>
      <c r="DN48" s="35"/>
      <c r="DO48" s="35"/>
      <c r="DP48" s="35"/>
      <c r="DQ48" s="35"/>
      <c r="DR48" s="35"/>
      <c r="DS48" s="35"/>
      <c r="DT48" s="35"/>
      <c r="DU48" s="35"/>
      <c r="DV48" s="35"/>
      <c r="DW48" s="35"/>
      <c r="DX48" s="35"/>
      <c r="DY48" s="35"/>
      <c r="DZ48" s="35"/>
      <c r="EA48" s="35"/>
      <c r="EB48" s="35"/>
      <c r="EC48" s="35"/>
      <c r="ED48" s="35"/>
      <c r="EE48" s="35"/>
    </row>
    <row r="49" spans="1:135" s="40" customFormat="1" ht="15">
      <c r="A49" t="s">
        <v>519</v>
      </c>
      <c r="B49" t="s">
        <v>555</v>
      </c>
      <c r="C49" t="s">
        <v>553</v>
      </c>
      <c r="D49" s="458" t="s">
        <v>567</v>
      </c>
      <c r="E49" s="458">
        <v>1</v>
      </c>
      <c r="F49">
        <v>5365</v>
      </c>
      <c r="G49">
        <v>5365</v>
      </c>
      <c r="H49">
        <v>181</v>
      </c>
      <c r="I49"/>
      <c r="J49">
        <v>25</v>
      </c>
      <c r="K49" s="107"/>
      <c r="L49" s="463">
        <v>25</v>
      </c>
      <c r="M49" s="176">
        <v>0</v>
      </c>
      <c r="N49" s="160">
        <v>0</v>
      </c>
      <c r="O49" s="546" cm="1">
        <f t="array" ref="O4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45967</v>
      </c>
      <c r="P49" s="566" t="s">
        <v>797</v>
      </c>
      <c r="Q49" s="566">
        <v>0</v>
      </c>
      <c r="R49" s="22"/>
      <c r="S49" s="463" cm="1">
        <f t="array" ref="S4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181</v>
      </c>
      <c r="T49">
        <v>1</v>
      </c>
      <c r="U49" s="176">
        <v>1</v>
      </c>
      <c r="V4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45.020100000000006</v>
      </c>
      <c r="W49" s="497"/>
      <c r="X49" s="176" t="s">
        <v>852</v>
      </c>
      <c r="Y49" s="547" t="s">
        <v>867</v>
      </c>
      <c r="Z49" s="160" t="s">
        <v>458</v>
      </c>
      <c r="AA49" s="563">
        <v>101700</v>
      </c>
      <c r="AB49" cm="1">
        <f t="array" ref="AB49">ROW()-ROW(Contract_Edits[#Headers])</f>
        <v>25</v>
      </c>
      <c r="AC49">
        <f>IF(Contract_Edits[[#This Row],[RowPos]]&gt;1, Contract_Edits[[#This Row],[RowPos]]-1, 0)</f>
        <v>24</v>
      </c>
      <c r="AD49" s="35">
        <f>IF(N(Contract_Edits[[#This Row],[Dep]])=0, N(Contract_Edits[[#This Row],[Index]]), N(Contract_Edits[[#This Row],[Dep]]))</f>
        <v>181</v>
      </c>
      <c r="AE49" s="35" cm="1">
        <f t="array" ref="AE49">IF(OR(Contract_Edits[[#This Row],[Dep]]=0, TRIM(Contract_Edits[[#This Row],[Dep]])=""),
   0,
   IFERROR(
      _xlfn.XLOOKUP(1, (Contract_Edits[Dep]=Contract_Edits[[#This Row],[Dep]])*(Contract_Edits[RowPos]&lt;Contract_Edits[[#This Row],[RowPos]]), Contract_Edits[RowPos], , 0, -1),
      0
   )
)</f>
        <v>0</v>
      </c>
      <c r="AF49" s="35">
        <f>IF(OR(Contract_Edits[[#This Row],[Dep]]=0,Contract_Edits[[#This Row],[Dep]]=""),0,
   COUNTIFS(Contract_Edits[Dep],Contract_Edits[[#This Row],[Dep]],Contract_Edits[RowPos],"&lt;="&amp;Contract_Edits[[#This Row],[RowPos]],Contract_Edits[Approve],"Yes")
)</f>
        <v>1</v>
      </c>
      <c r="AG49" s="517">
        <f>--(
  ISNUMBER(SEARCH("BASE PARENT", UPPER(CLEAN(TRIM(_xlfn.XLOOKUP(TEXT(Contract_Edits[[#This Row],[Index]],"0"), baseIdxTxt, baseCost, "")))))) +
  ISNUMBER(SEARCH("DEPENDENCY GROUP", UPPER(CLEAN(TRIM(_xlfn.XLOOKUP(TEXT(Contract_Edits[[#This Row],[Index]],"0"), baseIdxTxt, baseCost, ""))))))
)</f>
        <v>0</v>
      </c>
      <c r="AH49" s="517" t="str" cm="1">
        <f t="array" ref="AH49">IF(Contract_Edits[[#This Row],[BaseFlag]]=1,
   10*BaseDepthL(TEXT(Contract_Edits[[#This Row],[Index]],"0"),500,editsIdxTxt,editsParentKeyTxt,baseIdxTxt,baseCost)-5,
   ""
)</f>
        <v/>
      </c>
      <c r="AI49" s="517" cm="1">
        <f t="array" ref="AI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49" s="517" t="str">
        <f>IF(Contract_Edits[[#This Row],[Dep]]=0,"Root",
   IF(ISNUMBER(MATCH(Contract_Edits[[#This Row],[Dep]],Contract_Edits[Index],0)),"OK","Missing")
)</f>
        <v>OK</v>
      </c>
      <c r="AK49" s="517" t="str">
        <f>IF(AND(Contract_Edits[[#This Row],[Dep]]&lt;&gt;0,
        ISNUMBER(MATCH(Contract_Edits[[#This Row],[Dep]], Contract_Edits[Index], 0)),
        INDEX(Contract_Edits[Dep], MATCH(Contract_Edits[[#This Row],[Dep]], Contract_Edits[Index], 0))=Contract_Edits[[#This Row],[Index]]),
   "2-cycle","")</f>
        <v/>
      </c>
      <c r="AL49" s="517" cm="1">
        <f t="array" ref="AL49">IF(Contract_Edits[[#This Row],[BaseFlag]]&lt;&gt;1,0,
   IF(TEXT(Contract_Edits[[#This Row],[Dep]],"0")=TEXT(Contract_Edits[[#This Row],[Index]],"0"),
      0,
      MAX(0, SUMPRODUCT(--(Contract_Edits[BaseFlag]=1),
                        --(TEXT(Contract_Edits[Dep],"0")=TEXT(Contract_Edits[[#This Row],[Dep]],"0"))) - 1)
   )
)</f>
        <v>0</v>
      </c>
      <c r="AM49" s="517" t="str" cm="1">
        <f t="array" ref="AM49">IF(Contract_Edits[[#This Row],[BaseFlag]]=1,
   TEXT(Contract_Edits[[#This Row],[Index]],"0"),
   NearestBaseL(TEXT(Contract_Edits[[#This Row],[ParentKey]],"0"),500,editsIdxTxt,editsParentKeyTxt,baseIdxTxt,baseCost)
)</f>
        <v>181</v>
      </c>
      <c r="AN49" s="517" cm="1">
        <f t="array" ref="AN49">1+SUMPRODUCT(
  (Contract_Edits[BaseFlag]=1)*
  (TEXT(Contract_Edits[ParentAnchor],"0")=TEXT(Contract_Edits[[#This Row],[ParentAnchor]],"0"))*
  (VALUE(TEXT(Contract_Edits[Index],"0"))&lt;VALUE(TEXT(Contract_Edits[[#This Row],[Index]],"0")))
)</f>
        <v>1</v>
      </c>
      <c r="AO49" s="35"/>
      <c r="AP49" s="35" t="str">
        <f ca="1">IFERROR(+IF(AP$24=#REF!,Milestone_Marker,IF(AND(AP$24&gt;#REF!,AP$24&lt;#REF!+#REF!),#REF!,"")),"")</f>
        <v/>
      </c>
      <c r="AQ49" s="35" t="str">
        <f ca="1">IFERROR(+IF(AQ$24=#REF!,Milestone_Marker,IF(AND(AQ$24&gt;#REF!,AQ$24&lt;#REF!+#REF!),#REF!,"")),"")</f>
        <v/>
      </c>
      <c r="AR49" s="35" t="str">
        <f ca="1">IFERROR(+IF(AR$24=#REF!,Milestone_Marker,IF(AND(AR$24&gt;#REF!,AR$24&lt;#REF!+#REF!),#REF!,"")),"")</f>
        <v/>
      </c>
      <c r="AS49" s="35" t="str">
        <f ca="1">IFERROR(+IF(AS$24=#REF!,Milestone_Marker,IF(AND(AS$24&gt;#REF!,AS$24&lt;#REF!+#REF!),#REF!,"")),"")</f>
        <v/>
      </c>
      <c r="AT49" s="35" t="str">
        <f ca="1">IFERROR(+IF(AT$24=#REF!,Milestone_Marker,IF(AND(AT$24&gt;#REF!,AT$24&lt;#REF!+#REF!),#REF!,"")),"")</f>
        <v/>
      </c>
      <c r="AU49" s="35" t="str">
        <f ca="1">IFERROR(+IF(AU$24=#REF!,Milestone_Marker,IF(AND(AU$24&gt;#REF!,AU$24&lt;#REF!+#REF!),#REF!,"")),"")</f>
        <v/>
      </c>
      <c r="AV49" s="35" t="str">
        <f ca="1">IFERROR(+IF(AV$24=#REF!,Milestone_Marker,IF(AND(AV$24&gt;#REF!,AV$24&lt;#REF!+#REF!),#REF!,"")),"")</f>
        <v/>
      </c>
      <c r="AW49" s="35" t="str">
        <f ca="1">IFERROR(+IF(AW$24=#REF!,Milestone_Marker,IF(AND(AW$24&gt;#REF!,AW$24&lt;#REF!+#REF!),#REF!,"")),"")</f>
        <v/>
      </c>
      <c r="AX49" s="35" t="str">
        <f ca="1">IFERROR(+IF(AX$24=#REF!,Milestone_Marker,IF(AND(AX$24&gt;#REF!,AX$24&lt;#REF!+#REF!),#REF!,"")),"")</f>
        <v/>
      </c>
      <c r="AY49" s="35" t="str">
        <f ca="1">IFERROR(+IF(AY$24=#REF!,Milestone_Marker,IF(AND(AY$24&gt;#REF!,AY$24&lt;#REF!+#REF!),#REF!,"")),"")</f>
        <v/>
      </c>
      <c r="AZ49" s="35" t="str">
        <f ca="1">IFERROR(+IF(AZ$24=#REF!,Milestone_Marker,IF(AND(AZ$24&gt;#REF!,AZ$24&lt;#REF!+#REF!),#REF!,"")),"")</f>
        <v/>
      </c>
      <c r="BA49" s="35" t="str">
        <f ca="1">IFERROR(+IF(BA$24=#REF!,Milestone_Marker,IF(AND(BA$24&gt;#REF!,BA$24&lt;#REF!+#REF!),#REF!,"")),"")</f>
        <v/>
      </c>
      <c r="BB49" s="35" t="str">
        <f ca="1">IFERROR(+IF(BB$24=#REF!,Milestone_Marker,IF(AND(BB$24&gt;#REF!,BB$24&lt;#REF!+#REF!),#REF!,"")),"")</f>
        <v/>
      </c>
      <c r="BC49" s="35" t="str">
        <f ca="1">IFERROR(+IF(BC$24=#REF!,Milestone_Marker,IF(AND(BC$24&gt;#REF!,BC$24&lt;#REF!+#REF!),#REF!,"")),"")</f>
        <v/>
      </c>
      <c r="BD49" s="35" t="str">
        <f ca="1">IFERROR(+IF(BD$24=#REF!,Milestone_Marker,IF(AND(BD$24&gt;#REF!,BD$24&lt;#REF!+#REF!),#REF!,"")),"")</f>
        <v/>
      </c>
      <c r="BE49" s="35" t="str">
        <f ca="1">IFERROR(+IF(BE$24=#REF!,Milestone_Marker,IF(AND(BE$24&gt;#REF!,BE$24&lt;#REF!+#REF!),#REF!,"")),"")</f>
        <v/>
      </c>
      <c r="BF49" s="35" t="str">
        <f ca="1">IFERROR(+IF(BF$24=#REF!,Milestone_Marker,IF(AND(BF$24&gt;#REF!,BF$24&lt;#REF!+#REF!),#REF!,"")),"")</f>
        <v/>
      </c>
      <c r="BG49" s="35" t="str">
        <f ca="1">IFERROR(+IF(BG$24=#REF!,Milestone_Marker,IF(AND(BG$24&gt;#REF!,BG$24&lt;#REF!+#REF!),#REF!,"")),"")</f>
        <v/>
      </c>
      <c r="BH49" s="35" t="str">
        <f ca="1">IFERROR(+IF(BH$24=#REF!,Milestone_Marker,IF(AND(BH$24&gt;#REF!,BH$24&lt;#REF!+#REF!),#REF!,"")),"")</f>
        <v/>
      </c>
      <c r="BI49" s="35" t="str">
        <f ca="1">IFERROR(+IF(BI$24=#REF!,Milestone_Marker,IF(AND(BI$24&gt;#REF!,BI$24&lt;#REF!+#REF!),#REF!,"")),"")</f>
        <v/>
      </c>
      <c r="BJ49" s="35" t="str">
        <f ca="1">IFERROR(+IF(BJ$24=#REF!,Milestone_Marker,IF(AND(BJ$24&gt;#REF!,BJ$24&lt;#REF!+#REF!),#REF!,"")),"")</f>
        <v/>
      </c>
      <c r="BK49" s="35" t="str">
        <f ca="1">IFERROR(+IF(BK$24=#REF!,Milestone_Marker,IF(AND(BK$24&gt;#REF!,BK$24&lt;#REF!+#REF!),#REF!,"")),"")</f>
        <v/>
      </c>
      <c r="BL49" s="35" t="str">
        <f ca="1">IFERROR(+IF(BL$24=#REF!,Milestone_Marker,IF(AND(BL$24&gt;#REF!,BL$24&lt;#REF!+#REF!),#REF!,"")),"")</f>
        <v/>
      </c>
      <c r="BM49" s="35" t="str">
        <f ca="1">IFERROR(+IF(BM$24=#REF!,Milestone_Marker,IF(AND(BM$24&gt;#REF!,BM$24&lt;#REF!+#REF!),#REF!,"")),"")</f>
        <v/>
      </c>
      <c r="BN49" s="35" t="str">
        <f ca="1">IFERROR(+IF(BN$24=#REF!,Milestone_Marker,IF(AND(BN$24&gt;#REF!,BN$24&lt;#REF!+#REF!),#REF!,"")),"")</f>
        <v/>
      </c>
      <c r="BO49" s="35" t="str">
        <f ca="1">IFERROR(+IF(BO$24=#REF!,Milestone_Marker,IF(AND(BO$24&gt;#REF!,BO$24&lt;#REF!+#REF!),#REF!,"")),"")</f>
        <v/>
      </c>
      <c r="BP49" s="35" t="str">
        <f ca="1">IFERROR(+IF(BP$24=#REF!,Milestone_Marker,IF(AND(BP$24&gt;#REF!,BP$24&lt;#REF!+#REF!),#REF!,"")),"")</f>
        <v/>
      </c>
      <c r="BQ49" s="35" t="str">
        <f ca="1">IFERROR(+IF(BQ$24=#REF!,Milestone_Marker,IF(AND(BQ$24&gt;#REF!,BQ$24&lt;#REF!+#REF!),#REF!,"")),"")</f>
        <v/>
      </c>
      <c r="BR49" s="35" t="str">
        <f ca="1">IFERROR(+IF(BR$24=#REF!,Milestone_Marker,IF(AND(BR$24&gt;#REF!,BR$24&lt;#REF!+#REF!),#REF!,"")),"")</f>
        <v/>
      </c>
      <c r="BS49" s="35" t="str">
        <f ca="1">IFERROR(+IF(BS$24=#REF!,Milestone_Marker,IF(AND(BS$24&gt;#REF!,BS$24&lt;#REF!+#REF!),#REF!,"")),"")</f>
        <v/>
      </c>
      <c r="BT49" s="35" t="str">
        <f ca="1">IFERROR(+IF(BT$24=#REF!,Milestone_Marker,IF(AND(BT$24&gt;#REF!,BT$24&lt;#REF!+#REF!),#REF!,"")),"")</f>
        <v/>
      </c>
      <c r="BU49" s="35" t="str">
        <f ca="1">IFERROR(+IF(BU$24=#REF!,Milestone_Marker,IF(AND(BU$24&gt;#REF!,BU$24&lt;#REF!+#REF!),#REF!,"")),"")</f>
        <v/>
      </c>
      <c r="BV49" s="35" t="str">
        <f ca="1">IFERROR(+IF(BV$24=#REF!,Milestone_Marker,IF(AND(BV$24&gt;#REF!,BV$24&lt;#REF!+#REF!),#REF!,"")),"")</f>
        <v/>
      </c>
      <c r="BW49" s="35" t="str">
        <f ca="1">IFERROR(+IF(BW$24=#REF!,Milestone_Marker,IF(AND(BW$24&gt;#REF!,BW$24&lt;#REF!+#REF!),#REF!,"")),"")</f>
        <v/>
      </c>
      <c r="BX49" s="35" t="str">
        <f ca="1">IFERROR(+IF(BX$24=#REF!,Milestone_Marker,IF(AND(BX$24&gt;#REF!,BX$24&lt;#REF!+#REF!),#REF!,"")),"")</f>
        <v/>
      </c>
      <c r="BY49" s="35" t="str">
        <f ca="1">IFERROR(+IF(BY$24=#REF!,Milestone_Marker,IF(AND(BY$24&gt;#REF!,BY$24&lt;#REF!+#REF!),#REF!,"")),"")</f>
        <v/>
      </c>
      <c r="BZ49" s="35" t="str">
        <f ca="1">IFERROR(+IF(BZ$24=#REF!,Milestone_Marker,IF(AND(BZ$24&gt;#REF!,BZ$24&lt;#REF!+#REF!),#REF!,"")),"")</f>
        <v/>
      </c>
      <c r="CA49" s="35" t="str">
        <f ca="1">IFERROR(+IF(CA$24=#REF!,Milestone_Marker,IF(AND(CA$24&gt;#REF!,CA$24&lt;#REF!+#REF!),#REF!,"")),"")</f>
        <v/>
      </c>
      <c r="CB49" s="35" t="str">
        <f ca="1">IFERROR(+IF(CB$24=#REF!,Milestone_Marker,IF(AND(CB$24&gt;#REF!,CB$24&lt;#REF!+#REF!),#REF!,"")),"")</f>
        <v/>
      </c>
      <c r="CC49" s="35" t="str">
        <f ca="1">IFERROR(+IF(CC$24=#REF!,Milestone_Marker,IF(AND(CC$24&gt;#REF!,CC$24&lt;#REF!+#REF!),#REF!,"")),"")</f>
        <v/>
      </c>
      <c r="CD49" s="35" t="str">
        <f ca="1">IFERROR(+IF(CD$24=#REF!,Milestone_Marker,IF(AND(CD$24&gt;#REF!,CD$24&lt;#REF!+#REF!),#REF!,"")),"")</f>
        <v/>
      </c>
      <c r="CE49" s="35" t="str">
        <f ca="1">IFERROR(+IF(CE$24=#REF!,Milestone_Marker,IF(AND(CE$24&gt;#REF!,CE$24&lt;#REF!+#REF!),#REF!,"")),"")</f>
        <v/>
      </c>
      <c r="CF49" s="35" t="str">
        <f ca="1">IFERROR(+IF(CF$24=#REF!,Milestone_Marker,IF(AND(CF$24&gt;#REF!,CF$24&lt;#REF!+#REF!),#REF!,"")),"")</f>
        <v/>
      </c>
      <c r="CG49" s="35" t="str">
        <f ca="1">IFERROR(+IF(CG$24=#REF!,Milestone_Marker,IF(AND(CG$24&gt;#REF!,CG$24&lt;#REF!+#REF!),#REF!,"")),"")</f>
        <v/>
      </c>
      <c r="CH49" s="35" t="str">
        <f ca="1">IFERROR(+IF(CH$24=#REF!,Milestone_Marker,IF(AND(CH$24&gt;#REF!,CH$24&lt;#REF!+#REF!),#REF!,"")),"")</f>
        <v/>
      </c>
      <c r="CI49" s="35" t="str">
        <f ca="1">IFERROR(+IF(CI$24=#REF!,Milestone_Marker,IF(AND(CI$24&gt;#REF!,CI$24&lt;#REF!+#REF!),#REF!,"")),"")</f>
        <v/>
      </c>
      <c r="CJ49" s="35" t="str">
        <f ca="1">IFERROR(+IF(CJ$24=#REF!,Milestone_Marker,IF(AND(CJ$24&gt;#REF!,CJ$24&lt;#REF!+#REF!),#REF!,"")),"")</f>
        <v/>
      </c>
      <c r="CK49" s="35" t="str">
        <f ca="1">IFERROR(+IF(CK$24=#REF!,Milestone_Marker,IF(AND(CK$24&gt;#REF!,CK$24&lt;#REF!+#REF!),#REF!,"")),"")</f>
        <v/>
      </c>
      <c r="CL49" s="35" t="str">
        <f ca="1">IFERROR(+IF(CL$24=#REF!,Milestone_Marker,IF(AND(CL$24&gt;#REF!,CL$24&lt;#REF!+#REF!),#REF!,"")),"")</f>
        <v/>
      </c>
      <c r="CM49" s="35" t="str">
        <f ca="1">IFERROR(+IF(CM$24=#REF!,Milestone_Marker,IF(AND(CM$24&gt;#REF!,CM$24&lt;#REF!+#REF!),#REF!,"")),"")</f>
        <v/>
      </c>
      <c r="CN49" s="35" t="str">
        <f ca="1">IFERROR(+IF(CN$24=#REF!,Milestone_Marker,IF(AND(CN$24&gt;#REF!,CN$24&lt;#REF!+#REF!),#REF!,"")),"")</f>
        <v/>
      </c>
      <c r="CO49" s="35" t="str">
        <f ca="1">IFERROR(+IF(CO$24=#REF!,Milestone_Marker,IF(AND(CO$24&gt;#REF!,CO$24&lt;#REF!+#REF!),#REF!,"")),"")</f>
        <v/>
      </c>
      <c r="CP49" s="35" t="str">
        <f ca="1">IFERROR(+IF(CP$24=#REF!,Milestone_Marker,IF(AND(CP$24&gt;#REF!,CP$24&lt;#REF!+#REF!),#REF!,"")),"")</f>
        <v/>
      </c>
      <c r="CQ49" s="35" t="str">
        <f ca="1">IFERROR(+IF(CQ$24=#REF!,Milestone_Marker,IF(AND(CQ$24&gt;#REF!,CQ$24&lt;#REF!+#REF!),#REF!,"")),"")</f>
        <v/>
      </c>
      <c r="CR49" s="35" t="str">
        <f ca="1">IFERROR(+IF(CR$24=#REF!,Milestone_Marker,IF(AND(CR$24&gt;#REF!,CR$24&lt;#REF!+#REF!),#REF!,"")),"")</f>
        <v/>
      </c>
      <c r="CS49" s="35" t="str">
        <f ca="1">IFERROR(+IF(CS$24=#REF!,Milestone_Marker,IF(AND(CS$24&gt;#REF!,CS$24&lt;#REF!+#REF!),#REF!,"")),"")</f>
        <v/>
      </c>
      <c r="CT49" s="35" t="str">
        <f ca="1">IFERROR(+IF(CT$24=#REF!,Milestone_Marker,IF(AND(CT$24&gt;#REF!,CT$24&lt;#REF!+#REF!),#REF!,"")),"")</f>
        <v/>
      </c>
      <c r="CU49" s="35" t="str">
        <f ca="1">IFERROR(+IF(CU$24=#REF!,Milestone_Marker,IF(AND(CU$24&gt;#REF!,CU$24&lt;#REF!+#REF!),#REF!,"")),"")</f>
        <v/>
      </c>
      <c r="CV49" s="35" t="str">
        <f ca="1">IFERROR(+IF(CV$24=#REF!,Milestone_Marker,IF(AND(CV$24&gt;#REF!,CV$24&lt;#REF!+#REF!),#REF!,"")),"")</f>
        <v/>
      </c>
      <c r="CW49" s="35" t="str">
        <f ca="1">IFERROR(+IF(CW$24=#REF!,Milestone_Marker,IF(AND(CW$24&gt;#REF!,CW$24&lt;#REF!+#REF!),#REF!,"")),"")</f>
        <v/>
      </c>
      <c r="CX49" s="35" t="str">
        <f ca="1">IFERROR(+IF(CX$24=#REF!,Milestone_Marker,IF(AND(CX$24&gt;#REF!,CX$24&lt;#REF!+#REF!),#REF!,"")),"")</f>
        <v/>
      </c>
      <c r="CY49" s="35" t="str">
        <f ca="1">IFERROR(+IF(CY$24=#REF!,Milestone_Marker,IF(AND(CY$24&gt;#REF!,CY$24&lt;#REF!+#REF!),#REF!,"")),"")</f>
        <v/>
      </c>
      <c r="CZ49" s="35" t="str">
        <f ca="1">IFERROR(+IF(CZ$24=#REF!,Milestone_Marker,IF(AND(CZ$24&gt;#REF!,CZ$24&lt;#REF!+#REF!),#REF!,"")),"")</f>
        <v/>
      </c>
      <c r="DA49" s="35" t="str">
        <f ca="1">IFERROR(+IF(DA$24=#REF!,Milestone_Marker,IF(AND(DA$24&gt;#REF!,DA$24&lt;#REF!+#REF!),#REF!,"")),"")</f>
        <v/>
      </c>
      <c r="DB49" s="35" t="str">
        <f ca="1">IFERROR(+IF(DB$24=#REF!,Milestone_Marker,IF(AND(DB$24&gt;#REF!,DB$24&lt;#REF!+#REF!),#REF!,"")),"")</f>
        <v/>
      </c>
      <c r="DC49" s="35" t="str">
        <f ca="1">IFERROR(+IF(DC$24=#REF!,Milestone_Marker,IF(AND(DC$24&gt;#REF!,DC$24&lt;#REF!+#REF!),#REF!,"")),"")</f>
        <v/>
      </c>
      <c r="DD49" s="35" t="str">
        <f ca="1">IFERROR(+IF(DD$24=#REF!,Milestone_Marker,IF(AND(DD$24&gt;#REF!,DD$24&lt;#REF!+#REF!),#REF!,"")),"")</f>
        <v/>
      </c>
      <c r="DE49" s="35" t="str">
        <f ca="1">IFERROR(+IF(DE$24=#REF!,Milestone_Marker,IF(AND(DE$24&gt;#REF!,DE$24&lt;#REF!+#REF!),#REF!,"")),"")</f>
        <v/>
      </c>
      <c r="DF49" s="35"/>
      <c r="DG49" s="35"/>
      <c r="DH49" s="35"/>
      <c r="DI49" s="35"/>
      <c r="DJ49" s="35"/>
      <c r="DK49" s="35"/>
      <c r="DL49" s="35"/>
      <c r="DM49" s="35"/>
      <c r="DN49" s="35"/>
      <c r="DO49" s="35"/>
      <c r="DP49" s="35"/>
      <c r="DQ49" s="35"/>
      <c r="DR49" s="35"/>
      <c r="DS49" s="35"/>
      <c r="DT49" s="35"/>
      <c r="DU49" s="35"/>
      <c r="DV49" s="35"/>
      <c r="DW49" s="35"/>
      <c r="DX49" s="35"/>
      <c r="DY49" s="35"/>
      <c r="DZ49" s="35"/>
      <c r="EA49" s="35"/>
      <c r="EB49" s="35"/>
      <c r="EC49" s="35"/>
      <c r="ED49" s="35"/>
      <c r="EE49" s="35"/>
    </row>
    <row r="50" spans="1:135" s="40" customFormat="1" ht="30">
      <c r="A50" t="s">
        <v>519</v>
      </c>
      <c r="B50" t="s">
        <v>555</v>
      </c>
      <c r="C50" t="s">
        <v>550</v>
      </c>
      <c r="D50" s="458" t="s">
        <v>559</v>
      </c>
      <c r="E50" s="458">
        <v>1</v>
      </c>
      <c r="F50">
        <v>1595</v>
      </c>
      <c r="G50">
        <v>1595</v>
      </c>
      <c r="H50">
        <v>181</v>
      </c>
      <c r="I50"/>
      <c r="J50">
        <v>20</v>
      </c>
      <c r="K50" s="107"/>
      <c r="L50" s="463">
        <v>20</v>
      </c>
      <c r="M50" s="176">
        <v>1</v>
      </c>
      <c r="N50" s="160">
        <v>0</v>
      </c>
      <c r="O50" s="546" cm="1">
        <f t="array" ref="O5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45967</v>
      </c>
      <c r="P50" s="566" t="s">
        <v>797</v>
      </c>
      <c r="Q50" s="566">
        <v>0</v>
      </c>
      <c r="R50" s="22"/>
      <c r="S50" s="463" cm="1">
        <f t="array" ref="S5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181</v>
      </c>
      <c r="T50">
        <v>1</v>
      </c>
      <c r="U50" s="176">
        <v>2</v>
      </c>
      <c r="V5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45.020200000000003</v>
      </c>
      <c r="W50" s="497"/>
      <c r="X50" s="176"/>
      <c r="Y50" s="547" t="s">
        <v>867</v>
      </c>
      <c r="Z50" s="160" t="s">
        <v>458</v>
      </c>
      <c r="AA50" s="563">
        <v>101700</v>
      </c>
      <c r="AB50" cm="1">
        <f t="array" ref="AB50">ROW()-ROW(Contract_Edits[#Headers])</f>
        <v>26</v>
      </c>
      <c r="AC50">
        <f>IF(Contract_Edits[[#This Row],[RowPos]]&gt;1, Contract_Edits[[#This Row],[RowPos]]-1, 0)</f>
        <v>25</v>
      </c>
      <c r="AD50" s="35">
        <f>IF(N(Contract_Edits[[#This Row],[Dep]])=0, N(Contract_Edits[[#This Row],[Index]]), N(Contract_Edits[[#This Row],[Dep]]))</f>
        <v>181</v>
      </c>
      <c r="AE50" s="35" cm="1">
        <f t="array" ref="AE50">IF(OR(Contract_Edits[[#This Row],[Dep]]=0, TRIM(Contract_Edits[[#This Row],[Dep]])=""),
   0,
   IFERROR(
      _xlfn.XLOOKUP(1, (Contract_Edits[Dep]=Contract_Edits[[#This Row],[Dep]])*(Contract_Edits[RowPos]&lt;Contract_Edits[[#This Row],[RowPos]]), Contract_Edits[RowPos], , 0, -1),
      0
   )
)</f>
        <v>25</v>
      </c>
      <c r="AF50" s="35">
        <f>IF(OR(Contract_Edits[[#This Row],[Dep]]=0,Contract_Edits[[#This Row],[Dep]]=""),0,
   COUNTIFS(Contract_Edits[Dep],Contract_Edits[[#This Row],[Dep]],Contract_Edits[RowPos],"&lt;="&amp;Contract_Edits[[#This Row],[RowPos]],Contract_Edits[Approve],"Yes")
)</f>
        <v>2</v>
      </c>
      <c r="AG50" s="517">
        <f>--(
  ISNUMBER(SEARCH("BASE PARENT", UPPER(CLEAN(TRIM(_xlfn.XLOOKUP(TEXT(Contract_Edits[[#This Row],[Index]],"0"), baseIdxTxt, baseCost, "")))))) +
  ISNUMBER(SEARCH("DEPENDENCY GROUP", UPPER(CLEAN(TRIM(_xlfn.XLOOKUP(TEXT(Contract_Edits[[#This Row],[Index]],"0"), baseIdxTxt, baseCost, ""))))))
)</f>
        <v>0</v>
      </c>
      <c r="AH50" s="517" t="str" cm="1">
        <f t="array" ref="AH50">IF(Contract_Edits[[#This Row],[BaseFlag]]=1,
   10*BaseDepthL(TEXT(Contract_Edits[[#This Row],[Index]],"0"),500,editsIdxTxt,editsParentKeyTxt,baseIdxTxt,baseCost)-5,
   ""
)</f>
        <v/>
      </c>
      <c r="AI50" s="517" cm="1">
        <f t="array" ref="AI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50" s="517" t="str">
        <f>IF(Contract_Edits[[#This Row],[Dep]]=0,"Root",
   IF(ISNUMBER(MATCH(Contract_Edits[[#This Row],[Dep]],Contract_Edits[Index],0)),"OK","Missing")
)</f>
        <v>OK</v>
      </c>
      <c r="AK50" s="517" t="str">
        <f>IF(AND(Contract_Edits[[#This Row],[Dep]]&lt;&gt;0,
        ISNUMBER(MATCH(Contract_Edits[[#This Row],[Dep]], Contract_Edits[Index], 0)),
        INDEX(Contract_Edits[Dep], MATCH(Contract_Edits[[#This Row],[Dep]], Contract_Edits[Index], 0))=Contract_Edits[[#This Row],[Index]]),
   "2-cycle","")</f>
        <v/>
      </c>
      <c r="AL50" s="517" cm="1">
        <f t="array" ref="AL50">IF(Contract_Edits[[#This Row],[BaseFlag]]&lt;&gt;1,0,
   IF(TEXT(Contract_Edits[[#This Row],[Dep]],"0")=TEXT(Contract_Edits[[#This Row],[Index]],"0"),
      0,
      MAX(0, SUMPRODUCT(--(Contract_Edits[BaseFlag]=1),
                        --(TEXT(Contract_Edits[Dep],"0")=TEXT(Contract_Edits[[#This Row],[Dep]],"0"))) - 1)
   )
)</f>
        <v>0</v>
      </c>
      <c r="AM50" s="517" t="str" cm="1">
        <f t="array" ref="AM50">IF(Contract_Edits[[#This Row],[BaseFlag]]=1,
   TEXT(Contract_Edits[[#This Row],[Index]],"0"),
   NearestBaseL(TEXT(Contract_Edits[[#This Row],[ParentKey]],"0"),500,editsIdxTxt,editsParentKeyTxt,baseIdxTxt,baseCost)
)</f>
        <v>181</v>
      </c>
      <c r="AN50" s="517" cm="1">
        <f t="array" ref="AN50">1+SUMPRODUCT(
  (Contract_Edits[BaseFlag]=1)*
  (TEXT(Contract_Edits[ParentAnchor],"0")=TEXT(Contract_Edits[[#This Row],[ParentAnchor]],"0"))*
  (VALUE(TEXT(Contract_Edits[Index],"0"))&lt;VALUE(TEXT(Contract_Edits[[#This Row],[Index]],"0")))
)</f>
        <v>1</v>
      </c>
      <c r="AO50" s="35"/>
      <c r="AP50" s="35" t="str">
        <f ca="1">IFERROR(+IF(AP$24=#REF!,Milestone_Marker,IF(AND(AP$24&gt;#REF!,AP$24&lt;#REF!+#REF!),#REF!,"")),"")</f>
        <v/>
      </c>
      <c r="AQ50" s="35" t="str">
        <f ca="1">IFERROR(+IF(AQ$24=#REF!,Milestone_Marker,IF(AND(AQ$24&gt;#REF!,AQ$24&lt;#REF!+#REF!),#REF!,"")),"")</f>
        <v/>
      </c>
      <c r="AR50" s="35" t="str">
        <f ca="1">IFERROR(+IF(AR$24=#REF!,Milestone_Marker,IF(AND(AR$24&gt;#REF!,AR$24&lt;#REF!+#REF!),#REF!,"")),"")</f>
        <v/>
      </c>
      <c r="AS50" s="35" t="str">
        <f ca="1">IFERROR(+IF(AS$24=#REF!,Milestone_Marker,IF(AND(AS$24&gt;#REF!,AS$24&lt;#REF!+#REF!),#REF!,"")),"")</f>
        <v/>
      </c>
      <c r="AT50" s="35" t="str">
        <f ca="1">IFERROR(+IF(AT$24=#REF!,Milestone_Marker,IF(AND(AT$24&gt;#REF!,AT$24&lt;#REF!+#REF!),#REF!,"")),"")</f>
        <v/>
      </c>
      <c r="AU50" s="35" t="str">
        <f ca="1">IFERROR(+IF(AU$24=#REF!,Milestone_Marker,IF(AND(AU$24&gt;#REF!,AU$24&lt;#REF!+#REF!),#REF!,"")),"")</f>
        <v/>
      </c>
      <c r="AV50" s="35" t="str">
        <f ca="1">IFERROR(+IF(AV$24=#REF!,Milestone_Marker,IF(AND(AV$24&gt;#REF!,AV$24&lt;#REF!+#REF!),#REF!,"")),"")</f>
        <v/>
      </c>
      <c r="AW50" s="35" t="str">
        <f ca="1">IFERROR(+IF(AW$24=#REF!,Milestone_Marker,IF(AND(AW$24&gt;#REF!,AW$24&lt;#REF!+#REF!),#REF!,"")),"")</f>
        <v/>
      </c>
      <c r="AX50" s="35" t="str">
        <f ca="1">IFERROR(+IF(AX$24=#REF!,Milestone_Marker,IF(AND(AX$24&gt;#REF!,AX$24&lt;#REF!+#REF!),#REF!,"")),"")</f>
        <v/>
      </c>
      <c r="AY50" s="35" t="str">
        <f ca="1">IFERROR(+IF(AY$24=#REF!,Milestone_Marker,IF(AND(AY$24&gt;#REF!,AY$24&lt;#REF!+#REF!),#REF!,"")),"")</f>
        <v/>
      </c>
      <c r="AZ50" s="35" t="str">
        <f ca="1">IFERROR(+IF(AZ$24=#REF!,Milestone_Marker,IF(AND(AZ$24&gt;#REF!,AZ$24&lt;#REF!+#REF!),#REF!,"")),"")</f>
        <v/>
      </c>
      <c r="BA50" s="35" t="str">
        <f ca="1">IFERROR(+IF(BA$24=#REF!,Milestone_Marker,IF(AND(BA$24&gt;#REF!,BA$24&lt;#REF!+#REF!),#REF!,"")),"")</f>
        <v/>
      </c>
      <c r="BB50" s="35" t="str">
        <f ca="1">IFERROR(+IF(BB$24=#REF!,Milestone_Marker,IF(AND(BB$24&gt;#REF!,BB$24&lt;#REF!+#REF!),#REF!,"")),"")</f>
        <v/>
      </c>
      <c r="BC50" s="35" t="str">
        <f ca="1">IFERROR(+IF(BC$24=#REF!,Milestone_Marker,IF(AND(BC$24&gt;#REF!,BC$24&lt;#REF!+#REF!),#REF!,"")),"")</f>
        <v/>
      </c>
      <c r="BD50" s="35" t="str">
        <f ca="1">IFERROR(+IF(BD$24=#REF!,Milestone_Marker,IF(AND(BD$24&gt;#REF!,BD$24&lt;#REF!+#REF!),#REF!,"")),"")</f>
        <v/>
      </c>
      <c r="BE50" s="35" t="str">
        <f ca="1">IFERROR(+IF(BE$24=#REF!,Milestone_Marker,IF(AND(BE$24&gt;#REF!,BE$24&lt;#REF!+#REF!),#REF!,"")),"")</f>
        <v/>
      </c>
      <c r="BF50" s="35" t="str">
        <f ca="1">IFERROR(+IF(BF$24=#REF!,Milestone_Marker,IF(AND(BF$24&gt;#REF!,BF$24&lt;#REF!+#REF!),#REF!,"")),"")</f>
        <v/>
      </c>
      <c r="BG50" s="35" t="str">
        <f ca="1">IFERROR(+IF(BG$24=#REF!,Milestone_Marker,IF(AND(BG$24&gt;#REF!,BG$24&lt;#REF!+#REF!),#REF!,"")),"")</f>
        <v/>
      </c>
      <c r="BH50" s="35" t="str">
        <f ca="1">IFERROR(+IF(BH$24=#REF!,Milestone_Marker,IF(AND(BH$24&gt;#REF!,BH$24&lt;#REF!+#REF!),#REF!,"")),"")</f>
        <v/>
      </c>
      <c r="BI50" s="35" t="str">
        <f ca="1">IFERROR(+IF(BI$24=#REF!,Milestone_Marker,IF(AND(BI$24&gt;#REF!,BI$24&lt;#REF!+#REF!),#REF!,"")),"")</f>
        <v/>
      </c>
      <c r="BJ50" s="35" t="str">
        <f ca="1">IFERROR(+IF(BJ$24=#REF!,Milestone_Marker,IF(AND(BJ$24&gt;#REF!,BJ$24&lt;#REF!+#REF!),#REF!,"")),"")</f>
        <v/>
      </c>
      <c r="BK50" s="35" t="str">
        <f ca="1">IFERROR(+IF(BK$24=#REF!,Milestone_Marker,IF(AND(BK$24&gt;#REF!,BK$24&lt;#REF!+#REF!),#REF!,"")),"")</f>
        <v/>
      </c>
      <c r="BL50" s="35" t="str">
        <f ca="1">IFERROR(+IF(BL$24=#REF!,Milestone_Marker,IF(AND(BL$24&gt;#REF!,BL$24&lt;#REF!+#REF!),#REF!,"")),"")</f>
        <v/>
      </c>
      <c r="BM50" s="35" t="str">
        <f ca="1">IFERROR(+IF(BM$24=#REF!,Milestone_Marker,IF(AND(BM$24&gt;#REF!,BM$24&lt;#REF!+#REF!),#REF!,"")),"")</f>
        <v/>
      </c>
      <c r="BN50" s="35" t="str">
        <f ca="1">IFERROR(+IF(BN$24=#REF!,Milestone_Marker,IF(AND(BN$24&gt;#REF!,BN$24&lt;#REF!+#REF!),#REF!,"")),"")</f>
        <v/>
      </c>
      <c r="BO50" s="35" t="str">
        <f ca="1">IFERROR(+IF(BO$24=#REF!,Milestone_Marker,IF(AND(BO$24&gt;#REF!,BO$24&lt;#REF!+#REF!),#REF!,"")),"")</f>
        <v/>
      </c>
      <c r="BP50" s="35" t="str">
        <f ca="1">IFERROR(+IF(BP$24=#REF!,Milestone_Marker,IF(AND(BP$24&gt;#REF!,BP$24&lt;#REF!+#REF!),#REF!,"")),"")</f>
        <v/>
      </c>
      <c r="BQ50" s="35" t="str">
        <f ca="1">IFERROR(+IF(BQ$24=#REF!,Milestone_Marker,IF(AND(BQ$24&gt;#REF!,BQ$24&lt;#REF!+#REF!),#REF!,"")),"")</f>
        <v/>
      </c>
      <c r="BR50" s="35" t="str">
        <f ca="1">IFERROR(+IF(BR$24=#REF!,Milestone_Marker,IF(AND(BR$24&gt;#REF!,BR$24&lt;#REF!+#REF!),#REF!,"")),"")</f>
        <v/>
      </c>
      <c r="BS50" s="35" t="str">
        <f ca="1">IFERROR(+IF(BS$24=#REF!,Milestone_Marker,IF(AND(BS$24&gt;#REF!,BS$24&lt;#REF!+#REF!),#REF!,"")),"")</f>
        <v/>
      </c>
      <c r="BT50" s="35" t="str">
        <f ca="1">IFERROR(+IF(BT$24=#REF!,Milestone_Marker,IF(AND(BT$24&gt;#REF!,BT$24&lt;#REF!+#REF!),#REF!,"")),"")</f>
        <v/>
      </c>
      <c r="BU50" s="35" t="str">
        <f ca="1">IFERROR(+IF(BU$24=#REF!,Milestone_Marker,IF(AND(BU$24&gt;#REF!,BU$24&lt;#REF!+#REF!),#REF!,"")),"")</f>
        <v/>
      </c>
      <c r="BV50" s="35" t="str">
        <f ca="1">IFERROR(+IF(BV$24=#REF!,Milestone_Marker,IF(AND(BV$24&gt;#REF!,BV$24&lt;#REF!+#REF!),#REF!,"")),"")</f>
        <v/>
      </c>
      <c r="BW50" s="35" t="str">
        <f ca="1">IFERROR(+IF(BW$24=#REF!,Milestone_Marker,IF(AND(BW$24&gt;#REF!,BW$24&lt;#REF!+#REF!),#REF!,"")),"")</f>
        <v/>
      </c>
      <c r="BX50" s="35" t="str">
        <f ca="1">IFERROR(+IF(BX$24=#REF!,Milestone_Marker,IF(AND(BX$24&gt;#REF!,BX$24&lt;#REF!+#REF!),#REF!,"")),"")</f>
        <v/>
      </c>
      <c r="BY50" s="35" t="str">
        <f ca="1">IFERROR(+IF(BY$24=#REF!,Milestone_Marker,IF(AND(BY$24&gt;#REF!,BY$24&lt;#REF!+#REF!),#REF!,"")),"")</f>
        <v/>
      </c>
      <c r="BZ50" s="35" t="str">
        <f ca="1">IFERROR(+IF(BZ$24=#REF!,Milestone_Marker,IF(AND(BZ$24&gt;#REF!,BZ$24&lt;#REF!+#REF!),#REF!,"")),"")</f>
        <v/>
      </c>
      <c r="CA50" s="35" t="str">
        <f ca="1">IFERROR(+IF(CA$24=#REF!,Milestone_Marker,IF(AND(CA$24&gt;#REF!,CA$24&lt;#REF!+#REF!),#REF!,"")),"")</f>
        <v/>
      </c>
      <c r="CB50" s="35" t="str">
        <f ca="1">IFERROR(+IF(CB$24=#REF!,Milestone_Marker,IF(AND(CB$24&gt;#REF!,CB$24&lt;#REF!+#REF!),#REF!,"")),"")</f>
        <v/>
      </c>
      <c r="CC50" s="35" t="str">
        <f ca="1">IFERROR(+IF(CC$24=#REF!,Milestone_Marker,IF(AND(CC$24&gt;#REF!,CC$24&lt;#REF!+#REF!),#REF!,"")),"")</f>
        <v/>
      </c>
      <c r="CD50" s="35" t="str">
        <f ca="1">IFERROR(+IF(CD$24=#REF!,Milestone_Marker,IF(AND(CD$24&gt;#REF!,CD$24&lt;#REF!+#REF!),#REF!,"")),"")</f>
        <v/>
      </c>
      <c r="CE50" s="35" t="str">
        <f ca="1">IFERROR(+IF(CE$24=#REF!,Milestone_Marker,IF(AND(CE$24&gt;#REF!,CE$24&lt;#REF!+#REF!),#REF!,"")),"")</f>
        <v/>
      </c>
      <c r="CF50" s="35" t="str">
        <f ca="1">IFERROR(+IF(CF$24=#REF!,Milestone_Marker,IF(AND(CF$24&gt;#REF!,CF$24&lt;#REF!+#REF!),#REF!,"")),"")</f>
        <v/>
      </c>
      <c r="CG50" s="35" t="str">
        <f ca="1">IFERROR(+IF(CG$24=#REF!,Milestone_Marker,IF(AND(CG$24&gt;#REF!,CG$24&lt;#REF!+#REF!),#REF!,"")),"")</f>
        <v/>
      </c>
      <c r="CH50" s="35" t="str">
        <f ca="1">IFERROR(+IF(CH$24=#REF!,Milestone_Marker,IF(AND(CH$24&gt;#REF!,CH$24&lt;#REF!+#REF!),#REF!,"")),"")</f>
        <v/>
      </c>
      <c r="CI50" s="35" t="str">
        <f ca="1">IFERROR(+IF(CI$24=#REF!,Milestone_Marker,IF(AND(CI$24&gt;#REF!,CI$24&lt;#REF!+#REF!),#REF!,"")),"")</f>
        <v/>
      </c>
      <c r="CJ50" s="35" t="str">
        <f ca="1">IFERROR(+IF(CJ$24=#REF!,Milestone_Marker,IF(AND(CJ$24&gt;#REF!,CJ$24&lt;#REF!+#REF!),#REF!,"")),"")</f>
        <v/>
      </c>
      <c r="CK50" s="35" t="str">
        <f ca="1">IFERROR(+IF(CK$24=#REF!,Milestone_Marker,IF(AND(CK$24&gt;#REF!,CK$24&lt;#REF!+#REF!),#REF!,"")),"")</f>
        <v/>
      </c>
      <c r="CL50" s="35" t="str">
        <f ca="1">IFERROR(+IF(CL$24=#REF!,Milestone_Marker,IF(AND(CL$24&gt;#REF!,CL$24&lt;#REF!+#REF!),#REF!,"")),"")</f>
        <v/>
      </c>
      <c r="CM50" s="35" t="str">
        <f ca="1">IFERROR(+IF(CM$24=#REF!,Milestone_Marker,IF(AND(CM$24&gt;#REF!,CM$24&lt;#REF!+#REF!),#REF!,"")),"")</f>
        <v/>
      </c>
      <c r="CN50" s="35" t="str">
        <f ca="1">IFERROR(+IF(CN$24=#REF!,Milestone_Marker,IF(AND(CN$24&gt;#REF!,CN$24&lt;#REF!+#REF!),#REF!,"")),"")</f>
        <v/>
      </c>
      <c r="CO50" s="35" t="str">
        <f ca="1">IFERROR(+IF(CO$24=#REF!,Milestone_Marker,IF(AND(CO$24&gt;#REF!,CO$24&lt;#REF!+#REF!),#REF!,"")),"")</f>
        <v/>
      </c>
      <c r="CP50" s="35" t="str">
        <f ca="1">IFERROR(+IF(CP$24=#REF!,Milestone_Marker,IF(AND(CP$24&gt;#REF!,CP$24&lt;#REF!+#REF!),#REF!,"")),"")</f>
        <v/>
      </c>
      <c r="CQ50" s="35" t="str">
        <f ca="1">IFERROR(+IF(CQ$24=#REF!,Milestone_Marker,IF(AND(CQ$24&gt;#REF!,CQ$24&lt;#REF!+#REF!),#REF!,"")),"")</f>
        <v/>
      </c>
      <c r="CR50" s="35" t="str">
        <f ca="1">IFERROR(+IF(CR$24=#REF!,Milestone_Marker,IF(AND(CR$24&gt;#REF!,CR$24&lt;#REF!+#REF!),#REF!,"")),"")</f>
        <v/>
      </c>
      <c r="CS50" s="35" t="str">
        <f ca="1">IFERROR(+IF(CS$24=#REF!,Milestone_Marker,IF(AND(CS$24&gt;#REF!,CS$24&lt;#REF!+#REF!),#REF!,"")),"")</f>
        <v/>
      </c>
      <c r="CT50" s="35" t="str">
        <f ca="1">IFERROR(+IF(CT$24=#REF!,Milestone_Marker,IF(AND(CT$24&gt;#REF!,CT$24&lt;#REF!+#REF!),#REF!,"")),"")</f>
        <v/>
      </c>
      <c r="CU50" s="35" t="str">
        <f ca="1">IFERROR(+IF(CU$24=#REF!,Milestone_Marker,IF(AND(CU$24&gt;#REF!,CU$24&lt;#REF!+#REF!),#REF!,"")),"")</f>
        <v/>
      </c>
      <c r="CV50" s="35" t="str">
        <f ca="1">IFERROR(+IF(CV$24=#REF!,Milestone_Marker,IF(AND(CV$24&gt;#REF!,CV$24&lt;#REF!+#REF!),#REF!,"")),"")</f>
        <v/>
      </c>
      <c r="CW50" s="35" t="str">
        <f ca="1">IFERROR(+IF(CW$24=#REF!,Milestone_Marker,IF(AND(CW$24&gt;#REF!,CW$24&lt;#REF!+#REF!),#REF!,"")),"")</f>
        <v/>
      </c>
      <c r="CX50" s="35" t="str">
        <f ca="1">IFERROR(+IF(CX$24=#REF!,Milestone_Marker,IF(AND(CX$24&gt;#REF!,CX$24&lt;#REF!+#REF!),#REF!,"")),"")</f>
        <v/>
      </c>
      <c r="CY50" s="35" t="str">
        <f ca="1">IFERROR(+IF(CY$24=#REF!,Milestone_Marker,IF(AND(CY$24&gt;#REF!,CY$24&lt;#REF!+#REF!),#REF!,"")),"")</f>
        <v/>
      </c>
      <c r="CZ50" s="35" t="str">
        <f ca="1">IFERROR(+IF(CZ$24=#REF!,Milestone_Marker,IF(AND(CZ$24&gt;#REF!,CZ$24&lt;#REF!+#REF!),#REF!,"")),"")</f>
        <v/>
      </c>
      <c r="DA50" s="35" t="str">
        <f ca="1">IFERROR(+IF(DA$24=#REF!,Milestone_Marker,IF(AND(DA$24&gt;#REF!,DA$24&lt;#REF!+#REF!),#REF!,"")),"")</f>
        <v/>
      </c>
      <c r="DB50" s="35" t="str">
        <f ca="1">IFERROR(+IF(DB$24=#REF!,Milestone_Marker,IF(AND(DB$24&gt;#REF!,DB$24&lt;#REF!+#REF!),#REF!,"")),"")</f>
        <v/>
      </c>
      <c r="DC50" s="35" t="str">
        <f ca="1">IFERROR(+IF(DC$24=#REF!,Milestone_Marker,IF(AND(DC$24&gt;#REF!,DC$24&lt;#REF!+#REF!),#REF!,"")),"")</f>
        <v/>
      </c>
      <c r="DD50" s="35" t="str">
        <f ca="1">IFERROR(+IF(DD$24=#REF!,Milestone_Marker,IF(AND(DD$24&gt;#REF!,DD$24&lt;#REF!+#REF!),#REF!,"")),"")</f>
        <v/>
      </c>
      <c r="DE50" s="35" t="str">
        <f ca="1">IFERROR(+IF(DE$24=#REF!,Milestone_Marker,IF(AND(DE$24&gt;#REF!,DE$24&lt;#REF!+#REF!),#REF!,"")),"")</f>
        <v/>
      </c>
      <c r="DF50" s="35"/>
      <c r="DG50" s="35"/>
      <c r="DH50" s="35"/>
      <c r="DI50" s="35"/>
      <c r="DJ50" s="35"/>
      <c r="DK50" s="35"/>
      <c r="DL50" s="35"/>
      <c r="DM50" s="35"/>
      <c r="DN50" s="35"/>
      <c r="DO50" s="35"/>
      <c r="DP50" s="35"/>
      <c r="DQ50" s="35"/>
      <c r="DR50" s="35"/>
      <c r="DS50" s="35"/>
      <c r="DT50" s="35"/>
      <c r="DU50" s="35"/>
      <c r="DV50" s="35"/>
      <c r="DW50" s="35"/>
      <c r="DX50" s="35"/>
      <c r="DY50" s="35"/>
      <c r="DZ50" s="35"/>
      <c r="EA50" s="35"/>
      <c r="EB50" s="35"/>
      <c r="EC50" s="35"/>
      <c r="ED50" s="35"/>
      <c r="EE50" s="35"/>
    </row>
    <row r="51" spans="1:135" s="40" customFormat="1" ht="30">
      <c r="A51" t="s">
        <v>519</v>
      </c>
      <c r="B51" t="s">
        <v>521</v>
      </c>
      <c r="C51" t="s">
        <v>550</v>
      </c>
      <c r="D51" s="458" t="s">
        <v>682</v>
      </c>
      <c r="E51" s="458">
        <v>1</v>
      </c>
      <c r="F51">
        <v>5220</v>
      </c>
      <c r="G51">
        <v>5220</v>
      </c>
      <c r="H51">
        <v>181</v>
      </c>
      <c r="I51"/>
      <c r="J51">
        <v>102</v>
      </c>
      <c r="K51" s="107"/>
      <c r="L51" s="463">
        <v>102</v>
      </c>
      <c r="M51" s="176">
        <v>6</v>
      </c>
      <c r="N51" s="160">
        <v>0</v>
      </c>
      <c r="O51" s="546" cm="1">
        <f t="array" ref="O5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45968</v>
      </c>
      <c r="P51" s="566" t="s">
        <v>797</v>
      </c>
      <c r="Q51" s="566">
        <v>0</v>
      </c>
      <c r="R51" s="22"/>
      <c r="S51" s="463" cm="1">
        <f t="array" ref="S5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181</v>
      </c>
      <c r="T51">
        <v>1</v>
      </c>
      <c r="U51" s="176">
        <v>3</v>
      </c>
      <c r="V5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45.020300000000006</v>
      </c>
      <c r="W51" s="497"/>
      <c r="X51" s="176" t="s">
        <v>852</v>
      </c>
      <c r="Y51" s="547" t="s">
        <v>867</v>
      </c>
      <c r="Z51" s="160" t="s">
        <v>458</v>
      </c>
      <c r="AA51" s="563">
        <v>101700</v>
      </c>
      <c r="AB51" cm="1">
        <f t="array" ref="AB51">ROW()-ROW(Contract_Edits[#Headers])</f>
        <v>27</v>
      </c>
      <c r="AC51">
        <f>IF(Contract_Edits[[#This Row],[RowPos]]&gt;1, Contract_Edits[[#This Row],[RowPos]]-1, 0)</f>
        <v>26</v>
      </c>
      <c r="AD51" s="35">
        <f>IF(N(Contract_Edits[[#This Row],[Dep]])=0, N(Contract_Edits[[#This Row],[Index]]), N(Contract_Edits[[#This Row],[Dep]]))</f>
        <v>181</v>
      </c>
      <c r="AE51" s="35" cm="1">
        <f t="array" ref="AE51">IF(OR(Contract_Edits[[#This Row],[Dep]]=0, TRIM(Contract_Edits[[#This Row],[Dep]])=""),
   0,
   IFERROR(
      _xlfn.XLOOKUP(1, (Contract_Edits[Dep]=Contract_Edits[[#This Row],[Dep]])*(Contract_Edits[RowPos]&lt;Contract_Edits[[#This Row],[RowPos]]), Contract_Edits[RowPos], , 0, -1),
      0
   )
)</f>
        <v>26</v>
      </c>
      <c r="AF51" s="35">
        <f>IF(OR(Contract_Edits[[#This Row],[Dep]]=0,Contract_Edits[[#This Row],[Dep]]=""),0,
   COUNTIFS(Contract_Edits[Dep],Contract_Edits[[#This Row],[Dep]],Contract_Edits[RowPos],"&lt;="&amp;Contract_Edits[[#This Row],[RowPos]],Contract_Edits[Approve],"Yes")
)</f>
        <v>3</v>
      </c>
      <c r="AG51" s="517">
        <f>--(
  ISNUMBER(SEARCH("BASE PARENT", UPPER(CLEAN(TRIM(_xlfn.XLOOKUP(TEXT(Contract_Edits[[#This Row],[Index]],"0"), baseIdxTxt, baseCost, "")))))) +
  ISNUMBER(SEARCH("DEPENDENCY GROUP", UPPER(CLEAN(TRIM(_xlfn.XLOOKUP(TEXT(Contract_Edits[[#This Row],[Index]],"0"), baseIdxTxt, baseCost, ""))))))
)</f>
        <v>0</v>
      </c>
      <c r="AH51" s="517" t="str" cm="1">
        <f t="array" ref="AH51">IF(Contract_Edits[[#This Row],[BaseFlag]]=1,
   10*BaseDepthL(TEXT(Contract_Edits[[#This Row],[Index]],"0"),500,editsIdxTxt,editsParentKeyTxt,baseIdxTxt,baseCost)-5,
   ""
)</f>
        <v/>
      </c>
      <c r="AI51" s="517" cm="1">
        <f t="array" ref="AI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51" s="517" t="str">
        <f>IF(Contract_Edits[[#This Row],[Dep]]=0,"Root",
   IF(ISNUMBER(MATCH(Contract_Edits[[#This Row],[Dep]],Contract_Edits[Index],0)),"OK","Missing")
)</f>
        <v>OK</v>
      </c>
      <c r="AK51" s="517" t="str">
        <f>IF(AND(Contract_Edits[[#This Row],[Dep]]&lt;&gt;0,
        ISNUMBER(MATCH(Contract_Edits[[#This Row],[Dep]], Contract_Edits[Index], 0)),
        INDEX(Contract_Edits[Dep], MATCH(Contract_Edits[[#This Row],[Dep]], Contract_Edits[Index], 0))=Contract_Edits[[#This Row],[Index]]),
   "2-cycle","")</f>
        <v/>
      </c>
      <c r="AL51" s="517" cm="1">
        <f t="array" ref="AL51">IF(Contract_Edits[[#This Row],[BaseFlag]]&lt;&gt;1,0,
   IF(TEXT(Contract_Edits[[#This Row],[Dep]],"0")=TEXT(Contract_Edits[[#This Row],[Index]],"0"),
      0,
      MAX(0, SUMPRODUCT(--(Contract_Edits[BaseFlag]=1),
                        --(TEXT(Contract_Edits[Dep],"0")=TEXT(Contract_Edits[[#This Row],[Dep]],"0"))) - 1)
   )
)</f>
        <v>0</v>
      </c>
      <c r="AM51" s="517" t="str" cm="1">
        <f t="array" ref="AM51">IF(Contract_Edits[[#This Row],[BaseFlag]]=1,
   TEXT(Contract_Edits[[#This Row],[Index]],"0"),
   NearestBaseL(TEXT(Contract_Edits[[#This Row],[ParentKey]],"0"),500,editsIdxTxt,editsParentKeyTxt,baseIdxTxt,baseCost)
)</f>
        <v>181</v>
      </c>
      <c r="AN51" s="517" cm="1">
        <f t="array" ref="AN51">1+SUMPRODUCT(
  (Contract_Edits[BaseFlag]=1)*
  (TEXT(Contract_Edits[ParentAnchor],"0")=TEXT(Contract_Edits[[#This Row],[ParentAnchor]],"0"))*
  (VALUE(TEXT(Contract_Edits[Index],"0"))&lt;VALUE(TEXT(Contract_Edits[[#This Row],[Index]],"0")))
)</f>
        <v>1</v>
      </c>
      <c r="AO51" s="35"/>
      <c r="AP51" s="35" t="str">
        <f ca="1">IFERROR(+IF(AP$24=#REF!,Milestone_Marker,IF(AND(AP$24&gt;#REF!,AP$24&lt;#REF!+#REF!),#REF!,"")),"")</f>
        <v/>
      </c>
      <c r="AQ51" s="35" t="str">
        <f ca="1">IFERROR(+IF(AQ$24=#REF!,Milestone_Marker,IF(AND(AQ$24&gt;#REF!,AQ$24&lt;#REF!+#REF!),#REF!,"")),"")</f>
        <v/>
      </c>
      <c r="AR51" s="35" t="str">
        <f ca="1">IFERROR(+IF(AR$24=#REF!,Milestone_Marker,IF(AND(AR$24&gt;#REF!,AR$24&lt;#REF!+#REF!),#REF!,"")),"")</f>
        <v/>
      </c>
      <c r="AS51" s="35" t="str">
        <f ca="1">IFERROR(+IF(AS$24=#REF!,Milestone_Marker,IF(AND(AS$24&gt;#REF!,AS$24&lt;#REF!+#REF!),#REF!,"")),"")</f>
        <v/>
      </c>
      <c r="AT51" s="35" t="str">
        <f ca="1">IFERROR(+IF(AT$24=#REF!,Milestone_Marker,IF(AND(AT$24&gt;#REF!,AT$24&lt;#REF!+#REF!),#REF!,"")),"")</f>
        <v/>
      </c>
      <c r="AU51" s="35" t="str">
        <f ca="1">IFERROR(+IF(AU$24=#REF!,Milestone_Marker,IF(AND(AU$24&gt;#REF!,AU$24&lt;#REF!+#REF!),#REF!,"")),"")</f>
        <v/>
      </c>
      <c r="AV51" s="35" t="str">
        <f ca="1">IFERROR(+IF(AV$24=#REF!,Milestone_Marker,IF(AND(AV$24&gt;#REF!,AV$24&lt;#REF!+#REF!),#REF!,"")),"")</f>
        <v/>
      </c>
      <c r="AW51" s="35" t="str">
        <f ca="1">IFERROR(+IF(AW$24=#REF!,Milestone_Marker,IF(AND(AW$24&gt;#REF!,AW$24&lt;#REF!+#REF!),#REF!,"")),"")</f>
        <v/>
      </c>
      <c r="AX51" s="35" t="str">
        <f ca="1">IFERROR(+IF(AX$24=#REF!,Milestone_Marker,IF(AND(AX$24&gt;#REF!,AX$24&lt;#REF!+#REF!),#REF!,"")),"")</f>
        <v/>
      </c>
      <c r="AY51" s="35" t="str">
        <f ca="1">IFERROR(+IF(AY$24=#REF!,Milestone_Marker,IF(AND(AY$24&gt;#REF!,AY$24&lt;#REF!+#REF!),#REF!,"")),"")</f>
        <v/>
      </c>
      <c r="AZ51" s="35" t="str">
        <f ca="1">IFERROR(+IF(AZ$24=#REF!,Milestone_Marker,IF(AND(AZ$24&gt;#REF!,AZ$24&lt;#REF!+#REF!),#REF!,"")),"")</f>
        <v/>
      </c>
      <c r="BA51" s="35" t="str">
        <f ca="1">IFERROR(+IF(BA$24=#REF!,Milestone_Marker,IF(AND(BA$24&gt;#REF!,BA$24&lt;#REF!+#REF!),#REF!,"")),"")</f>
        <v/>
      </c>
      <c r="BB51" s="35" t="str">
        <f ca="1">IFERROR(+IF(BB$24=#REF!,Milestone_Marker,IF(AND(BB$24&gt;#REF!,BB$24&lt;#REF!+#REF!),#REF!,"")),"")</f>
        <v/>
      </c>
      <c r="BC51" s="35" t="str">
        <f ca="1">IFERROR(+IF(BC$24=#REF!,Milestone_Marker,IF(AND(BC$24&gt;#REF!,BC$24&lt;#REF!+#REF!),#REF!,"")),"")</f>
        <v/>
      </c>
      <c r="BD51" s="35" t="str">
        <f ca="1">IFERROR(+IF(BD$24=#REF!,Milestone_Marker,IF(AND(BD$24&gt;#REF!,BD$24&lt;#REF!+#REF!),#REF!,"")),"")</f>
        <v/>
      </c>
      <c r="BE51" s="35" t="str">
        <f ca="1">IFERROR(+IF(BE$24=#REF!,Milestone_Marker,IF(AND(BE$24&gt;#REF!,BE$24&lt;#REF!+#REF!),#REF!,"")),"")</f>
        <v/>
      </c>
      <c r="BF51" s="35" t="str">
        <f ca="1">IFERROR(+IF(BF$24=#REF!,Milestone_Marker,IF(AND(BF$24&gt;#REF!,BF$24&lt;#REF!+#REF!),#REF!,"")),"")</f>
        <v/>
      </c>
      <c r="BG51" s="35" t="str">
        <f ca="1">IFERROR(+IF(BG$24=#REF!,Milestone_Marker,IF(AND(BG$24&gt;#REF!,BG$24&lt;#REF!+#REF!),#REF!,"")),"")</f>
        <v/>
      </c>
      <c r="BH51" s="35" t="str">
        <f ca="1">IFERROR(+IF(BH$24=#REF!,Milestone_Marker,IF(AND(BH$24&gt;#REF!,BH$24&lt;#REF!+#REF!),#REF!,"")),"")</f>
        <v/>
      </c>
      <c r="BI51" s="35" t="str">
        <f ca="1">IFERROR(+IF(BI$24=#REF!,Milestone_Marker,IF(AND(BI$24&gt;#REF!,BI$24&lt;#REF!+#REF!),#REF!,"")),"")</f>
        <v/>
      </c>
      <c r="BJ51" s="35" t="str">
        <f ca="1">IFERROR(+IF(BJ$24=#REF!,Milestone_Marker,IF(AND(BJ$24&gt;#REF!,BJ$24&lt;#REF!+#REF!),#REF!,"")),"")</f>
        <v/>
      </c>
      <c r="BK51" s="35" t="str">
        <f ca="1">IFERROR(+IF(BK$24=#REF!,Milestone_Marker,IF(AND(BK$24&gt;#REF!,BK$24&lt;#REF!+#REF!),#REF!,"")),"")</f>
        <v/>
      </c>
      <c r="BL51" s="35" t="str">
        <f ca="1">IFERROR(+IF(BL$24=#REF!,Milestone_Marker,IF(AND(BL$24&gt;#REF!,BL$24&lt;#REF!+#REF!),#REF!,"")),"")</f>
        <v/>
      </c>
      <c r="BM51" s="35" t="str">
        <f ca="1">IFERROR(+IF(BM$24=#REF!,Milestone_Marker,IF(AND(BM$24&gt;#REF!,BM$24&lt;#REF!+#REF!),#REF!,"")),"")</f>
        <v/>
      </c>
      <c r="BN51" s="35" t="str">
        <f ca="1">IFERROR(+IF(BN$24=#REF!,Milestone_Marker,IF(AND(BN$24&gt;#REF!,BN$24&lt;#REF!+#REF!),#REF!,"")),"")</f>
        <v/>
      </c>
      <c r="BO51" s="35" t="str">
        <f ca="1">IFERROR(+IF(BO$24=#REF!,Milestone_Marker,IF(AND(BO$24&gt;#REF!,BO$24&lt;#REF!+#REF!),#REF!,"")),"")</f>
        <v/>
      </c>
      <c r="BP51" s="35" t="str">
        <f ca="1">IFERROR(+IF(BP$24=#REF!,Milestone_Marker,IF(AND(BP$24&gt;#REF!,BP$24&lt;#REF!+#REF!),#REF!,"")),"")</f>
        <v/>
      </c>
      <c r="BQ51" s="35" t="str">
        <f ca="1">IFERROR(+IF(BQ$24=#REF!,Milestone_Marker,IF(AND(BQ$24&gt;#REF!,BQ$24&lt;#REF!+#REF!),#REF!,"")),"")</f>
        <v/>
      </c>
      <c r="BR51" s="35" t="str">
        <f ca="1">IFERROR(+IF(BR$24=#REF!,Milestone_Marker,IF(AND(BR$24&gt;#REF!,BR$24&lt;#REF!+#REF!),#REF!,"")),"")</f>
        <v/>
      </c>
      <c r="BS51" s="35" t="str">
        <f ca="1">IFERROR(+IF(BS$24=#REF!,Milestone_Marker,IF(AND(BS$24&gt;#REF!,BS$24&lt;#REF!+#REF!),#REF!,"")),"")</f>
        <v/>
      </c>
      <c r="BT51" s="35" t="str">
        <f ca="1">IFERROR(+IF(BT$24=#REF!,Milestone_Marker,IF(AND(BT$24&gt;#REF!,BT$24&lt;#REF!+#REF!),#REF!,"")),"")</f>
        <v/>
      </c>
      <c r="BU51" s="35" t="str">
        <f ca="1">IFERROR(+IF(BU$24=#REF!,Milestone_Marker,IF(AND(BU$24&gt;#REF!,BU$24&lt;#REF!+#REF!),#REF!,"")),"")</f>
        <v/>
      </c>
      <c r="BV51" s="35" t="str">
        <f ca="1">IFERROR(+IF(BV$24=#REF!,Milestone_Marker,IF(AND(BV$24&gt;#REF!,BV$24&lt;#REF!+#REF!),#REF!,"")),"")</f>
        <v/>
      </c>
      <c r="BW51" s="35" t="str">
        <f ca="1">IFERROR(+IF(BW$24=#REF!,Milestone_Marker,IF(AND(BW$24&gt;#REF!,BW$24&lt;#REF!+#REF!),#REF!,"")),"")</f>
        <v/>
      </c>
      <c r="BX51" s="35" t="str">
        <f ca="1">IFERROR(+IF(BX$24=#REF!,Milestone_Marker,IF(AND(BX$24&gt;#REF!,BX$24&lt;#REF!+#REF!),#REF!,"")),"")</f>
        <v/>
      </c>
      <c r="BY51" s="35" t="str">
        <f ca="1">IFERROR(+IF(BY$24=#REF!,Milestone_Marker,IF(AND(BY$24&gt;#REF!,BY$24&lt;#REF!+#REF!),#REF!,"")),"")</f>
        <v/>
      </c>
      <c r="BZ51" s="35" t="str">
        <f ca="1">IFERROR(+IF(BZ$24=#REF!,Milestone_Marker,IF(AND(BZ$24&gt;#REF!,BZ$24&lt;#REF!+#REF!),#REF!,"")),"")</f>
        <v/>
      </c>
      <c r="CA51" s="35" t="str">
        <f ca="1">IFERROR(+IF(CA$24=#REF!,Milestone_Marker,IF(AND(CA$24&gt;#REF!,CA$24&lt;#REF!+#REF!),#REF!,"")),"")</f>
        <v/>
      </c>
      <c r="CB51" s="35" t="str">
        <f ca="1">IFERROR(+IF(CB$24=#REF!,Milestone_Marker,IF(AND(CB$24&gt;#REF!,CB$24&lt;#REF!+#REF!),#REF!,"")),"")</f>
        <v/>
      </c>
      <c r="CC51" s="35" t="str">
        <f ca="1">IFERROR(+IF(CC$24=#REF!,Milestone_Marker,IF(AND(CC$24&gt;#REF!,CC$24&lt;#REF!+#REF!),#REF!,"")),"")</f>
        <v/>
      </c>
      <c r="CD51" s="35" t="str">
        <f ca="1">IFERROR(+IF(CD$24=#REF!,Milestone_Marker,IF(AND(CD$24&gt;#REF!,CD$24&lt;#REF!+#REF!),#REF!,"")),"")</f>
        <v/>
      </c>
      <c r="CE51" s="35" t="str">
        <f ca="1">IFERROR(+IF(CE$24=#REF!,Milestone_Marker,IF(AND(CE$24&gt;#REF!,CE$24&lt;#REF!+#REF!),#REF!,"")),"")</f>
        <v/>
      </c>
      <c r="CF51" s="35" t="str">
        <f ca="1">IFERROR(+IF(CF$24=#REF!,Milestone_Marker,IF(AND(CF$24&gt;#REF!,CF$24&lt;#REF!+#REF!),#REF!,"")),"")</f>
        <v/>
      </c>
      <c r="CG51" s="35" t="str">
        <f ca="1">IFERROR(+IF(CG$24=#REF!,Milestone_Marker,IF(AND(CG$24&gt;#REF!,CG$24&lt;#REF!+#REF!),#REF!,"")),"")</f>
        <v/>
      </c>
      <c r="CH51" s="35" t="str">
        <f ca="1">IFERROR(+IF(CH$24=#REF!,Milestone_Marker,IF(AND(CH$24&gt;#REF!,CH$24&lt;#REF!+#REF!),#REF!,"")),"")</f>
        <v/>
      </c>
      <c r="CI51" s="35" t="str">
        <f ca="1">IFERROR(+IF(CI$24=#REF!,Milestone_Marker,IF(AND(CI$24&gt;#REF!,CI$24&lt;#REF!+#REF!),#REF!,"")),"")</f>
        <v/>
      </c>
      <c r="CJ51" s="35" t="str">
        <f ca="1">IFERROR(+IF(CJ$24=#REF!,Milestone_Marker,IF(AND(CJ$24&gt;#REF!,CJ$24&lt;#REF!+#REF!),#REF!,"")),"")</f>
        <v/>
      </c>
      <c r="CK51" s="35" t="str">
        <f ca="1">IFERROR(+IF(CK$24=#REF!,Milestone_Marker,IF(AND(CK$24&gt;#REF!,CK$24&lt;#REF!+#REF!),#REF!,"")),"")</f>
        <v/>
      </c>
      <c r="CL51" s="35" t="str">
        <f ca="1">IFERROR(+IF(CL$24=#REF!,Milestone_Marker,IF(AND(CL$24&gt;#REF!,CL$24&lt;#REF!+#REF!),#REF!,"")),"")</f>
        <v/>
      </c>
      <c r="CM51" s="35" t="str">
        <f ca="1">IFERROR(+IF(CM$24=#REF!,Milestone_Marker,IF(AND(CM$24&gt;#REF!,CM$24&lt;#REF!+#REF!),#REF!,"")),"")</f>
        <v/>
      </c>
      <c r="CN51" s="35" t="str">
        <f ca="1">IFERROR(+IF(CN$24=#REF!,Milestone_Marker,IF(AND(CN$24&gt;#REF!,CN$24&lt;#REF!+#REF!),#REF!,"")),"")</f>
        <v/>
      </c>
      <c r="CO51" s="35" t="str">
        <f ca="1">IFERROR(+IF(CO$24=#REF!,Milestone_Marker,IF(AND(CO$24&gt;#REF!,CO$24&lt;#REF!+#REF!),#REF!,"")),"")</f>
        <v/>
      </c>
      <c r="CP51" s="35" t="str">
        <f ca="1">IFERROR(+IF(CP$24=#REF!,Milestone_Marker,IF(AND(CP$24&gt;#REF!,CP$24&lt;#REF!+#REF!),#REF!,"")),"")</f>
        <v/>
      </c>
      <c r="CQ51" s="35" t="str">
        <f ca="1">IFERROR(+IF(CQ$24=#REF!,Milestone_Marker,IF(AND(CQ$24&gt;#REF!,CQ$24&lt;#REF!+#REF!),#REF!,"")),"")</f>
        <v/>
      </c>
      <c r="CR51" s="35" t="str">
        <f ca="1">IFERROR(+IF(CR$24=#REF!,Milestone_Marker,IF(AND(CR$24&gt;#REF!,CR$24&lt;#REF!+#REF!),#REF!,"")),"")</f>
        <v/>
      </c>
      <c r="CS51" s="35" t="str">
        <f ca="1">IFERROR(+IF(CS$24=#REF!,Milestone_Marker,IF(AND(CS$24&gt;#REF!,CS$24&lt;#REF!+#REF!),#REF!,"")),"")</f>
        <v/>
      </c>
      <c r="CT51" s="35" t="str">
        <f ca="1">IFERROR(+IF(CT$24=#REF!,Milestone_Marker,IF(AND(CT$24&gt;#REF!,CT$24&lt;#REF!+#REF!),#REF!,"")),"")</f>
        <v/>
      </c>
      <c r="CU51" s="35" t="str">
        <f ca="1">IFERROR(+IF(CU$24=#REF!,Milestone_Marker,IF(AND(CU$24&gt;#REF!,CU$24&lt;#REF!+#REF!),#REF!,"")),"")</f>
        <v/>
      </c>
      <c r="CV51" s="35" t="str">
        <f ca="1">IFERROR(+IF(CV$24=#REF!,Milestone_Marker,IF(AND(CV$24&gt;#REF!,CV$24&lt;#REF!+#REF!),#REF!,"")),"")</f>
        <v/>
      </c>
      <c r="CW51" s="35" t="str">
        <f ca="1">IFERROR(+IF(CW$24=#REF!,Milestone_Marker,IF(AND(CW$24&gt;#REF!,CW$24&lt;#REF!+#REF!),#REF!,"")),"")</f>
        <v/>
      </c>
      <c r="CX51" s="35" t="str">
        <f ca="1">IFERROR(+IF(CX$24=#REF!,Milestone_Marker,IF(AND(CX$24&gt;#REF!,CX$24&lt;#REF!+#REF!),#REF!,"")),"")</f>
        <v/>
      </c>
      <c r="CY51" s="35" t="str">
        <f ca="1">IFERROR(+IF(CY$24=#REF!,Milestone_Marker,IF(AND(CY$24&gt;#REF!,CY$24&lt;#REF!+#REF!),#REF!,"")),"")</f>
        <v/>
      </c>
      <c r="CZ51" s="35" t="str">
        <f ca="1">IFERROR(+IF(CZ$24=#REF!,Milestone_Marker,IF(AND(CZ$24&gt;#REF!,CZ$24&lt;#REF!+#REF!),#REF!,"")),"")</f>
        <v/>
      </c>
      <c r="DA51" s="35" t="str">
        <f ca="1">IFERROR(+IF(DA$24=#REF!,Milestone_Marker,IF(AND(DA$24&gt;#REF!,DA$24&lt;#REF!+#REF!),#REF!,"")),"")</f>
        <v/>
      </c>
      <c r="DB51" s="35" t="str">
        <f ca="1">IFERROR(+IF(DB$24=#REF!,Milestone_Marker,IF(AND(DB$24&gt;#REF!,DB$24&lt;#REF!+#REF!),#REF!,"")),"")</f>
        <v/>
      </c>
      <c r="DC51" s="35" t="str">
        <f ca="1">IFERROR(+IF(DC$24=#REF!,Milestone_Marker,IF(AND(DC$24&gt;#REF!,DC$24&lt;#REF!+#REF!),#REF!,"")),"")</f>
        <v/>
      </c>
      <c r="DD51" s="35" t="str">
        <f ca="1">IFERROR(+IF(DD$24=#REF!,Milestone_Marker,IF(AND(DD$24&gt;#REF!,DD$24&lt;#REF!+#REF!),#REF!,"")),"")</f>
        <v/>
      </c>
      <c r="DE51" s="35" t="str">
        <f ca="1">IFERROR(+IF(DE$24=#REF!,Milestone_Marker,IF(AND(DE$24&gt;#REF!,DE$24&lt;#REF!+#REF!),#REF!,"")),"")</f>
        <v/>
      </c>
      <c r="DF51" s="35"/>
      <c r="DG51" s="35"/>
      <c r="DH51" s="35"/>
      <c r="DI51" s="35"/>
      <c r="DJ51" s="35"/>
      <c r="DK51" s="35"/>
      <c r="DL51" s="35"/>
      <c r="DM51" s="35"/>
      <c r="DN51" s="35"/>
      <c r="DO51" s="35"/>
      <c r="DP51" s="35"/>
      <c r="DQ51" s="35"/>
      <c r="DR51" s="35"/>
      <c r="DS51" s="35"/>
      <c r="DT51" s="35"/>
      <c r="DU51" s="35"/>
      <c r="DV51" s="35"/>
      <c r="DW51" s="35"/>
      <c r="DX51" s="35"/>
      <c r="DY51" s="35"/>
      <c r="DZ51" s="35"/>
      <c r="EA51" s="35"/>
      <c r="EB51" s="35"/>
      <c r="EC51" s="35"/>
      <c r="ED51" s="35"/>
      <c r="EE51" s="35"/>
    </row>
    <row r="52" spans="1:135" s="40" customFormat="1" ht="45">
      <c r="A52" t="s">
        <v>519</v>
      </c>
      <c r="B52" t="s">
        <v>555</v>
      </c>
      <c r="C52" t="s">
        <v>550</v>
      </c>
      <c r="D52" s="458" t="s">
        <v>566</v>
      </c>
      <c r="E52" s="458">
        <v>1</v>
      </c>
      <c r="F52">
        <v>10585</v>
      </c>
      <c r="G52">
        <v>10585</v>
      </c>
      <c r="H52">
        <v>181</v>
      </c>
      <c r="I52"/>
      <c r="J52">
        <v>24</v>
      </c>
      <c r="K52" s="107"/>
      <c r="L52" s="463">
        <v>24</v>
      </c>
      <c r="M52" s="176">
        <v>2</v>
      </c>
      <c r="N52" s="160">
        <v>0</v>
      </c>
      <c r="O52" s="546" cm="1">
        <f t="array" ref="O5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45978</v>
      </c>
      <c r="P52" s="566" t="s">
        <v>797</v>
      </c>
      <c r="Q52" s="566">
        <v>0</v>
      </c>
      <c r="R52" s="22"/>
      <c r="S52" s="463" cm="1">
        <f t="array" ref="S5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181</v>
      </c>
      <c r="T52">
        <v>1</v>
      </c>
      <c r="U52" s="176">
        <v>4</v>
      </c>
      <c r="V5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45.020400000000002</v>
      </c>
      <c r="W52" s="497"/>
      <c r="X52" s="176" t="s">
        <v>852</v>
      </c>
      <c r="Y52" s="547" t="s">
        <v>867</v>
      </c>
      <c r="Z52" s="160" t="s">
        <v>458</v>
      </c>
      <c r="AA52" s="563">
        <v>101700</v>
      </c>
      <c r="AB52" cm="1">
        <f t="array" ref="AB52">ROW()-ROW(Contract_Edits[#Headers])</f>
        <v>28</v>
      </c>
      <c r="AC52">
        <f>IF(Contract_Edits[[#This Row],[RowPos]]&gt;1, Contract_Edits[[#This Row],[RowPos]]-1, 0)</f>
        <v>27</v>
      </c>
      <c r="AD52" s="35">
        <f>IF(N(Contract_Edits[[#This Row],[Dep]])=0, N(Contract_Edits[[#This Row],[Index]]), N(Contract_Edits[[#This Row],[Dep]]))</f>
        <v>181</v>
      </c>
      <c r="AE52" s="35" cm="1">
        <f t="array" ref="AE52">IF(OR(Contract_Edits[[#This Row],[Dep]]=0, TRIM(Contract_Edits[[#This Row],[Dep]])=""),
   0,
   IFERROR(
      _xlfn.XLOOKUP(1, (Contract_Edits[Dep]=Contract_Edits[[#This Row],[Dep]])*(Contract_Edits[RowPos]&lt;Contract_Edits[[#This Row],[RowPos]]), Contract_Edits[RowPos], , 0, -1),
      0
   )
)</f>
        <v>27</v>
      </c>
      <c r="AF52" s="35">
        <f>IF(OR(Contract_Edits[[#This Row],[Dep]]=0,Contract_Edits[[#This Row],[Dep]]=""),0,
   COUNTIFS(Contract_Edits[Dep],Contract_Edits[[#This Row],[Dep]],Contract_Edits[RowPos],"&lt;="&amp;Contract_Edits[[#This Row],[RowPos]],Contract_Edits[Approve],"Yes")
)</f>
        <v>4</v>
      </c>
      <c r="AG52" s="517">
        <f>--(
  ISNUMBER(SEARCH("BASE PARENT", UPPER(CLEAN(TRIM(_xlfn.XLOOKUP(TEXT(Contract_Edits[[#This Row],[Index]],"0"), baseIdxTxt, baseCost, "")))))) +
  ISNUMBER(SEARCH("DEPENDENCY GROUP", UPPER(CLEAN(TRIM(_xlfn.XLOOKUP(TEXT(Contract_Edits[[#This Row],[Index]],"0"), baseIdxTxt, baseCost, ""))))))
)</f>
        <v>0</v>
      </c>
      <c r="AH52" s="517" t="str" cm="1">
        <f t="array" ref="AH52">IF(Contract_Edits[[#This Row],[BaseFlag]]=1,
   10*BaseDepthL(TEXT(Contract_Edits[[#This Row],[Index]],"0"),500,editsIdxTxt,editsParentKeyTxt,baseIdxTxt,baseCost)-5,
   ""
)</f>
        <v/>
      </c>
      <c r="AI52" s="517" cm="1">
        <f t="array" ref="AI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52" s="517" t="str">
        <f>IF(Contract_Edits[[#This Row],[Dep]]=0,"Root",
   IF(ISNUMBER(MATCH(Contract_Edits[[#This Row],[Dep]],Contract_Edits[Index],0)),"OK","Missing")
)</f>
        <v>OK</v>
      </c>
      <c r="AK52" s="517" t="str">
        <f>IF(AND(Contract_Edits[[#This Row],[Dep]]&lt;&gt;0,
        ISNUMBER(MATCH(Contract_Edits[[#This Row],[Dep]], Contract_Edits[Index], 0)),
        INDEX(Contract_Edits[Dep], MATCH(Contract_Edits[[#This Row],[Dep]], Contract_Edits[Index], 0))=Contract_Edits[[#This Row],[Index]]),
   "2-cycle","")</f>
        <v/>
      </c>
      <c r="AL52" s="517" cm="1">
        <f t="array" ref="AL52">IF(Contract_Edits[[#This Row],[BaseFlag]]&lt;&gt;1,0,
   IF(TEXT(Contract_Edits[[#This Row],[Dep]],"0")=TEXT(Contract_Edits[[#This Row],[Index]],"0"),
      0,
      MAX(0, SUMPRODUCT(--(Contract_Edits[BaseFlag]=1),
                        --(TEXT(Contract_Edits[Dep],"0")=TEXT(Contract_Edits[[#This Row],[Dep]],"0"))) - 1)
   )
)</f>
        <v>0</v>
      </c>
      <c r="AM52" s="517" t="str" cm="1">
        <f t="array" ref="AM52">IF(Contract_Edits[[#This Row],[BaseFlag]]=1,
   TEXT(Contract_Edits[[#This Row],[Index]],"0"),
   NearestBaseL(TEXT(Contract_Edits[[#This Row],[ParentKey]],"0"),500,editsIdxTxt,editsParentKeyTxt,baseIdxTxt,baseCost)
)</f>
        <v>181</v>
      </c>
      <c r="AN52" s="517" cm="1">
        <f t="array" ref="AN52">1+SUMPRODUCT(
  (Contract_Edits[BaseFlag]=1)*
  (TEXT(Contract_Edits[ParentAnchor],"0")=TEXT(Contract_Edits[[#This Row],[ParentAnchor]],"0"))*
  (VALUE(TEXT(Contract_Edits[Index],"0"))&lt;VALUE(TEXT(Contract_Edits[[#This Row],[Index]],"0")))
)</f>
        <v>1</v>
      </c>
      <c r="AO52" s="35"/>
      <c r="AP52" s="35" t="str">
        <f ca="1">IFERROR(+IF(AP$24=#REF!,Milestone_Marker,IF(AND(AP$24&gt;#REF!,AP$24&lt;#REF!+#REF!),#REF!,"")),"")</f>
        <v/>
      </c>
      <c r="AQ52" s="35" t="str">
        <f ca="1">IFERROR(+IF(AQ$24=#REF!,Milestone_Marker,IF(AND(AQ$24&gt;#REF!,AQ$24&lt;#REF!+#REF!),#REF!,"")),"")</f>
        <v/>
      </c>
      <c r="AR52" s="35" t="str">
        <f ca="1">IFERROR(+IF(AR$24=#REF!,Milestone_Marker,IF(AND(AR$24&gt;#REF!,AR$24&lt;#REF!+#REF!),#REF!,"")),"")</f>
        <v/>
      </c>
      <c r="AS52" s="35" t="str">
        <f ca="1">IFERROR(+IF(AS$24=#REF!,Milestone_Marker,IF(AND(AS$24&gt;#REF!,AS$24&lt;#REF!+#REF!),#REF!,"")),"")</f>
        <v/>
      </c>
      <c r="AT52" s="35" t="str">
        <f ca="1">IFERROR(+IF(AT$24=#REF!,Milestone_Marker,IF(AND(AT$24&gt;#REF!,AT$24&lt;#REF!+#REF!),#REF!,"")),"")</f>
        <v/>
      </c>
      <c r="AU52" s="35" t="str">
        <f ca="1">IFERROR(+IF(AU$24=#REF!,Milestone_Marker,IF(AND(AU$24&gt;#REF!,AU$24&lt;#REF!+#REF!),#REF!,"")),"")</f>
        <v/>
      </c>
      <c r="AV52" s="35" t="str">
        <f ca="1">IFERROR(+IF(AV$24=#REF!,Milestone_Marker,IF(AND(AV$24&gt;#REF!,AV$24&lt;#REF!+#REF!),#REF!,"")),"")</f>
        <v/>
      </c>
      <c r="AW52" s="35" t="str">
        <f ca="1">IFERROR(+IF(AW$24=#REF!,Milestone_Marker,IF(AND(AW$24&gt;#REF!,AW$24&lt;#REF!+#REF!),#REF!,"")),"")</f>
        <v/>
      </c>
      <c r="AX52" s="35" t="str">
        <f ca="1">IFERROR(+IF(AX$24=#REF!,Milestone_Marker,IF(AND(AX$24&gt;#REF!,AX$24&lt;#REF!+#REF!),#REF!,"")),"")</f>
        <v/>
      </c>
      <c r="AY52" s="35" t="str">
        <f ca="1">IFERROR(+IF(AY$24=#REF!,Milestone_Marker,IF(AND(AY$24&gt;#REF!,AY$24&lt;#REF!+#REF!),#REF!,"")),"")</f>
        <v/>
      </c>
      <c r="AZ52" s="35" t="str">
        <f ca="1">IFERROR(+IF(AZ$24=#REF!,Milestone_Marker,IF(AND(AZ$24&gt;#REF!,AZ$24&lt;#REF!+#REF!),#REF!,"")),"")</f>
        <v/>
      </c>
      <c r="BA52" s="35" t="str">
        <f ca="1">IFERROR(+IF(BA$24=#REF!,Milestone_Marker,IF(AND(BA$24&gt;#REF!,BA$24&lt;#REF!+#REF!),#REF!,"")),"")</f>
        <v/>
      </c>
      <c r="BB52" s="35" t="str">
        <f ca="1">IFERROR(+IF(BB$24=#REF!,Milestone_Marker,IF(AND(BB$24&gt;#REF!,BB$24&lt;#REF!+#REF!),#REF!,"")),"")</f>
        <v/>
      </c>
      <c r="BC52" s="35" t="str">
        <f ca="1">IFERROR(+IF(BC$24=#REF!,Milestone_Marker,IF(AND(BC$24&gt;#REF!,BC$24&lt;#REF!+#REF!),#REF!,"")),"")</f>
        <v/>
      </c>
      <c r="BD52" s="35" t="str">
        <f ca="1">IFERROR(+IF(BD$24=#REF!,Milestone_Marker,IF(AND(BD$24&gt;#REF!,BD$24&lt;#REF!+#REF!),#REF!,"")),"")</f>
        <v/>
      </c>
      <c r="BE52" s="35" t="str">
        <f ca="1">IFERROR(+IF(BE$24=#REF!,Milestone_Marker,IF(AND(BE$24&gt;#REF!,BE$24&lt;#REF!+#REF!),#REF!,"")),"")</f>
        <v/>
      </c>
      <c r="BF52" s="35" t="str">
        <f ca="1">IFERROR(+IF(BF$24=#REF!,Milestone_Marker,IF(AND(BF$24&gt;#REF!,BF$24&lt;#REF!+#REF!),#REF!,"")),"")</f>
        <v/>
      </c>
      <c r="BG52" s="35" t="str">
        <f ca="1">IFERROR(+IF(BG$24=#REF!,Milestone_Marker,IF(AND(BG$24&gt;#REF!,BG$24&lt;#REF!+#REF!),#REF!,"")),"")</f>
        <v/>
      </c>
      <c r="BH52" s="35" t="str">
        <f ca="1">IFERROR(+IF(BH$24=#REF!,Milestone_Marker,IF(AND(BH$24&gt;#REF!,BH$24&lt;#REF!+#REF!),#REF!,"")),"")</f>
        <v/>
      </c>
      <c r="BI52" s="35" t="str">
        <f ca="1">IFERROR(+IF(BI$24=#REF!,Milestone_Marker,IF(AND(BI$24&gt;#REF!,BI$24&lt;#REF!+#REF!),#REF!,"")),"")</f>
        <v/>
      </c>
      <c r="BJ52" s="35" t="str">
        <f ca="1">IFERROR(+IF(BJ$24=#REF!,Milestone_Marker,IF(AND(BJ$24&gt;#REF!,BJ$24&lt;#REF!+#REF!),#REF!,"")),"")</f>
        <v/>
      </c>
      <c r="BK52" s="35" t="str">
        <f ca="1">IFERROR(+IF(BK$24=#REF!,Milestone_Marker,IF(AND(BK$24&gt;#REF!,BK$24&lt;#REF!+#REF!),#REF!,"")),"")</f>
        <v/>
      </c>
      <c r="BL52" s="35" t="str">
        <f ca="1">IFERROR(+IF(BL$24=#REF!,Milestone_Marker,IF(AND(BL$24&gt;#REF!,BL$24&lt;#REF!+#REF!),#REF!,"")),"")</f>
        <v/>
      </c>
      <c r="BM52" s="35" t="str">
        <f ca="1">IFERROR(+IF(BM$24=#REF!,Milestone_Marker,IF(AND(BM$24&gt;#REF!,BM$24&lt;#REF!+#REF!),#REF!,"")),"")</f>
        <v/>
      </c>
      <c r="BN52" s="35" t="str">
        <f ca="1">IFERROR(+IF(BN$24=#REF!,Milestone_Marker,IF(AND(BN$24&gt;#REF!,BN$24&lt;#REF!+#REF!),#REF!,"")),"")</f>
        <v/>
      </c>
      <c r="BO52" s="35" t="str">
        <f ca="1">IFERROR(+IF(BO$24=#REF!,Milestone_Marker,IF(AND(BO$24&gt;#REF!,BO$24&lt;#REF!+#REF!),#REF!,"")),"")</f>
        <v/>
      </c>
      <c r="BP52" s="35" t="str">
        <f ca="1">IFERROR(+IF(BP$24=#REF!,Milestone_Marker,IF(AND(BP$24&gt;#REF!,BP$24&lt;#REF!+#REF!),#REF!,"")),"")</f>
        <v/>
      </c>
      <c r="BQ52" s="35" t="str">
        <f ca="1">IFERROR(+IF(BQ$24=#REF!,Milestone_Marker,IF(AND(BQ$24&gt;#REF!,BQ$24&lt;#REF!+#REF!),#REF!,"")),"")</f>
        <v/>
      </c>
      <c r="BR52" s="35" t="str">
        <f ca="1">IFERROR(+IF(BR$24=#REF!,Milestone_Marker,IF(AND(BR$24&gt;#REF!,BR$24&lt;#REF!+#REF!),#REF!,"")),"")</f>
        <v/>
      </c>
      <c r="BS52" s="35" t="str">
        <f ca="1">IFERROR(+IF(BS$24=#REF!,Milestone_Marker,IF(AND(BS$24&gt;#REF!,BS$24&lt;#REF!+#REF!),#REF!,"")),"")</f>
        <v/>
      </c>
      <c r="BT52" s="35" t="str">
        <f ca="1">IFERROR(+IF(BT$24=#REF!,Milestone_Marker,IF(AND(BT$24&gt;#REF!,BT$24&lt;#REF!+#REF!),#REF!,"")),"")</f>
        <v/>
      </c>
      <c r="BU52" s="35" t="str">
        <f ca="1">IFERROR(+IF(BU$24=#REF!,Milestone_Marker,IF(AND(BU$24&gt;#REF!,BU$24&lt;#REF!+#REF!),#REF!,"")),"")</f>
        <v/>
      </c>
      <c r="BV52" s="35" t="str">
        <f ca="1">IFERROR(+IF(BV$24=#REF!,Milestone_Marker,IF(AND(BV$24&gt;#REF!,BV$24&lt;#REF!+#REF!),#REF!,"")),"")</f>
        <v/>
      </c>
      <c r="BW52" s="35" t="str">
        <f ca="1">IFERROR(+IF(BW$24=#REF!,Milestone_Marker,IF(AND(BW$24&gt;#REF!,BW$24&lt;#REF!+#REF!),#REF!,"")),"")</f>
        <v/>
      </c>
      <c r="BX52" s="35" t="str">
        <f ca="1">IFERROR(+IF(BX$24=#REF!,Milestone_Marker,IF(AND(BX$24&gt;#REF!,BX$24&lt;#REF!+#REF!),#REF!,"")),"")</f>
        <v/>
      </c>
      <c r="BY52" s="35" t="str">
        <f ca="1">IFERROR(+IF(BY$24=#REF!,Milestone_Marker,IF(AND(BY$24&gt;#REF!,BY$24&lt;#REF!+#REF!),#REF!,"")),"")</f>
        <v/>
      </c>
      <c r="BZ52" s="35" t="str">
        <f ca="1">IFERROR(+IF(BZ$24=#REF!,Milestone_Marker,IF(AND(BZ$24&gt;#REF!,BZ$24&lt;#REF!+#REF!),#REF!,"")),"")</f>
        <v/>
      </c>
      <c r="CA52" s="35" t="str">
        <f ca="1">IFERROR(+IF(CA$24=#REF!,Milestone_Marker,IF(AND(CA$24&gt;#REF!,CA$24&lt;#REF!+#REF!),#REF!,"")),"")</f>
        <v/>
      </c>
      <c r="CB52" s="35" t="str">
        <f ca="1">IFERROR(+IF(CB$24=#REF!,Milestone_Marker,IF(AND(CB$24&gt;#REF!,CB$24&lt;#REF!+#REF!),#REF!,"")),"")</f>
        <v/>
      </c>
      <c r="CC52" s="35" t="str">
        <f ca="1">IFERROR(+IF(CC$24=#REF!,Milestone_Marker,IF(AND(CC$24&gt;#REF!,CC$24&lt;#REF!+#REF!),#REF!,"")),"")</f>
        <v/>
      </c>
      <c r="CD52" s="35" t="str">
        <f ca="1">IFERROR(+IF(CD$24=#REF!,Milestone_Marker,IF(AND(CD$24&gt;#REF!,CD$24&lt;#REF!+#REF!),#REF!,"")),"")</f>
        <v/>
      </c>
      <c r="CE52" s="35" t="str">
        <f ca="1">IFERROR(+IF(CE$24=#REF!,Milestone_Marker,IF(AND(CE$24&gt;#REF!,CE$24&lt;#REF!+#REF!),#REF!,"")),"")</f>
        <v/>
      </c>
      <c r="CF52" s="35" t="str">
        <f ca="1">IFERROR(+IF(CF$24=#REF!,Milestone_Marker,IF(AND(CF$24&gt;#REF!,CF$24&lt;#REF!+#REF!),#REF!,"")),"")</f>
        <v/>
      </c>
      <c r="CG52" s="35" t="str">
        <f ca="1">IFERROR(+IF(CG$24=#REF!,Milestone_Marker,IF(AND(CG$24&gt;#REF!,CG$24&lt;#REF!+#REF!),#REF!,"")),"")</f>
        <v/>
      </c>
      <c r="CH52" s="35" t="str">
        <f ca="1">IFERROR(+IF(CH$24=#REF!,Milestone_Marker,IF(AND(CH$24&gt;#REF!,CH$24&lt;#REF!+#REF!),#REF!,"")),"")</f>
        <v/>
      </c>
      <c r="CI52" s="35" t="str">
        <f ca="1">IFERROR(+IF(CI$24=#REF!,Milestone_Marker,IF(AND(CI$24&gt;#REF!,CI$24&lt;#REF!+#REF!),#REF!,"")),"")</f>
        <v/>
      </c>
      <c r="CJ52" s="35" t="str">
        <f ca="1">IFERROR(+IF(CJ$24=#REF!,Milestone_Marker,IF(AND(CJ$24&gt;#REF!,CJ$24&lt;#REF!+#REF!),#REF!,"")),"")</f>
        <v/>
      </c>
      <c r="CK52" s="35" t="str">
        <f ca="1">IFERROR(+IF(CK$24=#REF!,Milestone_Marker,IF(AND(CK$24&gt;#REF!,CK$24&lt;#REF!+#REF!),#REF!,"")),"")</f>
        <v/>
      </c>
      <c r="CL52" s="35" t="str">
        <f ca="1">IFERROR(+IF(CL$24=#REF!,Milestone_Marker,IF(AND(CL$24&gt;#REF!,CL$24&lt;#REF!+#REF!),#REF!,"")),"")</f>
        <v/>
      </c>
      <c r="CM52" s="35" t="str">
        <f ca="1">IFERROR(+IF(CM$24=#REF!,Milestone_Marker,IF(AND(CM$24&gt;#REF!,CM$24&lt;#REF!+#REF!),#REF!,"")),"")</f>
        <v/>
      </c>
      <c r="CN52" s="35" t="str">
        <f ca="1">IFERROR(+IF(CN$24=#REF!,Milestone_Marker,IF(AND(CN$24&gt;#REF!,CN$24&lt;#REF!+#REF!),#REF!,"")),"")</f>
        <v/>
      </c>
      <c r="CO52" s="35" t="str">
        <f ca="1">IFERROR(+IF(CO$24=#REF!,Milestone_Marker,IF(AND(CO$24&gt;#REF!,CO$24&lt;#REF!+#REF!),#REF!,"")),"")</f>
        <v/>
      </c>
      <c r="CP52" s="35" t="str">
        <f ca="1">IFERROR(+IF(CP$24=#REF!,Milestone_Marker,IF(AND(CP$24&gt;#REF!,CP$24&lt;#REF!+#REF!),#REF!,"")),"")</f>
        <v/>
      </c>
      <c r="CQ52" s="35" t="str">
        <f ca="1">IFERROR(+IF(CQ$24=#REF!,Milestone_Marker,IF(AND(CQ$24&gt;#REF!,CQ$24&lt;#REF!+#REF!),#REF!,"")),"")</f>
        <v/>
      </c>
      <c r="CR52" s="35" t="str">
        <f ca="1">IFERROR(+IF(CR$24=#REF!,Milestone_Marker,IF(AND(CR$24&gt;#REF!,CR$24&lt;#REF!+#REF!),#REF!,"")),"")</f>
        <v/>
      </c>
      <c r="CS52" s="35" t="str">
        <f ca="1">IFERROR(+IF(CS$24=#REF!,Milestone_Marker,IF(AND(CS$24&gt;#REF!,CS$24&lt;#REF!+#REF!),#REF!,"")),"")</f>
        <v/>
      </c>
      <c r="CT52" s="35" t="str">
        <f ca="1">IFERROR(+IF(CT$24=#REF!,Milestone_Marker,IF(AND(CT$24&gt;#REF!,CT$24&lt;#REF!+#REF!),#REF!,"")),"")</f>
        <v/>
      </c>
      <c r="CU52" s="35" t="str">
        <f ca="1">IFERROR(+IF(CU$24=#REF!,Milestone_Marker,IF(AND(CU$24&gt;#REF!,CU$24&lt;#REF!+#REF!),#REF!,"")),"")</f>
        <v/>
      </c>
      <c r="CV52" s="35" t="str">
        <f ca="1">IFERROR(+IF(CV$24=#REF!,Milestone_Marker,IF(AND(CV$24&gt;#REF!,CV$24&lt;#REF!+#REF!),#REF!,"")),"")</f>
        <v/>
      </c>
      <c r="CW52" s="35" t="str">
        <f ca="1">IFERROR(+IF(CW$24=#REF!,Milestone_Marker,IF(AND(CW$24&gt;#REF!,CW$24&lt;#REF!+#REF!),#REF!,"")),"")</f>
        <v/>
      </c>
      <c r="CX52" s="35" t="str">
        <f ca="1">IFERROR(+IF(CX$24=#REF!,Milestone_Marker,IF(AND(CX$24&gt;#REF!,CX$24&lt;#REF!+#REF!),#REF!,"")),"")</f>
        <v/>
      </c>
      <c r="CY52" s="35" t="str">
        <f ca="1">IFERROR(+IF(CY$24=#REF!,Milestone_Marker,IF(AND(CY$24&gt;#REF!,CY$24&lt;#REF!+#REF!),#REF!,"")),"")</f>
        <v/>
      </c>
      <c r="CZ52" s="35" t="str">
        <f ca="1">IFERROR(+IF(CZ$24=#REF!,Milestone_Marker,IF(AND(CZ$24&gt;#REF!,CZ$24&lt;#REF!+#REF!),#REF!,"")),"")</f>
        <v/>
      </c>
      <c r="DA52" s="35" t="str">
        <f ca="1">IFERROR(+IF(DA$24=#REF!,Milestone_Marker,IF(AND(DA$24&gt;#REF!,DA$24&lt;#REF!+#REF!),#REF!,"")),"")</f>
        <v/>
      </c>
      <c r="DB52" s="35" t="str">
        <f ca="1">IFERROR(+IF(DB$24=#REF!,Milestone_Marker,IF(AND(DB$24&gt;#REF!,DB$24&lt;#REF!+#REF!),#REF!,"")),"")</f>
        <v/>
      </c>
      <c r="DC52" s="35" t="str">
        <f ca="1">IFERROR(+IF(DC$24=#REF!,Milestone_Marker,IF(AND(DC$24&gt;#REF!,DC$24&lt;#REF!+#REF!),#REF!,"")),"")</f>
        <v/>
      </c>
      <c r="DD52" s="35" t="str">
        <f ca="1">IFERROR(+IF(DD$24=#REF!,Milestone_Marker,IF(AND(DD$24&gt;#REF!,DD$24&lt;#REF!+#REF!),#REF!,"")),"")</f>
        <v/>
      </c>
      <c r="DE52" s="35" t="str">
        <f ca="1">IFERROR(+IF(DE$24=#REF!,Milestone_Marker,IF(AND(DE$24&gt;#REF!,DE$24&lt;#REF!+#REF!),#REF!,"")),"")</f>
        <v/>
      </c>
      <c r="DF52" s="35"/>
      <c r="DG52" s="35"/>
      <c r="DH52" s="35"/>
      <c r="DI52" s="35"/>
      <c r="DJ52" s="35"/>
      <c r="DK52" s="35"/>
      <c r="DL52" s="35"/>
      <c r="DM52" s="35"/>
      <c r="DN52" s="35"/>
      <c r="DO52" s="35"/>
      <c r="DP52" s="35"/>
      <c r="DQ52" s="35"/>
      <c r="DR52" s="35"/>
      <c r="DS52" s="35"/>
      <c r="DT52" s="35"/>
      <c r="DU52" s="35"/>
      <c r="DV52" s="35"/>
      <c r="DW52" s="35"/>
      <c r="DX52" s="35"/>
      <c r="DY52" s="35"/>
      <c r="DZ52" s="35"/>
      <c r="EA52" s="35"/>
      <c r="EB52" s="35"/>
      <c r="EC52" s="35"/>
      <c r="ED52" s="35"/>
      <c r="EE52" s="35"/>
    </row>
    <row r="53" spans="1:135" s="40" customFormat="1" ht="15">
      <c r="A53" t="s">
        <v>747</v>
      </c>
      <c r="B53" t="s">
        <v>744</v>
      </c>
      <c r="C53" t="s">
        <v>665</v>
      </c>
      <c r="D53" s="458" t="s">
        <v>755</v>
      </c>
      <c r="E53" s="458">
        <v>0</v>
      </c>
      <c r="F53"/>
      <c r="G53"/>
      <c r="H53">
        <v>154</v>
      </c>
      <c r="I53"/>
      <c r="J53">
        <v>156</v>
      </c>
      <c r="K53" s="107"/>
      <c r="L53" s="518">
        <v>156</v>
      </c>
      <c r="M53" s="490"/>
      <c r="N53" s="160">
        <v>0</v>
      </c>
      <c r="O53" s="546" cm="1">
        <f t="array" ref="O5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45972</v>
      </c>
      <c r="P53" s="567"/>
      <c r="Q53" s="567"/>
      <c r="R53" s="499"/>
      <c r="S53" s="463" cm="1">
        <f t="array" ref="S5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154</v>
      </c>
      <c r="T53" s="34"/>
      <c r="U53" s="490"/>
      <c r="V5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55.01</v>
      </c>
      <c r="W53" s="557"/>
      <c r="X53" s="545"/>
      <c r="Y53" s="548"/>
      <c r="Z53" s="535" t="s">
        <v>458</v>
      </c>
      <c r="AA53" s="544"/>
      <c r="AB53" cm="1">
        <f t="array" ref="AB53">ROW()-ROW(Contract_Edits[#Headers])</f>
        <v>29</v>
      </c>
      <c r="AC53">
        <f>IF(Contract_Edits[[#This Row],[RowPos]]&gt;1, Contract_Edits[[#This Row],[RowPos]]-1, 0)</f>
        <v>28</v>
      </c>
      <c r="AD53" s="35">
        <f>IF(N(Contract_Edits[[#This Row],[Dep]])=0, N(Contract_Edits[[#This Row],[Index]]), N(Contract_Edits[[#This Row],[Dep]]))</f>
        <v>154</v>
      </c>
      <c r="AE53" s="35" cm="1">
        <f t="array" ref="AE53">IF(OR(Contract_Edits[[#This Row],[Dep]]=0, TRIM(Contract_Edits[[#This Row],[Dep]])=""),
   0,
   IFERROR(
      _xlfn.XLOOKUP(1, (Contract_Edits[Dep]=Contract_Edits[[#This Row],[Dep]])*(Contract_Edits[RowPos]&lt;Contract_Edits[[#This Row],[RowPos]]), Contract_Edits[RowPos], , 0, -1),
      0
   )
)</f>
        <v>23</v>
      </c>
      <c r="AF53" s="35">
        <f>IF(OR(Contract_Edits[[#This Row],[Dep]]=0,Contract_Edits[[#This Row],[Dep]]=""),0,
   COUNTIFS(Contract_Edits[Dep],Contract_Edits[[#This Row],[Dep]],Contract_Edits[RowPos],"&lt;="&amp;Contract_Edits[[#This Row],[RowPos]],Contract_Edits[Approve],"Yes")
)</f>
        <v>4</v>
      </c>
      <c r="AG53" s="517">
        <f>--(
  ISNUMBER(SEARCH("BASE PARENT", UPPER(CLEAN(TRIM(_xlfn.XLOOKUP(TEXT(Contract_Edits[[#This Row],[Index]],"0"), baseIdxTxt, baseCost, "")))))) +
  ISNUMBER(SEARCH("DEPENDENCY GROUP", UPPER(CLEAN(TRIM(_xlfn.XLOOKUP(TEXT(Contract_Edits[[#This Row],[Index]],"0"), baseIdxTxt, baseCost, ""))))))
)</f>
        <v>1</v>
      </c>
      <c r="AH53" s="517" cm="1">
        <f t="array" ref="AH53">IF(Contract_Edits[[#This Row],[BaseFlag]]=1,
   10*BaseDepthL(TEXT(Contract_Edits[[#This Row],[Index]],"0"),500,editsIdxTxt,editsParentKeyTxt,baseIdxTxt,baseCost)-5,
   ""
)</f>
        <v>55</v>
      </c>
      <c r="AI53" s="517" cm="1">
        <f t="array" ref="AI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53" s="517" t="str">
        <f>IF(Contract_Edits[[#This Row],[Dep]]=0,"Root",
   IF(ISNUMBER(MATCH(Contract_Edits[[#This Row],[Dep]],Contract_Edits[Index],0)),"OK","Missing")
)</f>
        <v>OK</v>
      </c>
      <c r="AK53" s="517" t="str">
        <f>IF(AND(Contract_Edits[[#This Row],[Dep]]&lt;&gt;0,
        ISNUMBER(MATCH(Contract_Edits[[#This Row],[Dep]], Contract_Edits[Index], 0)),
        INDEX(Contract_Edits[Dep], MATCH(Contract_Edits[[#This Row],[Dep]], Contract_Edits[Index], 0))=Contract_Edits[[#This Row],[Index]]),
   "2-cycle","")</f>
        <v/>
      </c>
      <c r="AL53" s="517" cm="1">
        <f t="array" ref="AL53">IF(Contract_Edits[[#This Row],[BaseFlag]]&lt;&gt;1,0,
   IF(TEXT(Contract_Edits[[#This Row],[Dep]],"0")=TEXT(Contract_Edits[[#This Row],[Index]],"0"),
      0,
      MAX(0, SUMPRODUCT(--(Contract_Edits[BaseFlag]=1),
                        --(TEXT(Contract_Edits[Dep],"0")=TEXT(Contract_Edits[[#This Row],[Dep]],"0"))) - 1)
   )
)</f>
        <v>0</v>
      </c>
      <c r="AM53" s="517" t="str" cm="1">
        <f t="array" ref="AM53">IF(Contract_Edits[[#This Row],[BaseFlag]]=1,
   TEXT(Contract_Edits[[#This Row],[Index]],"0"),
   NearestBaseL(TEXT(Contract_Edits[[#This Row],[ParentKey]],"0"),500,editsIdxTxt,editsParentKeyTxt,baseIdxTxt,baseCost)
)</f>
        <v>156</v>
      </c>
      <c r="AN53" s="517" cm="1">
        <f t="array" ref="AN53">1+SUMPRODUCT(
  (Contract_Edits[BaseFlag]=1)*
  (TEXT(Contract_Edits[ParentAnchor],"0")=TEXT(Contract_Edits[[#This Row],[ParentAnchor]],"0"))*
  (VALUE(TEXT(Contract_Edits[Index],"0"))&lt;VALUE(TEXT(Contract_Edits[[#This Row],[Index]],"0")))
)</f>
        <v>1</v>
      </c>
      <c r="AO53" s="35"/>
      <c r="AP53" s="35" t="str">
        <f ca="1">IFERROR(+IF(AP$24=#REF!,Milestone_Marker,IF(AND(AP$24&gt;#REF!,AP$24&lt;#REF!+#REF!),#REF!,"")),"")</f>
        <v/>
      </c>
      <c r="AQ53" s="35" t="str">
        <f ca="1">IFERROR(+IF(AQ$24=#REF!,Milestone_Marker,IF(AND(AQ$24&gt;#REF!,AQ$24&lt;#REF!+#REF!),#REF!,"")),"")</f>
        <v/>
      </c>
      <c r="AR53" s="35" t="str">
        <f ca="1">IFERROR(+IF(AR$24=#REF!,Milestone_Marker,IF(AND(AR$24&gt;#REF!,AR$24&lt;#REF!+#REF!),#REF!,"")),"")</f>
        <v/>
      </c>
      <c r="AS53" s="35" t="str">
        <f ca="1">IFERROR(+IF(AS$24=#REF!,Milestone_Marker,IF(AND(AS$24&gt;#REF!,AS$24&lt;#REF!+#REF!),#REF!,"")),"")</f>
        <v/>
      </c>
      <c r="AT53" s="35" t="str">
        <f ca="1">IFERROR(+IF(AT$24=#REF!,Milestone_Marker,IF(AND(AT$24&gt;#REF!,AT$24&lt;#REF!+#REF!),#REF!,"")),"")</f>
        <v/>
      </c>
      <c r="AU53" s="35" t="str">
        <f ca="1">IFERROR(+IF(AU$24=#REF!,Milestone_Marker,IF(AND(AU$24&gt;#REF!,AU$24&lt;#REF!+#REF!),#REF!,"")),"")</f>
        <v/>
      </c>
      <c r="AV53" s="35" t="str">
        <f ca="1">IFERROR(+IF(AV$24=#REF!,Milestone_Marker,IF(AND(AV$24&gt;#REF!,AV$24&lt;#REF!+#REF!),#REF!,"")),"")</f>
        <v/>
      </c>
      <c r="AW53" s="35" t="str">
        <f ca="1">IFERROR(+IF(AW$24=#REF!,Milestone_Marker,IF(AND(AW$24&gt;#REF!,AW$24&lt;#REF!+#REF!),#REF!,"")),"")</f>
        <v/>
      </c>
      <c r="AX53" s="35" t="str">
        <f ca="1">IFERROR(+IF(AX$24=#REF!,Milestone_Marker,IF(AND(AX$24&gt;#REF!,AX$24&lt;#REF!+#REF!),#REF!,"")),"")</f>
        <v/>
      </c>
      <c r="AY53" s="35" t="str">
        <f ca="1">IFERROR(+IF(AY$24=#REF!,Milestone_Marker,IF(AND(AY$24&gt;#REF!,AY$24&lt;#REF!+#REF!),#REF!,"")),"")</f>
        <v/>
      </c>
      <c r="AZ53" s="35" t="str">
        <f ca="1">IFERROR(+IF(AZ$24=#REF!,Milestone_Marker,IF(AND(AZ$24&gt;#REF!,AZ$24&lt;#REF!+#REF!),#REF!,"")),"")</f>
        <v/>
      </c>
      <c r="BA53" s="35" t="str">
        <f ca="1">IFERROR(+IF(BA$24=#REF!,Milestone_Marker,IF(AND(BA$24&gt;#REF!,BA$24&lt;#REF!+#REF!),#REF!,"")),"")</f>
        <v/>
      </c>
      <c r="BB53" s="35" t="str">
        <f ca="1">IFERROR(+IF(BB$24=#REF!,Milestone_Marker,IF(AND(BB$24&gt;#REF!,BB$24&lt;#REF!+#REF!),#REF!,"")),"")</f>
        <v/>
      </c>
      <c r="BC53" s="35" t="str">
        <f ca="1">IFERROR(+IF(BC$24=#REF!,Milestone_Marker,IF(AND(BC$24&gt;#REF!,BC$24&lt;#REF!+#REF!),#REF!,"")),"")</f>
        <v/>
      </c>
      <c r="BD53" s="35" t="str">
        <f ca="1">IFERROR(+IF(BD$24=#REF!,Milestone_Marker,IF(AND(BD$24&gt;#REF!,BD$24&lt;#REF!+#REF!),#REF!,"")),"")</f>
        <v/>
      </c>
      <c r="BE53" s="35" t="str">
        <f ca="1">IFERROR(+IF(BE$24=#REF!,Milestone_Marker,IF(AND(BE$24&gt;#REF!,BE$24&lt;#REF!+#REF!),#REF!,"")),"")</f>
        <v/>
      </c>
      <c r="BF53" s="35" t="str">
        <f ca="1">IFERROR(+IF(BF$24=#REF!,Milestone_Marker,IF(AND(BF$24&gt;#REF!,BF$24&lt;#REF!+#REF!),#REF!,"")),"")</f>
        <v/>
      </c>
      <c r="BG53" s="35" t="str">
        <f ca="1">IFERROR(+IF(BG$24=#REF!,Milestone_Marker,IF(AND(BG$24&gt;#REF!,BG$24&lt;#REF!+#REF!),#REF!,"")),"")</f>
        <v/>
      </c>
      <c r="BH53" s="35" t="str">
        <f ca="1">IFERROR(+IF(BH$24=#REF!,Milestone_Marker,IF(AND(BH$24&gt;#REF!,BH$24&lt;#REF!+#REF!),#REF!,"")),"")</f>
        <v/>
      </c>
      <c r="BI53" s="35" t="str">
        <f ca="1">IFERROR(+IF(BI$24=#REF!,Milestone_Marker,IF(AND(BI$24&gt;#REF!,BI$24&lt;#REF!+#REF!),#REF!,"")),"")</f>
        <v/>
      </c>
      <c r="BJ53" s="35" t="str">
        <f ca="1">IFERROR(+IF(BJ$24=#REF!,Milestone_Marker,IF(AND(BJ$24&gt;#REF!,BJ$24&lt;#REF!+#REF!),#REF!,"")),"")</f>
        <v/>
      </c>
      <c r="BK53" s="35" t="str">
        <f ca="1">IFERROR(+IF(BK$24=#REF!,Milestone_Marker,IF(AND(BK$24&gt;#REF!,BK$24&lt;#REF!+#REF!),#REF!,"")),"")</f>
        <v/>
      </c>
      <c r="BL53" s="35" t="str">
        <f ca="1">IFERROR(+IF(BL$24=#REF!,Milestone_Marker,IF(AND(BL$24&gt;#REF!,BL$24&lt;#REF!+#REF!),#REF!,"")),"")</f>
        <v/>
      </c>
      <c r="BM53" s="35" t="str">
        <f ca="1">IFERROR(+IF(BM$24=#REF!,Milestone_Marker,IF(AND(BM$24&gt;#REF!,BM$24&lt;#REF!+#REF!),#REF!,"")),"")</f>
        <v/>
      </c>
      <c r="BN53" s="35" t="str">
        <f ca="1">IFERROR(+IF(BN$24=#REF!,Milestone_Marker,IF(AND(BN$24&gt;#REF!,BN$24&lt;#REF!+#REF!),#REF!,"")),"")</f>
        <v/>
      </c>
      <c r="BO53" s="35" t="str">
        <f ca="1">IFERROR(+IF(BO$24=#REF!,Milestone_Marker,IF(AND(BO$24&gt;#REF!,BO$24&lt;#REF!+#REF!),#REF!,"")),"")</f>
        <v/>
      </c>
      <c r="BP53" s="35" t="str">
        <f ca="1">IFERROR(+IF(BP$24=#REF!,Milestone_Marker,IF(AND(BP$24&gt;#REF!,BP$24&lt;#REF!+#REF!),#REF!,"")),"")</f>
        <v/>
      </c>
      <c r="BQ53" s="35" t="str">
        <f ca="1">IFERROR(+IF(BQ$24=#REF!,Milestone_Marker,IF(AND(BQ$24&gt;#REF!,BQ$24&lt;#REF!+#REF!),#REF!,"")),"")</f>
        <v/>
      </c>
      <c r="BR53" s="35" t="str">
        <f ca="1">IFERROR(+IF(BR$24=#REF!,Milestone_Marker,IF(AND(BR$24&gt;#REF!,BR$24&lt;#REF!+#REF!),#REF!,"")),"")</f>
        <v/>
      </c>
      <c r="BS53" s="35" t="str">
        <f ca="1">IFERROR(+IF(BS$24=#REF!,Milestone_Marker,IF(AND(BS$24&gt;#REF!,BS$24&lt;#REF!+#REF!),#REF!,"")),"")</f>
        <v/>
      </c>
      <c r="BT53" s="35" t="str">
        <f ca="1">IFERROR(+IF(BT$24=#REF!,Milestone_Marker,IF(AND(BT$24&gt;#REF!,BT$24&lt;#REF!+#REF!),#REF!,"")),"")</f>
        <v/>
      </c>
      <c r="BU53" s="35" t="str">
        <f ca="1">IFERROR(+IF(BU$24=#REF!,Milestone_Marker,IF(AND(BU$24&gt;#REF!,BU$24&lt;#REF!+#REF!),#REF!,"")),"")</f>
        <v/>
      </c>
      <c r="BV53" s="35" t="str">
        <f ca="1">IFERROR(+IF(BV$24=#REF!,Milestone_Marker,IF(AND(BV$24&gt;#REF!,BV$24&lt;#REF!+#REF!),#REF!,"")),"")</f>
        <v/>
      </c>
      <c r="BW53" s="35" t="str">
        <f ca="1">IFERROR(+IF(BW$24=#REF!,Milestone_Marker,IF(AND(BW$24&gt;#REF!,BW$24&lt;#REF!+#REF!),#REF!,"")),"")</f>
        <v/>
      </c>
      <c r="BX53" s="35" t="str">
        <f ca="1">IFERROR(+IF(BX$24=#REF!,Milestone_Marker,IF(AND(BX$24&gt;#REF!,BX$24&lt;#REF!+#REF!),#REF!,"")),"")</f>
        <v/>
      </c>
      <c r="BY53" s="35" t="str">
        <f ca="1">IFERROR(+IF(BY$24=#REF!,Milestone_Marker,IF(AND(BY$24&gt;#REF!,BY$24&lt;#REF!+#REF!),#REF!,"")),"")</f>
        <v/>
      </c>
      <c r="BZ53" s="35" t="str">
        <f ca="1">IFERROR(+IF(BZ$24=#REF!,Milestone_Marker,IF(AND(BZ$24&gt;#REF!,BZ$24&lt;#REF!+#REF!),#REF!,"")),"")</f>
        <v/>
      </c>
      <c r="CA53" s="35" t="str">
        <f ca="1">IFERROR(+IF(CA$24=#REF!,Milestone_Marker,IF(AND(CA$24&gt;#REF!,CA$24&lt;#REF!+#REF!),#REF!,"")),"")</f>
        <v/>
      </c>
      <c r="CB53" s="35" t="str">
        <f ca="1">IFERROR(+IF(CB$24=#REF!,Milestone_Marker,IF(AND(CB$24&gt;#REF!,CB$24&lt;#REF!+#REF!),#REF!,"")),"")</f>
        <v/>
      </c>
      <c r="CC53" s="35" t="str">
        <f ca="1">IFERROR(+IF(CC$24=#REF!,Milestone_Marker,IF(AND(CC$24&gt;#REF!,CC$24&lt;#REF!+#REF!),#REF!,"")),"")</f>
        <v/>
      </c>
      <c r="CD53" s="35" t="str">
        <f ca="1">IFERROR(+IF(CD$24=#REF!,Milestone_Marker,IF(AND(CD$24&gt;#REF!,CD$24&lt;#REF!+#REF!),#REF!,"")),"")</f>
        <v/>
      </c>
      <c r="CE53" s="35" t="str">
        <f ca="1">IFERROR(+IF(CE$24=#REF!,Milestone_Marker,IF(AND(CE$24&gt;#REF!,CE$24&lt;#REF!+#REF!),#REF!,"")),"")</f>
        <v/>
      </c>
      <c r="CF53" s="35" t="str">
        <f ca="1">IFERROR(+IF(CF$24=#REF!,Milestone_Marker,IF(AND(CF$24&gt;#REF!,CF$24&lt;#REF!+#REF!),#REF!,"")),"")</f>
        <v/>
      </c>
      <c r="CG53" s="35" t="str">
        <f ca="1">IFERROR(+IF(CG$24=#REF!,Milestone_Marker,IF(AND(CG$24&gt;#REF!,CG$24&lt;#REF!+#REF!),#REF!,"")),"")</f>
        <v/>
      </c>
      <c r="CH53" s="35" t="str">
        <f ca="1">IFERROR(+IF(CH$24=#REF!,Milestone_Marker,IF(AND(CH$24&gt;#REF!,CH$24&lt;#REF!+#REF!),#REF!,"")),"")</f>
        <v/>
      </c>
      <c r="CI53" s="35" t="str">
        <f ca="1">IFERROR(+IF(CI$24=#REF!,Milestone_Marker,IF(AND(CI$24&gt;#REF!,CI$24&lt;#REF!+#REF!),#REF!,"")),"")</f>
        <v/>
      </c>
      <c r="CJ53" s="35" t="str">
        <f ca="1">IFERROR(+IF(CJ$24=#REF!,Milestone_Marker,IF(AND(CJ$24&gt;#REF!,CJ$24&lt;#REF!+#REF!),#REF!,"")),"")</f>
        <v/>
      </c>
      <c r="CK53" s="35" t="str">
        <f ca="1">IFERROR(+IF(CK$24=#REF!,Milestone_Marker,IF(AND(CK$24&gt;#REF!,CK$24&lt;#REF!+#REF!),#REF!,"")),"")</f>
        <v/>
      </c>
      <c r="CL53" s="35" t="str">
        <f ca="1">IFERROR(+IF(CL$24=#REF!,Milestone_Marker,IF(AND(CL$24&gt;#REF!,CL$24&lt;#REF!+#REF!),#REF!,"")),"")</f>
        <v/>
      </c>
      <c r="CM53" s="35" t="str">
        <f ca="1">IFERROR(+IF(CM$24=#REF!,Milestone_Marker,IF(AND(CM$24&gt;#REF!,CM$24&lt;#REF!+#REF!),#REF!,"")),"")</f>
        <v/>
      </c>
      <c r="CN53" s="35" t="str">
        <f ca="1">IFERROR(+IF(CN$24=#REF!,Milestone_Marker,IF(AND(CN$24&gt;#REF!,CN$24&lt;#REF!+#REF!),#REF!,"")),"")</f>
        <v/>
      </c>
      <c r="CO53" s="35" t="str">
        <f ca="1">IFERROR(+IF(CO$24=#REF!,Milestone_Marker,IF(AND(CO$24&gt;#REF!,CO$24&lt;#REF!+#REF!),#REF!,"")),"")</f>
        <v/>
      </c>
      <c r="CP53" s="35" t="str">
        <f ca="1">IFERROR(+IF(CP$24=#REF!,Milestone_Marker,IF(AND(CP$24&gt;#REF!,CP$24&lt;#REF!+#REF!),#REF!,"")),"")</f>
        <v/>
      </c>
      <c r="CQ53" s="35" t="str">
        <f ca="1">IFERROR(+IF(CQ$24=#REF!,Milestone_Marker,IF(AND(CQ$24&gt;#REF!,CQ$24&lt;#REF!+#REF!),#REF!,"")),"")</f>
        <v/>
      </c>
      <c r="CR53" s="35" t="str">
        <f ca="1">IFERROR(+IF(CR$24=#REF!,Milestone_Marker,IF(AND(CR$24&gt;#REF!,CR$24&lt;#REF!+#REF!),#REF!,"")),"")</f>
        <v/>
      </c>
      <c r="CS53" s="35" t="str">
        <f ca="1">IFERROR(+IF(CS$24=#REF!,Milestone_Marker,IF(AND(CS$24&gt;#REF!,CS$24&lt;#REF!+#REF!),#REF!,"")),"")</f>
        <v/>
      </c>
      <c r="CT53" s="35" t="str">
        <f ca="1">IFERROR(+IF(CT$24=#REF!,Milestone_Marker,IF(AND(CT$24&gt;#REF!,CT$24&lt;#REF!+#REF!),#REF!,"")),"")</f>
        <v/>
      </c>
      <c r="CU53" s="35" t="str">
        <f ca="1">IFERROR(+IF(CU$24=#REF!,Milestone_Marker,IF(AND(CU$24&gt;#REF!,CU$24&lt;#REF!+#REF!),#REF!,"")),"")</f>
        <v/>
      </c>
      <c r="CV53" s="35" t="str">
        <f ca="1">IFERROR(+IF(CV$24=#REF!,Milestone_Marker,IF(AND(CV$24&gt;#REF!,CV$24&lt;#REF!+#REF!),#REF!,"")),"")</f>
        <v/>
      </c>
      <c r="CW53" s="35" t="str">
        <f ca="1">IFERROR(+IF(CW$24=#REF!,Milestone_Marker,IF(AND(CW$24&gt;#REF!,CW$24&lt;#REF!+#REF!),#REF!,"")),"")</f>
        <v/>
      </c>
      <c r="CX53" s="35" t="str">
        <f ca="1">IFERROR(+IF(CX$24=#REF!,Milestone_Marker,IF(AND(CX$24&gt;#REF!,CX$24&lt;#REF!+#REF!),#REF!,"")),"")</f>
        <v/>
      </c>
      <c r="CY53" s="35" t="str">
        <f ca="1">IFERROR(+IF(CY$24=#REF!,Milestone_Marker,IF(AND(CY$24&gt;#REF!,CY$24&lt;#REF!+#REF!),#REF!,"")),"")</f>
        <v/>
      </c>
      <c r="CZ53" s="35" t="str">
        <f ca="1">IFERROR(+IF(CZ$24=#REF!,Milestone_Marker,IF(AND(CZ$24&gt;#REF!,CZ$24&lt;#REF!+#REF!),#REF!,"")),"")</f>
        <v/>
      </c>
      <c r="DA53" s="35" t="str">
        <f ca="1">IFERROR(+IF(DA$24=#REF!,Milestone_Marker,IF(AND(DA$24&gt;#REF!,DA$24&lt;#REF!+#REF!),#REF!,"")),"")</f>
        <v/>
      </c>
      <c r="DB53" s="35" t="str">
        <f ca="1">IFERROR(+IF(DB$24=#REF!,Milestone_Marker,IF(AND(DB$24&gt;#REF!,DB$24&lt;#REF!+#REF!),#REF!,"")),"")</f>
        <v/>
      </c>
      <c r="DC53" s="35" t="str">
        <f ca="1">IFERROR(+IF(DC$24=#REF!,Milestone_Marker,IF(AND(DC$24&gt;#REF!,DC$24&lt;#REF!+#REF!),#REF!,"")),"")</f>
        <v/>
      </c>
      <c r="DD53" s="35" t="str">
        <f ca="1">IFERROR(+IF(DD$24=#REF!,Milestone_Marker,IF(AND(DD$24&gt;#REF!,DD$24&lt;#REF!+#REF!),#REF!,"")),"")</f>
        <v/>
      </c>
      <c r="DE53" s="35" t="str">
        <f ca="1">IFERROR(+IF(DE$24=#REF!,Milestone_Marker,IF(AND(DE$24&gt;#REF!,DE$24&lt;#REF!+#REF!),#REF!,"")),"")</f>
        <v/>
      </c>
      <c r="DF53" s="35"/>
      <c r="DG53" s="35"/>
      <c r="DH53" s="35"/>
      <c r="DI53" s="35"/>
      <c r="DJ53" s="35"/>
      <c r="DK53" s="35"/>
      <c r="DL53" s="35"/>
      <c r="DM53" s="35"/>
      <c r="DN53" s="35"/>
      <c r="DO53" s="35"/>
      <c r="DP53" s="35"/>
      <c r="DQ53" s="35"/>
      <c r="DR53" s="35"/>
      <c r="DS53" s="35"/>
      <c r="DT53" s="35"/>
      <c r="DU53" s="35"/>
      <c r="DV53" s="35"/>
      <c r="DW53" s="35"/>
      <c r="DX53" s="35"/>
      <c r="DY53" s="35"/>
      <c r="DZ53" s="35"/>
      <c r="EA53" s="35"/>
      <c r="EB53" s="35"/>
      <c r="EC53" s="35"/>
      <c r="ED53" s="35"/>
      <c r="EE53" s="35"/>
    </row>
    <row r="54" spans="1:135" s="40" customFormat="1" ht="15">
      <c r="A54" t="s">
        <v>552</v>
      </c>
      <c r="B54" t="s">
        <v>639</v>
      </c>
      <c r="C54" t="s">
        <v>721</v>
      </c>
      <c r="D54" s="458" t="s">
        <v>722</v>
      </c>
      <c r="E54" s="458">
        <v>1</v>
      </c>
      <c r="F54">
        <v>312.5</v>
      </c>
      <c r="G54">
        <v>312.5</v>
      </c>
      <c r="H54">
        <v>156</v>
      </c>
      <c r="I54"/>
      <c r="J54">
        <v>132</v>
      </c>
      <c r="K54" s="107"/>
      <c r="L54" s="463">
        <v>132</v>
      </c>
      <c r="M54" s="176">
        <v>1</v>
      </c>
      <c r="N54" s="160">
        <v>0</v>
      </c>
      <c r="O54" s="546" cm="1">
        <f t="array" ref="O5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45972</v>
      </c>
      <c r="P54" s="566" t="s">
        <v>797</v>
      </c>
      <c r="Q54" s="566">
        <v>0</v>
      </c>
      <c r="R54" s="22"/>
      <c r="S54" s="463" cm="1">
        <f t="array" ref="S5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156</v>
      </c>
      <c r="T54">
        <v>1</v>
      </c>
      <c r="U54" s="176">
        <v>9</v>
      </c>
      <c r="V5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55.010899999999999</v>
      </c>
      <c r="W54" s="497"/>
      <c r="X54" s="176" t="s">
        <v>869</v>
      </c>
      <c r="Y54" s="547" t="s">
        <v>868</v>
      </c>
      <c r="Z54" s="160" t="s">
        <v>458</v>
      </c>
      <c r="AA54" s="563">
        <v>104800</v>
      </c>
      <c r="AB54" cm="1">
        <f t="array" ref="AB54">ROW()-ROW(Contract_Edits[#Headers])</f>
        <v>30</v>
      </c>
      <c r="AC54">
        <f>IF(Contract_Edits[[#This Row],[RowPos]]&gt;1, Contract_Edits[[#This Row],[RowPos]]-1, 0)</f>
        <v>29</v>
      </c>
      <c r="AD54" s="35">
        <f>IF(N(Contract_Edits[[#This Row],[Dep]])=0, N(Contract_Edits[[#This Row],[Index]]), N(Contract_Edits[[#This Row],[Dep]]))</f>
        <v>156</v>
      </c>
      <c r="AE54" s="35" cm="1">
        <f t="array" ref="AE54">IF(OR(Contract_Edits[[#This Row],[Dep]]=0, TRIM(Contract_Edits[[#This Row],[Dep]])=""),
   0,
   IFERROR(
      _xlfn.XLOOKUP(1, (Contract_Edits[Dep]=Contract_Edits[[#This Row],[Dep]])*(Contract_Edits[RowPos]&lt;Contract_Edits[[#This Row],[RowPos]]), Contract_Edits[RowPos], , 0, -1),
      0
   )
)</f>
        <v>0</v>
      </c>
      <c r="AF54" s="35">
        <f>IF(OR(Contract_Edits[[#This Row],[Dep]]=0,Contract_Edits[[#This Row],[Dep]]=""),0,
   COUNTIFS(Contract_Edits[Dep],Contract_Edits[[#This Row],[Dep]],Contract_Edits[RowPos],"&lt;="&amp;Contract_Edits[[#This Row],[RowPos]],Contract_Edits[Approve],"Yes")
)</f>
        <v>1</v>
      </c>
      <c r="AG54" s="517">
        <f>--(
  ISNUMBER(SEARCH("BASE PARENT", UPPER(CLEAN(TRIM(_xlfn.XLOOKUP(TEXT(Contract_Edits[[#This Row],[Index]],"0"), baseIdxTxt, baseCost, "")))))) +
  ISNUMBER(SEARCH("DEPENDENCY GROUP", UPPER(CLEAN(TRIM(_xlfn.XLOOKUP(TEXT(Contract_Edits[[#This Row],[Index]],"0"), baseIdxTxt, baseCost, ""))))))
)</f>
        <v>0</v>
      </c>
      <c r="AH54" s="517" t="str" cm="1">
        <f t="array" ref="AH54">IF(Contract_Edits[[#This Row],[BaseFlag]]=1,
   10*BaseDepthL(TEXT(Contract_Edits[[#This Row],[Index]],"0"),500,editsIdxTxt,editsParentKeyTxt,baseIdxTxt,baseCost)-5,
   ""
)</f>
        <v/>
      </c>
      <c r="AI54" s="517" cm="1">
        <f t="array" ref="AI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55</v>
      </c>
      <c r="AJ54" s="517" t="str">
        <f>IF(Contract_Edits[[#This Row],[Dep]]=0,"Root",
   IF(ISNUMBER(MATCH(Contract_Edits[[#This Row],[Dep]],Contract_Edits[Index],0)),"OK","Missing")
)</f>
        <v>OK</v>
      </c>
      <c r="AK54" s="517" t="str">
        <f>IF(AND(Contract_Edits[[#This Row],[Dep]]&lt;&gt;0,
        ISNUMBER(MATCH(Contract_Edits[[#This Row],[Dep]], Contract_Edits[Index], 0)),
        INDEX(Contract_Edits[Dep], MATCH(Contract_Edits[[#This Row],[Dep]], Contract_Edits[Index], 0))=Contract_Edits[[#This Row],[Index]]),
   "2-cycle","")</f>
        <v/>
      </c>
      <c r="AL54" s="517" cm="1">
        <f t="array" ref="AL54">IF(Contract_Edits[[#This Row],[BaseFlag]]&lt;&gt;1,0,
   IF(TEXT(Contract_Edits[[#This Row],[Dep]],"0")=TEXT(Contract_Edits[[#This Row],[Index]],"0"),
      0,
      MAX(0, SUMPRODUCT(--(Contract_Edits[BaseFlag]=1),
                        --(TEXT(Contract_Edits[Dep],"0")=TEXT(Contract_Edits[[#This Row],[Dep]],"0"))) - 1)
   )
)</f>
        <v>0</v>
      </c>
      <c r="AM54" s="517" t="str" cm="1">
        <f t="array" ref="AM54">IF(Contract_Edits[[#This Row],[BaseFlag]]=1,
   TEXT(Contract_Edits[[#This Row],[Index]],"0"),
   NearestBaseL(TEXT(Contract_Edits[[#This Row],[ParentKey]],"0"),500,editsIdxTxt,editsParentKeyTxt,baseIdxTxt,baseCost)
)</f>
        <v>156</v>
      </c>
      <c r="AN54" s="517" cm="1">
        <f t="array" ref="AN54">1+SUMPRODUCT(
  (Contract_Edits[BaseFlag]=1)*
  (TEXT(Contract_Edits[ParentAnchor],"0")=TEXT(Contract_Edits[[#This Row],[ParentAnchor]],"0"))*
  (VALUE(TEXT(Contract_Edits[Index],"0"))&lt;VALUE(TEXT(Contract_Edits[[#This Row],[Index]],"0")))
)</f>
        <v>1</v>
      </c>
      <c r="AO54" s="35"/>
      <c r="AP54" s="35" t="str">
        <f ca="1">IFERROR(+IF(AP$24=#REF!,Milestone_Marker,IF(AND(AP$24&gt;#REF!,AP$24&lt;#REF!+#REF!),#REF!,"")),"")</f>
        <v/>
      </c>
      <c r="AQ54" s="35" t="str">
        <f ca="1">IFERROR(+IF(AQ$24=#REF!,Milestone_Marker,IF(AND(AQ$24&gt;#REF!,AQ$24&lt;#REF!+#REF!),#REF!,"")),"")</f>
        <v/>
      </c>
      <c r="AR54" s="35" t="str">
        <f ca="1">IFERROR(+IF(AR$24=#REF!,Milestone_Marker,IF(AND(AR$24&gt;#REF!,AR$24&lt;#REF!+#REF!),#REF!,"")),"")</f>
        <v/>
      </c>
      <c r="AS54" s="35" t="str">
        <f ca="1">IFERROR(+IF(AS$24=#REF!,Milestone_Marker,IF(AND(AS$24&gt;#REF!,AS$24&lt;#REF!+#REF!),#REF!,"")),"")</f>
        <v/>
      </c>
      <c r="AT54" s="35" t="str">
        <f ca="1">IFERROR(+IF(AT$24=#REF!,Milestone_Marker,IF(AND(AT$24&gt;#REF!,AT$24&lt;#REF!+#REF!),#REF!,"")),"")</f>
        <v/>
      </c>
      <c r="AU54" s="35" t="str">
        <f ca="1">IFERROR(+IF(AU$24=#REF!,Milestone_Marker,IF(AND(AU$24&gt;#REF!,AU$24&lt;#REF!+#REF!),#REF!,"")),"")</f>
        <v/>
      </c>
      <c r="AV54" s="35" t="str">
        <f ca="1">IFERROR(+IF(AV$24=#REF!,Milestone_Marker,IF(AND(AV$24&gt;#REF!,AV$24&lt;#REF!+#REF!),#REF!,"")),"")</f>
        <v/>
      </c>
      <c r="AW54" s="35" t="str">
        <f ca="1">IFERROR(+IF(AW$24=#REF!,Milestone_Marker,IF(AND(AW$24&gt;#REF!,AW$24&lt;#REF!+#REF!),#REF!,"")),"")</f>
        <v/>
      </c>
      <c r="AX54" s="35" t="str">
        <f ca="1">IFERROR(+IF(AX$24=#REF!,Milestone_Marker,IF(AND(AX$24&gt;#REF!,AX$24&lt;#REF!+#REF!),#REF!,"")),"")</f>
        <v/>
      </c>
      <c r="AY54" s="35" t="str">
        <f ca="1">IFERROR(+IF(AY$24=#REF!,Milestone_Marker,IF(AND(AY$24&gt;#REF!,AY$24&lt;#REF!+#REF!),#REF!,"")),"")</f>
        <v/>
      </c>
      <c r="AZ54" s="35" t="str">
        <f ca="1">IFERROR(+IF(AZ$24=#REF!,Milestone_Marker,IF(AND(AZ$24&gt;#REF!,AZ$24&lt;#REF!+#REF!),#REF!,"")),"")</f>
        <v/>
      </c>
      <c r="BA54" s="35" t="str">
        <f ca="1">IFERROR(+IF(BA$24=#REF!,Milestone_Marker,IF(AND(BA$24&gt;#REF!,BA$24&lt;#REF!+#REF!),#REF!,"")),"")</f>
        <v/>
      </c>
      <c r="BB54" s="35" t="str">
        <f ca="1">IFERROR(+IF(BB$24=#REF!,Milestone_Marker,IF(AND(BB$24&gt;#REF!,BB$24&lt;#REF!+#REF!),#REF!,"")),"")</f>
        <v/>
      </c>
      <c r="BC54" s="35" t="str">
        <f ca="1">IFERROR(+IF(BC$24=#REF!,Milestone_Marker,IF(AND(BC$24&gt;#REF!,BC$24&lt;#REF!+#REF!),#REF!,"")),"")</f>
        <v/>
      </c>
      <c r="BD54" s="35" t="str">
        <f ca="1">IFERROR(+IF(BD$24=#REF!,Milestone_Marker,IF(AND(BD$24&gt;#REF!,BD$24&lt;#REF!+#REF!),#REF!,"")),"")</f>
        <v/>
      </c>
      <c r="BE54" s="35" t="str">
        <f ca="1">IFERROR(+IF(BE$24=#REF!,Milestone_Marker,IF(AND(BE$24&gt;#REF!,BE$24&lt;#REF!+#REF!),#REF!,"")),"")</f>
        <v/>
      </c>
      <c r="BF54" s="35" t="str">
        <f ca="1">IFERROR(+IF(BF$24=#REF!,Milestone_Marker,IF(AND(BF$24&gt;#REF!,BF$24&lt;#REF!+#REF!),#REF!,"")),"")</f>
        <v/>
      </c>
      <c r="BG54" s="35" t="str">
        <f ca="1">IFERROR(+IF(BG$24=#REF!,Milestone_Marker,IF(AND(BG$24&gt;#REF!,BG$24&lt;#REF!+#REF!),#REF!,"")),"")</f>
        <v/>
      </c>
      <c r="BH54" s="35" t="str">
        <f ca="1">IFERROR(+IF(BH$24=#REF!,Milestone_Marker,IF(AND(BH$24&gt;#REF!,BH$24&lt;#REF!+#REF!),#REF!,"")),"")</f>
        <v/>
      </c>
      <c r="BI54" s="35" t="str">
        <f ca="1">IFERROR(+IF(BI$24=#REF!,Milestone_Marker,IF(AND(BI$24&gt;#REF!,BI$24&lt;#REF!+#REF!),#REF!,"")),"")</f>
        <v/>
      </c>
      <c r="BJ54" s="35" t="str">
        <f ca="1">IFERROR(+IF(BJ$24=#REF!,Milestone_Marker,IF(AND(BJ$24&gt;#REF!,BJ$24&lt;#REF!+#REF!),#REF!,"")),"")</f>
        <v/>
      </c>
      <c r="BK54" s="35" t="str">
        <f ca="1">IFERROR(+IF(BK$24=#REF!,Milestone_Marker,IF(AND(BK$24&gt;#REF!,BK$24&lt;#REF!+#REF!),#REF!,"")),"")</f>
        <v/>
      </c>
      <c r="BL54" s="35" t="str">
        <f ca="1">IFERROR(+IF(BL$24=#REF!,Milestone_Marker,IF(AND(BL$24&gt;#REF!,BL$24&lt;#REF!+#REF!),#REF!,"")),"")</f>
        <v/>
      </c>
      <c r="BM54" s="35" t="str">
        <f ca="1">IFERROR(+IF(BM$24=#REF!,Milestone_Marker,IF(AND(BM$24&gt;#REF!,BM$24&lt;#REF!+#REF!),#REF!,"")),"")</f>
        <v/>
      </c>
      <c r="BN54" s="35" t="str">
        <f ca="1">IFERROR(+IF(BN$24=#REF!,Milestone_Marker,IF(AND(BN$24&gt;#REF!,BN$24&lt;#REF!+#REF!),#REF!,"")),"")</f>
        <v/>
      </c>
      <c r="BO54" s="35" t="str">
        <f ca="1">IFERROR(+IF(BO$24=#REF!,Milestone_Marker,IF(AND(BO$24&gt;#REF!,BO$24&lt;#REF!+#REF!),#REF!,"")),"")</f>
        <v/>
      </c>
      <c r="BP54" s="35" t="str">
        <f ca="1">IFERROR(+IF(BP$24=#REF!,Milestone_Marker,IF(AND(BP$24&gt;#REF!,BP$24&lt;#REF!+#REF!),#REF!,"")),"")</f>
        <v/>
      </c>
      <c r="BQ54" s="35" t="str">
        <f ca="1">IFERROR(+IF(BQ$24=#REF!,Milestone_Marker,IF(AND(BQ$24&gt;#REF!,BQ$24&lt;#REF!+#REF!),#REF!,"")),"")</f>
        <v/>
      </c>
      <c r="BR54" s="35" t="str">
        <f ca="1">IFERROR(+IF(BR$24=#REF!,Milestone_Marker,IF(AND(BR$24&gt;#REF!,BR$24&lt;#REF!+#REF!),#REF!,"")),"")</f>
        <v/>
      </c>
      <c r="BS54" s="35" t="str">
        <f ca="1">IFERROR(+IF(BS$24=#REF!,Milestone_Marker,IF(AND(BS$24&gt;#REF!,BS$24&lt;#REF!+#REF!),#REF!,"")),"")</f>
        <v/>
      </c>
      <c r="BT54" s="35" t="str">
        <f ca="1">IFERROR(+IF(BT$24=#REF!,Milestone_Marker,IF(AND(BT$24&gt;#REF!,BT$24&lt;#REF!+#REF!),#REF!,"")),"")</f>
        <v/>
      </c>
      <c r="BU54" s="35" t="str">
        <f ca="1">IFERROR(+IF(BU$24=#REF!,Milestone_Marker,IF(AND(BU$24&gt;#REF!,BU$24&lt;#REF!+#REF!),#REF!,"")),"")</f>
        <v/>
      </c>
      <c r="BV54" s="35" t="str">
        <f ca="1">IFERROR(+IF(BV$24=#REF!,Milestone_Marker,IF(AND(BV$24&gt;#REF!,BV$24&lt;#REF!+#REF!),#REF!,"")),"")</f>
        <v/>
      </c>
      <c r="BW54" s="35" t="str">
        <f ca="1">IFERROR(+IF(BW$24=#REF!,Milestone_Marker,IF(AND(BW$24&gt;#REF!,BW$24&lt;#REF!+#REF!),#REF!,"")),"")</f>
        <v/>
      </c>
      <c r="BX54" s="35" t="str">
        <f ca="1">IFERROR(+IF(BX$24=#REF!,Milestone_Marker,IF(AND(BX$24&gt;#REF!,BX$24&lt;#REF!+#REF!),#REF!,"")),"")</f>
        <v/>
      </c>
      <c r="BY54" s="35" t="str">
        <f ca="1">IFERROR(+IF(BY$24=#REF!,Milestone_Marker,IF(AND(BY$24&gt;#REF!,BY$24&lt;#REF!+#REF!),#REF!,"")),"")</f>
        <v/>
      </c>
      <c r="BZ54" s="35" t="str">
        <f ca="1">IFERROR(+IF(BZ$24=#REF!,Milestone_Marker,IF(AND(BZ$24&gt;#REF!,BZ$24&lt;#REF!+#REF!),#REF!,"")),"")</f>
        <v/>
      </c>
      <c r="CA54" s="35" t="str">
        <f ca="1">IFERROR(+IF(CA$24=#REF!,Milestone_Marker,IF(AND(CA$24&gt;#REF!,CA$24&lt;#REF!+#REF!),#REF!,"")),"")</f>
        <v/>
      </c>
      <c r="CB54" s="35" t="str">
        <f ca="1">IFERROR(+IF(CB$24=#REF!,Milestone_Marker,IF(AND(CB$24&gt;#REF!,CB$24&lt;#REF!+#REF!),#REF!,"")),"")</f>
        <v/>
      </c>
      <c r="CC54" s="35" t="str">
        <f ca="1">IFERROR(+IF(CC$24=#REF!,Milestone_Marker,IF(AND(CC$24&gt;#REF!,CC$24&lt;#REF!+#REF!),#REF!,"")),"")</f>
        <v/>
      </c>
      <c r="CD54" s="35" t="str">
        <f ca="1">IFERROR(+IF(CD$24=#REF!,Milestone_Marker,IF(AND(CD$24&gt;#REF!,CD$24&lt;#REF!+#REF!),#REF!,"")),"")</f>
        <v/>
      </c>
      <c r="CE54" s="35" t="str">
        <f ca="1">IFERROR(+IF(CE$24=#REF!,Milestone_Marker,IF(AND(CE$24&gt;#REF!,CE$24&lt;#REF!+#REF!),#REF!,"")),"")</f>
        <v/>
      </c>
      <c r="CF54" s="35" t="str">
        <f ca="1">IFERROR(+IF(CF$24=#REF!,Milestone_Marker,IF(AND(CF$24&gt;#REF!,CF$24&lt;#REF!+#REF!),#REF!,"")),"")</f>
        <v/>
      </c>
      <c r="CG54" s="35" t="str">
        <f ca="1">IFERROR(+IF(CG$24=#REF!,Milestone_Marker,IF(AND(CG$24&gt;#REF!,CG$24&lt;#REF!+#REF!),#REF!,"")),"")</f>
        <v/>
      </c>
      <c r="CH54" s="35" t="str">
        <f ca="1">IFERROR(+IF(CH$24=#REF!,Milestone_Marker,IF(AND(CH$24&gt;#REF!,CH$24&lt;#REF!+#REF!),#REF!,"")),"")</f>
        <v/>
      </c>
      <c r="CI54" s="35" t="str">
        <f ca="1">IFERROR(+IF(CI$24=#REF!,Milestone_Marker,IF(AND(CI$24&gt;#REF!,CI$24&lt;#REF!+#REF!),#REF!,"")),"")</f>
        <v/>
      </c>
      <c r="CJ54" s="35" t="str">
        <f ca="1">IFERROR(+IF(CJ$24=#REF!,Milestone_Marker,IF(AND(CJ$24&gt;#REF!,CJ$24&lt;#REF!+#REF!),#REF!,"")),"")</f>
        <v/>
      </c>
      <c r="CK54" s="35" t="str">
        <f ca="1">IFERROR(+IF(CK$24=#REF!,Milestone_Marker,IF(AND(CK$24&gt;#REF!,CK$24&lt;#REF!+#REF!),#REF!,"")),"")</f>
        <v/>
      </c>
      <c r="CL54" s="35" t="str">
        <f ca="1">IFERROR(+IF(CL$24=#REF!,Milestone_Marker,IF(AND(CL$24&gt;#REF!,CL$24&lt;#REF!+#REF!),#REF!,"")),"")</f>
        <v/>
      </c>
      <c r="CM54" s="35" t="str">
        <f ca="1">IFERROR(+IF(CM$24=#REF!,Milestone_Marker,IF(AND(CM$24&gt;#REF!,CM$24&lt;#REF!+#REF!),#REF!,"")),"")</f>
        <v/>
      </c>
      <c r="CN54" s="35" t="str">
        <f ca="1">IFERROR(+IF(CN$24=#REF!,Milestone_Marker,IF(AND(CN$24&gt;#REF!,CN$24&lt;#REF!+#REF!),#REF!,"")),"")</f>
        <v/>
      </c>
      <c r="CO54" s="35" t="str">
        <f ca="1">IFERROR(+IF(CO$24=#REF!,Milestone_Marker,IF(AND(CO$24&gt;#REF!,CO$24&lt;#REF!+#REF!),#REF!,"")),"")</f>
        <v/>
      </c>
      <c r="CP54" s="35" t="str">
        <f ca="1">IFERROR(+IF(CP$24=#REF!,Milestone_Marker,IF(AND(CP$24&gt;#REF!,CP$24&lt;#REF!+#REF!),#REF!,"")),"")</f>
        <v/>
      </c>
      <c r="CQ54" s="35" t="str">
        <f ca="1">IFERROR(+IF(CQ$24=#REF!,Milestone_Marker,IF(AND(CQ$24&gt;#REF!,CQ$24&lt;#REF!+#REF!),#REF!,"")),"")</f>
        <v/>
      </c>
      <c r="CR54" s="35" t="str">
        <f ca="1">IFERROR(+IF(CR$24=#REF!,Milestone_Marker,IF(AND(CR$24&gt;#REF!,CR$24&lt;#REF!+#REF!),#REF!,"")),"")</f>
        <v/>
      </c>
      <c r="CS54" s="35" t="str">
        <f ca="1">IFERROR(+IF(CS$24=#REF!,Milestone_Marker,IF(AND(CS$24&gt;#REF!,CS$24&lt;#REF!+#REF!),#REF!,"")),"")</f>
        <v/>
      </c>
      <c r="CT54" s="35" t="str">
        <f ca="1">IFERROR(+IF(CT$24=#REF!,Milestone_Marker,IF(AND(CT$24&gt;#REF!,CT$24&lt;#REF!+#REF!),#REF!,"")),"")</f>
        <v/>
      </c>
      <c r="CU54" s="35" t="str">
        <f ca="1">IFERROR(+IF(CU$24=#REF!,Milestone_Marker,IF(AND(CU$24&gt;#REF!,CU$24&lt;#REF!+#REF!),#REF!,"")),"")</f>
        <v/>
      </c>
      <c r="CV54" s="35" t="str">
        <f ca="1">IFERROR(+IF(CV$24=#REF!,Milestone_Marker,IF(AND(CV$24&gt;#REF!,CV$24&lt;#REF!+#REF!),#REF!,"")),"")</f>
        <v/>
      </c>
      <c r="CW54" s="35" t="str">
        <f ca="1">IFERROR(+IF(CW$24=#REF!,Milestone_Marker,IF(AND(CW$24&gt;#REF!,CW$24&lt;#REF!+#REF!),#REF!,"")),"")</f>
        <v/>
      </c>
      <c r="CX54" s="35" t="str">
        <f ca="1">IFERROR(+IF(CX$24=#REF!,Milestone_Marker,IF(AND(CX$24&gt;#REF!,CX$24&lt;#REF!+#REF!),#REF!,"")),"")</f>
        <v/>
      </c>
      <c r="CY54" s="35" t="str">
        <f ca="1">IFERROR(+IF(CY$24=#REF!,Milestone_Marker,IF(AND(CY$24&gt;#REF!,CY$24&lt;#REF!+#REF!),#REF!,"")),"")</f>
        <v/>
      </c>
      <c r="CZ54" s="35" t="str">
        <f ca="1">IFERROR(+IF(CZ$24=#REF!,Milestone_Marker,IF(AND(CZ$24&gt;#REF!,CZ$24&lt;#REF!+#REF!),#REF!,"")),"")</f>
        <v/>
      </c>
      <c r="DA54" s="35" t="str">
        <f ca="1">IFERROR(+IF(DA$24=#REF!,Milestone_Marker,IF(AND(DA$24&gt;#REF!,DA$24&lt;#REF!+#REF!),#REF!,"")),"")</f>
        <v/>
      </c>
      <c r="DB54" s="35" t="str">
        <f ca="1">IFERROR(+IF(DB$24=#REF!,Milestone_Marker,IF(AND(DB$24&gt;#REF!,DB$24&lt;#REF!+#REF!),#REF!,"")),"")</f>
        <v/>
      </c>
      <c r="DC54" s="35" t="str">
        <f ca="1">IFERROR(+IF(DC$24=#REF!,Milestone_Marker,IF(AND(DC$24&gt;#REF!,DC$24&lt;#REF!+#REF!),#REF!,"")),"")</f>
        <v/>
      </c>
      <c r="DD54" s="35" t="str">
        <f ca="1">IFERROR(+IF(DD$24=#REF!,Milestone_Marker,IF(AND(DD$24&gt;#REF!,DD$24&lt;#REF!+#REF!),#REF!,"")),"")</f>
        <v/>
      </c>
      <c r="DE54" s="35" t="str">
        <f ca="1">IFERROR(+IF(DE$24=#REF!,Milestone_Marker,IF(AND(DE$24&gt;#REF!,DE$24&lt;#REF!+#REF!),#REF!,"")),"")</f>
        <v/>
      </c>
      <c r="DF54" s="35"/>
      <c r="DG54" s="35"/>
      <c r="DH54" s="35"/>
      <c r="DI54" s="35"/>
      <c r="DJ54" s="35"/>
      <c r="DK54" s="35"/>
      <c r="DL54" s="35"/>
      <c r="DM54" s="35"/>
      <c r="DN54" s="35"/>
      <c r="DO54" s="35"/>
      <c r="DP54" s="35"/>
      <c r="DQ54" s="35"/>
      <c r="DR54" s="35"/>
      <c r="DS54" s="35"/>
      <c r="DT54" s="35"/>
      <c r="DU54" s="35"/>
      <c r="DV54" s="35"/>
      <c r="DW54" s="35"/>
      <c r="DX54" s="35"/>
      <c r="DY54" s="35"/>
      <c r="DZ54" s="35"/>
      <c r="EA54" s="35"/>
      <c r="EB54" s="35"/>
      <c r="EC54" s="35"/>
      <c r="ED54" s="35"/>
      <c r="EE54" s="35"/>
    </row>
    <row r="55" spans="1:135" s="40" customFormat="1" ht="15">
      <c r="A55" t="s">
        <v>747</v>
      </c>
      <c r="B55" t="s">
        <v>744</v>
      </c>
      <c r="C55" t="s">
        <v>550</v>
      </c>
      <c r="D55" s="458" t="s">
        <v>754</v>
      </c>
      <c r="E55" s="458">
        <v>0</v>
      </c>
      <c r="F55"/>
      <c r="G55"/>
      <c r="H55">
        <v>156</v>
      </c>
      <c r="I55"/>
      <c r="J55">
        <v>155</v>
      </c>
      <c r="K55" s="107"/>
      <c r="L55" s="463">
        <v>155</v>
      </c>
      <c r="M55" s="490"/>
      <c r="N55" s="160">
        <v>0</v>
      </c>
      <c r="O55" s="546" cm="1">
        <f t="array" ref="O5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45973</v>
      </c>
      <c r="P55" s="567"/>
      <c r="Q55" s="567"/>
      <c r="R55" s="499"/>
      <c r="S55" s="463" cm="1">
        <f t="array" ref="S5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156</v>
      </c>
      <c r="T55" s="34">
        <v>1</v>
      </c>
      <c r="U55" s="490"/>
      <c r="V5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65.010000000000005</v>
      </c>
      <c r="W55" s="557"/>
      <c r="X55" s="545"/>
      <c r="Y55" s="548"/>
      <c r="Z55" s="535" t="s">
        <v>458</v>
      </c>
      <c r="AA55" s="544"/>
      <c r="AB55" cm="1">
        <f t="array" ref="AB55">ROW()-ROW(Contract_Edits[#Headers])</f>
        <v>31</v>
      </c>
      <c r="AC55">
        <f>IF(Contract_Edits[[#This Row],[RowPos]]&gt;1, Contract_Edits[[#This Row],[RowPos]]-1, 0)</f>
        <v>30</v>
      </c>
      <c r="AD55" s="35">
        <f>IF(N(Contract_Edits[[#This Row],[Dep]])=0, N(Contract_Edits[[#This Row],[Index]]), N(Contract_Edits[[#This Row],[Dep]]))</f>
        <v>156</v>
      </c>
      <c r="AE55" s="35" cm="1">
        <f t="array" ref="AE55">IF(OR(Contract_Edits[[#This Row],[Dep]]=0, TRIM(Contract_Edits[[#This Row],[Dep]])=""),
   0,
   IFERROR(
      _xlfn.XLOOKUP(1, (Contract_Edits[Dep]=Contract_Edits[[#This Row],[Dep]])*(Contract_Edits[RowPos]&lt;Contract_Edits[[#This Row],[RowPos]]), Contract_Edits[RowPos], , 0, -1),
      0
   )
)</f>
        <v>30</v>
      </c>
      <c r="AF55" s="35">
        <f>IF(OR(Contract_Edits[[#This Row],[Dep]]=0,Contract_Edits[[#This Row],[Dep]]=""),0,
   COUNTIFS(Contract_Edits[Dep],Contract_Edits[[#This Row],[Dep]],Contract_Edits[RowPos],"&lt;="&amp;Contract_Edits[[#This Row],[RowPos]],Contract_Edits[Approve],"Yes")
)</f>
        <v>2</v>
      </c>
      <c r="AG55" s="517">
        <f>--(
  ISNUMBER(SEARCH("BASE PARENT", UPPER(CLEAN(TRIM(_xlfn.XLOOKUP(TEXT(Contract_Edits[[#This Row],[Index]],"0"), baseIdxTxt, baseCost, "")))))) +
  ISNUMBER(SEARCH("DEPENDENCY GROUP", UPPER(CLEAN(TRIM(_xlfn.XLOOKUP(TEXT(Contract_Edits[[#This Row],[Index]],"0"), baseIdxTxt, baseCost, ""))))))
)</f>
        <v>1</v>
      </c>
      <c r="AH55" s="517" cm="1">
        <f t="array" ref="AH55">IF(Contract_Edits[[#This Row],[BaseFlag]]=1,
   10*BaseDepthL(TEXT(Contract_Edits[[#This Row],[Index]],"0"),500,editsIdxTxt,editsParentKeyTxt,baseIdxTxt,baseCost)-5,
   ""
)</f>
        <v>65</v>
      </c>
      <c r="AI55" s="517" cm="1">
        <f t="array" ref="AI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55</v>
      </c>
      <c r="AJ55" s="517" t="str">
        <f>IF(Contract_Edits[[#This Row],[Dep]]=0,"Root",
   IF(ISNUMBER(MATCH(Contract_Edits[[#This Row],[Dep]],Contract_Edits[Index],0)),"OK","Missing")
)</f>
        <v>OK</v>
      </c>
      <c r="AK55" s="517" t="str">
        <f>IF(AND(Contract_Edits[[#This Row],[Dep]]&lt;&gt;0,
        ISNUMBER(MATCH(Contract_Edits[[#This Row],[Dep]], Contract_Edits[Index], 0)),
        INDEX(Contract_Edits[Dep], MATCH(Contract_Edits[[#This Row],[Dep]], Contract_Edits[Index], 0))=Contract_Edits[[#This Row],[Index]]),
   "2-cycle","")</f>
        <v/>
      </c>
      <c r="AL55" s="517" cm="1">
        <f t="array" ref="AL55">IF(Contract_Edits[[#This Row],[BaseFlag]]&lt;&gt;1,0,
   IF(TEXT(Contract_Edits[[#This Row],[Dep]],"0")=TEXT(Contract_Edits[[#This Row],[Index]],"0"),
      0,
      MAX(0, SUMPRODUCT(--(Contract_Edits[BaseFlag]=1),
                        --(TEXT(Contract_Edits[Dep],"0")=TEXT(Contract_Edits[[#This Row],[Dep]],"0"))) - 1)
   )
)</f>
        <v>0</v>
      </c>
      <c r="AM55" s="517" t="str" cm="1">
        <f t="array" ref="AM55">IF(Contract_Edits[[#This Row],[BaseFlag]]=1,
   TEXT(Contract_Edits[[#This Row],[Index]],"0"),
   NearestBaseL(TEXT(Contract_Edits[[#This Row],[ParentKey]],"0"),500,editsIdxTxt,editsParentKeyTxt,baseIdxTxt,baseCost)
)</f>
        <v>155</v>
      </c>
      <c r="AN55" s="517" cm="1">
        <f t="array" ref="AN55">1+SUMPRODUCT(
  (Contract_Edits[BaseFlag]=1)*
  (TEXT(Contract_Edits[ParentAnchor],"0")=TEXT(Contract_Edits[[#This Row],[ParentAnchor]],"0"))*
  (VALUE(TEXT(Contract_Edits[Index],"0"))&lt;VALUE(TEXT(Contract_Edits[[#This Row],[Index]],"0")))
)</f>
        <v>1</v>
      </c>
      <c r="AO55" s="35"/>
      <c r="AP55" s="35" t="str">
        <f ca="1">IFERROR(+IF(AP$24=#REF!,Milestone_Marker,IF(AND(AP$24&gt;#REF!,AP$24&lt;#REF!+#REF!),#REF!,"")),"")</f>
        <v/>
      </c>
      <c r="AQ55" s="35" t="str">
        <f ca="1">IFERROR(+IF(AQ$24=#REF!,Milestone_Marker,IF(AND(AQ$24&gt;#REF!,AQ$24&lt;#REF!+#REF!),#REF!,"")),"")</f>
        <v/>
      </c>
      <c r="AR55" s="35" t="str">
        <f ca="1">IFERROR(+IF(AR$24=#REF!,Milestone_Marker,IF(AND(AR$24&gt;#REF!,AR$24&lt;#REF!+#REF!),#REF!,"")),"")</f>
        <v/>
      </c>
      <c r="AS55" s="35" t="str">
        <f ca="1">IFERROR(+IF(AS$24=#REF!,Milestone_Marker,IF(AND(AS$24&gt;#REF!,AS$24&lt;#REF!+#REF!),#REF!,"")),"")</f>
        <v/>
      </c>
      <c r="AT55" s="35" t="str">
        <f ca="1">IFERROR(+IF(AT$24=#REF!,Milestone_Marker,IF(AND(AT$24&gt;#REF!,AT$24&lt;#REF!+#REF!),#REF!,"")),"")</f>
        <v/>
      </c>
      <c r="AU55" s="35" t="str">
        <f ca="1">IFERROR(+IF(AU$24=#REF!,Milestone_Marker,IF(AND(AU$24&gt;#REF!,AU$24&lt;#REF!+#REF!),#REF!,"")),"")</f>
        <v/>
      </c>
      <c r="AV55" s="35" t="str">
        <f ca="1">IFERROR(+IF(AV$24=#REF!,Milestone_Marker,IF(AND(AV$24&gt;#REF!,AV$24&lt;#REF!+#REF!),#REF!,"")),"")</f>
        <v/>
      </c>
      <c r="AW55" s="35" t="str">
        <f ca="1">IFERROR(+IF(AW$24=#REF!,Milestone_Marker,IF(AND(AW$24&gt;#REF!,AW$24&lt;#REF!+#REF!),#REF!,"")),"")</f>
        <v/>
      </c>
      <c r="AX55" s="35" t="str">
        <f ca="1">IFERROR(+IF(AX$24=#REF!,Milestone_Marker,IF(AND(AX$24&gt;#REF!,AX$24&lt;#REF!+#REF!),#REF!,"")),"")</f>
        <v/>
      </c>
      <c r="AY55" s="35" t="str">
        <f ca="1">IFERROR(+IF(AY$24=#REF!,Milestone_Marker,IF(AND(AY$24&gt;#REF!,AY$24&lt;#REF!+#REF!),#REF!,"")),"")</f>
        <v/>
      </c>
      <c r="AZ55" s="35" t="str">
        <f ca="1">IFERROR(+IF(AZ$24=#REF!,Milestone_Marker,IF(AND(AZ$24&gt;#REF!,AZ$24&lt;#REF!+#REF!),#REF!,"")),"")</f>
        <v/>
      </c>
      <c r="BA55" s="35" t="str">
        <f ca="1">IFERROR(+IF(BA$24=#REF!,Milestone_Marker,IF(AND(BA$24&gt;#REF!,BA$24&lt;#REF!+#REF!),#REF!,"")),"")</f>
        <v/>
      </c>
      <c r="BB55" s="35" t="str">
        <f ca="1">IFERROR(+IF(BB$24=#REF!,Milestone_Marker,IF(AND(BB$24&gt;#REF!,BB$24&lt;#REF!+#REF!),#REF!,"")),"")</f>
        <v/>
      </c>
      <c r="BC55" s="35" t="str">
        <f ca="1">IFERROR(+IF(BC$24=#REF!,Milestone_Marker,IF(AND(BC$24&gt;#REF!,BC$24&lt;#REF!+#REF!),#REF!,"")),"")</f>
        <v/>
      </c>
      <c r="BD55" s="35" t="str">
        <f ca="1">IFERROR(+IF(BD$24=#REF!,Milestone_Marker,IF(AND(BD$24&gt;#REF!,BD$24&lt;#REF!+#REF!),#REF!,"")),"")</f>
        <v/>
      </c>
      <c r="BE55" s="35" t="str">
        <f ca="1">IFERROR(+IF(BE$24=#REF!,Milestone_Marker,IF(AND(BE$24&gt;#REF!,BE$24&lt;#REF!+#REF!),#REF!,"")),"")</f>
        <v/>
      </c>
      <c r="BF55" s="35" t="str">
        <f ca="1">IFERROR(+IF(BF$24=#REF!,Milestone_Marker,IF(AND(BF$24&gt;#REF!,BF$24&lt;#REF!+#REF!),#REF!,"")),"")</f>
        <v/>
      </c>
      <c r="BG55" s="35" t="str">
        <f ca="1">IFERROR(+IF(BG$24=#REF!,Milestone_Marker,IF(AND(BG$24&gt;#REF!,BG$24&lt;#REF!+#REF!),#REF!,"")),"")</f>
        <v/>
      </c>
      <c r="BH55" s="35" t="str">
        <f ca="1">IFERROR(+IF(BH$24=#REF!,Milestone_Marker,IF(AND(BH$24&gt;#REF!,BH$24&lt;#REF!+#REF!),#REF!,"")),"")</f>
        <v/>
      </c>
      <c r="BI55" s="35" t="str">
        <f ca="1">IFERROR(+IF(BI$24=#REF!,Milestone_Marker,IF(AND(BI$24&gt;#REF!,BI$24&lt;#REF!+#REF!),#REF!,"")),"")</f>
        <v/>
      </c>
      <c r="BJ55" s="35" t="str">
        <f ca="1">IFERROR(+IF(BJ$24=#REF!,Milestone_Marker,IF(AND(BJ$24&gt;#REF!,BJ$24&lt;#REF!+#REF!),#REF!,"")),"")</f>
        <v/>
      </c>
      <c r="BK55" s="35" t="str">
        <f ca="1">IFERROR(+IF(BK$24=#REF!,Milestone_Marker,IF(AND(BK$24&gt;#REF!,BK$24&lt;#REF!+#REF!),#REF!,"")),"")</f>
        <v/>
      </c>
      <c r="BL55" s="35" t="str">
        <f ca="1">IFERROR(+IF(BL$24=#REF!,Milestone_Marker,IF(AND(BL$24&gt;#REF!,BL$24&lt;#REF!+#REF!),#REF!,"")),"")</f>
        <v/>
      </c>
      <c r="BM55" s="35" t="str">
        <f ca="1">IFERROR(+IF(BM$24=#REF!,Milestone_Marker,IF(AND(BM$24&gt;#REF!,BM$24&lt;#REF!+#REF!),#REF!,"")),"")</f>
        <v/>
      </c>
      <c r="BN55" s="35" t="str">
        <f ca="1">IFERROR(+IF(BN$24=#REF!,Milestone_Marker,IF(AND(BN$24&gt;#REF!,BN$24&lt;#REF!+#REF!),#REF!,"")),"")</f>
        <v/>
      </c>
      <c r="BO55" s="35" t="str">
        <f ca="1">IFERROR(+IF(BO$24=#REF!,Milestone_Marker,IF(AND(BO$24&gt;#REF!,BO$24&lt;#REF!+#REF!),#REF!,"")),"")</f>
        <v/>
      </c>
      <c r="BP55" s="35" t="str">
        <f ca="1">IFERROR(+IF(BP$24=#REF!,Milestone_Marker,IF(AND(BP$24&gt;#REF!,BP$24&lt;#REF!+#REF!),#REF!,"")),"")</f>
        <v/>
      </c>
      <c r="BQ55" s="35" t="str">
        <f ca="1">IFERROR(+IF(BQ$24=#REF!,Milestone_Marker,IF(AND(BQ$24&gt;#REF!,BQ$24&lt;#REF!+#REF!),#REF!,"")),"")</f>
        <v/>
      </c>
      <c r="BR55" s="35" t="str">
        <f ca="1">IFERROR(+IF(BR$24=#REF!,Milestone_Marker,IF(AND(BR$24&gt;#REF!,BR$24&lt;#REF!+#REF!),#REF!,"")),"")</f>
        <v/>
      </c>
      <c r="BS55" s="35" t="str">
        <f ca="1">IFERROR(+IF(BS$24=#REF!,Milestone_Marker,IF(AND(BS$24&gt;#REF!,BS$24&lt;#REF!+#REF!),#REF!,"")),"")</f>
        <v/>
      </c>
      <c r="BT55" s="35" t="str">
        <f ca="1">IFERROR(+IF(BT$24=#REF!,Milestone_Marker,IF(AND(BT$24&gt;#REF!,BT$24&lt;#REF!+#REF!),#REF!,"")),"")</f>
        <v/>
      </c>
      <c r="BU55" s="35" t="str">
        <f ca="1">IFERROR(+IF(BU$24=#REF!,Milestone_Marker,IF(AND(BU$24&gt;#REF!,BU$24&lt;#REF!+#REF!),#REF!,"")),"")</f>
        <v/>
      </c>
      <c r="BV55" s="35" t="str">
        <f ca="1">IFERROR(+IF(BV$24=#REF!,Milestone_Marker,IF(AND(BV$24&gt;#REF!,BV$24&lt;#REF!+#REF!),#REF!,"")),"")</f>
        <v/>
      </c>
      <c r="BW55" s="35" t="str">
        <f ca="1">IFERROR(+IF(BW$24=#REF!,Milestone_Marker,IF(AND(BW$24&gt;#REF!,BW$24&lt;#REF!+#REF!),#REF!,"")),"")</f>
        <v/>
      </c>
      <c r="BX55" s="35" t="str">
        <f ca="1">IFERROR(+IF(BX$24=#REF!,Milestone_Marker,IF(AND(BX$24&gt;#REF!,BX$24&lt;#REF!+#REF!),#REF!,"")),"")</f>
        <v/>
      </c>
      <c r="BY55" s="35" t="str">
        <f ca="1">IFERROR(+IF(BY$24=#REF!,Milestone_Marker,IF(AND(BY$24&gt;#REF!,BY$24&lt;#REF!+#REF!),#REF!,"")),"")</f>
        <v/>
      </c>
      <c r="BZ55" s="35" t="str">
        <f ca="1">IFERROR(+IF(BZ$24=#REF!,Milestone_Marker,IF(AND(BZ$24&gt;#REF!,BZ$24&lt;#REF!+#REF!),#REF!,"")),"")</f>
        <v/>
      </c>
      <c r="CA55" s="35" t="str">
        <f ca="1">IFERROR(+IF(CA$24=#REF!,Milestone_Marker,IF(AND(CA$24&gt;#REF!,CA$24&lt;#REF!+#REF!),#REF!,"")),"")</f>
        <v/>
      </c>
      <c r="CB55" s="35" t="str">
        <f ca="1">IFERROR(+IF(CB$24=#REF!,Milestone_Marker,IF(AND(CB$24&gt;#REF!,CB$24&lt;#REF!+#REF!),#REF!,"")),"")</f>
        <v/>
      </c>
      <c r="CC55" s="35" t="str">
        <f ca="1">IFERROR(+IF(CC$24=#REF!,Milestone_Marker,IF(AND(CC$24&gt;#REF!,CC$24&lt;#REF!+#REF!),#REF!,"")),"")</f>
        <v/>
      </c>
      <c r="CD55" s="35" t="str">
        <f ca="1">IFERROR(+IF(CD$24=#REF!,Milestone_Marker,IF(AND(CD$24&gt;#REF!,CD$24&lt;#REF!+#REF!),#REF!,"")),"")</f>
        <v/>
      </c>
      <c r="CE55" s="35" t="str">
        <f ca="1">IFERROR(+IF(CE$24=#REF!,Milestone_Marker,IF(AND(CE$24&gt;#REF!,CE$24&lt;#REF!+#REF!),#REF!,"")),"")</f>
        <v/>
      </c>
      <c r="CF55" s="35" t="str">
        <f ca="1">IFERROR(+IF(CF$24=#REF!,Milestone_Marker,IF(AND(CF$24&gt;#REF!,CF$24&lt;#REF!+#REF!),#REF!,"")),"")</f>
        <v/>
      </c>
      <c r="CG55" s="35" t="str">
        <f ca="1">IFERROR(+IF(CG$24=#REF!,Milestone_Marker,IF(AND(CG$24&gt;#REF!,CG$24&lt;#REF!+#REF!),#REF!,"")),"")</f>
        <v/>
      </c>
      <c r="CH55" s="35" t="str">
        <f ca="1">IFERROR(+IF(CH$24=#REF!,Milestone_Marker,IF(AND(CH$24&gt;#REF!,CH$24&lt;#REF!+#REF!),#REF!,"")),"")</f>
        <v/>
      </c>
      <c r="CI55" s="35" t="str">
        <f ca="1">IFERROR(+IF(CI$24=#REF!,Milestone_Marker,IF(AND(CI$24&gt;#REF!,CI$24&lt;#REF!+#REF!),#REF!,"")),"")</f>
        <v/>
      </c>
      <c r="CJ55" s="35" t="str">
        <f ca="1">IFERROR(+IF(CJ$24=#REF!,Milestone_Marker,IF(AND(CJ$24&gt;#REF!,CJ$24&lt;#REF!+#REF!),#REF!,"")),"")</f>
        <v/>
      </c>
      <c r="CK55" s="35" t="str">
        <f ca="1">IFERROR(+IF(CK$24=#REF!,Milestone_Marker,IF(AND(CK$24&gt;#REF!,CK$24&lt;#REF!+#REF!),#REF!,"")),"")</f>
        <v/>
      </c>
      <c r="CL55" s="35" t="str">
        <f ca="1">IFERROR(+IF(CL$24=#REF!,Milestone_Marker,IF(AND(CL$24&gt;#REF!,CL$24&lt;#REF!+#REF!),#REF!,"")),"")</f>
        <v/>
      </c>
      <c r="CM55" s="35" t="str">
        <f ca="1">IFERROR(+IF(CM$24=#REF!,Milestone_Marker,IF(AND(CM$24&gt;#REF!,CM$24&lt;#REF!+#REF!),#REF!,"")),"")</f>
        <v/>
      </c>
      <c r="CN55" s="35" t="str">
        <f ca="1">IFERROR(+IF(CN$24=#REF!,Milestone_Marker,IF(AND(CN$24&gt;#REF!,CN$24&lt;#REF!+#REF!),#REF!,"")),"")</f>
        <v/>
      </c>
      <c r="CO55" s="35" t="str">
        <f ca="1">IFERROR(+IF(CO$24=#REF!,Milestone_Marker,IF(AND(CO$24&gt;#REF!,CO$24&lt;#REF!+#REF!),#REF!,"")),"")</f>
        <v/>
      </c>
      <c r="CP55" s="35" t="str">
        <f ca="1">IFERROR(+IF(CP$24=#REF!,Milestone_Marker,IF(AND(CP$24&gt;#REF!,CP$24&lt;#REF!+#REF!),#REF!,"")),"")</f>
        <v/>
      </c>
      <c r="CQ55" s="35" t="str">
        <f ca="1">IFERROR(+IF(CQ$24=#REF!,Milestone_Marker,IF(AND(CQ$24&gt;#REF!,CQ$24&lt;#REF!+#REF!),#REF!,"")),"")</f>
        <v/>
      </c>
      <c r="CR55" s="35" t="str">
        <f ca="1">IFERROR(+IF(CR$24=#REF!,Milestone_Marker,IF(AND(CR$24&gt;#REF!,CR$24&lt;#REF!+#REF!),#REF!,"")),"")</f>
        <v/>
      </c>
      <c r="CS55" s="35" t="str">
        <f ca="1">IFERROR(+IF(CS$24=#REF!,Milestone_Marker,IF(AND(CS$24&gt;#REF!,CS$24&lt;#REF!+#REF!),#REF!,"")),"")</f>
        <v/>
      </c>
      <c r="CT55" s="35" t="str">
        <f ca="1">IFERROR(+IF(CT$24=#REF!,Milestone_Marker,IF(AND(CT$24&gt;#REF!,CT$24&lt;#REF!+#REF!),#REF!,"")),"")</f>
        <v/>
      </c>
      <c r="CU55" s="35" t="str">
        <f ca="1">IFERROR(+IF(CU$24=#REF!,Milestone_Marker,IF(AND(CU$24&gt;#REF!,CU$24&lt;#REF!+#REF!),#REF!,"")),"")</f>
        <v/>
      </c>
      <c r="CV55" s="35" t="str">
        <f ca="1">IFERROR(+IF(CV$24=#REF!,Milestone_Marker,IF(AND(CV$24&gt;#REF!,CV$24&lt;#REF!+#REF!),#REF!,"")),"")</f>
        <v/>
      </c>
      <c r="CW55" s="35" t="str">
        <f ca="1">IFERROR(+IF(CW$24=#REF!,Milestone_Marker,IF(AND(CW$24&gt;#REF!,CW$24&lt;#REF!+#REF!),#REF!,"")),"")</f>
        <v/>
      </c>
      <c r="CX55" s="35" t="str">
        <f ca="1">IFERROR(+IF(CX$24=#REF!,Milestone_Marker,IF(AND(CX$24&gt;#REF!,CX$24&lt;#REF!+#REF!),#REF!,"")),"")</f>
        <v/>
      </c>
      <c r="CY55" s="35" t="str">
        <f ca="1">IFERROR(+IF(CY$24=#REF!,Milestone_Marker,IF(AND(CY$24&gt;#REF!,CY$24&lt;#REF!+#REF!),#REF!,"")),"")</f>
        <v/>
      </c>
      <c r="CZ55" s="35" t="str">
        <f ca="1">IFERROR(+IF(CZ$24=#REF!,Milestone_Marker,IF(AND(CZ$24&gt;#REF!,CZ$24&lt;#REF!+#REF!),#REF!,"")),"")</f>
        <v/>
      </c>
      <c r="DA55" s="35" t="str">
        <f ca="1">IFERROR(+IF(DA$24=#REF!,Milestone_Marker,IF(AND(DA$24&gt;#REF!,DA$24&lt;#REF!+#REF!),#REF!,"")),"")</f>
        <v/>
      </c>
      <c r="DB55" s="35" t="str">
        <f ca="1">IFERROR(+IF(DB$24=#REF!,Milestone_Marker,IF(AND(DB$24&gt;#REF!,DB$24&lt;#REF!+#REF!),#REF!,"")),"")</f>
        <v/>
      </c>
      <c r="DC55" s="35" t="str">
        <f ca="1">IFERROR(+IF(DC$24=#REF!,Milestone_Marker,IF(AND(DC$24&gt;#REF!,DC$24&lt;#REF!+#REF!),#REF!,"")),"")</f>
        <v/>
      </c>
      <c r="DD55" s="35" t="str">
        <f ca="1">IFERROR(+IF(DD$24=#REF!,Milestone_Marker,IF(AND(DD$24&gt;#REF!,DD$24&lt;#REF!+#REF!),#REF!,"")),"")</f>
        <v/>
      </c>
      <c r="DE55" s="35" t="str">
        <f ca="1">IFERROR(+IF(DE$24=#REF!,Milestone_Marker,IF(AND(DE$24&gt;#REF!,DE$24&lt;#REF!+#REF!),#REF!,"")),"")</f>
        <v/>
      </c>
      <c r="DF55" s="35"/>
      <c r="DG55" s="35"/>
      <c r="DH55" s="35"/>
      <c r="DI55" s="35"/>
      <c r="DJ55" s="35"/>
      <c r="DK55" s="35"/>
      <c r="DL55" s="35"/>
      <c r="DM55" s="35"/>
      <c r="DN55" s="35"/>
      <c r="DO55" s="35"/>
      <c r="DP55" s="35"/>
      <c r="DQ55" s="35"/>
      <c r="DR55" s="35"/>
      <c r="DS55" s="35"/>
      <c r="DT55" s="35"/>
      <c r="DU55" s="35"/>
      <c r="DV55" s="35"/>
      <c r="DW55" s="35"/>
      <c r="DX55" s="35"/>
      <c r="DY55" s="35"/>
      <c r="DZ55" s="35"/>
      <c r="EA55" s="35"/>
      <c r="EB55" s="35"/>
      <c r="EC55" s="35"/>
      <c r="ED55" s="35"/>
      <c r="EE55" s="35"/>
    </row>
    <row r="56" spans="1:135" s="40" customFormat="1" ht="30">
      <c r="A56" t="s">
        <v>552</v>
      </c>
      <c r="B56" t="s">
        <v>608</v>
      </c>
      <c r="C56" t="s">
        <v>550</v>
      </c>
      <c r="D56" s="458" t="s">
        <v>617</v>
      </c>
      <c r="E56" s="458">
        <v>1</v>
      </c>
      <c r="F56">
        <v>1250</v>
      </c>
      <c r="G56">
        <v>1250</v>
      </c>
      <c r="H56">
        <v>155</v>
      </c>
      <c r="I56"/>
      <c r="J56">
        <v>54</v>
      </c>
      <c r="K56" s="107"/>
      <c r="L56" s="463">
        <v>54</v>
      </c>
      <c r="M56" s="176">
        <v>4</v>
      </c>
      <c r="N56" s="160">
        <v>0</v>
      </c>
      <c r="O56" s="546" cm="1">
        <f t="array" ref="O5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45973</v>
      </c>
      <c r="P56" s="566" t="s">
        <v>797</v>
      </c>
      <c r="Q56" s="566"/>
      <c r="R56" s="22"/>
      <c r="S56" s="463" cm="1">
        <f t="array" ref="S5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56">
        <v>1</v>
      </c>
      <c r="U56" s="176">
        <v>1</v>
      </c>
      <c r="V5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65.010100000000008</v>
      </c>
      <c r="W56" s="497"/>
      <c r="X56" s="176" t="s">
        <v>852</v>
      </c>
      <c r="Y56" s="547" t="s">
        <v>865</v>
      </c>
      <c r="Z56" s="160" t="s">
        <v>458</v>
      </c>
      <c r="AA56" s="563">
        <v>101700</v>
      </c>
      <c r="AB56" cm="1">
        <f t="array" ref="AB56">ROW()-ROW(Contract_Edits[#Headers])</f>
        <v>32</v>
      </c>
      <c r="AC56">
        <f>IF(Contract_Edits[[#This Row],[RowPos]]&gt;1, Contract_Edits[[#This Row],[RowPos]]-1, 0)</f>
        <v>31</v>
      </c>
      <c r="AD56" s="35">
        <f>IF(N(Contract_Edits[[#This Row],[Dep]])=0, N(Contract_Edits[[#This Row],[Index]]), N(Contract_Edits[[#This Row],[Dep]]))</f>
        <v>155</v>
      </c>
      <c r="AE56" s="35" cm="1">
        <f t="array" ref="AE56">IF(OR(Contract_Edits[[#This Row],[Dep]]=0, TRIM(Contract_Edits[[#This Row],[Dep]])=""),
   0,
   IFERROR(
      _xlfn.XLOOKUP(1, (Contract_Edits[Dep]=Contract_Edits[[#This Row],[Dep]])*(Contract_Edits[RowPos]&lt;Contract_Edits[[#This Row],[RowPos]]), Contract_Edits[RowPos], , 0, -1),
      0
   )
)</f>
        <v>0</v>
      </c>
      <c r="AF56" s="35">
        <f>IF(OR(Contract_Edits[[#This Row],[Dep]]=0,Contract_Edits[[#This Row],[Dep]]=""),0,
   COUNTIFS(Contract_Edits[Dep],Contract_Edits[[#This Row],[Dep]],Contract_Edits[RowPos],"&lt;="&amp;Contract_Edits[[#This Row],[RowPos]],Contract_Edits[Approve],"Yes")
)</f>
        <v>1</v>
      </c>
      <c r="AG56" s="517">
        <f>--(
  ISNUMBER(SEARCH("BASE PARENT", UPPER(CLEAN(TRIM(_xlfn.XLOOKUP(TEXT(Contract_Edits[[#This Row],[Index]],"0"), baseIdxTxt, baseCost, "")))))) +
  ISNUMBER(SEARCH("DEPENDENCY GROUP", UPPER(CLEAN(TRIM(_xlfn.XLOOKUP(TEXT(Contract_Edits[[#This Row],[Index]],"0"), baseIdxTxt, baseCost, ""))))))
)</f>
        <v>0</v>
      </c>
      <c r="AH56" s="517" t="str" cm="1">
        <f t="array" ref="AH56">IF(Contract_Edits[[#This Row],[BaseFlag]]=1,
   10*BaseDepthL(TEXT(Contract_Edits[[#This Row],[Index]],"0"),500,editsIdxTxt,editsParentKeyTxt,baseIdxTxt,baseCost)-5,
   ""
)</f>
        <v/>
      </c>
      <c r="AI56" s="517" cm="1">
        <f t="array" ref="AI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56" s="517" t="str">
        <f>IF(Contract_Edits[[#This Row],[Dep]]=0,"Root",
   IF(ISNUMBER(MATCH(Contract_Edits[[#This Row],[Dep]],Contract_Edits[Index],0)),"OK","Missing")
)</f>
        <v>OK</v>
      </c>
      <c r="AK56" s="517" t="str">
        <f>IF(AND(Contract_Edits[[#This Row],[Dep]]&lt;&gt;0,
        ISNUMBER(MATCH(Contract_Edits[[#This Row],[Dep]], Contract_Edits[Index], 0)),
        INDEX(Contract_Edits[Dep], MATCH(Contract_Edits[[#This Row],[Dep]], Contract_Edits[Index], 0))=Contract_Edits[[#This Row],[Index]]),
   "2-cycle","")</f>
        <v/>
      </c>
      <c r="AL56" s="517" cm="1">
        <f t="array" ref="AL56">IF(Contract_Edits[[#This Row],[BaseFlag]]&lt;&gt;1,0,
   IF(TEXT(Contract_Edits[[#This Row],[Dep]],"0")=TEXT(Contract_Edits[[#This Row],[Index]],"0"),
      0,
      MAX(0, SUMPRODUCT(--(Contract_Edits[BaseFlag]=1),
                        --(TEXT(Contract_Edits[Dep],"0")=TEXT(Contract_Edits[[#This Row],[Dep]],"0"))) - 1)
   )
)</f>
        <v>0</v>
      </c>
      <c r="AM56" s="517" t="str" cm="1">
        <f t="array" ref="AM56">IF(Contract_Edits[[#This Row],[BaseFlag]]=1,
   TEXT(Contract_Edits[[#This Row],[Index]],"0"),
   NearestBaseL(TEXT(Contract_Edits[[#This Row],[ParentKey]],"0"),500,editsIdxTxt,editsParentKeyTxt,baseIdxTxt,baseCost)
)</f>
        <v>155</v>
      </c>
      <c r="AN56" s="517" cm="1">
        <f t="array" ref="AN56">1+SUMPRODUCT(
  (Contract_Edits[BaseFlag]=1)*
  (TEXT(Contract_Edits[ParentAnchor],"0")=TEXT(Contract_Edits[[#This Row],[ParentAnchor]],"0"))*
  (VALUE(TEXT(Contract_Edits[Index],"0"))&lt;VALUE(TEXT(Contract_Edits[[#This Row],[Index]],"0")))
)</f>
        <v>1</v>
      </c>
      <c r="AO56" s="35"/>
      <c r="AP56" s="35" t="str">
        <f ca="1">IFERROR(+IF(AP$24=#REF!,Milestone_Marker,IF(AND(AP$24&gt;#REF!,AP$24&lt;#REF!+#REF!),#REF!,"")),"")</f>
        <v/>
      </c>
      <c r="AQ56" s="35" t="str">
        <f ca="1">IFERROR(+IF(AQ$24=#REF!,Milestone_Marker,IF(AND(AQ$24&gt;#REF!,AQ$24&lt;#REF!+#REF!),#REF!,"")),"")</f>
        <v/>
      </c>
      <c r="AR56" s="35" t="str">
        <f ca="1">IFERROR(+IF(AR$24=#REF!,Milestone_Marker,IF(AND(AR$24&gt;#REF!,AR$24&lt;#REF!+#REF!),#REF!,"")),"")</f>
        <v/>
      </c>
      <c r="AS56" s="35" t="str">
        <f ca="1">IFERROR(+IF(AS$24=#REF!,Milestone_Marker,IF(AND(AS$24&gt;#REF!,AS$24&lt;#REF!+#REF!),#REF!,"")),"")</f>
        <v/>
      </c>
      <c r="AT56" s="35" t="str">
        <f ca="1">IFERROR(+IF(AT$24=#REF!,Milestone_Marker,IF(AND(AT$24&gt;#REF!,AT$24&lt;#REF!+#REF!),#REF!,"")),"")</f>
        <v/>
      </c>
      <c r="AU56" s="35" t="str">
        <f ca="1">IFERROR(+IF(AU$24=#REF!,Milestone_Marker,IF(AND(AU$24&gt;#REF!,AU$24&lt;#REF!+#REF!),#REF!,"")),"")</f>
        <v/>
      </c>
      <c r="AV56" s="35" t="str">
        <f ca="1">IFERROR(+IF(AV$24=#REF!,Milestone_Marker,IF(AND(AV$24&gt;#REF!,AV$24&lt;#REF!+#REF!),#REF!,"")),"")</f>
        <v/>
      </c>
      <c r="AW56" s="35" t="str">
        <f ca="1">IFERROR(+IF(AW$24=#REF!,Milestone_Marker,IF(AND(AW$24&gt;#REF!,AW$24&lt;#REF!+#REF!),#REF!,"")),"")</f>
        <v/>
      </c>
      <c r="AX56" s="35" t="str">
        <f ca="1">IFERROR(+IF(AX$24=#REF!,Milestone_Marker,IF(AND(AX$24&gt;#REF!,AX$24&lt;#REF!+#REF!),#REF!,"")),"")</f>
        <v/>
      </c>
      <c r="AY56" s="35" t="str">
        <f ca="1">IFERROR(+IF(AY$24=#REF!,Milestone_Marker,IF(AND(AY$24&gt;#REF!,AY$24&lt;#REF!+#REF!),#REF!,"")),"")</f>
        <v/>
      </c>
      <c r="AZ56" s="35" t="str">
        <f ca="1">IFERROR(+IF(AZ$24=#REF!,Milestone_Marker,IF(AND(AZ$24&gt;#REF!,AZ$24&lt;#REF!+#REF!),#REF!,"")),"")</f>
        <v/>
      </c>
      <c r="BA56" s="35" t="str">
        <f ca="1">IFERROR(+IF(BA$24=#REF!,Milestone_Marker,IF(AND(BA$24&gt;#REF!,BA$24&lt;#REF!+#REF!),#REF!,"")),"")</f>
        <v/>
      </c>
      <c r="BB56" s="35" t="str">
        <f ca="1">IFERROR(+IF(BB$24=#REF!,Milestone_Marker,IF(AND(BB$24&gt;#REF!,BB$24&lt;#REF!+#REF!),#REF!,"")),"")</f>
        <v/>
      </c>
      <c r="BC56" s="35" t="str">
        <f ca="1">IFERROR(+IF(BC$24=#REF!,Milestone_Marker,IF(AND(BC$24&gt;#REF!,BC$24&lt;#REF!+#REF!),#REF!,"")),"")</f>
        <v/>
      </c>
      <c r="BD56" s="35" t="str">
        <f ca="1">IFERROR(+IF(BD$24=#REF!,Milestone_Marker,IF(AND(BD$24&gt;#REF!,BD$24&lt;#REF!+#REF!),#REF!,"")),"")</f>
        <v/>
      </c>
      <c r="BE56" s="35" t="str">
        <f ca="1">IFERROR(+IF(BE$24=#REF!,Milestone_Marker,IF(AND(BE$24&gt;#REF!,BE$24&lt;#REF!+#REF!),#REF!,"")),"")</f>
        <v/>
      </c>
      <c r="BF56" s="35" t="str">
        <f ca="1">IFERROR(+IF(BF$24=#REF!,Milestone_Marker,IF(AND(BF$24&gt;#REF!,BF$24&lt;#REF!+#REF!),#REF!,"")),"")</f>
        <v/>
      </c>
      <c r="BG56" s="35" t="str">
        <f ca="1">IFERROR(+IF(BG$24=#REF!,Milestone_Marker,IF(AND(BG$24&gt;#REF!,BG$24&lt;#REF!+#REF!),#REF!,"")),"")</f>
        <v/>
      </c>
      <c r="BH56" s="35" t="str">
        <f ca="1">IFERROR(+IF(BH$24=#REF!,Milestone_Marker,IF(AND(BH$24&gt;#REF!,BH$24&lt;#REF!+#REF!),#REF!,"")),"")</f>
        <v/>
      </c>
      <c r="BI56" s="35" t="str">
        <f ca="1">IFERROR(+IF(BI$24=#REF!,Milestone_Marker,IF(AND(BI$24&gt;#REF!,BI$24&lt;#REF!+#REF!),#REF!,"")),"")</f>
        <v/>
      </c>
      <c r="BJ56" s="35" t="str">
        <f ca="1">IFERROR(+IF(BJ$24=#REF!,Milestone_Marker,IF(AND(BJ$24&gt;#REF!,BJ$24&lt;#REF!+#REF!),#REF!,"")),"")</f>
        <v/>
      </c>
      <c r="BK56" s="35" t="str">
        <f ca="1">IFERROR(+IF(BK$24=#REF!,Milestone_Marker,IF(AND(BK$24&gt;#REF!,BK$24&lt;#REF!+#REF!),#REF!,"")),"")</f>
        <v/>
      </c>
      <c r="BL56" s="35" t="str">
        <f ca="1">IFERROR(+IF(BL$24=#REF!,Milestone_Marker,IF(AND(BL$24&gt;#REF!,BL$24&lt;#REF!+#REF!),#REF!,"")),"")</f>
        <v/>
      </c>
      <c r="BM56" s="35" t="str">
        <f ca="1">IFERROR(+IF(BM$24=#REF!,Milestone_Marker,IF(AND(BM$24&gt;#REF!,BM$24&lt;#REF!+#REF!),#REF!,"")),"")</f>
        <v/>
      </c>
      <c r="BN56" s="35" t="str">
        <f ca="1">IFERROR(+IF(BN$24=#REF!,Milestone_Marker,IF(AND(BN$24&gt;#REF!,BN$24&lt;#REF!+#REF!),#REF!,"")),"")</f>
        <v/>
      </c>
      <c r="BO56" s="35" t="str">
        <f ca="1">IFERROR(+IF(BO$24=#REF!,Milestone_Marker,IF(AND(BO$24&gt;#REF!,BO$24&lt;#REF!+#REF!),#REF!,"")),"")</f>
        <v/>
      </c>
      <c r="BP56" s="35" t="str">
        <f ca="1">IFERROR(+IF(BP$24=#REF!,Milestone_Marker,IF(AND(BP$24&gt;#REF!,BP$24&lt;#REF!+#REF!),#REF!,"")),"")</f>
        <v/>
      </c>
      <c r="BQ56" s="35" t="str">
        <f ca="1">IFERROR(+IF(BQ$24=#REF!,Milestone_Marker,IF(AND(BQ$24&gt;#REF!,BQ$24&lt;#REF!+#REF!),#REF!,"")),"")</f>
        <v/>
      </c>
      <c r="BR56" s="35" t="str">
        <f ca="1">IFERROR(+IF(BR$24=#REF!,Milestone_Marker,IF(AND(BR$24&gt;#REF!,BR$24&lt;#REF!+#REF!),#REF!,"")),"")</f>
        <v/>
      </c>
      <c r="BS56" s="35" t="str">
        <f ca="1">IFERROR(+IF(BS$24=#REF!,Milestone_Marker,IF(AND(BS$24&gt;#REF!,BS$24&lt;#REF!+#REF!),#REF!,"")),"")</f>
        <v/>
      </c>
      <c r="BT56" s="35" t="str">
        <f ca="1">IFERROR(+IF(BT$24=#REF!,Milestone_Marker,IF(AND(BT$24&gt;#REF!,BT$24&lt;#REF!+#REF!),#REF!,"")),"")</f>
        <v/>
      </c>
      <c r="BU56" s="35" t="str">
        <f ca="1">IFERROR(+IF(BU$24=#REF!,Milestone_Marker,IF(AND(BU$24&gt;#REF!,BU$24&lt;#REF!+#REF!),#REF!,"")),"")</f>
        <v/>
      </c>
      <c r="BV56" s="35" t="str">
        <f ca="1">IFERROR(+IF(BV$24=#REF!,Milestone_Marker,IF(AND(BV$24&gt;#REF!,BV$24&lt;#REF!+#REF!),#REF!,"")),"")</f>
        <v/>
      </c>
      <c r="BW56" s="35" t="str">
        <f ca="1">IFERROR(+IF(BW$24=#REF!,Milestone_Marker,IF(AND(BW$24&gt;#REF!,BW$24&lt;#REF!+#REF!),#REF!,"")),"")</f>
        <v/>
      </c>
      <c r="BX56" s="35" t="str">
        <f ca="1">IFERROR(+IF(BX$24=#REF!,Milestone_Marker,IF(AND(BX$24&gt;#REF!,BX$24&lt;#REF!+#REF!),#REF!,"")),"")</f>
        <v/>
      </c>
      <c r="BY56" s="35" t="str">
        <f ca="1">IFERROR(+IF(BY$24=#REF!,Milestone_Marker,IF(AND(BY$24&gt;#REF!,BY$24&lt;#REF!+#REF!),#REF!,"")),"")</f>
        <v/>
      </c>
      <c r="BZ56" s="35" t="str">
        <f ca="1">IFERROR(+IF(BZ$24=#REF!,Milestone_Marker,IF(AND(BZ$24&gt;#REF!,BZ$24&lt;#REF!+#REF!),#REF!,"")),"")</f>
        <v/>
      </c>
      <c r="CA56" s="35" t="str">
        <f ca="1">IFERROR(+IF(CA$24=#REF!,Milestone_Marker,IF(AND(CA$24&gt;#REF!,CA$24&lt;#REF!+#REF!),#REF!,"")),"")</f>
        <v/>
      </c>
      <c r="CB56" s="35" t="str">
        <f ca="1">IFERROR(+IF(CB$24=#REF!,Milestone_Marker,IF(AND(CB$24&gt;#REF!,CB$24&lt;#REF!+#REF!),#REF!,"")),"")</f>
        <v/>
      </c>
      <c r="CC56" s="35" t="str">
        <f ca="1">IFERROR(+IF(CC$24=#REF!,Milestone_Marker,IF(AND(CC$24&gt;#REF!,CC$24&lt;#REF!+#REF!),#REF!,"")),"")</f>
        <v/>
      </c>
      <c r="CD56" s="35" t="str">
        <f ca="1">IFERROR(+IF(CD$24=#REF!,Milestone_Marker,IF(AND(CD$24&gt;#REF!,CD$24&lt;#REF!+#REF!),#REF!,"")),"")</f>
        <v/>
      </c>
      <c r="CE56" s="35" t="str">
        <f ca="1">IFERROR(+IF(CE$24=#REF!,Milestone_Marker,IF(AND(CE$24&gt;#REF!,CE$24&lt;#REF!+#REF!),#REF!,"")),"")</f>
        <v/>
      </c>
      <c r="CF56" s="35" t="str">
        <f ca="1">IFERROR(+IF(CF$24=#REF!,Milestone_Marker,IF(AND(CF$24&gt;#REF!,CF$24&lt;#REF!+#REF!),#REF!,"")),"")</f>
        <v/>
      </c>
      <c r="CG56" s="35" t="str">
        <f ca="1">IFERROR(+IF(CG$24=#REF!,Milestone_Marker,IF(AND(CG$24&gt;#REF!,CG$24&lt;#REF!+#REF!),#REF!,"")),"")</f>
        <v/>
      </c>
      <c r="CH56" s="35" t="str">
        <f ca="1">IFERROR(+IF(CH$24=#REF!,Milestone_Marker,IF(AND(CH$24&gt;#REF!,CH$24&lt;#REF!+#REF!),#REF!,"")),"")</f>
        <v/>
      </c>
      <c r="CI56" s="35" t="str">
        <f ca="1">IFERROR(+IF(CI$24=#REF!,Milestone_Marker,IF(AND(CI$24&gt;#REF!,CI$24&lt;#REF!+#REF!),#REF!,"")),"")</f>
        <v/>
      </c>
      <c r="CJ56" s="35" t="str">
        <f ca="1">IFERROR(+IF(CJ$24=#REF!,Milestone_Marker,IF(AND(CJ$24&gt;#REF!,CJ$24&lt;#REF!+#REF!),#REF!,"")),"")</f>
        <v/>
      </c>
      <c r="CK56" s="35" t="str">
        <f ca="1">IFERROR(+IF(CK$24=#REF!,Milestone_Marker,IF(AND(CK$24&gt;#REF!,CK$24&lt;#REF!+#REF!),#REF!,"")),"")</f>
        <v/>
      </c>
      <c r="CL56" s="35" t="str">
        <f ca="1">IFERROR(+IF(CL$24=#REF!,Milestone_Marker,IF(AND(CL$24&gt;#REF!,CL$24&lt;#REF!+#REF!),#REF!,"")),"")</f>
        <v/>
      </c>
      <c r="CM56" s="35" t="str">
        <f ca="1">IFERROR(+IF(CM$24=#REF!,Milestone_Marker,IF(AND(CM$24&gt;#REF!,CM$24&lt;#REF!+#REF!),#REF!,"")),"")</f>
        <v/>
      </c>
      <c r="CN56" s="35" t="str">
        <f ca="1">IFERROR(+IF(CN$24=#REF!,Milestone_Marker,IF(AND(CN$24&gt;#REF!,CN$24&lt;#REF!+#REF!),#REF!,"")),"")</f>
        <v/>
      </c>
      <c r="CO56" s="35" t="str">
        <f ca="1">IFERROR(+IF(CO$24=#REF!,Milestone_Marker,IF(AND(CO$24&gt;#REF!,CO$24&lt;#REF!+#REF!),#REF!,"")),"")</f>
        <v/>
      </c>
      <c r="CP56" s="35" t="str">
        <f ca="1">IFERROR(+IF(CP$24=#REF!,Milestone_Marker,IF(AND(CP$24&gt;#REF!,CP$24&lt;#REF!+#REF!),#REF!,"")),"")</f>
        <v/>
      </c>
      <c r="CQ56" s="35" t="str">
        <f ca="1">IFERROR(+IF(CQ$24=#REF!,Milestone_Marker,IF(AND(CQ$24&gt;#REF!,CQ$24&lt;#REF!+#REF!),#REF!,"")),"")</f>
        <v/>
      </c>
      <c r="CR56" s="35" t="str">
        <f ca="1">IFERROR(+IF(CR$24=#REF!,Milestone_Marker,IF(AND(CR$24&gt;#REF!,CR$24&lt;#REF!+#REF!),#REF!,"")),"")</f>
        <v/>
      </c>
      <c r="CS56" s="35" t="str">
        <f ca="1">IFERROR(+IF(CS$24=#REF!,Milestone_Marker,IF(AND(CS$24&gt;#REF!,CS$24&lt;#REF!+#REF!),#REF!,"")),"")</f>
        <v/>
      </c>
      <c r="CT56" s="35" t="str">
        <f ca="1">IFERROR(+IF(CT$24=#REF!,Milestone_Marker,IF(AND(CT$24&gt;#REF!,CT$24&lt;#REF!+#REF!),#REF!,"")),"")</f>
        <v/>
      </c>
      <c r="CU56" s="35" t="str">
        <f ca="1">IFERROR(+IF(CU$24=#REF!,Milestone_Marker,IF(AND(CU$24&gt;#REF!,CU$24&lt;#REF!+#REF!),#REF!,"")),"")</f>
        <v/>
      </c>
      <c r="CV56" s="35" t="str">
        <f ca="1">IFERROR(+IF(CV$24=#REF!,Milestone_Marker,IF(AND(CV$24&gt;#REF!,CV$24&lt;#REF!+#REF!),#REF!,"")),"")</f>
        <v/>
      </c>
      <c r="CW56" s="35" t="str">
        <f ca="1">IFERROR(+IF(CW$24=#REF!,Milestone_Marker,IF(AND(CW$24&gt;#REF!,CW$24&lt;#REF!+#REF!),#REF!,"")),"")</f>
        <v/>
      </c>
      <c r="CX56" s="35" t="str">
        <f ca="1">IFERROR(+IF(CX$24=#REF!,Milestone_Marker,IF(AND(CX$24&gt;#REF!,CX$24&lt;#REF!+#REF!),#REF!,"")),"")</f>
        <v/>
      </c>
      <c r="CY56" s="35" t="str">
        <f ca="1">IFERROR(+IF(CY$24=#REF!,Milestone_Marker,IF(AND(CY$24&gt;#REF!,CY$24&lt;#REF!+#REF!),#REF!,"")),"")</f>
        <v/>
      </c>
      <c r="CZ56" s="35" t="str">
        <f ca="1">IFERROR(+IF(CZ$24=#REF!,Milestone_Marker,IF(AND(CZ$24&gt;#REF!,CZ$24&lt;#REF!+#REF!),#REF!,"")),"")</f>
        <v/>
      </c>
      <c r="DA56" s="35" t="str">
        <f ca="1">IFERROR(+IF(DA$24=#REF!,Milestone_Marker,IF(AND(DA$24&gt;#REF!,DA$24&lt;#REF!+#REF!),#REF!,"")),"")</f>
        <v/>
      </c>
      <c r="DB56" s="35" t="str">
        <f ca="1">IFERROR(+IF(DB$24=#REF!,Milestone_Marker,IF(AND(DB$24&gt;#REF!,DB$24&lt;#REF!+#REF!),#REF!,"")),"")</f>
        <v/>
      </c>
      <c r="DC56" s="35" t="str">
        <f ca="1">IFERROR(+IF(DC$24=#REF!,Milestone_Marker,IF(AND(DC$24&gt;#REF!,DC$24&lt;#REF!+#REF!),#REF!,"")),"")</f>
        <v/>
      </c>
      <c r="DD56" s="35" t="str">
        <f ca="1">IFERROR(+IF(DD$24=#REF!,Milestone_Marker,IF(AND(DD$24&gt;#REF!,DD$24&lt;#REF!+#REF!),#REF!,"")),"")</f>
        <v/>
      </c>
      <c r="DE56" s="35" t="str">
        <f ca="1">IFERROR(+IF(DE$24=#REF!,Milestone_Marker,IF(AND(DE$24&gt;#REF!,DE$24&lt;#REF!+#REF!),#REF!,"")),"")</f>
        <v/>
      </c>
      <c r="DF56" s="35"/>
      <c r="DG56" s="35"/>
      <c r="DH56" s="35"/>
      <c r="DI56" s="35"/>
      <c r="DJ56" s="35"/>
      <c r="DK56" s="35"/>
      <c r="DL56" s="35"/>
      <c r="DM56" s="35"/>
      <c r="DN56" s="35"/>
      <c r="DO56" s="35"/>
      <c r="DP56" s="35"/>
      <c r="DQ56" s="35"/>
      <c r="DR56" s="35"/>
      <c r="DS56" s="35"/>
      <c r="DT56" s="35"/>
      <c r="DU56" s="35"/>
      <c r="DV56" s="35"/>
      <c r="DW56" s="35"/>
      <c r="DX56" s="35"/>
      <c r="DY56" s="35"/>
      <c r="DZ56" s="35"/>
      <c r="EA56" s="35"/>
      <c r="EB56" s="35"/>
      <c r="EC56" s="35"/>
      <c r="ED56" s="35"/>
      <c r="EE56" s="35"/>
    </row>
    <row r="57" spans="1:135" s="40" customFormat="1" ht="15">
      <c r="A57" t="s">
        <v>806</v>
      </c>
      <c r="B57" t="s">
        <v>517</v>
      </c>
      <c r="C57" t="s">
        <v>553</v>
      </c>
      <c r="D57" s="458" t="s">
        <v>848</v>
      </c>
      <c r="E57" s="458">
        <v>1</v>
      </c>
      <c r="F57">
        <v>3259.8649297500006</v>
      </c>
      <c r="G57">
        <v>3259.8649297500006</v>
      </c>
      <c r="H57"/>
      <c r="I57"/>
      <c r="J57">
        <v>912</v>
      </c>
      <c r="K57" s="107"/>
      <c r="L57" s="463">
        <v>912</v>
      </c>
      <c r="M57" s="490"/>
      <c r="N57" s="160">
        <v>0</v>
      </c>
      <c r="O57" s="546" cm="1">
        <f t="array" ref="O5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45979</v>
      </c>
      <c r="P57" s="567" t="s">
        <v>797</v>
      </c>
      <c r="Q57" s="567"/>
      <c r="R57" s="499"/>
      <c r="S57" s="463" cm="1">
        <f t="array" ref="S5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57" s="34">
        <v>1</v>
      </c>
      <c r="U57" s="490">
        <v>1</v>
      </c>
      <c r="V5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65.010100000000008</v>
      </c>
      <c r="W57" s="557"/>
      <c r="X57" s="545"/>
      <c r="Y57" s="548" t="s">
        <v>865</v>
      </c>
      <c r="Z57" s="160" t="s">
        <v>458</v>
      </c>
      <c r="AA57" s="563">
        <v>100700</v>
      </c>
      <c r="AB57" cm="1">
        <f t="array" ref="AB57">ROW()-ROW(Contract_Edits[#Headers])</f>
        <v>33</v>
      </c>
      <c r="AC57">
        <f>IF(Contract_Edits[[#This Row],[RowPos]]&gt;1, Contract_Edits[[#This Row],[RowPos]]-1, 0)</f>
        <v>32</v>
      </c>
      <c r="AD57" s="35">
        <f>IF(N(Contract_Edits[[#This Row],[Dep]])=0, N(Contract_Edits[[#This Row],[Index]]), N(Contract_Edits[[#This Row],[Dep]]))</f>
        <v>155</v>
      </c>
      <c r="AE57" s="35" cm="1">
        <f t="array" ref="AE57">IF(OR(Contract_Edits[[#This Row],[Dep]]=0, TRIM(Contract_Edits[[#This Row],[Dep]])=""),
   0,
   IFERROR(
      _xlfn.XLOOKUP(1, (Contract_Edits[Dep]=Contract_Edits[[#This Row],[Dep]])*(Contract_Edits[RowPos]&lt;Contract_Edits[[#This Row],[RowPos]]), Contract_Edits[RowPos], , 0, -1),
      0
   )
)</f>
        <v>32</v>
      </c>
      <c r="AF57" s="35">
        <f>IF(OR(Contract_Edits[[#This Row],[Dep]]=0,Contract_Edits[[#This Row],[Dep]]=""),0,
   COUNTIFS(Contract_Edits[Dep],Contract_Edits[[#This Row],[Dep]],Contract_Edits[RowPos],"&lt;="&amp;Contract_Edits[[#This Row],[RowPos]],Contract_Edits[Approve],"Yes")
)</f>
        <v>2</v>
      </c>
      <c r="AG57" s="517">
        <f>--(
  ISNUMBER(SEARCH("BASE PARENT", UPPER(CLEAN(TRIM(_xlfn.XLOOKUP(TEXT(Contract_Edits[[#This Row],[Index]],"0"), baseIdxTxt, baseCost, "")))))) +
  ISNUMBER(SEARCH("DEPENDENCY GROUP", UPPER(CLEAN(TRIM(_xlfn.XLOOKUP(TEXT(Contract_Edits[[#This Row],[Index]],"0"), baseIdxTxt, baseCost, ""))))))
)</f>
        <v>0</v>
      </c>
      <c r="AH57" s="517" t="str" cm="1">
        <f t="array" ref="AH57">IF(Contract_Edits[[#This Row],[BaseFlag]]=1,
   10*BaseDepthL(TEXT(Contract_Edits[[#This Row],[Index]],"0"),500,editsIdxTxt,editsParentKeyTxt,baseIdxTxt,baseCost)-5,
   ""
)</f>
        <v/>
      </c>
      <c r="AI57" s="517" cm="1">
        <f t="array" ref="AI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57" s="517" t="str">
        <f>IF(Contract_Edits[[#This Row],[Dep]]=0,"Root",
   IF(ISNUMBER(MATCH(Contract_Edits[[#This Row],[Dep]],Contract_Edits[Index],0)),"OK","Missing")
)</f>
        <v>OK</v>
      </c>
      <c r="AK57" s="517" t="str">
        <f>IF(AND(Contract_Edits[[#This Row],[Dep]]&lt;&gt;0,
        ISNUMBER(MATCH(Contract_Edits[[#This Row],[Dep]], Contract_Edits[Index], 0)),
        INDEX(Contract_Edits[Dep], MATCH(Contract_Edits[[#This Row],[Dep]], Contract_Edits[Index], 0))=Contract_Edits[[#This Row],[Index]]),
   "2-cycle","")</f>
        <v/>
      </c>
      <c r="AL57" s="517" cm="1">
        <f t="array" ref="AL57">IF(Contract_Edits[[#This Row],[BaseFlag]]&lt;&gt;1,0,
   IF(TEXT(Contract_Edits[[#This Row],[Dep]],"0")=TEXT(Contract_Edits[[#This Row],[Index]],"0"),
      0,
      MAX(0, SUMPRODUCT(--(Contract_Edits[BaseFlag]=1),
                        --(TEXT(Contract_Edits[Dep],"0")=TEXT(Contract_Edits[[#This Row],[Dep]],"0"))) - 1)
   )
)</f>
        <v>0</v>
      </c>
      <c r="AM57" s="517" t="str" cm="1">
        <f t="array" ref="AM57">IF(Contract_Edits[[#This Row],[BaseFlag]]=1,
   TEXT(Contract_Edits[[#This Row],[Index]],"0"),
   NearestBaseL(TEXT(Contract_Edits[[#This Row],[ParentKey]],"0"),500,editsIdxTxt,editsParentKeyTxt,baseIdxTxt,baseCost)
)</f>
        <v>155</v>
      </c>
      <c r="AN57" s="517" cm="1">
        <f t="array" ref="AN57">1+SUMPRODUCT(
  (Contract_Edits[BaseFlag]=1)*
  (TEXT(Contract_Edits[ParentAnchor],"0")=TEXT(Contract_Edits[[#This Row],[ParentAnchor]],"0"))*
  (VALUE(TEXT(Contract_Edits[Index],"0"))&lt;VALUE(TEXT(Contract_Edits[[#This Row],[Index]],"0")))
)</f>
        <v>5</v>
      </c>
      <c r="AO57" s="35"/>
      <c r="AQ57" s="35" t="str">
        <f ca="1">IFERROR(+IF(AQ$24=#REF!,Milestone_Marker,IF(AND(AQ$24&gt;#REF!,AQ$24&lt;#REF!+#REF!),#REF!,"")),"")</f>
        <v/>
      </c>
      <c r="AR57" s="35" t="str">
        <f ca="1">IFERROR(+IF(AR$24=#REF!,Milestone_Marker,IF(AND(AR$24&gt;#REF!,AR$24&lt;#REF!+#REF!),#REF!,"")),"")</f>
        <v/>
      </c>
      <c r="AS57" s="35" t="str">
        <f ca="1">IFERROR(+IF(AS$24=#REF!,Milestone_Marker,IF(AND(AS$24&gt;#REF!,AS$24&lt;#REF!+#REF!),#REF!,"")),"")</f>
        <v/>
      </c>
      <c r="AT57" s="35" t="str">
        <f ca="1">IFERROR(+IF(AT$24=#REF!,Milestone_Marker,IF(AND(AT$24&gt;#REF!,AT$24&lt;#REF!+#REF!),#REF!,"")),"")</f>
        <v/>
      </c>
      <c r="AU57" s="35" t="str">
        <f ca="1">IFERROR(+IF(AU$24=#REF!,Milestone_Marker,IF(AND(AU$24&gt;#REF!,AU$24&lt;#REF!+#REF!),#REF!,"")),"")</f>
        <v/>
      </c>
      <c r="AV57" s="35" t="str">
        <f ca="1">IFERROR(+IF(AV$24=#REF!,Milestone_Marker,IF(AND(AV$24&gt;#REF!,AV$24&lt;#REF!+#REF!),#REF!,"")),"")</f>
        <v/>
      </c>
      <c r="AW57" s="35" t="str">
        <f ca="1">IFERROR(+IF(AW$24=#REF!,Milestone_Marker,IF(AND(AW$24&gt;#REF!,AW$24&lt;#REF!+#REF!),#REF!,"")),"")</f>
        <v/>
      </c>
      <c r="AX57" s="35" t="str">
        <f ca="1">IFERROR(+IF(AX$24=#REF!,Milestone_Marker,IF(AND(AX$24&gt;#REF!,AX$24&lt;#REF!+#REF!),#REF!,"")),"")</f>
        <v/>
      </c>
      <c r="AY57" s="35" t="str">
        <f ca="1">IFERROR(+IF(AY$24=#REF!,Milestone_Marker,IF(AND(AY$24&gt;#REF!,AY$24&lt;#REF!+#REF!),#REF!,"")),"")</f>
        <v/>
      </c>
      <c r="AZ57" s="35" t="str">
        <f ca="1">IFERROR(+IF(AZ$24=#REF!,Milestone_Marker,IF(AND(AZ$24&gt;#REF!,AZ$24&lt;#REF!+#REF!),#REF!,"")),"")</f>
        <v/>
      </c>
      <c r="BA57" s="35" t="str">
        <f ca="1">IFERROR(+IF(BA$24=#REF!,Milestone_Marker,IF(AND(BA$24&gt;#REF!,BA$24&lt;#REF!+#REF!),#REF!,"")),"")</f>
        <v/>
      </c>
      <c r="BB57" s="35" t="str">
        <f ca="1">IFERROR(+IF(BB$24=#REF!,Milestone_Marker,IF(AND(BB$24&gt;#REF!,BB$24&lt;#REF!+#REF!),#REF!,"")),"")</f>
        <v/>
      </c>
      <c r="BC57" s="35" t="str">
        <f ca="1">IFERROR(+IF(BC$24=#REF!,Milestone_Marker,IF(AND(BC$24&gt;#REF!,BC$24&lt;#REF!+#REF!),#REF!,"")),"")</f>
        <v/>
      </c>
      <c r="BD57" s="35" t="str">
        <f ca="1">IFERROR(+IF(BD$24=#REF!,Milestone_Marker,IF(AND(BD$24&gt;#REF!,BD$24&lt;#REF!+#REF!),#REF!,"")),"")</f>
        <v/>
      </c>
      <c r="BE57" s="35" t="str">
        <f ca="1">IFERROR(+IF(BE$24=#REF!,Milestone_Marker,IF(AND(BE$24&gt;#REF!,BE$24&lt;#REF!+#REF!),#REF!,"")),"")</f>
        <v/>
      </c>
      <c r="BF57" s="35" t="str">
        <f ca="1">IFERROR(+IF(BF$24=#REF!,Milestone_Marker,IF(AND(BF$24&gt;#REF!,BF$24&lt;#REF!+#REF!),#REF!,"")),"")</f>
        <v/>
      </c>
      <c r="BG57" s="35" t="str">
        <f ca="1">IFERROR(+IF(BG$24=#REF!,Milestone_Marker,IF(AND(BG$24&gt;#REF!,BG$24&lt;#REF!+#REF!),#REF!,"")),"")</f>
        <v/>
      </c>
      <c r="BH57" s="35" t="str">
        <f ca="1">IFERROR(+IF(BH$24=#REF!,Milestone_Marker,IF(AND(BH$24&gt;#REF!,BH$24&lt;#REF!+#REF!),#REF!,"")),"")</f>
        <v/>
      </c>
      <c r="BI57" s="35" t="str">
        <f ca="1">IFERROR(+IF(BI$24=#REF!,Milestone_Marker,IF(AND(BI$24&gt;#REF!,BI$24&lt;#REF!+#REF!),#REF!,"")),"")</f>
        <v/>
      </c>
      <c r="BJ57" s="35" t="str">
        <f ca="1">IFERROR(+IF(BJ$24=#REF!,Milestone_Marker,IF(AND(BJ$24&gt;#REF!,BJ$24&lt;#REF!+#REF!),#REF!,"")),"")</f>
        <v/>
      </c>
      <c r="BK57" s="35" t="str">
        <f ca="1">IFERROR(+IF(BK$24=#REF!,Milestone_Marker,IF(AND(BK$24&gt;#REF!,BK$24&lt;#REF!+#REF!),#REF!,"")),"")</f>
        <v/>
      </c>
      <c r="BL57" s="35" t="str">
        <f ca="1">IFERROR(+IF(BL$24=#REF!,Milestone_Marker,IF(AND(BL$24&gt;#REF!,BL$24&lt;#REF!+#REF!),#REF!,"")),"")</f>
        <v/>
      </c>
      <c r="BM57" s="35" t="str">
        <f ca="1">IFERROR(+IF(BM$24=#REF!,Milestone_Marker,IF(AND(BM$24&gt;#REF!,BM$24&lt;#REF!+#REF!),#REF!,"")),"")</f>
        <v/>
      </c>
      <c r="BN57" s="35" t="str">
        <f ca="1">IFERROR(+IF(BN$24=#REF!,Milestone_Marker,IF(AND(BN$24&gt;#REF!,BN$24&lt;#REF!+#REF!),#REF!,"")),"")</f>
        <v/>
      </c>
      <c r="BO57" s="35" t="str">
        <f ca="1">IFERROR(+IF(BO$24=#REF!,Milestone_Marker,IF(AND(BO$24&gt;#REF!,BO$24&lt;#REF!+#REF!),#REF!,"")),"")</f>
        <v/>
      </c>
      <c r="BP57" s="35" t="str">
        <f ca="1">IFERROR(+IF(BP$24=#REF!,Milestone_Marker,IF(AND(BP$24&gt;#REF!,BP$24&lt;#REF!+#REF!),#REF!,"")),"")</f>
        <v/>
      </c>
      <c r="BQ57" s="35" t="str">
        <f ca="1">IFERROR(+IF(BQ$24=#REF!,Milestone_Marker,IF(AND(BQ$24&gt;#REF!,BQ$24&lt;#REF!+#REF!),#REF!,"")),"")</f>
        <v/>
      </c>
      <c r="BR57" s="35" t="str">
        <f ca="1">IFERROR(+IF(BR$24=#REF!,Milestone_Marker,IF(AND(BR$24&gt;#REF!,BR$24&lt;#REF!+#REF!),#REF!,"")),"")</f>
        <v/>
      </c>
      <c r="BS57" s="35" t="str">
        <f ca="1">IFERROR(+IF(BS$24=#REF!,Milestone_Marker,IF(AND(BS$24&gt;#REF!,BS$24&lt;#REF!+#REF!),#REF!,"")),"")</f>
        <v/>
      </c>
      <c r="BT57" s="35" t="str">
        <f ca="1">IFERROR(+IF(BT$24=#REF!,Milestone_Marker,IF(AND(BT$24&gt;#REF!,BT$24&lt;#REF!+#REF!),#REF!,"")),"")</f>
        <v/>
      </c>
      <c r="BU57" s="35" t="str">
        <f ca="1">IFERROR(+IF(BU$24=#REF!,Milestone_Marker,IF(AND(BU$24&gt;#REF!,BU$24&lt;#REF!+#REF!),#REF!,"")),"")</f>
        <v/>
      </c>
      <c r="BV57" s="35" t="str">
        <f ca="1">IFERROR(+IF(BV$24=#REF!,Milestone_Marker,IF(AND(BV$24&gt;#REF!,BV$24&lt;#REF!+#REF!),#REF!,"")),"")</f>
        <v/>
      </c>
      <c r="BW57" s="35" t="str">
        <f ca="1">IFERROR(+IF(BW$24=#REF!,Milestone_Marker,IF(AND(BW$24&gt;#REF!,BW$24&lt;#REF!+#REF!),#REF!,"")),"")</f>
        <v/>
      </c>
      <c r="BX57" s="35" t="str">
        <f ca="1">IFERROR(+IF(BX$24=#REF!,Milestone_Marker,IF(AND(BX$24&gt;#REF!,BX$24&lt;#REF!+#REF!),#REF!,"")),"")</f>
        <v/>
      </c>
      <c r="BY57" s="35" t="str">
        <f ca="1">IFERROR(+IF(BY$24=#REF!,Milestone_Marker,IF(AND(BY$24&gt;#REF!,BY$24&lt;#REF!+#REF!),#REF!,"")),"")</f>
        <v/>
      </c>
      <c r="BZ57" s="35" t="str">
        <f ca="1">IFERROR(+IF(BZ$24=#REF!,Milestone_Marker,IF(AND(BZ$24&gt;#REF!,BZ$24&lt;#REF!+#REF!),#REF!,"")),"")</f>
        <v/>
      </c>
      <c r="CA57" s="35" t="str">
        <f ca="1">IFERROR(+IF(CA$24=#REF!,Milestone_Marker,IF(AND(CA$24&gt;#REF!,CA$24&lt;#REF!+#REF!),#REF!,"")),"")</f>
        <v/>
      </c>
      <c r="CB57" s="35" t="str">
        <f ca="1">IFERROR(+IF(CB$24=#REF!,Milestone_Marker,IF(AND(CB$24&gt;#REF!,CB$24&lt;#REF!+#REF!),#REF!,"")),"")</f>
        <v/>
      </c>
      <c r="CC57" s="35" t="str">
        <f ca="1">IFERROR(+IF(CC$24=#REF!,Milestone_Marker,IF(AND(CC$24&gt;#REF!,CC$24&lt;#REF!+#REF!),#REF!,"")),"")</f>
        <v/>
      </c>
      <c r="CD57" s="35" t="str">
        <f ca="1">IFERROR(+IF(CD$24=#REF!,Milestone_Marker,IF(AND(CD$24&gt;#REF!,CD$24&lt;#REF!+#REF!),#REF!,"")),"")</f>
        <v/>
      </c>
      <c r="CE57" s="35" t="str">
        <f ca="1">IFERROR(+IF(CE$24=#REF!,Milestone_Marker,IF(AND(CE$24&gt;#REF!,CE$24&lt;#REF!+#REF!),#REF!,"")),"")</f>
        <v/>
      </c>
      <c r="CF57" s="35" t="str">
        <f ca="1">IFERROR(+IF(CF$24=#REF!,Milestone_Marker,IF(AND(CF$24&gt;#REF!,CF$24&lt;#REF!+#REF!),#REF!,"")),"")</f>
        <v/>
      </c>
      <c r="CG57" s="35" t="str">
        <f ca="1">IFERROR(+IF(CG$24=#REF!,Milestone_Marker,IF(AND(CG$24&gt;#REF!,CG$24&lt;#REF!+#REF!),#REF!,"")),"")</f>
        <v/>
      </c>
      <c r="CH57" s="35" t="str">
        <f ca="1">IFERROR(+IF(CH$24=#REF!,Milestone_Marker,IF(AND(CH$24&gt;#REF!,CH$24&lt;#REF!+#REF!),#REF!,"")),"")</f>
        <v/>
      </c>
      <c r="CI57" s="35" t="str">
        <f ca="1">IFERROR(+IF(CI$24=#REF!,Milestone_Marker,IF(AND(CI$24&gt;#REF!,CI$24&lt;#REF!+#REF!),#REF!,"")),"")</f>
        <v/>
      </c>
      <c r="CJ57" s="35" t="str">
        <f ca="1">IFERROR(+IF(CJ$24=#REF!,Milestone_Marker,IF(AND(CJ$24&gt;#REF!,CJ$24&lt;#REF!+#REF!),#REF!,"")),"")</f>
        <v/>
      </c>
      <c r="CK57" s="35" t="str">
        <f ca="1">IFERROR(+IF(CK$24=#REF!,Milestone_Marker,IF(AND(CK$24&gt;#REF!,CK$24&lt;#REF!+#REF!),#REF!,"")),"")</f>
        <v/>
      </c>
      <c r="CL57" s="35" t="str">
        <f ca="1">IFERROR(+IF(CL$24=#REF!,Milestone_Marker,IF(AND(CL$24&gt;#REF!,CL$24&lt;#REF!+#REF!),#REF!,"")),"")</f>
        <v/>
      </c>
      <c r="CM57" s="35" t="str">
        <f ca="1">IFERROR(+IF(CM$24=#REF!,Milestone_Marker,IF(AND(CM$24&gt;#REF!,CM$24&lt;#REF!+#REF!),#REF!,"")),"")</f>
        <v/>
      </c>
      <c r="CN57" s="35" t="str">
        <f ca="1">IFERROR(+IF(CN$24=#REF!,Milestone_Marker,IF(AND(CN$24&gt;#REF!,CN$24&lt;#REF!+#REF!),#REF!,"")),"")</f>
        <v/>
      </c>
      <c r="CO57" s="35" t="str">
        <f ca="1">IFERROR(+IF(CO$24=#REF!,Milestone_Marker,IF(AND(CO$24&gt;#REF!,CO$24&lt;#REF!+#REF!),#REF!,"")),"")</f>
        <v/>
      </c>
      <c r="CP57" s="35" t="str">
        <f ca="1">IFERROR(+IF(CP$24=#REF!,Milestone_Marker,IF(AND(CP$24&gt;#REF!,CP$24&lt;#REF!+#REF!),#REF!,"")),"")</f>
        <v/>
      </c>
      <c r="CQ57" s="35" t="str">
        <f ca="1">IFERROR(+IF(CQ$24=#REF!,Milestone_Marker,IF(AND(CQ$24&gt;#REF!,CQ$24&lt;#REF!+#REF!),#REF!,"")),"")</f>
        <v/>
      </c>
      <c r="CR57" s="35" t="str">
        <f ca="1">IFERROR(+IF(CR$24=#REF!,Milestone_Marker,IF(AND(CR$24&gt;#REF!,CR$24&lt;#REF!+#REF!),#REF!,"")),"")</f>
        <v/>
      </c>
      <c r="CS57" s="35" t="str">
        <f ca="1">IFERROR(+IF(CS$24=#REF!,Milestone_Marker,IF(AND(CS$24&gt;#REF!,CS$24&lt;#REF!+#REF!),#REF!,"")),"")</f>
        <v/>
      </c>
      <c r="CT57" s="35" t="str">
        <f ca="1">IFERROR(+IF(CT$24=#REF!,Milestone_Marker,IF(AND(CT$24&gt;#REF!,CT$24&lt;#REF!+#REF!),#REF!,"")),"")</f>
        <v/>
      </c>
      <c r="CU57" s="35" t="str">
        <f ca="1">IFERROR(+IF(CU$24=#REF!,Milestone_Marker,IF(AND(CU$24&gt;#REF!,CU$24&lt;#REF!+#REF!),#REF!,"")),"")</f>
        <v/>
      </c>
      <c r="CV57" s="35" t="str">
        <f ca="1">IFERROR(+IF(CV$24=#REF!,Milestone_Marker,IF(AND(CV$24&gt;#REF!,CV$24&lt;#REF!+#REF!),#REF!,"")),"")</f>
        <v/>
      </c>
      <c r="CW57" s="35" t="str">
        <f ca="1">IFERROR(+IF(CW$24=#REF!,Milestone_Marker,IF(AND(CW$24&gt;#REF!,CW$24&lt;#REF!+#REF!),#REF!,"")),"")</f>
        <v/>
      </c>
      <c r="CX57" s="35" t="str">
        <f ca="1">IFERROR(+IF(CX$24=#REF!,Milestone_Marker,IF(AND(CX$24&gt;#REF!,CX$24&lt;#REF!+#REF!),#REF!,"")),"")</f>
        <v/>
      </c>
      <c r="CY57" s="35" t="str">
        <f ca="1">IFERROR(+IF(CY$24=#REF!,Milestone_Marker,IF(AND(CY$24&gt;#REF!,CY$24&lt;#REF!+#REF!),#REF!,"")),"")</f>
        <v/>
      </c>
      <c r="CZ57" s="35" t="str">
        <f ca="1">IFERROR(+IF(CZ$24=#REF!,Milestone_Marker,IF(AND(CZ$24&gt;#REF!,CZ$24&lt;#REF!+#REF!),#REF!,"")),"")</f>
        <v/>
      </c>
      <c r="DA57" s="35" t="str">
        <f ca="1">IFERROR(+IF(DA$24=#REF!,Milestone_Marker,IF(AND(DA$24&gt;#REF!,DA$24&lt;#REF!+#REF!),#REF!,"")),"")</f>
        <v/>
      </c>
      <c r="DB57" s="35" t="str">
        <f ca="1">IFERROR(+IF(DB$24=#REF!,Milestone_Marker,IF(AND(DB$24&gt;#REF!,DB$24&lt;#REF!+#REF!),#REF!,"")),"")</f>
        <v/>
      </c>
      <c r="DC57" s="35" t="str">
        <f ca="1">IFERROR(+IF(DC$24=#REF!,Milestone_Marker,IF(AND(DC$24&gt;#REF!,DC$24&lt;#REF!+#REF!),#REF!,"")),"")</f>
        <v/>
      </c>
      <c r="DD57" s="35" t="str">
        <f ca="1">IFERROR(+IF(DD$24=#REF!,Milestone_Marker,IF(AND(DD$24&gt;#REF!,DD$24&lt;#REF!+#REF!),#REF!,"")),"")</f>
        <v/>
      </c>
      <c r="DE57" s="35" t="str">
        <f ca="1">IFERROR(+IF(DE$24=#REF!,Milestone_Marker,IF(AND(DE$24&gt;#REF!,DE$24&lt;#REF!+#REF!),#REF!,"")),"")</f>
        <v/>
      </c>
      <c r="DF57" s="35"/>
      <c r="DG57" s="35"/>
      <c r="DH57" s="35"/>
      <c r="DI57" s="35"/>
      <c r="DJ57" s="35"/>
      <c r="DK57" s="35"/>
      <c r="DL57" s="35"/>
      <c r="DM57" s="35"/>
      <c r="DN57" s="35"/>
      <c r="DO57" s="35"/>
      <c r="DP57" s="35"/>
      <c r="DQ57" s="35"/>
      <c r="DR57" s="35"/>
      <c r="DS57" s="35"/>
      <c r="DT57" s="35"/>
      <c r="DU57" s="35"/>
      <c r="DV57" s="35"/>
      <c r="DW57" s="35"/>
      <c r="DX57" s="35"/>
      <c r="DY57" s="35"/>
      <c r="DZ57" s="35"/>
      <c r="EA57" s="35"/>
      <c r="EB57" s="35"/>
      <c r="EC57" s="35"/>
      <c r="ED57" s="35"/>
      <c r="EE57" s="35"/>
    </row>
    <row r="58" spans="1:135" s="40" customFormat="1" ht="15">
      <c r="A58" t="s">
        <v>467</v>
      </c>
      <c r="B58" t="s">
        <v>549</v>
      </c>
      <c r="C58" t="s">
        <v>553</v>
      </c>
      <c r="D58" s="458" t="s">
        <v>554</v>
      </c>
      <c r="E58" s="458">
        <v>140</v>
      </c>
      <c r="F58">
        <v>0</v>
      </c>
      <c r="G58">
        <v>0</v>
      </c>
      <c r="H58">
        <v>155</v>
      </c>
      <c r="I58"/>
      <c r="J58">
        <v>17</v>
      </c>
      <c r="K58" s="107"/>
      <c r="L58" s="463">
        <v>17</v>
      </c>
      <c r="M58" s="176">
        <v>1</v>
      </c>
      <c r="N58" s="160">
        <v>0</v>
      </c>
      <c r="O58" s="546" cm="1">
        <f t="array" ref="O5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45979</v>
      </c>
      <c r="P58" s="566" t="s">
        <v>797</v>
      </c>
      <c r="Q58" s="566">
        <v>0</v>
      </c>
      <c r="R58" s="22"/>
      <c r="S58" s="463" cm="1">
        <f t="array" ref="S5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58">
        <v>1</v>
      </c>
      <c r="U58" s="176">
        <v>2</v>
      </c>
      <c r="V5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65.010200000000012</v>
      </c>
      <c r="W58" s="497"/>
      <c r="X58" s="176" t="s">
        <v>866</v>
      </c>
      <c r="Y58" s="547" t="s">
        <v>865</v>
      </c>
      <c r="Z58" s="160" t="s">
        <v>458</v>
      </c>
      <c r="AA58" s="563">
        <v>101700</v>
      </c>
      <c r="AB58" cm="1">
        <f t="array" ref="AB58">ROW()-ROW(Contract_Edits[#Headers])</f>
        <v>34</v>
      </c>
      <c r="AC58">
        <f>IF(Contract_Edits[[#This Row],[RowPos]]&gt;1, Contract_Edits[[#This Row],[RowPos]]-1, 0)</f>
        <v>33</v>
      </c>
      <c r="AD58" s="35">
        <f>IF(N(Contract_Edits[[#This Row],[Dep]])=0, N(Contract_Edits[[#This Row],[Index]]), N(Contract_Edits[[#This Row],[Dep]]))</f>
        <v>155</v>
      </c>
      <c r="AE58" s="35" cm="1">
        <f t="array" ref="AE58">IF(OR(Contract_Edits[[#This Row],[Dep]]=0, TRIM(Contract_Edits[[#This Row],[Dep]])=""),
   0,
   IFERROR(
      _xlfn.XLOOKUP(1, (Contract_Edits[Dep]=Contract_Edits[[#This Row],[Dep]])*(Contract_Edits[RowPos]&lt;Contract_Edits[[#This Row],[RowPos]]), Contract_Edits[RowPos], , 0, -1),
      0
   )
)</f>
        <v>33</v>
      </c>
      <c r="AF58" s="35">
        <f>IF(OR(Contract_Edits[[#This Row],[Dep]]=0,Contract_Edits[[#This Row],[Dep]]=""),0,
   COUNTIFS(Contract_Edits[Dep],Contract_Edits[[#This Row],[Dep]],Contract_Edits[RowPos],"&lt;="&amp;Contract_Edits[[#This Row],[RowPos]],Contract_Edits[Approve],"Yes")
)</f>
        <v>3</v>
      </c>
      <c r="AG58" s="517">
        <f>--(
  ISNUMBER(SEARCH("BASE PARENT", UPPER(CLEAN(TRIM(_xlfn.XLOOKUP(TEXT(Contract_Edits[[#This Row],[Index]],"0"), baseIdxTxt, baseCost, "")))))) +
  ISNUMBER(SEARCH("DEPENDENCY GROUP", UPPER(CLEAN(TRIM(_xlfn.XLOOKUP(TEXT(Contract_Edits[[#This Row],[Index]],"0"), baseIdxTxt, baseCost, ""))))))
)</f>
        <v>0</v>
      </c>
      <c r="AH58" s="517" t="str" cm="1">
        <f t="array" ref="AH58">IF(Contract_Edits[[#This Row],[BaseFlag]]=1,
   10*BaseDepthL(TEXT(Contract_Edits[[#This Row],[Index]],"0"),500,editsIdxTxt,editsParentKeyTxt,baseIdxTxt,baseCost)-5,
   ""
)</f>
        <v/>
      </c>
      <c r="AI58" s="517" cm="1">
        <f t="array" ref="AI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58" s="517" t="str">
        <f>IF(Contract_Edits[[#This Row],[Dep]]=0,"Root",
   IF(ISNUMBER(MATCH(Contract_Edits[[#This Row],[Dep]],Contract_Edits[Index],0)),"OK","Missing")
)</f>
        <v>OK</v>
      </c>
      <c r="AK58" s="517" t="str">
        <f>IF(AND(Contract_Edits[[#This Row],[Dep]]&lt;&gt;0,
        ISNUMBER(MATCH(Contract_Edits[[#This Row],[Dep]], Contract_Edits[Index], 0)),
        INDEX(Contract_Edits[Dep], MATCH(Contract_Edits[[#This Row],[Dep]], Contract_Edits[Index], 0))=Contract_Edits[[#This Row],[Index]]),
   "2-cycle","")</f>
        <v/>
      </c>
      <c r="AL58" s="517" cm="1">
        <f t="array" ref="AL58">IF(Contract_Edits[[#This Row],[BaseFlag]]&lt;&gt;1,0,
   IF(TEXT(Contract_Edits[[#This Row],[Dep]],"0")=TEXT(Contract_Edits[[#This Row],[Index]],"0"),
      0,
      MAX(0, SUMPRODUCT(--(Contract_Edits[BaseFlag]=1),
                        --(TEXT(Contract_Edits[Dep],"0")=TEXT(Contract_Edits[[#This Row],[Dep]],"0"))) - 1)
   )
)</f>
        <v>0</v>
      </c>
      <c r="AM58" s="517" t="str" cm="1">
        <f t="array" ref="AM58">IF(Contract_Edits[[#This Row],[BaseFlag]]=1,
   TEXT(Contract_Edits[[#This Row],[Index]],"0"),
   NearestBaseL(TEXT(Contract_Edits[[#This Row],[ParentKey]],"0"),500,editsIdxTxt,editsParentKeyTxt,baseIdxTxt,baseCost)
)</f>
        <v>155</v>
      </c>
      <c r="AN58" s="517" cm="1">
        <f t="array" ref="AN58">1+SUMPRODUCT(
  (Contract_Edits[BaseFlag]=1)*
  (TEXT(Contract_Edits[ParentAnchor],"0")=TEXT(Contract_Edits[[#This Row],[ParentAnchor]],"0"))*
  (VALUE(TEXT(Contract_Edits[Index],"0"))&lt;VALUE(TEXT(Contract_Edits[[#This Row],[Index]],"0")))
)</f>
        <v>1</v>
      </c>
      <c r="AO58" s="35"/>
      <c r="AP58" s="35" t="str">
        <f ca="1">IFERROR(+IF(AP$24=#REF!,Milestone_Marker,IF(AND(AP$24&gt;#REF!,AP$24&lt;#REF!+#REF!),#REF!,"")),"")</f>
        <v/>
      </c>
      <c r="AQ58" s="35" t="str">
        <f ca="1">IFERROR(+IF(AQ$24=#REF!,Milestone_Marker,IF(AND(AQ$24&gt;#REF!,AQ$24&lt;#REF!+#REF!),#REF!,"")),"")</f>
        <v/>
      </c>
      <c r="AR58" s="35" t="str">
        <f ca="1">IFERROR(+IF(AR$24=#REF!,Milestone_Marker,IF(AND(AR$24&gt;#REF!,AR$24&lt;#REF!+#REF!),#REF!,"")),"")</f>
        <v/>
      </c>
      <c r="AS58" s="35" t="str">
        <f ca="1">IFERROR(+IF(AS$24=#REF!,Milestone_Marker,IF(AND(AS$24&gt;#REF!,AS$24&lt;#REF!+#REF!),#REF!,"")),"")</f>
        <v/>
      </c>
      <c r="AT58" s="35" t="str">
        <f ca="1">IFERROR(+IF(AT$24=#REF!,Milestone_Marker,IF(AND(AT$24&gt;#REF!,AT$24&lt;#REF!+#REF!),#REF!,"")),"")</f>
        <v/>
      </c>
      <c r="AU58" s="35" t="str">
        <f ca="1">IFERROR(+IF(AU$24=#REF!,Milestone_Marker,IF(AND(AU$24&gt;#REF!,AU$24&lt;#REF!+#REF!),#REF!,"")),"")</f>
        <v/>
      </c>
      <c r="AV58" s="35" t="str">
        <f ca="1">IFERROR(+IF(AV$24=#REF!,Milestone_Marker,IF(AND(AV$24&gt;#REF!,AV$24&lt;#REF!+#REF!),#REF!,"")),"")</f>
        <v/>
      </c>
      <c r="AW58" s="35" t="str">
        <f ca="1">IFERROR(+IF(AW$24=#REF!,Milestone_Marker,IF(AND(AW$24&gt;#REF!,AW$24&lt;#REF!+#REF!),#REF!,"")),"")</f>
        <v/>
      </c>
      <c r="AX58" s="35" t="str">
        <f ca="1">IFERROR(+IF(AX$24=#REF!,Milestone_Marker,IF(AND(AX$24&gt;#REF!,AX$24&lt;#REF!+#REF!),#REF!,"")),"")</f>
        <v/>
      </c>
      <c r="AY58" s="35" t="str">
        <f ca="1">IFERROR(+IF(AY$24=#REF!,Milestone_Marker,IF(AND(AY$24&gt;#REF!,AY$24&lt;#REF!+#REF!),#REF!,"")),"")</f>
        <v/>
      </c>
      <c r="AZ58" s="35" t="str">
        <f ca="1">IFERROR(+IF(AZ$24=#REF!,Milestone_Marker,IF(AND(AZ$24&gt;#REF!,AZ$24&lt;#REF!+#REF!),#REF!,"")),"")</f>
        <v/>
      </c>
      <c r="BA58" s="35" t="str">
        <f ca="1">IFERROR(+IF(BA$24=#REF!,Milestone_Marker,IF(AND(BA$24&gt;#REF!,BA$24&lt;#REF!+#REF!),#REF!,"")),"")</f>
        <v/>
      </c>
      <c r="BB58" s="35" t="str">
        <f ca="1">IFERROR(+IF(BB$24=#REF!,Milestone_Marker,IF(AND(BB$24&gt;#REF!,BB$24&lt;#REF!+#REF!),#REF!,"")),"")</f>
        <v/>
      </c>
      <c r="BC58" s="35" t="str">
        <f ca="1">IFERROR(+IF(BC$24=#REF!,Milestone_Marker,IF(AND(BC$24&gt;#REF!,BC$24&lt;#REF!+#REF!),#REF!,"")),"")</f>
        <v/>
      </c>
      <c r="BD58" s="35" t="str">
        <f ca="1">IFERROR(+IF(BD$24=#REF!,Milestone_Marker,IF(AND(BD$24&gt;#REF!,BD$24&lt;#REF!+#REF!),#REF!,"")),"")</f>
        <v/>
      </c>
      <c r="BE58" s="35" t="str">
        <f ca="1">IFERROR(+IF(BE$24=#REF!,Milestone_Marker,IF(AND(BE$24&gt;#REF!,BE$24&lt;#REF!+#REF!),#REF!,"")),"")</f>
        <v/>
      </c>
      <c r="BF58" s="35" t="str">
        <f ca="1">IFERROR(+IF(BF$24=#REF!,Milestone_Marker,IF(AND(BF$24&gt;#REF!,BF$24&lt;#REF!+#REF!),#REF!,"")),"")</f>
        <v/>
      </c>
      <c r="BG58" s="35" t="str">
        <f ca="1">IFERROR(+IF(BG$24=#REF!,Milestone_Marker,IF(AND(BG$24&gt;#REF!,BG$24&lt;#REF!+#REF!),#REF!,"")),"")</f>
        <v/>
      </c>
      <c r="BH58" s="35" t="str">
        <f ca="1">IFERROR(+IF(BH$24=#REF!,Milestone_Marker,IF(AND(BH$24&gt;#REF!,BH$24&lt;#REF!+#REF!),#REF!,"")),"")</f>
        <v/>
      </c>
      <c r="BI58" s="35" t="str">
        <f ca="1">IFERROR(+IF(BI$24=#REF!,Milestone_Marker,IF(AND(BI$24&gt;#REF!,BI$24&lt;#REF!+#REF!),#REF!,"")),"")</f>
        <v/>
      </c>
      <c r="BJ58" s="35" t="str">
        <f ca="1">IFERROR(+IF(BJ$24=#REF!,Milestone_Marker,IF(AND(BJ$24&gt;#REF!,BJ$24&lt;#REF!+#REF!),#REF!,"")),"")</f>
        <v/>
      </c>
      <c r="BK58" s="35" t="str">
        <f ca="1">IFERROR(+IF(BK$24=#REF!,Milestone_Marker,IF(AND(BK$24&gt;#REF!,BK$24&lt;#REF!+#REF!),#REF!,"")),"")</f>
        <v/>
      </c>
      <c r="BL58" s="35" t="str">
        <f ca="1">IFERROR(+IF(BL$24=#REF!,Milestone_Marker,IF(AND(BL$24&gt;#REF!,BL$24&lt;#REF!+#REF!),#REF!,"")),"")</f>
        <v/>
      </c>
      <c r="BM58" s="35" t="str">
        <f ca="1">IFERROR(+IF(BM$24=#REF!,Milestone_Marker,IF(AND(BM$24&gt;#REF!,BM$24&lt;#REF!+#REF!),#REF!,"")),"")</f>
        <v/>
      </c>
      <c r="BN58" s="35" t="str">
        <f ca="1">IFERROR(+IF(BN$24=#REF!,Milestone_Marker,IF(AND(BN$24&gt;#REF!,BN$24&lt;#REF!+#REF!),#REF!,"")),"")</f>
        <v/>
      </c>
      <c r="BO58" s="35" t="str">
        <f ca="1">IFERROR(+IF(BO$24=#REF!,Milestone_Marker,IF(AND(BO$24&gt;#REF!,BO$24&lt;#REF!+#REF!),#REF!,"")),"")</f>
        <v/>
      </c>
      <c r="BP58" s="35" t="str">
        <f ca="1">IFERROR(+IF(BP$24=#REF!,Milestone_Marker,IF(AND(BP$24&gt;#REF!,BP$24&lt;#REF!+#REF!),#REF!,"")),"")</f>
        <v/>
      </c>
      <c r="BQ58" s="35" t="str">
        <f ca="1">IFERROR(+IF(BQ$24=#REF!,Milestone_Marker,IF(AND(BQ$24&gt;#REF!,BQ$24&lt;#REF!+#REF!),#REF!,"")),"")</f>
        <v/>
      </c>
      <c r="BR58" s="35" t="str">
        <f ca="1">IFERROR(+IF(BR$24=#REF!,Milestone_Marker,IF(AND(BR$24&gt;#REF!,BR$24&lt;#REF!+#REF!),#REF!,"")),"")</f>
        <v/>
      </c>
      <c r="BS58" s="35" t="str">
        <f ca="1">IFERROR(+IF(BS$24=#REF!,Milestone_Marker,IF(AND(BS$24&gt;#REF!,BS$24&lt;#REF!+#REF!),#REF!,"")),"")</f>
        <v/>
      </c>
      <c r="BT58" s="35" t="str">
        <f ca="1">IFERROR(+IF(BT$24=#REF!,Milestone_Marker,IF(AND(BT$24&gt;#REF!,BT$24&lt;#REF!+#REF!),#REF!,"")),"")</f>
        <v/>
      </c>
      <c r="BU58" s="35" t="str">
        <f ca="1">IFERROR(+IF(BU$24=#REF!,Milestone_Marker,IF(AND(BU$24&gt;#REF!,BU$24&lt;#REF!+#REF!),#REF!,"")),"")</f>
        <v/>
      </c>
      <c r="BV58" s="35" t="str">
        <f ca="1">IFERROR(+IF(BV$24=#REF!,Milestone_Marker,IF(AND(BV$24&gt;#REF!,BV$24&lt;#REF!+#REF!),#REF!,"")),"")</f>
        <v/>
      </c>
      <c r="BW58" s="35" t="str">
        <f ca="1">IFERROR(+IF(BW$24=#REF!,Milestone_Marker,IF(AND(BW$24&gt;#REF!,BW$24&lt;#REF!+#REF!),#REF!,"")),"")</f>
        <v/>
      </c>
      <c r="BX58" s="35" t="str">
        <f ca="1">IFERROR(+IF(BX$24=#REF!,Milestone_Marker,IF(AND(BX$24&gt;#REF!,BX$24&lt;#REF!+#REF!),#REF!,"")),"")</f>
        <v/>
      </c>
      <c r="BY58" s="35" t="str">
        <f ca="1">IFERROR(+IF(BY$24=#REF!,Milestone_Marker,IF(AND(BY$24&gt;#REF!,BY$24&lt;#REF!+#REF!),#REF!,"")),"")</f>
        <v/>
      </c>
      <c r="BZ58" s="35" t="str">
        <f ca="1">IFERROR(+IF(BZ$24=#REF!,Milestone_Marker,IF(AND(BZ$24&gt;#REF!,BZ$24&lt;#REF!+#REF!),#REF!,"")),"")</f>
        <v/>
      </c>
      <c r="CA58" s="35" t="str">
        <f ca="1">IFERROR(+IF(CA$24=#REF!,Milestone_Marker,IF(AND(CA$24&gt;#REF!,CA$24&lt;#REF!+#REF!),#REF!,"")),"")</f>
        <v/>
      </c>
      <c r="CB58" s="35" t="str">
        <f ca="1">IFERROR(+IF(CB$24=#REF!,Milestone_Marker,IF(AND(CB$24&gt;#REF!,CB$24&lt;#REF!+#REF!),#REF!,"")),"")</f>
        <v/>
      </c>
      <c r="CC58" s="35" t="str">
        <f ca="1">IFERROR(+IF(CC$24=#REF!,Milestone_Marker,IF(AND(CC$24&gt;#REF!,CC$24&lt;#REF!+#REF!),#REF!,"")),"")</f>
        <v/>
      </c>
      <c r="CD58" s="35" t="str">
        <f ca="1">IFERROR(+IF(CD$24=#REF!,Milestone_Marker,IF(AND(CD$24&gt;#REF!,CD$24&lt;#REF!+#REF!),#REF!,"")),"")</f>
        <v/>
      </c>
      <c r="CE58" s="35" t="str">
        <f ca="1">IFERROR(+IF(CE$24=#REF!,Milestone_Marker,IF(AND(CE$24&gt;#REF!,CE$24&lt;#REF!+#REF!),#REF!,"")),"")</f>
        <v/>
      </c>
      <c r="CF58" s="35" t="str">
        <f ca="1">IFERROR(+IF(CF$24=#REF!,Milestone_Marker,IF(AND(CF$24&gt;#REF!,CF$24&lt;#REF!+#REF!),#REF!,"")),"")</f>
        <v/>
      </c>
      <c r="CG58" s="35" t="str">
        <f ca="1">IFERROR(+IF(CG$24=#REF!,Milestone_Marker,IF(AND(CG$24&gt;#REF!,CG$24&lt;#REF!+#REF!),#REF!,"")),"")</f>
        <v/>
      </c>
      <c r="CH58" s="35" t="str">
        <f ca="1">IFERROR(+IF(CH$24=#REF!,Milestone_Marker,IF(AND(CH$24&gt;#REF!,CH$24&lt;#REF!+#REF!),#REF!,"")),"")</f>
        <v/>
      </c>
      <c r="CI58" s="35" t="str">
        <f ca="1">IFERROR(+IF(CI$24=#REF!,Milestone_Marker,IF(AND(CI$24&gt;#REF!,CI$24&lt;#REF!+#REF!),#REF!,"")),"")</f>
        <v/>
      </c>
      <c r="CJ58" s="35" t="str">
        <f ca="1">IFERROR(+IF(CJ$24=#REF!,Milestone_Marker,IF(AND(CJ$24&gt;#REF!,CJ$24&lt;#REF!+#REF!),#REF!,"")),"")</f>
        <v/>
      </c>
      <c r="CK58" s="35" t="str">
        <f ca="1">IFERROR(+IF(CK$24=#REF!,Milestone_Marker,IF(AND(CK$24&gt;#REF!,CK$24&lt;#REF!+#REF!),#REF!,"")),"")</f>
        <v/>
      </c>
      <c r="CL58" s="35" t="str">
        <f ca="1">IFERROR(+IF(CL$24=#REF!,Milestone_Marker,IF(AND(CL$24&gt;#REF!,CL$24&lt;#REF!+#REF!),#REF!,"")),"")</f>
        <v/>
      </c>
      <c r="CM58" s="35" t="str">
        <f ca="1">IFERROR(+IF(CM$24=#REF!,Milestone_Marker,IF(AND(CM$24&gt;#REF!,CM$24&lt;#REF!+#REF!),#REF!,"")),"")</f>
        <v/>
      </c>
      <c r="CN58" s="35" t="str">
        <f ca="1">IFERROR(+IF(CN$24=#REF!,Milestone_Marker,IF(AND(CN$24&gt;#REF!,CN$24&lt;#REF!+#REF!),#REF!,"")),"")</f>
        <v/>
      </c>
      <c r="CO58" s="35" t="str">
        <f ca="1">IFERROR(+IF(CO$24=#REF!,Milestone_Marker,IF(AND(CO$24&gt;#REF!,CO$24&lt;#REF!+#REF!),#REF!,"")),"")</f>
        <v/>
      </c>
      <c r="CP58" s="35" t="str">
        <f ca="1">IFERROR(+IF(CP$24=#REF!,Milestone_Marker,IF(AND(CP$24&gt;#REF!,CP$24&lt;#REF!+#REF!),#REF!,"")),"")</f>
        <v/>
      </c>
      <c r="CQ58" s="35" t="str">
        <f ca="1">IFERROR(+IF(CQ$24=#REF!,Milestone_Marker,IF(AND(CQ$24&gt;#REF!,CQ$24&lt;#REF!+#REF!),#REF!,"")),"")</f>
        <v/>
      </c>
      <c r="CR58" s="35" t="str">
        <f ca="1">IFERROR(+IF(CR$24=#REF!,Milestone_Marker,IF(AND(CR$24&gt;#REF!,CR$24&lt;#REF!+#REF!),#REF!,"")),"")</f>
        <v/>
      </c>
      <c r="CS58" s="35" t="str">
        <f ca="1">IFERROR(+IF(CS$24=#REF!,Milestone_Marker,IF(AND(CS$24&gt;#REF!,CS$24&lt;#REF!+#REF!),#REF!,"")),"")</f>
        <v/>
      </c>
      <c r="CT58" s="35" t="str">
        <f ca="1">IFERROR(+IF(CT$24=#REF!,Milestone_Marker,IF(AND(CT$24&gt;#REF!,CT$24&lt;#REF!+#REF!),#REF!,"")),"")</f>
        <v/>
      </c>
      <c r="CU58" s="35" t="str">
        <f ca="1">IFERROR(+IF(CU$24=#REF!,Milestone_Marker,IF(AND(CU$24&gt;#REF!,CU$24&lt;#REF!+#REF!),#REF!,"")),"")</f>
        <v/>
      </c>
      <c r="CV58" s="35" t="str">
        <f ca="1">IFERROR(+IF(CV$24=#REF!,Milestone_Marker,IF(AND(CV$24&gt;#REF!,CV$24&lt;#REF!+#REF!),#REF!,"")),"")</f>
        <v/>
      </c>
      <c r="CW58" s="35" t="str">
        <f ca="1">IFERROR(+IF(CW$24=#REF!,Milestone_Marker,IF(AND(CW$24&gt;#REF!,CW$24&lt;#REF!+#REF!),#REF!,"")),"")</f>
        <v/>
      </c>
      <c r="CX58" s="35" t="str">
        <f ca="1">IFERROR(+IF(CX$24=#REF!,Milestone_Marker,IF(AND(CX$24&gt;#REF!,CX$24&lt;#REF!+#REF!),#REF!,"")),"")</f>
        <v/>
      </c>
      <c r="CY58" s="35" t="str">
        <f ca="1">IFERROR(+IF(CY$24=#REF!,Milestone_Marker,IF(AND(CY$24&gt;#REF!,CY$24&lt;#REF!+#REF!),#REF!,"")),"")</f>
        <v/>
      </c>
      <c r="CZ58" s="35" t="str">
        <f ca="1">IFERROR(+IF(CZ$24=#REF!,Milestone_Marker,IF(AND(CZ$24&gt;#REF!,CZ$24&lt;#REF!+#REF!),#REF!,"")),"")</f>
        <v/>
      </c>
      <c r="DA58" s="35" t="str">
        <f ca="1">IFERROR(+IF(DA$24=#REF!,Milestone_Marker,IF(AND(DA$24&gt;#REF!,DA$24&lt;#REF!+#REF!),#REF!,"")),"")</f>
        <v/>
      </c>
      <c r="DB58" s="35" t="str">
        <f ca="1">IFERROR(+IF(DB$24=#REF!,Milestone_Marker,IF(AND(DB$24&gt;#REF!,DB$24&lt;#REF!+#REF!),#REF!,"")),"")</f>
        <v/>
      </c>
      <c r="DC58" s="35" t="str">
        <f ca="1">IFERROR(+IF(DC$24=#REF!,Milestone_Marker,IF(AND(DC$24&gt;#REF!,DC$24&lt;#REF!+#REF!),#REF!,"")),"")</f>
        <v/>
      </c>
      <c r="DD58" s="35" t="str">
        <f ca="1">IFERROR(+IF(DD$24=#REF!,Milestone_Marker,IF(AND(DD$24&gt;#REF!,DD$24&lt;#REF!+#REF!),#REF!,"")),"")</f>
        <v/>
      </c>
      <c r="DE58" s="35" t="str">
        <f ca="1">IFERROR(+IF(DE$24=#REF!,Milestone_Marker,IF(AND(DE$24&gt;#REF!,DE$24&lt;#REF!+#REF!),#REF!,"")),"")</f>
        <v/>
      </c>
      <c r="DF58" s="35"/>
      <c r="DG58" s="35"/>
      <c r="DH58" s="35"/>
      <c r="DI58" s="35"/>
      <c r="DJ58" s="35"/>
      <c r="DK58" s="35"/>
      <c r="DL58" s="35"/>
      <c r="DM58" s="35"/>
      <c r="DN58" s="35"/>
      <c r="DO58" s="35"/>
      <c r="DP58" s="35"/>
      <c r="DQ58" s="35"/>
      <c r="DR58" s="35"/>
      <c r="DS58" s="35"/>
      <c r="DT58" s="35"/>
      <c r="DU58" s="35"/>
      <c r="DV58" s="35"/>
      <c r="DW58" s="35"/>
      <c r="DX58" s="35"/>
      <c r="DY58" s="35"/>
      <c r="DZ58" s="35"/>
      <c r="EA58" s="35"/>
      <c r="EB58" s="35"/>
      <c r="EC58" s="35"/>
      <c r="ED58" s="35"/>
      <c r="EE58" s="35"/>
    </row>
    <row r="59" spans="1:135" s="40" customFormat="1" ht="15">
      <c r="A59" t="s">
        <v>467</v>
      </c>
      <c r="B59" t="s">
        <v>521</v>
      </c>
      <c r="C59" t="s">
        <v>553</v>
      </c>
      <c r="D59" s="458" t="s">
        <v>683</v>
      </c>
      <c r="E59" s="458">
        <v>1</v>
      </c>
      <c r="F59">
        <v>0</v>
      </c>
      <c r="G59">
        <v>0</v>
      </c>
      <c r="H59">
        <v>155</v>
      </c>
      <c r="I59"/>
      <c r="J59">
        <v>103</v>
      </c>
      <c r="K59" s="107"/>
      <c r="L59" s="463">
        <v>103</v>
      </c>
      <c r="M59" s="490"/>
      <c r="N59" s="160">
        <v>0</v>
      </c>
      <c r="O59" s="546" cm="1">
        <f t="array" ref="O5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45980</v>
      </c>
      <c r="P59" s="567" t="s">
        <v>797</v>
      </c>
      <c r="Q59" s="567"/>
      <c r="R59" s="499"/>
      <c r="S59" s="463" cm="1">
        <f t="array" ref="S5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59" s="34">
        <v>1</v>
      </c>
      <c r="U59" s="490">
        <v>3</v>
      </c>
      <c r="V5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65.010300000000001</v>
      </c>
      <c r="W59" s="557"/>
      <c r="X59" s="545" t="s">
        <v>866</v>
      </c>
      <c r="Y59" s="548" t="s">
        <v>865</v>
      </c>
      <c r="Z59" s="160" t="s">
        <v>458</v>
      </c>
      <c r="AA59" s="563">
        <v>101700</v>
      </c>
      <c r="AB59" cm="1">
        <f t="array" ref="AB59">ROW()-ROW(Contract_Edits[#Headers])</f>
        <v>35</v>
      </c>
      <c r="AC59">
        <f>IF(Contract_Edits[[#This Row],[RowPos]]&gt;1, Contract_Edits[[#This Row],[RowPos]]-1, 0)</f>
        <v>34</v>
      </c>
      <c r="AD59" s="35">
        <f>IF(N(Contract_Edits[[#This Row],[Dep]])=0, N(Contract_Edits[[#This Row],[Index]]), N(Contract_Edits[[#This Row],[Dep]]))</f>
        <v>155</v>
      </c>
      <c r="AE59" s="35" cm="1">
        <f t="array" ref="AE59">IF(OR(Contract_Edits[[#This Row],[Dep]]=0, TRIM(Contract_Edits[[#This Row],[Dep]])=""),
   0,
   IFERROR(
      _xlfn.XLOOKUP(1, (Contract_Edits[Dep]=Contract_Edits[[#This Row],[Dep]])*(Contract_Edits[RowPos]&lt;Contract_Edits[[#This Row],[RowPos]]), Contract_Edits[RowPos], , 0, -1),
      0
   )
)</f>
        <v>34</v>
      </c>
      <c r="AF59" s="35">
        <f>IF(OR(Contract_Edits[[#This Row],[Dep]]=0,Contract_Edits[[#This Row],[Dep]]=""),0,
   COUNTIFS(Contract_Edits[Dep],Contract_Edits[[#This Row],[Dep]],Contract_Edits[RowPos],"&lt;="&amp;Contract_Edits[[#This Row],[RowPos]],Contract_Edits[Approve],"Yes")
)</f>
        <v>4</v>
      </c>
      <c r="AG59" s="517">
        <f>--(
  ISNUMBER(SEARCH("BASE PARENT", UPPER(CLEAN(TRIM(_xlfn.XLOOKUP(TEXT(Contract_Edits[[#This Row],[Index]],"0"), baseIdxTxt, baseCost, "")))))) +
  ISNUMBER(SEARCH("DEPENDENCY GROUP", UPPER(CLEAN(TRIM(_xlfn.XLOOKUP(TEXT(Contract_Edits[[#This Row],[Index]],"0"), baseIdxTxt, baseCost, ""))))))
)</f>
        <v>0</v>
      </c>
      <c r="AH59" s="517" t="str" cm="1">
        <f t="array" ref="AH59">IF(Contract_Edits[[#This Row],[BaseFlag]]=1,
   10*BaseDepthL(TEXT(Contract_Edits[[#This Row],[Index]],"0"),500,editsIdxTxt,editsParentKeyTxt,baseIdxTxt,baseCost)-5,
   ""
)</f>
        <v/>
      </c>
      <c r="AI59" s="517" cm="1">
        <f t="array" ref="AI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59" s="517" t="str">
        <f>IF(Contract_Edits[[#This Row],[Dep]]=0,"Root",
   IF(ISNUMBER(MATCH(Contract_Edits[[#This Row],[Dep]],Contract_Edits[Index],0)),"OK","Missing")
)</f>
        <v>OK</v>
      </c>
      <c r="AK59" s="517" t="str">
        <f>IF(AND(Contract_Edits[[#This Row],[Dep]]&lt;&gt;0,
        ISNUMBER(MATCH(Contract_Edits[[#This Row],[Dep]], Contract_Edits[Index], 0)),
        INDEX(Contract_Edits[Dep], MATCH(Contract_Edits[[#This Row],[Dep]], Contract_Edits[Index], 0))=Contract_Edits[[#This Row],[Index]]),
   "2-cycle","")</f>
        <v/>
      </c>
      <c r="AL59" s="517" cm="1">
        <f t="array" ref="AL59">IF(Contract_Edits[[#This Row],[BaseFlag]]&lt;&gt;1,0,
   IF(TEXT(Contract_Edits[[#This Row],[Dep]],"0")=TEXT(Contract_Edits[[#This Row],[Index]],"0"),
      0,
      MAX(0, SUMPRODUCT(--(Contract_Edits[BaseFlag]=1),
                        --(TEXT(Contract_Edits[Dep],"0")=TEXT(Contract_Edits[[#This Row],[Dep]],"0"))) - 1)
   )
)</f>
        <v>0</v>
      </c>
      <c r="AM59" s="517" t="str" cm="1">
        <f t="array" ref="AM59">IF(Contract_Edits[[#This Row],[BaseFlag]]=1,
   TEXT(Contract_Edits[[#This Row],[Index]],"0"),
   NearestBaseL(TEXT(Contract_Edits[[#This Row],[ParentKey]],"0"),500,editsIdxTxt,editsParentKeyTxt,baseIdxTxt,baseCost)
)</f>
        <v>155</v>
      </c>
      <c r="AN59" s="517" cm="1">
        <f t="array" ref="AN59">1+SUMPRODUCT(
  (Contract_Edits[BaseFlag]=1)*
  (TEXT(Contract_Edits[ParentAnchor],"0")=TEXT(Contract_Edits[[#This Row],[ParentAnchor]],"0"))*
  (VALUE(TEXT(Contract_Edits[Index],"0"))&lt;VALUE(TEXT(Contract_Edits[[#This Row],[Index]],"0")))
)</f>
        <v>1</v>
      </c>
      <c r="AO59" s="35"/>
      <c r="AP59" s="35" t="str">
        <f ca="1">IFERROR(+IF(AP$24=#REF!,Milestone_Marker,IF(AND(AP$24&gt;#REF!,AP$24&lt;#REF!+#REF!),#REF!,"")),"")</f>
        <v/>
      </c>
      <c r="AQ59" s="35" t="str">
        <f ca="1">IFERROR(+IF(AQ$24=#REF!,Milestone_Marker,IF(AND(AQ$24&gt;#REF!,AQ$24&lt;#REF!+#REF!),#REF!,"")),"")</f>
        <v/>
      </c>
      <c r="AR59" s="35" t="str">
        <f ca="1">IFERROR(+IF(AR$24=#REF!,Milestone_Marker,IF(AND(AR$24&gt;#REF!,AR$24&lt;#REF!+#REF!),#REF!,"")),"")</f>
        <v/>
      </c>
      <c r="AS59" s="35" t="str">
        <f ca="1">IFERROR(+IF(AS$24=#REF!,Milestone_Marker,IF(AND(AS$24&gt;#REF!,AS$24&lt;#REF!+#REF!),#REF!,"")),"")</f>
        <v/>
      </c>
      <c r="AT59" s="35" t="str">
        <f ca="1">IFERROR(+IF(AT$24=#REF!,Milestone_Marker,IF(AND(AT$24&gt;#REF!,AT$24&lt;#REF!+#REF!),#REF!,"")),"")</f>
        <v/>
      </c>
      <c r="AU59" s="35" t="str">
        <f ca="1">IFERROR(+IF(AU$24=#REF!,Milestone_Marker,IF(AND(AU$24&gt;#REF!,AU$24&lt;#REF!+#REF!),#REF!,"")),"")</f>
        <v/>
      </c>
      <c r="AV59" s="35" t="str">
        <f ca="1">IFERROR(+IF(AV$24=#REF!,Milestone_Marker,IF(AND(AV$24&gt;#REF!,AV$24&lt;#REF!+#REF!),#REF!,"")),"")</f>
        <v/>
      </c>
      <c r="AW59" s="35" t="str">
        <f ca="1">IFERROR(+IF(AW$24=#REF!,Milestone_Marker,IF(AND(AW$24&gt;#REF!,AW$24&lt;#REF!+#REF!),#REF!,"")),"")</f>
        <v/>
      </c>
      <c r="AX59" s="35" t="str">
        <f ca="1">IFERROR(+IF(AX$24=#REF!,Milestone_Marker,IF(AND(AX$24&gt;#REF!,AX$24&lt;#REF!+#REF!),#REF!,"")),"")</f>
        <v/>
      </c>
      <c r="AY59" s="35" t="str">
        <f ca="1">IFERROR(+IF(AY$24=#REF!,Milestone_Marker,IF(AND(AY$24&gt;#REF!,AY$24&lt;#REF!+#REF!),#REF!,"")),"")</f>
        <v/>
      </c>
      <c r="AZ59" s="35" t="str">
        <f ca="1">IFERROR(+IF(AZ$24=#REF!,Milestone_Marker,IF(AND(AZ$24&gt;#REF!,AZ$24&lt;#REF!+#REF!),#REF!,"")),"")</f>
        <v/>
      </c>
      <c r="BA59" s="35" t="str">
        <f ca="1">IFERROR(+IF(BA$24=#REF!,Milestone_Marker,IF(AND(BA$24&gt;#REF!,BA$24&lt;#REF!+#REF!),#REF!,"")),"")</f>
        <v/>
      </c>
      <c r="BB59" s="35" t="str">
        <f ca="1">IFERROR(+IF(BB$24=#REF!,Milestone_Marker,IF(AND(BB$24&gt;#REF!,BB$24&lt;#REF!+#REF!),#REF!,"")),"")</f>
        <v/>
      </c>
      <c r="BC59" s="35" t="str">
        <f ca="1">IFERROR(+IF(BC$24=#REF!,Milestone_Marker,IF(AND(BC$24&gt;#REF!,BC$24&lt;#REF!+#REF!),#REF!,"")),"")</f>
        <v/>
      </c>
      <c r="BD59" s="35" t="str">
        <f ca="1">IFERROR(+IF(BD$24=#REF!,Milestone_Marker,IF(AND(BD$24&gt;#REF!,BD$24&lt;#REF!+#REF!),#REF!,"")),"")</f>
        <v/>
      </c>
      <c r="BE59" s="35" t="str">
        <f ca="1">IFERROR(+IF(BE$24=#REF!,Milestone_Marker,IF(AND(BE$24&gt;#REF!,BE$24&lt;#REF!+#REF!),#REF!,"")),"")</f>
        <v/>
      </c>
      <c r="BF59" s="35" t="str">
        <f ca="1">IFERROR(+IF(BF$24=#REF!,Milestone_Marker,IF(AND(BF$24&gt;#REF!,BF$24&lt;#REF!+#REF!),#REF!,"")),"")</f>
        <v/>
      </c>
      <c r="BG59" s="35" t="str">
        <f ca="1">IFERROR(+IF(BG$24=#REF!,Milestone_Marker,IF(AND(BG$24&gt;#REF!,BG$24&lt;#REF!+#REF!),#REF!,"")),"")</f>
        <v/>
      </c>
      <c r="BH59" s="35" t="str">
        <f ca="1">IFERROR(+IF(BH$24=#REF!,Milestone_Marker,IF(AND(BH$24&gt;#REF!,BH$24&lt;#REF!+#REF!),#REF!,"")),"")</f>
        <v/>
      </c>
      <c r="BI59" s="35" t="str">
        <f ca="1">IFERROR(+IF(BI$24=#REF!,Milestone_Marker,IF(AND(BI$24&gt;#REF!,BI$24&lt;#REF!+#REF!),#REF!,"")),"")</f>
        <v/>
      </c>
      <c r="BJ59" s="35" t="str">
        <f ca="1">IFERROR(+IF(BJ$24=#REF!,Milestone_Marker,IF(AND(BJ$24&gt;#REF!,BJ$24&lt;#REF!+#REF!),#REF!,"")),"")</f>
        <v/>
      </c>
      <c r="BK59" s="35" t="str">
        <f ca="1">IFERROR(+IF(BK$24=#REF!,Milestone_Marker,IF(AND(BK$24&gt;#REF!,BK$24&lt;#REF!+#REF!),#REF!,"")),"")</f>
        <v/>
      </c>
      <c r="BL59" s="35" t="str">
        <f ca="1">IFERROR(+IF(BL$24=#REF!,Milestone_Marker,IF(AND(BL$24&gt;#REF!,BL$24&lt;#REF!+#REF!),#REF!,"")),"")</f>
        <v/>
      </c>
      <c r="BM59" s="35" t="str">
        <f ca="1">IFERROR(+IF(BM$24=#REF!,Milestone_Marker,IF(AND(BM$24&gt;#REF!,BM$24&lt;#REF!+#REF!),#REF!,"")),"")</f>
        <v/>
      </c>
      <c r="BN59" s="35" t="str">
        <f ca="1">IFERROR(+IF(BN$24=#REF!,Milestone_Marker,IF(AND(BN$24&gt;#REF!,BN$24&lt;#REF!+#REF!),#REF!,"")),"")</f>
        <v/>
      </c>
      <c r="BO59" s="35" t="str">
        <f ca="1">IFERROR(+IF(BO$24=#REF!,Milestone_Marker,IF(AND(BO$24&gt;#REF!,BO$24&lt;#REF!+#REF!),#REF!,"")),"")</f>
        <v/>
      </c>
      <c r="BP59" s="35" t="str">
        <f ca="1">IFERROR(+IF(BP$24=#REF!,Milestone_Marker,IF(AND(BP$24&gt;#REF!,BP$24&lt;#REF!+#REF!),#REF!,"")),"")</f>
        <v/>
      </c>
      <c r="BQ59" s="35" t="str">
        <f ca="1">IFERROR(+IF(BQ$24=#REF!,Milestone_Marker,IF(AND(BQ$24&gt;#REF!,BQ$24&lt;#REF!+#REF!),#REF!,"")),"")</f>
        <v/>
      </c>
      <c r="BR59" s="35" t="str">
        <f ca="1">IFERROR(+IF(BR$24=#REF!,Milestone_Marker,IF(AND(BR$24&gt;#REF!,BR$24&lt;#REF!+#REF!),#REF!,"")),"")</f>
        <v/>
      </c>
      <c r="BS59" s="35" t="str">
        <f ca="1">IFERROR(+IF(BS$24=#REF!,Milestone_Marker,IF(AND(BS$24&gt;#REF!,BS$24&lt;#REF!+#REF!),#REF!,"")),"")</f>
        <v/>
      </c>
      <c r="BT59" s="35" t="str">
        <f ca="1">IFERROR(+IF(BT$24=#REF!,Milestone_Marker,IF(AND(BT$24&gt;#REF!,BT$24&lt;#REF!+#REF!),#REF!,"")),"")</f>
        <v/>
      </c>
      <c r="BU59" s="35" t="str">
        <f ca="1">IFERROR(+IF(BU$24=#REF!,Milestone_Marker,IF(AND(BU$24&gt;#REF!,BU$24&lt;#REF!+#REF!),#REF!,"")),"")</f>
        <v/>
      </c>
      <c r="BV59" s="35" t="str">
        <f ca="1">IFERROR(+IF(BV$24=#REF!,Milestone_Marker,IF(AND(BV$24&gt;#REF!,BV$24&lt;#REF!+#REF!),#REF!,"")),"")</f>
        <v/>
      </c>
      <c r="BW59" s="35" t="str">
        <f ca="1">IFERROR(+IF(BW$24=#REF!,Milestone_Marker,IF(AND(BW$24&gt;#REF!,BW$24&lt;#REF!+#REF!),#REF!,"")),"")</f>
        <v/>
      </c>
      <c r="BX59" s="35" t="str">
        <f ca="1">IFERROR(+IF(BX$24=#REF!,Milestone_Marker,IF(AND(BX$24&gt;#REF!,BX$24&lt;#REF!+#REF!),#REF!,"")),"")</f>
        <v/>
      </c>
      <c r="BY59" s="35" t="str">
        <f ca="1">IFERROR(+IF(BY$24=#REF!,Milestone_Marker,IF(AND(BY$24&gt;#REF!,BY$24&lt;#REF!+#REF!),#REF!,"")),"")</f>
        <v/>
      </c>
      <c r="BZ59" s="35" t="str">
        <f ca="1">IFERROR(+IF(BZ$24=#REF!,Milestone_Marker,IF(AND(BZ$24&gt;#REF!,BZ$24&lt;#REF!+#REF!),#REF!,"")),"")</f>
        <v/>
      </c>
      <c r="CA59" s="35" t="str">
        <f ca="1">IFERROR(+IF(CA$24=#REF!,Milestone_Marker,IF(AND(CA$24&gt;#REF!,CA$24&lt;#REF!+#REF!),#REF!,"")),"")</f>
        <v/>
      </c>
      <c r="CB59" s="35" t="str">
        <f ca="1">IFERROR(+IF(CB$24=#REF!,Milestone_Marker,IF(AND(CB$24&gt;#REF!,CB$24&lt;#REF!+#REF!),#REF!,"")),"")</f>
        <v/>
      </c>
      <c r="CC59" s="35" t="str">
        <f ca="1">IFERROR(+IF(CC$24=#REF!,Milestone_Marker,IF(AND(CC$24&gt;#REF!,CC$24&lt;#REF!+#REF!),#REF!,"")),"")</f>
        <v/>
      </c>
      <c r="CD59" s="35" t="str">
        <f ca="1">IFERROR(+IF(CD$24=#REF!,Milestone_Marker,IF(AND(CD$24&gt;#REF!,CD$24&lt;#REF!+#REF!),#REF!,"")),"")</f>
        <v/>
      </c>
      <c r="CE59" s="35" t="str">
        <f ca="1">IFERROR(+IF(CE$24=#REF!,Milestone_Marker,IF(AND(CE$24&gt;#REF!,CE$24&lt;#REF!+#REF!),#REF!,"")),"")</f>
        <v/>
      </c>
      <c r="CF59" s="35" t="str">
        <f ca="1">IFERROR(+IF(CF$24=#REF!,Milestone_Marker,IF(AND(CF$24&gt;#REF!,CF$24&lt;#REF!+#REF!),#REF!,"")),"")</f>
        <v/>
      </c>
      <c r="CG59" s="35" t="str">
        <f ca="1">IFERROR(+IF(CG$24=#REF!,Milestone_Marker,IF(AND(CG$24&gt;#REF!,CG$24&lt;#REF!+#REF!),#REF!,"")),"")</f>
        <v/>
      </c>
      <c r="CH59" s="35" t="str">
        <f ca="1">IFERROR(+IF(CH$24=#REF!,Milestone_Marker,IF(AND(CH$24&gt;#REF!,CH$24&lt;#REF!+#REF!),#REF!,"")),"")</f>
        <v/>
      </c>
      <c r="CI59" s="35" t="str">
        <f ca="1">IFERROR(+IF(CI$24=#REF!,Milestone_Marker,IF(AND(CI$24&gt;#REF!,CI$24&lt;#REF!+#REF!),#REF!,"")),"")</f>
        <v/>
      </c>
      <c r="CJ59" s="35" t="str">
        <f ca="1">IFERROR(+IF(CJ$24=#REF!,Milestone_Marker,IF(AND(CJ$24&gt;#REF!,CJ$24&lt;#REF!+#REF!),#REF!,"")),"")</f>
        <v/>
      </c>
      <c r="CK59" s="35" t="str">
        <f ca="1">IFERROR(+IF(CK$24=#REF!,Milestone_Marker,IF(AND(CK$24&gt;#REF!,CK$24&lt;#REF!+#REF!),#REF!,"")),"")</f>
        <v/>
      </c>
      <c r="CL59" s="35" t="str">
        <f ca="1">IFERROR(+IF(CL$24=#REF!,Milestone_Marker,IF(AND(CL$24&gt;#REF!,CL$24&lt;#REF!+#REF!),#REF!,"")),"")</f>
        <v/>
      </c>
      <c r="CM59" s="35" t="str">
        <f ca="1">IFERROR(+IF(CM$24=#REF!,Milestone_Marker,IF(AND(CM$24&gt;#REF!,CM$24&lt;#REF!+#REF!),#REF!,"")),"")</f>
        <v/>
      </c>
      <c r="CN59" s="35" t="str">
        <f ca="1">IFERROR(+IF(CN$24=#REF!,Milestone_Marker,IF(AND(CN$24&gt;#REF!,CN$24&lt;#REF!+#REF!),#REF!,"")),"")</f>
        <v/>
      </c>
      <c r="CO59" s="35" t="str">
        <f ca="1">IFERROR(+IF(CO$24=#REF!,Milestone_Marker,IF(AND(CO$24&gt;#REF!,CO$24&lt;#REF!+#REF!),#REF!,"")),"")</f>
        <v/>
      </c>
      <c r="CP59" s="35" t="str">
        <f ca="1">IFERROR(+IF(CP$24=#REF!,Milestone_Marker,IF(AND(CP$24&gt;#REF!,CP$24&lt;#REF!+#REF!),#REF!,"")),"")</f>
        <v/>
      </c>
      <c r="CQ59" s="35" t="str">
        <f ca="1">IFERROR(+IF(CQ$24=#REF!,Milestone_Marker,IF(AND(CQ$24&gt;#REF!,CQ$24&lt;#REF!+#REF!),#REF!,"")),"")</f>
        <v/>
      </c>
      <c r="CR59" s="35" t="str">
        <f ca="1">IFERROR(+IF(CR$24=#REF!,Milestone_Marker,IF(AND(CR$24&gt;#REF!,CR$24&lt;#REF!+#REF!),#REF!,"")),"")</f>
        <v/>
      </c>
      <c r="CS59" s="35" t="str">
        <f ca="1">IFERROR(+IF(CS$24=#REF!,Milestone_Marker,IF(AND(CS$24&gt;#REF!,CS$24&lt;#REF!+#REF!),#REF!,"")),"")</f>
        <v/>
      </c>
      <c r="CT59" s="35" t="str">
        <f ca="1">IFERROR(+IF(CT$24=#REF!,Milestone_Marker,IF(AND(CT$24&gt;#REF!,CT$24&lt;#REF!+#REF!),#REF!,"")),"")</f>
        <v/>
      </c>
      <c r="CU59" s="35" t="str">
        <f ca="1">IFERROR(+IF(CU$24=#REF!,Milestone_Marker,IF(AND(CU$24&gt;#REF!,CU$24&lt;#REF!+#REF!),#REF!,"")),"")</f>
        <v/>
      </c>
      <c r="CV59" s="35" t="str">
        <f ca="1">IFERROR(+IF(CV$24=#REF!,Milestone_Marker,IF(AND(CV$24&gt;#REF!,CV$24&lt;#REF!+#REF!),#REF!,"")),"")</f>
        <v/>
      </c>
      <c r="CW59" s="35" t="str">
        <f ca="1">IFERROR(+IF(CW$24=#REF!,Milestone_Marker,IF(AND(CW$24&gt;#REF!,CW$24&lt;#REF!+#REF!),#REF!,"")),"")</f>
        <v/>
      </c>
      <c r="CX59" s="35" t="str">
        <f ca="1">IFERROR(+IF(CX$24=#REF!,Milestone_Marker,IF(AND(CX$24&gt;#REF!,CX$24&lt;#REF!+#REF!),#REF!,"")),"")</f>
        <v/>
      </c>
      <c r="CY59" s="35" t="str">
        <f ca="1">IFERROR(+IF(CY$24=#REF!,Milestone_Marker,IF(AND(CY$24&gt;#REF!,CY$24&lt;#REF!+#REF!),#REF!,"")),"")</f>
        <v/>
      </c>
      <c r="CZ59" s="35" t="str">
        <f ca="1">IFERROR(+IF(CZ$24=#REF!,Milestone_Marker,IF(AND(CZ$24&gt;#REF!,CZ$24&lt;#REF!+#REF!),#REF!,"")),"")</f>
        <v/>
      </c>
      <c r="DA59" s="35" t="str">
        <f ca="1">IFERROR(+IF(DA$24=#REF!,Milestone_Marker,IF(AND(DA$24&gt;#REF!,DA$24&lt;#REF!+#REF!),#REF!,"")),"")</f>
        <v/>
      </c>
      <c r="DB59" s="35" t="str">
        <f ca="1">IFERROR(+IF(DB$24=#REF!,Milestone_Marker,IF(AND(DB$24&gt;#REF!,DB$24&lt;#REF!+#REF!),#REF!,"")),"")</f>
        <v/>
      </c>
      <c r="DC59" s="35" t="str">
        <f ca="1">IFERROR(+IF(DC$24=#REF!,Milestone_Marker,IF(AND(DC$24&gt;#REF!,DC$24&lt;#REF!+#REF!),#REF!,"")),"")</f>
        <v/>
      </c>
      <c r="DD59" s="35" t="str">
        <f ca="1">IFERROR(+IF(DD$24=#REF!,Milestone_Marker,IF(AND(DD$24&gt;#REF!,DD$24&lt;#REF!+#REF!),#REF!,"")),"")</f>
        <v/>
      </c>
      <c r="DE59" s="35" t="str">
        <f ca="1">IFERROR(+IF(DE$24=#REF!,Milestone_Marker,IF(AND(DE$24&gt;#REF!,DE$24&lt;#REF!+#REF!),#REF!,"")),"")</f>
        <v/>
      </c>
      <c r="DF59" s="35"/>
      <c r="DG59" s="35"/>
      <c r="DH59" s="35"/>
      <c r="DI59" s="35"/>
      <c r="DJ59" s="35"/>
      <c r="DK59" s="35"/>
      <c r="DL59" s="35"/>
      <c r="DM59" s="35"/>
      <c r="DN59" s="35"/>
      <c r="DO59" s="35"/>
      <c r="DP59" s="35"/>
      <c r="DQ59" s="35"/>
      <c r="DR59" s="35"/>
      <c r="DS59" s="35"/>
      <c r="DT59" s="35"/>
      <c r="DU59" s="35"/>
      <c r="DV59" s="35"/>
      <c r="DW59" s="35"/>
      <c r="DX59" s="35"/>
      <c r="DY59" s="35"/>
      <c r="DZ59" s="35"/>
      <c r="EA59" s="35"/>
      <c r="EB59" s="35"/>
      <c r="EC59" s="35"/>
      <c r="ED59" s="35"/>
      <c r="EE59" s="35"/>
    </row>
    <row r="60" spans="1:135" s="40" customFormat="1" ht="15">
      <c r="A60" t="s">
        <v>467</v>
      </c>
      <c r="B60" t="s">
        <v>608</v>
      </c>
      <c r="C60" t="s">
        <v>553</v>
      </c>
      <c r="D60" s="458" t="s">
        <v>618</v>
      </c>
      <c r="E60" s="458">
        <v>1</v>
      </c>
      <c r="F60">
        <v>0</v>
      </c>
      <c r="G60">
        <v>0</v>
      </c>
      <c r="H60">
        <v>155</v>
      </c>
      <c r="I60"/>
      <c r="J60">
        <v>55</v>
      </c>
      <c r="K60" s="107"/>
      <c r="L60" s="463">
        <v>55</v>
      </c>
      <c r="M60" s="490"/>
      <c r="N60" s="160">
        <v>0</v>
      </c>
      <c r="O60" s="546" cm="1">
        <f t="array" ref="O6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45980</v>
      </c>
      <c r="P60" s="567" t="s">
        <v>382</v>
      </c>
      <c r="Q60" s="567"/>
      <c r="R60" s="499"/>
      <c r="S60" s="463" cm="1">
        <f t="array" ref="S6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0" s="34">
        <v>1</v>
      </c>
      <c r="U60" s="490">
        <v>4</v>
      </c>
      <c r="V6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65.010400000000004</v>
      </c>
      <c r="W60" s="557"/>
      <c r="X60" s="545" t="s">
        <v>866</v>
      </c>
      <c r="Y60" s="548" t="s">
        <v>865</v>
      </c>
      <c r="Z60" s="160" t="s">
        <v>458</v>
      </c>
      <c r="AA60" s="563">
        <v>101700</v>
      </c>
      <c r="AB60" cm="1">
        <f t="array" ref="AB60">ROW()-ROW(Contract_Edits[#Headers])</f>
        <v>36</v>
      </c>
      <c r="AC60">
        <f>IF(Contract_Edits[[#This Row],[RowPos]]&gt;1, Contract_Edits[[#This Row],[RowPos]]-1, 0)</f>
        <v>35</v>
      </c>
      <c r="AD60" s="35">
        <f>IF(N(Contract_Edits[[#This Row],[Dep]])=0, N(Contract_Edits[[#This Row],[Index]]), N(Contract_Edits[[#This Row],[Dep]]))</f>
        <v>155</v>
      </c>
      <c r="AE60" s="35" cm="1">
        <f t="array" ref="AE60">IF(OR(Contract_Edits[[#This Row],[Dep]]=0, TRIM(Contract_Edits[[#This Row],[Dep]])=""),
   0,
   IFERROR(
      _xlfn.XLOOKUP(1, (Contract_Edits[Dep]=Contract_Edits[[#This Row],[Dep]])*(Contract_Edits[RowPos]&lt;Contract_Edits[[#This Row],[RowPos]]), Contract_Edits[RowPos], , 0, -1),
      0
   )
)</f>
        <v>35</v>
      </c>
      <c r="AF60" s="35">
        <f>IF(OR(Contract_Edits[[#This Row],[Dep]]=0,Contract_Edits[[#This Row],[Dep]]=""),0,
   COUNTIFS(Contract_Edits[Dep],Contract_Edits[[#This Row],[Dep]],Contract_Edits[RowPos],"&lt;="&amp;Contract_Edits[[#This Row],[RowPos]],Contract_Edits[Approve],"Yes")
)</f>
        <v>5</v>
      </c>
      <c r="AG60" s="517">
        <f>--(
  ISNUMBER(SEARCH("BASE PARENT", UPPER(CLEAN(TRIM(_xlfn.XLOOKUP(TEXT(Contract_Edits[[#This Row],[Index]],"0"), baseIdxTxt, baseCost, "")))))) +
  ISNUMBER(SEARCH("DEPENDENCY GROUP", UPPER(CLEAN(TRIM(_xlfn.XLOOKUP(TEXT(Contract_Edits[[#This Row],[Index]],"0"), baseIdxTxt, baseCost, ""))))))
)</f>
        <v>0</v>
      </c>
      <c r="AH60" s="517" t="str" cm="1">
        <f t="array" ref="AH60">IF(Contract_Edits[[#This Row],[BaseFlag]]=1,
   10*BaseDepthL(TEXT(Contract_Edits[[#This Row],[Index]],"0"),500,editsIdxTxt,editsParentKeyTxt,baseIdxTxt,baseCost)-5,
   ""
)</f>
        <v/>
      </c>
      <c r="AI60" s="517" cm="1">
        <f t="array" ref="AI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0" s="517" t="str">
        <f>IF(Contract_Edits[[#This Row],[Dep]]=0,"Root",
   IF(ISNUMBER(MATCH(Contract_Edits[[#This Row],[Dep]],Contract_Edits[Index],0)),"OK","Missing")
)</f>
        <v>OK</v>
      </c>
      <c r="AK60" s="517" t="str">
        <f>IF(AND(Contract_Edits[[#This Row],[Dep]]&lt;&gt;0,
        ISNUMBER(MATCH(Contract_Edits[[#This Row],[Dep]], Contract_Edits[Index], 0)),
        INDEX(Contract_Edits[Dep], MATCH(Contract_Edits[[#This Row],[Dep]], Contract_Edits[Index], 0))=Contract_Edits[[#This Row],[Index]]),
   "2-cycle","")</f>
        <v/>
      </c>
      <c r="AL60" s="517" cm="1">
        <f t="array" ref="AL60">IF(Contract_Edits[[#This Row],[BaseFlag]]&lt;&gt;1,0,
   IF(TEXT(Contract_Edits[[#This Row],[Dep]],"0")=TEXT(Contract_Edits[[#This Row],[Index]],"0"),
      0,
      MAX(0, SUMPRODUCT(--(Contract_Edits[BaseFlag]=1),
                        --(TEXT(Contract_Edits[Dep],"0")=TEXT(Contract_Edits[[#This Row],[Dep]],"0"))) - 1)
   )
)</f>
        <v>0</v>
      </c>
      <c r="AM60" s="517" t="str" cm="1">
        <f t="array" ref="AM60">IF(Contract_Edits[[#This Row],[BaseFlag]]=1,
   TEXT(Contract_Edits[[#This Row],[Index]],"0"),
   NearestBaseL(TEXT(Contract_Edits[[#This Row],[ParentKey]],"0"),500,editsIdxTxt,editsParentKeyTxt,baseIdxTxt,baseCost)
)</f>
        <v>155</v>
      </c>
      <c r="AN60" s="517" cm="1">
        <f t="array" ref="AN60">1+SUMPRODUCT(
  (Contract_Edits[BaseFlag]=1)*
  (TEXT(Contract_Edits[ParentAnchor],"0")=TEXT(Contract_Edits[[#This Row],[ParentAnchor]],"0"))*
  (VALUE(TEXT(Contract_Edits[Index],"0"))&lt;VALUE(TEXT(Contract_Edits[[#This Row],[Index]],"0")))
)</f>
        <v>1</v>
      </c>
      <c r="AO60" s="35"/>
      <c r="AP60" s="35" t="str">
        <f ca="1">IFERROR(+IF(AP$24=#REF!,Milestone_Marker,IF(AND(AP$24&gt;#REF!,AP$24&lt;#REF!+#REF!),#REF!,"")),"")</f>
        <v/>
      </c>
      <c r="AQ60" s="35" t="str">
        <f ca="1">IFERROR(+IF(AQ$24=#REF!,Milestone_Marker,IF(AND(AQ$24&gt;#REF!,AQ$24&lt;#REF!+#REF!),#REF!,"")),"")</f>
        <v/>
      </c>
      <c r="AR60" s="35" t="str">
        <f ca="1">IFERROR(+IF(AR$24=#REF!,Milestone_Marker,IF(AND(AR$24&gt;#REF!,AR$24&lt;#REF!+#REF!),#REF!,"")),"")</f>
        <v/>
      </c>
      <c r="AS60" s="35" t="str">
        <f ca="1">IFERROR(+IF(AS$24=#REF!,Milestone_Marker,IF(AND(AS$24&gt;#REF!,AS$24&lt;#REF!+#REF!),#REF!,"")),"")</f>
        <v/>
      </c>
      <c r="AT60" s="35" t="str">
        <f ca="1">IFERROR(+IF(AT$24=#REF!,Milestone_Marker,IF(AND(AT$24&gt;#REF!,AT$24&lt;#REF!+#REF!),#REF!,"")),"")</f>
        <v/>
      </c>
      <c r="AU60" s="35" t="str">
        <f ca="1">IFERROR(+IF(AU$24=#REF!,Milestone_Marker,IF(AND(AU$24&gt;#REF!,AU$24&lt;#REF!+#REF!),#REF!,"")),"")</f>
        <v/>
      </c>
      <c r="AV60" s="35" t="str">
        <f ca="1">IFERROR(+IF(AV$24=#REF!,Milestone_Marker,IF(AND(AV$24&gt;#REF!,AV$24&lt;#REF!+#REF!),#REF!,"")),"")</f>
        <v/>
      </c>
      <c r="AW60" s="35" t="str">
        <f ca="1">IFERROR(+IF(AW$24=#REF!,Milestone_Marker,IF(AND(AW$24&gt;#REF!,AW$24&lt;#REF!+#REF!),#REF!,"")),"")</f>
        <v/>
      </c>
      <c r="AX60" s="35" t="str">
        <f ca="1">IFERROR(+IF(AX$24=#REF!,Milestone_Marker,IF(AND(AX$24&gt;#REF!,AX$24&lt;#REF!+#REF!),#REF!,"")),"")</f>
        <v/>
      </c>
      <c r="AY60" s="35" t="str">
        <f ca="1">IFERROR(+IF(AY$24=#REF!,Milestone_Marker,IF(AND(AY$24&gt;#REF!,AY$24&lt;#REF!+#REF!),#REF!,"")),"")</f>
        <v/>
      </c>
      <c r="AZ60" s="35" t="str">
        <f ca="1">IFERROR(+IF(AZ$24=#REF!,Milestone_Marker,IF(AND(AZ$24&gt;#REF!,AZ$24&lt;#REF!+#REF!),#REF!,"")),"")</f>
        <v/>
      </c>
      <c r="BA60" s="35" t="str">
        <f ca="1">IFERROR(+IF(BA$24=#REF!,Milestone_Marker,IF(AND(BA$24&gt;#REF!,BA$24&lt;#REF!+#REF!),#REF!,"")),"")</f>
        <v/>
      </c>
      <c r="BB60" s="35" t="str">
        <f ca="1">IFERROR(+IF(BB$24=#REF!,Milestone_Marker,IF(AND(BB$24&gt;#REF!,BB$24&lt;#REF!+#REF!),#REF!,"")),"")</f>
        <v/>
      </c>
      <c r="BC60" s="35" t="str">
        <f ca="1">IFERROR(+IF(BC$24=#REF!,Milestone_Marker,IF(AND(BC$24&gt;#REF!,BC$24&lt;#REF!+#REF!),#REF!,"")),"")</f>
        <v/>
      </c>
      <c r="BD60" s="35" t="str">
        <f ca="1">IFERROR(+IF(BD$24=#REF!,Milestone_Marker,IF(AND(BD$24&gt;#REF!,BD$24&lt;#REF!+#REF!),#REF!,"")),"")</f>
        <v/>
      </c>
      <c r="BE60" s="35" t="str">
        <f ca="1">IFERROR(+IF(BE$24=#REF!,Milestone_Marker,IF(AND(BE$24&gt;#REF!,BE$24&lt;#REF!+#REF!),#REF!,"")),"")</f>
        <v/>
      </c>
      <c r="BF60" s="35" t="str">
        <f ca="1">IFERROR(+IF(BF$24=#REF!,Milestone_Marker,IF(AND(BF$24&gt;#REF!,BF$24&lt;#REF!+#REF!),#REF!,"")),"")</f>
        <v/>
      </c>
      <c r="BG60" s="35" t="str">
        <f ca="1">IFERROR(+IF(BG$24=#REF!,Milestone_Marker,IF(AND(BG$24&gt;#REF!,BG$24&lt;#REF!+#REF!),#REF!,"")),"")</f>
        <v/>
      </c>
      <c r="BH60" s="35" t="str">
        <f ca="1">IFERROR(+IF(BH$24=#REF!,Milestone_Marker,IF(AND(BH$24&gt;#REF!,BH$24&lt;#REF!+#REF!),#REF!,"")),"")</f>
        <v/>
      </c>
      <c r="BI60" s="35" t="str">
        <f ca="1">IFERROR(+IF(BI$24=#REF!,Milestone_Marker,IF(AND(BI$24&gt;#REF!,BI$24&lt;#REF!+#REF!),#REF!,"")),"")</f>
        <v/>
      </c>
      <c r="BJ60" s="35" t="str">
        <f ca="1">IFERROR(+IF(BJ$24=#REF!,Milestone_Marker,IF(AND(BJ$24&gt;#REF!,BJ$24&lt;#REF!+#REF!),#REF!,"")),"")</f>
        <v/>
      </c>
      <c r="BK60" s="35" t="str">
        <f ca="1">IFERROR(+IF(BK$24=#REF!,Milestone_Marker,IF(AND(BK$24&gt;#REF!,BK$24&lt;#REF!+#REF!),#REF!,"")),"")</f>
        <v/>
      </c>
      <c r="BL60" s="35" t="str">
        <f ca="1">IFERROR(+IF(BL$24=#REF!,Milestone_Marker,IF(AND(BL$24&gt;#REF!,BL$24&lt;#REF!+#REF!),#REF!,"")),"")</f>
        <v/>
      </c>
      <c r="BM60" s="35" t="str">
        <f ca="1">IFERROR(+IF(BM$24=#REF!,Milestone_Marker,IF(AND(BM$24&gt;#REF!,BM$24&lt;#REF!+#REF!),#REF!,"")),"")</f>
        <v/>
      </c>
      <c r="BN60" s="35" t="str">
        <f ca="1">IFERROR(+IF(BN$24=#REF!,Milestone_Marker,IF(AND(BN$24&gt;#REF!,BN$24&lt;#REF!+#REF!),#REF!,"")),"")</f>
        <v/>
      </c>
      <c r="BO60" s="35" t="str">
        <f ca="1">IFERROR(+IF(BO$24=#REF!,Milestone_Marker,IF(AND(BO$24&gt;#REF!,BO$24&lt;#REF!+#REF!),#REF!,"")),"")</f>
        <v/>
      </c>
      <c r="BP60" s="35" t="str">
        <f ca="1">IFERROR(+IF(BP$24=#REF!,Milestone_Marker,IF(AND(BP$24&gt;#REF!,BP$24&lt;#REF!+#REF!),#REF!,"")),"")</f>
        <v/>
      </c>
      <c r="BQ60" s="35" t="str">
        <f ca="1">IFERROR(+IF(BQ$24=#REF!,Milestone_Marker,IF(AND(BQ$24&gt;#REF!,BQ$24&lt;#REF!+#REF!),#REF!,"")),"")</f>
        <v/>
      </c>
      <c r="BR60" s="35" t="str">
        <f ca="1">IFERROR(+IF(BR$24=#REF!,Milestone_Marker,IF(AND(BR$24&gt;#REF!,BR$24&lt;#REF!+#REF!),#REF!,"")),"")</f>
        <v/>
      </c>
      <c r="BS60" s="35" t="str">
        <f ca="1">IFERROR(+IF(BS$24=#REF!,Milestone_Marker,IF(AND(BS$24&gt;#REF!,BS$24&lt;#REF!+#REF!),#REF!,"")),"")</f>
        <v/>
      </c>
      <c r="BT60" s="35" t="str">
        <f ca="1">IFERROR(+IF(BT$24=#REF!,Milestone_Marker,IF(AND(BT$24&gt;#REF!,BT$24&lt;#REF!+#REF!),#REF!,"")),"")</f>
        <v/>
      </c>
      <c r="BU60" s="35" t="str">
        <f ca="1">IFERROR(+IF(BU$24=#REF!,Milestone_Marker,IF(AND(BU$24&gt;#REF!,BU$24&lt;#REF!+#REF!),#REF!,"")),"")</f>
        <v/>
      </c>
      <c r="BV60" s="35" t="str">
        <f ca="1">IFERROR(+IF(BV$24=#REF!,Milestone_Marker,IF(AND(BV$24&gt;#REF!,BV$24&lt;#REF!+#REF!),#REF!,"")),"")</f>
        <v/>
      </c>
      <c r="BW60" s="35" t="str">
        <f ca="1">IFERROR(+IF(BW$24=#REF!,Milestone_Marker,IF(AND(BW$24&gt;#REF!,BW$24&lt;#REF!+#REF!),#REF!,"")),"")</f>
        <v/>
      </c>
      <c r="BX60" s="35" t="str">
        <f ca="1">IFERROR(+IF(BX$24=#REF!,Milestone_Marker,IF(AND(BX$24&gt;#REF!,BX$24&lt;#REF!+#REF!),#REF!,"")),"")</f>
        <v/>
      </c>
      <c r="BY60" s="35" t="str">
        <f ca="1">IFERROR(+IF(BY$24=#REF!,Milestone_Marker,IF(AND(BY$24&gt;#REF!,BY$24&lt;#REF!+#REF!),#REF!,"")),"")</f>
        <v/>
      </c>
      <c r="BZ60" s="35" t="str">
        <f ca="1">IFERROR(+IF(BZ$24=#REF!,Milestone_Marker,IF(AND(BZ$24&gt;#REF!,BZ$24&lt;#REF!+#REF!),#REF!,"")),"")</f>
        <v/>
      </c>
      <c r="CA60" s="35" t="str">
        <f ca="1">IFERROR(+IF(CA$24=#REF!,Milestone_Marker,IF(AND(CA$24&gt;#REF!,CA$24&lt;#REF!+#REF!),#REF!,"")),"")</f>
        <v/>
      </c>
      <c r="CB60" s="35" t="str">
        <f ca="1">IFERROR(+IF(CB$24=#REF!,Milestone_Marker,IF(AND(CB$24&gt;#REF!,CB$24&lt;#REF!+#REF!),#REF!,"")),"")</f>
        <v/>
      </c>
      <c r="CC60" s="35" t="str">
        <f ca="1">IFERROR(+IF(CC$24=#REF!,Milestone_Marker,IF(AND(CC$24&gt;#REF!,CC$24&lt;#REF!+#REF!),#REF!,"")),"")</f>
        <v/>
      </c>
      <c r="CD60" s="35" t="str">
        <f ca="1">IFERROR(+IF(CD$24=#REF!,Milestone_Marker,IF(AND(CD$24&gt;#REF!,CD$24&lt;#REF!+#REF!),#REF!,"")),"")</f>
        <v/>
      </c>
      <c r="CE60" s="35" t="str">
        <f ca="1">IFERROR(+IF(CE$24=#REF!,Milestone_Marker,IF(AND(CE$24&gt;#REF!,CE$24&lt;#REF!+#REF!),#REF!,"")),"")</f>
        <v/>
      </c>
      <c r="CF60" s="35" t="str">
        <f ca="1">IFERROR(+IF(CF$24=#REF!,Milestone_Marker,IF(AND(CF$24&gt;#REF!,CF$24&lt;#REF!+#REF!),#REF!,"")),"")</f>
        <v/>
      </c>
      <c r="CG60" s="35" t="str">
        <f ca="1">IFERROR(+IF(CG$24=#REF!,Milestone_Marker,IF(AND(CG$24&gt;#REF!,CG$24&lt;#REF!+#REF!),#REF!,"")),"")</f>
        <v/>
      </c>
      <c r="CH60" s="35" t="str">
        <f ca="1">IFERROR(+IF(CH$24=#REF!,Milestone_Marker,IF(AND(CH$24&gt;#REF!,CH$24&lt;#REF!+#REF!),#REF!,"")),"")</f>
        <v/>
      </c>
      <c r="CI60" s="35" t="str">
        <f ca="1">IFERROR(+IF(CI$24=#REF!,Milestone_Marker,IF(AND(CI$24&gt;#REF!,CI$24&lt;#REF!+#REF!),#REF!,"")),"")</f>
        <v/>
      </c>
      <c r="CJ60" s="35" t="str">
        <f ca="1">IFERROR(+IF(CJ$24=#REF!,Milestone_Marker,IF(AND(CJ$24&gt;#REF!,CJ$24&lt;#REF!+#REF!),#REF!,"")),"")</f>
        <v/>
      </c>
      <c r="CK60" s="35" t="str">
        <f ca="1">IFERROR(+IF(CK$24=#REF!,Milestone_Marker,IF(AND(CK$24&gt;#REF!,CK$24&lt;#REF!+#REF!),#REF!,"")),"")</f>
        <v/>
      </c>
      <c r="CL60" s="35" t="str">
        <f ca="1">IFERROR(+IF(CL$24=#REF!,Milestone_Marker,IF(AND(CL$24&gt;#REF!,CL$24&lt;#REF!+#REF!),#REF!,"")),"")</f>
        <v/>
      </c>
      <c r="CM60" s="35" t="str">
        <f ca="1">IFERROR(+IF(CM$24=#REF!,Milestone_Marker,IF(AND(CM$24&gt;#REF!,CM$24&lt;#REF!+#REF!),#REF!,"")),"")</f>
        <v/>
      </c>
      <c r="CN60" s="35" t="str">
        <f ca="1">IFERROR(+IF(CN$24=#REF!,Milestone_Marker,IF(AND(CN$24&gt;#REF!,CN$24&lt;#REF!+#REF!),#REF!,"")),"")</f>
        <v/>
      </c>
      <c r="CO60" s="35" t="str">
        <f ca="1">IFERROR(+IF(CO$24=#REF!,Milestone_Marker,IF(AND(CO$24&gt;#REF!,CO$24&lt;#REF!+#REF!),#REF!,"")),"")</f>
        <v/>
      </c>
      <c r="CP60" s="35" t="str">
        <f ca="1">IFERROR(+IF(CP$24=#REF!,Milestone_Marker,IF(AND(CP$24&gt;#REF!,CP$24&lt;#REF!+#REF!),#REF!,"")),"")</f>
        <v/>
      </c>
      <c r="CQ60" s="35" t="str">
        <f ca="1">IFERROR(+IF(CQ$24=#REF!,Milestone_Marker,IF(AND(CQ$24&gt;#REF!,CQ$24&lt;#REF!+#REF!),#REF!,"")),"")</f>
        <v/>
      </c>
      <c r="CR60" s="35" t="str">
        <f ca="1">IFERROR(+IF(CR$24=#REF!,Milestone_Marker,IF(AND(CR$24&gt;#REF!,CR$24&lt;#REF!+#REF!),#REF!,"")),"")</f>
        <v/>
      </c>
      <c r="CS60" s="35" t="str">
        <f ca="1">IFERROR(+IF(CS$24=#REF!,Milestone_Marker,IF(AND(CS$24&gt;#REF!,CS$24&lt;#REF!+#REF!),#REF!,"")),"")</f>
        <v/>
      </c>
      <c r="CT60" s="35" t="str">
        <f ca="1">IFERROR(+IF(CT$24=#REF!,Milestone_Marker,IF(AND(CT$24&gt;#REF!,CT$24&lt;#REF!+#REF!),#REF!,"")),"")</f>
        <v/>
      </c>
      <c r="CU60" s="35" t="str">
        <f ca="1">IFERROR(+IF(CU$24=#REF!,Milestone_Marker,IF(AND(CU$24&gt;#REF!,CU$24&lt;#REF!+#REF!),#REF!,"")),"")</f>
        <v/>
      </c>
      <c r="CV60" s="35" t="str">
        <f ca="1">IFERROR(+IF(CV$24=#REF!,Milestone_Marker,IF(AND(CV$24&gt;#REF!,CV$24&lt;#REF!+#REF!),#REF!,"")),"")</f>
        <v/>
      </c>
      <c r="CW60" s="35" t="str">
        <f ca="1">IFERROR(+IF(CW$24=#REF!,Milestone_Marker,IF(AND(CW$24&gt;#REF!,CW$24&lt;#REF!+#REF!),#REF!,"")),"")</f>
        <v/>
      </c>
      <c r="CX60" s="35" t="str">
        <f ca="1">IFERROR(+IF(CX$24=#REF!,Milestone_Marker,IF(AND(CX$24&gt;#REF!,CX$24&lt;#REF!+#REF!),#REF!,"")),"")</f>
        <v/>
      </c>
      <c r="CY60" s="35" t="str">
        <f ca="1">IFERROR(+IF(CY$24=#REF!,Milestone_Marker,IF(AND(CY$24&gt;#REF!,CY$24&lt;#REF!+#REF!),#REF!,"")),"")</f>
        <v/>
      </c>
      <c r="CZ60" s="35" t="str">
        <f ca="1">IFERROR(+IF(CZ$24=#REF!,Milestone_Marker,IF(AND(CZ$24&gt;#REF!,CZ$24&lt;#REF!+#REF!),#REF!,"")),"")</f>
        <v/>
      </c>
      <c r="DA60" s="35" t="str">
        <f ca="1">IFERROR(+IF(DA$24=#REF!,Milestone_Marker,IF(AND(DA$24&gt;#REF!,DA$24&lt;#REF!+#REF!),#REF!,"")),"")</f>
        <v/>
      </c>
      <c r="DB60" s="35" t="str">
        <f ca="1">IFERROR(+IF(DB$24=#REF!,Milestone_Marker,IF(AND(DB$24&gt;#REF!,DB$24&lt;#REF!+#REF!),#REF!,"")),"")</f>
        <v/>
      </c>
      <c r="DC60" s="35" t="str">
        <f ca="1">IFERROR(+IF(DC$24=#REF!,Milestone_Marker,IF(AND(DC$24&gt;#REF!,DC$24&lt;#REF!+#REF!),#REF!,"")),"")</f>
        <v/>
      </c>
      <c r="DD60" s="35" t="str">
        <f ca="1">IFERROR(+IF(DD$24=#REF!,Milestone_Marker,IF(AND(DD$24&gt;#REF!,DD$24&lt;#REF!+#REF!),#REF!,"")),"")</f>
        <v/>
      </c>
      <c r="DE60" s="35" t="str">
        <f ca="1">IFERROR(+IF(DE$24=#REF!,Milestone_Marker,IF(AND(DE$24&gt;#REF!,DE$24&lt;#REF!+#REF!),#REF!,"")),"")</f>
        <v/>
      </c>
      <c r="DF60" s="35"/>
      <c r="DG60" s="35"/>
      <c r="DH60" s="35"/>
      <c r="DI60" s="35"/>
      <c r="DJ60" s="35"/>
      <c r="DK60" s="35"/>
      <c r="DL60" s="35"/>
      <c r="DM60" s="35"/>
      <c r="DN60" s="35"/>
      <c r="DO60" s="35"/>
      <c r="DP60" s="35"/>
      <c r="DQ60" s="35"/>
      <c r="DR60" s="35"/>
      <c r="DS60" s="35"/>
      <c r="DT60" s="35"/>
      <c r="DU60" s="35"/>
      <c r="DV60" s="35"/>
      <c r="DW60" s="35"/>
      <c r="DX60" s="35"/>
      <c r="DY60" s="35"/>
      <c r="DZ60" s="35"/>
      <c r="EA60" s="35"/>
      <c r="EB60" s="35"/>
      <c r="EC60" s="35"/>
      <c r="ED60" s="35"/>
      <c r="EE60" s="35"/>
    </row>
    <row r="61" spans="1:135" s="40" customFormat="1" ht="15">
      <c r="A61" t="s">
        <v>467</v>
      </c>
      <c r="B61" t="s">
        <v>608</v>
      </c>
      <c r="C61" t="s">
        <v>719</v>
      </c>
      <c r="D61" s="458" t="s">
        <v>720</v>
      </c>
      <c r="E61" s="458">
        <v>1</v>
      </c>
      <c r="F61">
        <v>1000</v>
      </c>
      <c r="G61">
        <v>1000</v>
      </c>
      <c r="H61">
        <v>155</v>
      </c>
      <c r="I61">
        <v>1000</v>
      </c>
      <c r="J61">
        <v>131</v>
      </c>
      <c r="K61" s="107"/>
      <c r="L61" s="463">
        <v>131</v>
      </c>
      <c r="M61" s="490"/>
      <c r="N61" s="160">
        <v>0</v>
      </c>
      <c r="O61" s="546" cm="1">
        <f t="array" ref="O6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45980</v>
      </c>
      <c r="P61" s="567" t="s">
        <v>458</v>
      </c>
      <c r="Q61" s="567">
        <v>1000</v>
      </c>
      <c r="R61" s="499"/>
      <c r="S61" s="463" cm="1">
        <f t="array" ref="S6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1" s="34">
        <v>1</v>
      </c>
      <c r="U61" s="490">
        <v>5</v>
      </c>
      <c r="V6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65.010500000000008</v>
      </c>
      <c r="W61" s="557"/>
      <c r="X61" s="545"/>
      <c r="Y61" s="548" t="s">
        <v>865</v>
      </c>
      <c r="Z61" s="160" t="s">
        <v>458</v>
      </c>
      <c r="AA61" s="563">
        <v>103900</v>
      </c>
      <c r="AB61" cm="1">
        <f t="array" ref="AB61">ROW()-ROW(Contract_Edits[#Headers])</f>
        <v>37</v>
      </c>
      <c r="AC61">
        <f>IF(Contract_Edits[[#This Row],[RowPos]]&gt;1, Contract_Edits[[#This Row],[RowPos]]-1, 0)</f>
        <v>36</v>
      </c>
      <c r="AD61" s="35">
        <f>IF(N(Contract_Edits[[#This Row],[Dep]])=0, N(Contract_Edits[[#This Row],[Index]]), N(Contract_Edits[[#This Row],[Dep]]))</f>
        <v>155</v>
      </c>
      <c r="AE61" s="35" cm="1">
        <f t="array" ref="AE61">IF(OR(Contract_Edits[[#This Row],[Dep]]=0, TRIM(Contract_Edits[[#This Row],[Dep]])=""),
   0,
   IFERROR(
      _xlfn.XLOOKUP(1, (Contract_Edits[Dep]=Contract_Edits[[#This Row],[Dep]])*(Contract_Edits[RowPos]&lt;Contract_Edits[[#This Row],[RowPos]]), Contract_Edits[RowPos], , 0, -1),
      0
   )
)</f>
        <v>36</v>
      </c>
      <c r="AF61" s="35">
        <f>IF(OR(Contract_Edits[[#This Row],[Dep]]=0,Contract_Edits[[#This Row],[Dep]]=""),0,
   COUNTIFS(Contract_Edits[Dep],Contract_Edits[[#This Row],[Dep]],Contract_Edits[RowPos],"&lt;="&amp;Contract_Edits[[#This Row],[RowPos]],Contract_Edits[Approve],"Yes")
)</f>
        <v>6</v>
      </c>
      <c r="AG61" s="517">
        <f>--(
  ISNUMBER(SEARCH("BASE PARENT", UPPER(CLEAN(TRIM(_xlfn.XLOOKUP(TEXT(Contract_Edits[[#This Row],[Index]],"0"), baseIdxTxt, baseCost, "")))))) +
  ISNUMBER(SEARCH("DEPENDENCY GROUP", UPPER(CLEAN(TRIM(_xlfn.XLOOKUP(TEXT(Contract_Edits[[#This Row],[Index]],"0"), baseIdxTxt, baseCost, ""))))))
)</f>
        <v>0</v>
      </c>
      <c r="AH61" s="517" t="str" cm="1">
        <f t="array" ref="AH61">IF(Contract_Edits[[#This Row],[BaseFlag]]=1,
   10*BaseDepthL(TEXT(Contract_Edits[[#This Row],[Index]],"0"),500,editsIdxTxt,editsParentKeyTxt,baseIdxTxt,baseCost)-5,
   ""
)</f>
        <v/>
      </c>
      <c r="AI61" s="517" cm="1">
        <f t="array" ref="AI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1" s="517" t="str">
        <f>IF(Contract_Edits[[#This Row],[Dep]]=0,"Root",
   IF(ISNUMBER(MATCH(Contract_Edits[[#This Row],[Dep]],Contract_Edits[Index],0)),"OK","Missing")
)</f>
        <v>OK</v>
      </c>
      <c r="AK61" s="517" t="str">
        <f>IF(AND(Contract_Edits[[#This Row],[Dep]]&lt;&gt;0,
        ISNUMBER(MATCH(Contract_Edits[[#This Row],[Dep]], Contract_Edits[Index], 0)),
        INDEX(Contract_Edits[Dep], MATCH(Contract_Edits[[#This Row],[Dep]], Contract_Edits[Index], 0))=Contract_Edits[[#This Row],[Index]]),
   "2-cycle","")</f>
        <v/>
      </c>
      <c r="AL61" s="517" cm="1">
        <f t="array" ref="AL61">IF(Contract_Edits[[#This Row],[BaseFlag]]&lt;&gt;1,0,
   IF(TEXT(Contract_Edits[[#This Row],[Dep]],"0")=TEXT(Contract_Edits[[#This Row],[Index]],"0"),
      0,
      MAX(0, SUMPRODUCT(--(Contract_Edits[BaseFlag]=1),
                        --(TEXT(Contract_Edits[Dep],"0")=TEXT(Contract_Edits[[#This Row],[Dep]],"0"))) - 1)
   )
)</f>
        <v>0</v>
      </c>
      <c r="AM61" s="517" t="str" cm="1">
        <f t="array" ref="AM61">IF(Contract_Edits[[#This Row],[BaseFlag]]=1,
   TEXT(Contract_Edits[[#This Row],[Index]],"0"),
   NearestBaseL(TEXT(Contract_Edits[[#This Row],[ParentKey]],"0"),500,editsIdxTxt,editsParentKeyTxt,baseIdxTxt,baseCost)
)</f>
        <v>155</v>
      </c>
      <c r="AN61" s="517" cm="1">
        <f t="array" ref="AN61">1+SUMPRODUCT(
  (Contract_Edits[BaseFlag]=1)*
  (TEXT(Contract_Edits[ParentAnchor],"0")=TEXT(Contract_Edits[[#This Row],[ParentAnchor]],"0"))*
  (VALUE(TEXT(Contract_Edits[Index],"0"))&lt;VALUE(TEXT(Contract_Edits[[#This Row],[Index]],"0")))
)</f>
        <v>1</v>
      </c>
      <c r="AO61" s="35"/>
      <c r="AP61" s="35" t="str">
        <f ca="1">IFERROR(+IF(AP$24=#REF!,Milestone_Marker,IF(AND(AP$24&gt;#REF!,AP$24&lt;#REF!+#REF!),#REF!,"")),"")</f>
        <v/>
      </c>
      <c r="AQ61" s="35" t="str">
        <f ca="1">IFERROR(+IF(AQ$24=#REF!,Milestone_Marker,IF(AND(AQ$24&gt;#REF!,AQ$24&lt;#REF!+#REF!),#REF!,"")),"")</f>
        <v/>
      </c>
      <c r="AR61" s="35" t="str">
        <f ca="1">IFERROR(+IF(AR$24=#REF!,Milestone_Marker,IF(AND(AR$24&gt;#REF!,AR$24&lt;#REF!+#REF!),#REF!,"")),"")</f>
        <v/>
      </c>
      <c r="AS61" s="35" t="str">
        <f ca="1">IFERROR(+IF(AS$24=#REF!,Milestone_Marker,IF(AND(AS$24&gt;#REF!,AS$24&lt;#REF!+#REF!),#REF!,"")),"")</f>
        <v/>
      </c>
      <c r="AT61" s="35" t="str">
        <f ca="1">IFERROR(+IF(AT$24=#REF!,Milestone_Marker,IF(AND(AT$24&gt;#REF!,AT$24&lt;#REF!+#REF!),#REF!,"")),"")</f>
        <v/>
      </c>
      <c r="AU61" s="35" t="str">
        <f ca="1">IFERROR(+IF(AU$24=#REF!,Milestone_Marker,IF(AND(AU$24&gt;#REF!,AU$24&lt;#REF!+#REF!),#REF!,"")),"")</f>
        <v/>
      </c>
      <c r="AV61" s="35" t="str">
        <f ca="1">IFERROR(+IF(AV$24=#REF!,Milestone_Marker,IF(AND(AV$24&gt;#REF!,AV$24&lt;#REF!+#REF!),#REF!,"")),"")</f>
        <v/>
      </c>
      <c r="AW61" s="35" t="str">
        <f ca="1">IFERROR(+IF(AW$24=#REF!,Milestone_Marker,IF(AND(AW$24&gt;#REF!,AW$24&lt;#REF!+#REF!),#REF!,"")),"")</f>
        <v/>
      </c>
      <c r="AX61" s="35" t="str">
        <f ca="1">IFERROR(+IF(AX$24=#REF!,Milestone_Marker,IF(AND(AX$24&gt;#REF!,AX$24&lt;#REF!+#REF!),#REF!,"")),"")</f>
        <v/>
      </c>
      <c r="AY61" s="35" t="str">
        <f ca="1">IFERROR(+IF(AY$24=#REF!,Milestone_Marker,IF(AND(AY$24&gt;#REF!,AY$24&lt;#REF!+#REF!),#REF!,"")),"")</f>
        <v/>
      </c>
      <c r="AZ61" s="35" t="str">
        <f ca="1">IFERROR(+IF(AZ$24=#REF!,Milestone_Marker,IF(AND(AZ$24&gt;#REF!,AZ$24&lt;#REF!+#REF!),#REF!,"")),"")</f>
        <v/>
      </c>
      <c r="BA61" s="35" t="str">
        <f ca="1">IFERROR(+IF(BA$24=#REF!,Milestone_Marker,IF(AND(BA$24&gt;#REF!,BA$24&lt;#REF!+#REF!),#REF!,"")),"")</f>
        <v/>
      </c>
      <c r="BB61" s="35" t="str">
        <f ca="1">IFERROR(+IF(BB$24=#REF!,Milestone_Marker,IF(AND(BB$24&gt;#REF!,BB$24&lt;#REF!+#REF!),#REF!,"")),"")</f>
        <v/>
      </c>
      <c r="BC61" s="35" t="str">
        <f ca="1">IFERROR(+IF(BC$24=#REF!,Milestone_Marker,IF(AND(BC$24&gt;#REF!,BC$24&lt;#REF!+#REF!),#REF!,"")),"")</f>
        <v/>
      </c>
      <c r="BD61" s="35" t="str">
        <f ca="1">IFERROR(+IF(BD$24=#REF!,Milestone_Marker,IF(AND(BD$24&gt;#REF!,BD$24&lt;#REF!+#REF!),#REF!,"")),"")</f>
        <v/>
      </c>
      <c r="BE61" s="35" t="str">
        <f ca="1">IFERROR(+IF(BE$24=#REF!,Milestone_Marker,IF(AND(BE$24&gt;#REF!,BE$24&lt;#REF!+#REF!),#REF!,"")),"")</f>
        <v/>
      </c>
      <c r="BF61" s="35" t="str">
        <f ca="1">IFERROR(+IF(BF$24=#REF!,Milestone_Marker,IF(AND(BF$24&gt;#REF!,BF$24&lt;#REF!+#REF!),#REF!,"")),"")</f>
        <v/>
      </c>
      <c r="BG61" s="35" t="str">
        <f ca="1">IFERROR(+IF(BG$24=#REF!,Milestone_Marker,IF(AND(BG$24&gt;#REF!,BG$24&lt;#REF!+#REF!),#REF!,"")),"")</f>
        <v/>
      </c>
      <c r="BH61" s="35" t="str">
        <f ca="1">IFERROR(+IF(BH$24=#REF!,Milestone_Marker,IF(AND(BH$24&gt;#REF!,BH$24&lt;#REF!+#REF!),#REF!,"")),"")</f>
        <v/>
      </c>
      <c r="BI61" s="35" t="str">
        <f ca="1">IFERROR(+IF(BI$24=#REF!,Milestone_Marker,IF(AND(BI$24&gt;#REF!,BI$24&lt;#REF!+#REF!),#REF!,"")),"")</f>
        <v/>
      </c>
      <c r="BJ61" s="35" t="str">
        <f ca="1">IFERROR(+IF(BJ$24=#REF!,Milestone_Marker,IF(AND(BJ$24&gt;#REF!,BJ$24&lt;#REF!+#REF!),#REF!,"")),"")</f>
        <v/>
      </c>
      <c r="BK61" s="35" t="str">
        <f ca="1">IFERROR(+IF(BK$24=#REF!,Milestone_Marker,IF(AND(BK$24&gt;#REF!,BK$24&lt;#REF!+#REF!),#REF!,"")),"")</f>
        <v/>
      </c>
      <c r="BL61" s="35" t="str">
        <f ca="1">IFERROR(+IF(BL$24=#REF!,Milestone_Marker,IF(AND(BL$24&gt;#REF!,BL$24&lt;#REF!+#REF!),#REF!,"")),"")</f>
        <v/>
      </c>
      <c r="BM61" s="35" t="str">
        <f ca="1">IFERROR(+IF(BM$24=#REF!,Milestone_Marker,IF(AND(BM$24&gt;#REF!,BM$24&lt;#REF!+#REF!),#REF!,"")),"")</f>
        <v/>
      </c>
      <c r="BN61" s="35" t="str">
        <f ca="1">IFERROR(+IF(BN$24=#REF!,Milestone_Marker,IF(AND(BN$24&gt;#REF!,BN$24&lt;#REF!+#REF!),#REF!,"")),"")</f>
        <v/>
      </c>
      <c r="BO61" s="35" t="str">
        <f ca="1">IFERROR(+IF(BO$24=#REF!,Milestone_Marker,IF(AND(BO$24&gt;#REF!,BO$24&lt;#REF!+#REF!),#REF!,"")),"")</f>
        <v/>
      </c>
      <c r="BP61" s="35" t="str">
        <f ca="1">IFERROR(+IF(BP$24=#REF!,Milestone_Marker,IF(AND(BP$24&gt;#REF!,BP$24&lt;#REF!+#REF!),#REF!,"")),"")</f>
        <v/>
      </c>
      <c r="BQ61" s="35" t="str">
        <f ca="1">IFERROR(+IF(BQ$24=#REF!,Milestone_Marker,IF(AND(BQ$24&gt;#REF!,BQ$24&lt;#REF!+#REF!),#REF!,"")),"")</f>
        <v/>
      </c>
      <c r="BR61" s="35" t="str">
        <f ca="1">IFERROR(+IF(BR$24=#REF!,Milestone_Marker,IF(AND(BR$24&gt;#REF!,BR$24&lt;#REF!+#REF!),#REF!,"")),"")</f>
        <v/>
      </c>
      <c r="BS61" s="35" t="str">
        <f ca="1">IFERROR(+IF(BS$24=#REF!,Milestone_Marker,IF(AND(BS$24&gt;#REF!,BS$24&lt;#REF!+#REF!),#REF!,"")),"")</f>
        <v/>
      </c>
      <c r="BT61" s="35" t="str">
        <f ca="1">IFERROR(+IF(BT$24=#REF!,Milestone_Marker,IF(AND(BT$24&gt;#REF!,BT$24&lt;#REF!+#REF!),#REF!,"")),"")</f>
        <v/>
      </c>
      <c r="BU61" s="35" t="str">
        <f ca="1">IFERROR(+IF(BU$24=#REF!,Milestone_Marker,IF(AND(BU$24&gt;#REF!,BU$24&lt;#REF!+#REF!),#REF!,"")),"")</f>
        <v/>
      </c>
      <c r="BV61" s="35" t="str">
        <f ca="1">IFERROR(+IF(BV$24=#REF!,Milestone_Marker,IF(AND(BV$24&gt;#REF!,BV$24&lt;#REF!+#REF!),#REF!,"")),"")</f>
        <v/>
      </c>
      <c r="BW61" s="35" t="str">
        <f ca="1">IFERROR(+IF(BW$24=#REF!,Milestone_Marker,IF(AND(BW$24&gt;#REF!,BW$24&lt;#REF!+#REF!),#REF!,"")),"")</f>
        <v/>
      </c>
      <c r="BX61" s="35" t="str">
        <f ca="1">IFERROR(+IF(BX$24=#REF!,Milestone_Marker,IF(AND(BX$24&gt;#REF!,BX$24&lt;#REF!+#REF!),#REF!,"")),"")</f>
        <v/>
      </c>
      <c r="BY61" s="35" t="str">
        <f ca="1">IFERROR(+IF(BY$24=#REF!,Milestone_Marker,IF(AND(BY$24&gt;#REF!,BY$24&lt;#REF!+#REF!),#REF!,"")),"")</f>
        <v/>
      </c>
      <c r="BZ61" s="35" t="str">
        <f ca="1">IFERROR(+IF(BZ$24=#REF!,Milestone_Marker,IF(AND(BZ$24&gt;#REF!,BZ$24&lt;#REF!+#REF!),#REF!,"")),"")</f>
        <v/>
      </c>
      <c r="CA61" s="35" t="str">
        <f ca="1">IFERROR(+IF(CA$24=#REF!,Milestone_Marker,IF(AND(CA$24&gt;#REF!,CA$24&lt;#REF!+#REF!),#REF!,"")),"")</f>
        <v/>
      </c>
      <c r="CB61" s="35" t="str">
        <f ca="1">IFERROR(+IF(CB$24=#REF!,Milestone_Marker,IF(AND(CB$24&gt;#REF!,CB$24&lt;#REF!+#REF!),#REF!,"")),"")</f>
        <v/>
      </c>
      <c r="CC61" s="35" t="str">
        <f ca="1">IFERROR(+IF(CC$24=#REF!,Milestone_Marker,IF(AND(CC$24&gt;#REF!,CC$24&lt;#REF!+#REF!),#REF!,"")),"")</f>
        <v/>
      </c>
      <c r="CD61" s="35" t="str">
        <f ca="1">IFERROR(+IF(CD$24=#REF!,Milestone_Marker,IF(AND(CD$24&gt;#REF!,CD$24&lt;#REF!+#REF!),#REF!,"")),"")</f>
        <v/>
      </c>
      <c r="CE61" s="35" t="str">
        <f ca="1">IFERROR(+IF(CE$24=#REF!,Milestone_Marker,IF(AND(CE$24&gt;#REF!,CE$24&lt;#REF!+#REF!),#REF!,"")),"")</f>
        <v/>
      </c>
      <c r="CF61" s="35" t="str">
        <f ca="1">IFERROR(+IF(CF$24=#REF!,Milestone_Marker,IF(AND(CF$24&gt;#REF!,CF$24&lt;#REF!+#REF!),#REF!,"")),"")</f>
        <v/>
      </c>
      <c r="CG61" s="35" t="str">
        <f ca="1">IFERROR(+IF(CG$24=#REF!,Milestone_Marker,IF(AND(CG$24&gt;#REF!,CG$24&lt;#REF!+#REF!),#REF!,"")),"")</f>
        <v/>
      </c>
      <c r="CH61" s="35" t="str">
        <f ca="1">IFERROR(+IF(CH$24=#REF!,Milestone_Marker,IF(AND(CH$24&gt;#REF!,CH$24&lt;#REF!+#REF!),#REF!,"")),"")</f>
        <v/>
      </c>
      <c r="CI61" s="35" t="str">
        <f ca="1">IFERROR(+IF(CI$24=#REF!,Milestone_Marker,IF(AND(CI$24&gt;#REF!,CI$24&lt;#REF!+#REF!),#REF!,"")),"")</f>
        <v/>
      </c>
      <c r="CJ61" s="35" t="str">
        <f ca="1">IFERROR(+IF(CJ$24=#REF!,Milestone_Marker,IF(AND(CJ$24&gt;#REF!,CJ$24&lt;#REF!+#REF!),#REF!,"")),"")</f>
        <v/>
      </c>
      <c r="CK61" s="35" t="str">
        <f ca="1">IFERROR(+IF(CK$24=#REF!,Milestone_Marker,IF(AND(CK$24&gt;#REF!,CK$24&lt;#REF!+#REF!),#REF!,"")),"")</f>
        <v/>
      </c>
      <c r="CL61" s="35" t="str">
        <f ca="1">IFERROR(+IF(CL$24=#REF!,Milestone_Marker,IF(AND(CL$24&gt;#REF!,CL$24&lt;#REF!+#REF!),#REF!,"")),"")</f>
        <v/>
      </c>
      <c r="CM61" s="35" t="str">
        <f ca="1">IFERROR(+IF(CM$24=#REF!,Milestone_Marker,IF(AND(CM$24&gt;#REF!,CM$24&lt;#REF!+#REF!),#REF!,"")),"")</f>
        <v/>
      </c>
      <c r="CN61" s="35" t="str">
        <f ca="1">IFERROR(+IF(CN$24=#REF!,Milestone_Marker,IF(AND(CN$24&gt;#REF!,CN$24&lt;#REF!+#REF!),#REF!,"")),"")</f>
        <v/>
      </c>
      <c r="CO61" s="35" t="str">
        <f ca="1">IFERROR(+IF(CO$24=#REF!,Milestone_Marker,IF(AND(CO$24&gt;#REF!,CO$24&lt;#REF!+#REF!),#REF!,"")),"")</f>
        <v/>
      </c>
      <c r="CP61" s="35" t="str">
        <f ca="1">IFERROR(+IF(CP$24=#REF!,Milestone_Marker,IF(AND(CP$24&gt;#REF!,CP$24&lt;#REF!+#REF!),#REF!,"")),"")</f>
        <v/>
      </c>
      <c r="CQ61" s="35" t="str">
        <f ca="1">IFERROR(+IF(CQ$24=#REF!,Milestone_Marker,IF(AND(CQ$24&gt;#REF!,CQ$24&lt;#REF!+#REF!),#REF!,"")),"")</f>
        <v/>
      </c>
      <c r="CR61" s="35" t="str">
        <f ca="1">IFERROR(+IF(CR$24=#REF!,Milestone_Marker,IF(AND(CR$24&gt;#REF!,CR$24&lt;#REF!+#REF!),#REF!,"")),"")</f>
        <v/>
      </c>
      <c r="CS61" s="35" t="str">
        <f ca="1">IFERROR(+IF(CS$24=#REF!,Milestone_Marker,IF(AND(CS$24&gt;#REF!,CS$24&lt;#REF!+#REF!),#REF!,"")),"")</f>
        <v/>
      </c>
      <c r="CT61" s="35" t="str">
        <f ca="1">IFERROR(+IF(CT$24=#REF!,Milestone_Marker,IF(AND(CT$24&gt;#REF!,CT$24&lt;#REF!+#REF!),#REF!,"")),"")</f>
        <v/>
      </c>
      <c r="CU61" s="35" t="str">
        <f ca="1">IFERROR(+IF(CU$24=#REF!,Milestone_Marker,IF(AND(CU$24&gt;#REF!,CU$24&lt;#REF!+#REF!),#REF!,"")),"")</f>
        <v/>
      </c>
      <c r="CV61" s="35" t="str">
        <f ca="1">IFERROR(+IF(CV$24=#REF!,Milestone_Marker,IF(AND(CV$24&gt;#REF!,CV$24&lt;#REF!+#REF!),#REF!,"")),"")</f>
        <v/>
      </c>
      <c r="CW61" s="35" t="str">
        <f ca="1">IFERROR(+IF(CW$24=#REF!,Milestone_Marker,IF(AND(CW$24&gt;#REF!,CW$24&lt;#REF!+#REF!),#REF!,"")),"")</f>
        <v/>
      </c>
      <c r="CX61" s="35" t="str">
        <f ca="1">IFERROR(+IF(CX$24=#REF!,Milestone_Marker,IF(AND(CX$24&gt;#REF!,CX$24&lt;#REF!+#REF!),#REF!,"")),"")</f>
        <v/>
      </c>
      <c r="CY61" s="35" t="str">
        <f ca="1">IFERROR(+IF(CY$24=#REF!,Milestone_Marker,IF(AND(CY$24&gt;#REF!,CY$24&lt;#REF!+#REF!),#REF!,"")),"")</f>
        <v/>
      </c>
      <c r="CZ61" s="35" t="str">
        <f ca="1">IFERROR(+IF(CZ$24=#REF!,Milestone_Marker,IF(AND(CZ$24&gt;#REF!,CZ$24&lt;#REF!+#REF!),#REF!,"")),"")</f>
        <v/>
      </c>
      <c r="DA61" s="35" t="str">
        <f ca="1">IFERROR(+IF(DA$24=#REF!,Milestone_Marker,IF(AND(DA$24&gt;#REF!,DA$24&lt;#REF!+#REF!),#REF!,"")),"")</f>
        <v/>
      </c>
      <c r="DB61" s="35" t="str">
        <f ca="1">IFERROR(+IF(DB$24=#REF!,Milestone_Marker,IF(AND(DB$24&gt;#REF!,DB$24&lt;#REF!+#REF!),#REF!,"")),"")</f>
        <v/>
      </c>
      <c r="DC61" s="35" t="str">
        <f ca="1">IFERROR(+IF(DC$24=#REF!,Milestone_Marker,IF(AND(DC$24&gt;#REF!,DC$24&lt;#REF!+#REF!),#REF!,"")),"")</f>
        <v/>
      </c>
      <c r="DD61" s="35" t="str">
        <f ca="1">IFERROR(+IF(DD$24=#REF!,Milestone_Marker,IF(AND(DD$24&gt;#REF!,DD$24&lt;#REF!+#REF!),#REF!,"")),"")</f>
        <v/>
      </c>
      <c r="DE61" s="35" t="str">
        <f ca="1">IFERROR(+IF(DE$24=#REF!,Milestone_Marker,IF(AND(DE$24&gt;#REF!,DE$24&lt;#REF!+#REF!),#REF!,"")),"")</f>
        <v/>
      </c>
      <c r="DF61" s="35"/>
      <c r="DG61" s="35"/>
      <c r="DH61" s="35"/>
      <c r="DI61" s="35"/>
      <c r="DJ61" s="35"/>
      <c r="DK61" s="35"/>
      <c r="DL61" s="35"/>
      <c r="DM61" s="35"/>
      <c r="DN61" s="35"/>
      <c r="DO61" s="35"/>
      <c r="DP61" s="35"/>
      <c r="DQ61" s="35"/>
      <c r="DR61" s="35"/>
      <c r="DS61" s="35"/>
      <c r="DT61" s="35"/>
      <c r="DU61" s="35"/>
      <c r="DV61" s="35"/>
      <c r="DW61" s="35"/>
      <c r="DX61" s="35"/>
      <c r="DY61" s="35"/>
      <c r="DZ61" s="35"/>
      <c r="EA61" s="35"/>
      <c r="EB61" s="35"/>
      <c r="EC61" s="35"/>
      <c r="ED61" s="35"/>
      <c r="EE61" s="35"/>
    </row>
    <row r="62" spans="1:135" s="40" customFormat="1" ht="15">
      <c r="A62" t="s">
        <v>467</v>
      </c>
      <c r="B62" t="s">
        <v>793</v>
      </c>
      <c r="C62" t="s">
        <v>719</v>
      </c>
      <c r="D62" s="458" t="s">
        <v>1514</v>
      </c>
      <c r="E62" s="458">
        <v>1</v>
      </c>
      <c r="F62"/>
      <c r="G62"/>
      <c r="H62">
        <v>155</v>
      </c>
      <c r="I62"/>
      <c r="J62">
        <v>208</v>
      </c>
      <c r="K62" s="107"/>
      <c r="L62" s="463">
        <v>208</v>
      </c>
      <c r="M62" s="543"/>
      <c r="N62" s="544"/>
      <c r="O62" s="546" cm="1">
        <f t="array" ref="O6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45980</v>
      </c>
      <c r="P62" s="568"/>
      <c r="Q62" s="568"/>
      <c r="R62" s="499"/>
      <c r="S62" s="463" cm="1">
        <f t="array" ref="S6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2" s="34"/>
      <c r="U62" s="490">
        <v>6</v>
      </c>
      <c r="V6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65.010600000000011</v>
      </c>
      <c r="W62" s="557"/>
      <c r="X62" s="545"/>
      <c r="Y62" s="548" t="s">
        <v>865</v>
      </c>
      <c r="Z62" s="160" t="s">
        <v>458</v>
      </c>
      <c r="AA62" s="563"/>
      <c r="AB62" s="34" cm="1">
        <f t="array" ref="AB62">ROW()-ROW(Contract_Edits[#Headers])</f>
        <v>38</v>
      </c>
      <c r="AC62" s="34">
        <f>IF(Contract_Edits[[#This Row],[RowPos]]&gt;1, Contract_Edits[[#This Row],[RowPos]]-1, 0)</f>
        <v>37</v>
      </c>
      <c r="AD62" s="35">
        <f>IF(N(Contract_Edits[[#This Row],[Dep]])=0, N(Contract_Edits[[#This Row],[Index]]), N(Contract_Edits[[#This Row],[Dep]]))</f>
        <v>155</v>
      </c>
      <c r="AE62" s="35" cm="1">
        <f t="array" ref="AE62">IF(OR(Contract_Edits[[#This Row],[Dep]]=0, TRIM(Contract_Edits[[#This Row],[Dep]])=""),
   0,
   IFERROR(
      _xlfn.XLOOKUP(1, (Contract_Edits[Dep]=Contract_Edits[[#This Row],[Dep]])*(Contract_Edits[RowPos]&lt;Contract_Edits[[#This Row],[RowPos]]), Contract_Edits[RowPos], , 0, -1),
      0
   )
)</f>
        <v>37</v>
      </c>
      <c r="AF62" s="35">
        <f>IF(OR(Contract_Edits[[#This Row],[Dep]]=0,Contract_Edits[[#This Row],[Dep]]=""),0,
   COUNTIFS(Contract_Edits[Dep],Contract_Edits[[#This Row],[Dep]],Contract_Edits[RowPos],"&lt;="&amp;Contract_Edits[[#This Row],[RowPos]],Contract_Edits[Approve],"Yes")
)</f>
        <v>7</v>
      </c>
      <c r="AG62" s="517">
        <f>--(
  ISNUMBER(SEARCH("BASE PARENT", UPPER(CLEAN(TRIM(_xlfn.XLOOKUP(TEXT(Contract_Edits[[#This Row],[Index]],"0"), baseIdxTxt, baseCost, "")))))) +
  ISNUMBER(SEARCH("DEPENDENCY GROUP", UPPER(CLEAN(TRIM(_xlfn.XLOOKUP(TEXT(Contract_Edits[[#This Row],[Index]],"0"), baseIdxTxt, baseCost, ""))))))
)</f>
        <v>0</v>
      </c>
      <c r="AH62" s="517" t="str" cm="1">
        <f t="array" ref="AH62">IF(Contract_Edits[[#This Row],[BaseFlag]]=1,
   10*BaseDepthL(TEXT(Contract_Edits[[#This Row],[Index]],"0"),500,editsIdxTxt,editsParentKeyTxt,baseIdxTxt,baseCost)-5,
   ""
)</f>
        <v/>
      </c>
      <c r="AI62" s="517" cm="1">
        <f t="array" ref="AI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2" s="517" t="str">
        <f>IF(Contract_Edits[[#This Row],[Dep]]=0,"Root",
   IF(ISNUMBER(MATCH(Contract_Edits[[#This Row],[Dep]],Contract_Edits[Index],0)),"OK","Missing")
)</f>
        <v>OK</v>
      </c>
      <c r="AK62" s="517" t="str">
        <f>IF(AND(Contract_Edits[[#This Row],[Dep]]&lt;&gt;0,
        ISNUMBER(MATCH(Contract_Edits[[#This Row],[Dep]], Contract_Edits[Index], 0)),
        INDEX(Contract_Edits[Dep], MATCH(Contract_Edits[[#This Row],[Dep]], Contract_Edits[Index], 0))=Contract_Edits[[#This Row],[Index]]),
   "2-cycle","")</f>
        <v/>
      </c>
      <c r="AL62" s="517" cm="1">
        <f t="array" ref="AL62">IF(Contract_Edits[[#This Row],[BaseFlag]]&lt;&gt;1,0,
   IF(TEXT(Contract_Edits[[#This Row],[Dep]],"0")=TEXT(Contract_Edits[[#This Row],[Index]],"0"),
      0,
      MAX(0, SUMPRODUCT(--(Contract_Edits[BaseFlag]=1),
                        --(TEXT(Contract_Edits[Dep],"0")=TEXT(Contract_Edits[[#This Row],[Dep]],"0"))) - 1)
   )
)</f>
        <v>0</v>
      </c>
      <c r="AM62" s="517" t="str" cm="1">
        <f t="array" ref="AM62">IF(Contract_Edits[[#This Row],[BaseFlag]]=1,
   TEXT(Contract_Edits[[#This Row],[Index]],"0"),
   NearestBaseL(TEXT(Contract_Edits[[#This Row],[ParentKey]],"0"),500,editsIdxTxt,editsParentKeyTxt,baseIdxTxt,baseCost)
)</f>
        <v>155</v>
      </c>
      <c r="AN62" s="517" cm="1">
        <f t="array" ref="AN62">1+SUMPRODUCT(
  (Contract_Edits[BaseFlag]=1)*
  (TEXT(Contract_Edits[ParentAnchor],"0")=TEXT(Contract_Edits[[#This Row],[ParentAnchor]],"0"))*
  (VALUE(TEXT(Contract_Edits[Index],"0"))&lt;VALUE(TEXT(Contract_Edits[[#This Row],[Index]],"0")))
)</f>
        <v>5</v>
      </c>
      <c r="AO62" s="35"/>
      <c r="AP62" s="35" t="str">
        <f ca="1">IFERROR(+IF(AP$24=#REF!,Milestone_Marker,IF(AND(AP$24&gt;#REF!,AP$24&lt;#REF!+#REF!),#REF!,"")),"")</f>
        <v/>
      </c>
      <c r="AQ62" s="35" t="str">
        <f ca="1">IFERROR(+IF(AQ$24=#REF!,Milestone_Marker,IF(AND(AQ$24&gt;#REF!,AQ$24&lt;#REF!+#REF!),#REF!,"")),"")</f>
        <v/>
      </c>
      <c r="AR62" s="35" t="str">
        <f ca="1">IFERROR(+IF(AR$24=#REF!,Milestone_Marker,IF(AND(AR$24&gt;#REF!,AR$24&lt;#REF!+#REF!),#REF!,"")),"")</f>
        <v/>
      </c>
      <c r="AS62" s="35" t="str">
        <f ca="1">IFERROR(+IF(AS$24=#REF!,Milestone_Marker,IF(AND(AS$24&gt;#REF!,AS$24&lt;#REF!+#REF!),#REF!,"")),"")</f>
        <v/>
      </c>
      <c r="AT62" s="35" t="str">
        <f ca="1">IFERROR(+IF(AT$24=#REF!,Milestone_Marker,IF(AND(AT$24&gt;#REF!,AT$24&lt;#REF!+#REF!),#REF!,"")),"")</f>
        <v/>
      </c>
      <c r="AU62" s="35" t="str">
        <f ca="1">IFERROR(+IF(AU$24=#REF!,Milestone_Marker,IF(AND(AU$24&gt;#REF!,AU$24&lt;#REF!+#REF!),#REF!,"")),"")</f>
        <v/>
      </c>
      <c r="AV62" s="35" t="str">
        <f ca="1">IFERROR(+IF(AV$24=#REF!,Milestone_Marker,IF(AND(AV$24&gt;#REF!,AV$24&lt;#REF!+#REF!),#REF!,"")),"")</f>
        <v/>
      </c>
      <c r="AW62" s="35" t="str">
        <f ca="1">IFERROR(+IF(AW$24=#REF!,Milestone_Marker,IF(AND(AW$24&gt;#REF!,AW$24&lt;#REF!+#REF!),#REF!,"")),"")</f>
        <v/>
      </c>
      <c r="AX62" s="35" t="str">
        <f ca="1">IFERROR(+IF(AX$24=#REF!,Milestone_Marker,IF(AND(AX$24&gt;#REF!,AX$24&lt;#REF!+#REF!),#REF!,"")),"")</f>
        <v/>
      </c>
      <c r="AY62" s="35" t="str">
        <f ca="1">IFERROR(+IF(AY$24=#REF!,Milestone_Marker,IF(AND(AY$24&gt;#REF!,AY$24&lt;#REF!+#REF!),#REF!,"")),"")</f>
        <v/>
      </c>
      <c r="AZ62" s="35" t="str">
        <f ca="1">IFERROR(+IF(AZ$24=#REF!,Milestone_Marker,IF(AND(AZ$24&gt;#REF!,AZ$24&lt;#REF!+#REF!),#REF!,"")),"")</f>
        <v/>
      </c>
      <c r="BA62" s="35" t="str">
        <f ca="1">IFERROR(+IF(BA$24=#REF!,Milestone_Marker,IF(AND(BA$24&gt;#REF!,BA$24&lt;#REF!+#REF!),#REF!,"")),"")</f>
        <v/>
      </c>
      <c r="BB62" s="35" t="str">
        <f ca="1">IFERROR(+IF(BB$24=#REF!,Milestone_Marker,IF(AND(BB$24&gt;#REF!,BB$24&lt;#REF!+#REF!),#REF!,"")),"")</f>
        <v/>
      </c>
      <c r="BC62" s="35" t="str">
        <f ca="1">IFERROR(+IF(BC$24=#REF!,Milestone_Marker,IF(AND(BC$24&gt;#REF!,BC$24&lt;#REF!+#REF!),#REF!,"")),"")</f>
        <v/>
      </c>
      <c r="BD62" s="35" t="str">
        <f ca="1">IFERROR(+IF(BD$24=#REF!,Milestone_Marker,IF(AND(BD$24&gt;#REF!,BD$24&lt;#REF!+#REF!),#REF!,"")),"")</f>
        <v/>
      </c>
      <c r="BE62" s="35" t="str">
        <f ca="1">IFERROR(+IF(BE$24=#REF!,Milestone_Marker,IF(AND(BE$24&gt;#REF!,BE$24&lt;#REF!+#REF!),#REF!,"")),"")</f>
        <v/>
      </c>
      <c r="BF62" s="35" t="str">
        <f ca="1">IFERROR(+IF(BF$24=#REF!,Milestone_Marker,IF(AND(BF$24&gt;#REF!,BF$24&lt;#REF!+#REF!),#REF!,"")),"")</f>
        <v/>
      </c>
      <c r="BG62" s="35" t="str">
        <f ca="1">IFERROR(+IF(BG$24=#REF!,Milestone_Marker,IF(AND(BG$24&gt;#REF!,BG$24&lt;#REF!+#REF!),#REF!,"")),"")</f>
        <v/>
      </c>
      <c r="BH62" s="35" t="str">
        <f ca="1">IFERROR(+IF(BH$24=#REF!,Milestone_Marker,IF(AND(BH$24&gt;#REF!,BH$24&lt;#REF!+#REF!),#REF!,"")),"")</f>
        <v/>
      </c>
      <c r="BI62" s="35" t="str">
        <f ca="1">IFERROR(+IF(BI$24=#REF!,Milestone_Marker,IF(AND(BI$24&gt;#REF!,BI$24&lt;#REF!+#REF!),#REF!,"")),"")</f>
        <v/>
      </c>
      <c r="BJ62" s="35" t="str">
        <f ca="1">IFERROR(+IF(BJ$24=#REF!,Milestone_Marker,IF(AND(BJ$24&gt;#REF!,BJ$24&lt;#REF!+#REF!),#REF!,"")),"")</f>
        <v/>
      </c>
      <c r="BK62" s="35" t="str">
        <f ca="1">IFERROR(+IF(BK$24=#REF!,Milestone_Marker,IF(AND(BK$24&gt;#REF!,BK$24&lt;#REF!+#REF!),#REF!,"")),"")</f>
        <v/>
      </c>
      <c r="BL62" s="35" t="str">
        <f ca="1">IFERROR(+IF(BL$24=#REF!,Milestone_Marker,IF(AND(BL$24&gt;#REF!,BL$24&lt;#REF!+#REF!),#REF!,"")),"")</f>
        <v/>
      </c>
      <c r="BM62" s="35" t="str">
        <f ca="1">IFERROR(+IF(BM$24=#REF!,Milestone_Marker,IF(AND(BM$24&gt;#REF!,BM$24&lt;#REF!+#REF!),#REF!,"")),"")</f>
        <v/>
      </c>
      <c r="BN62" s="35" t="str">
        <f ca="1">IFERROR(+IF(BN$24=#REF!,Milestone_Marker,IF(AND(BN$24&gt;#REF!,BN$24&lt;#REF!+#REF!),#REF!,"")),"")</f>
        <v/>
      </c>
      <c r="BO62" s="35" t="str">
        <f ca="1">IFERROR(+IF(BO$24=#REF!,Milestone_Marker,IF(AND(BO$24&gt;#REF!,BO$24&lt;#REF!+#REF!),#REF!,"")),"")</f>
        <v/>
      </c>
      <c r="BP62" s="35" t="str">
        <f ca="1">IFERROR(+IF(BP$24=#REF!,Milestone_Marker,IF(AND(BP$24&gt;#REF!,BP$24&lt;#REF!+#REF!),#REF!,"")),"")</f>
        <v/>
      </c>
      <c r="BQ62" s="35" t="str">
        <f ca="1">IFERROR(+IF(BQ$24=#REF!,Milestone_Marker,IF(AND(BQ$24&gt;#REF!,BQ$24&lt;#REF!+#REF!),#REF!,"")),"")</f>
        <v/>
      </c>
      <c r="BR62" s="35" t="str">
        <f ca="1">IFERROR(+IF(BR$24=#REF!,Milestone_Marker,IF(AND(BR$24&gt;#REF!,BR$24&lt;#REF!+#REF!),#REF!,"")),"")</f>
        <v/>
      </c>
      <c r="BS62" s="35" t="str">
        <f ca="1">IFERROR(+IF(BS$24=#REF!,Milestone_Marker,IF(AND(BS$24&gt;#REF!,BS$24&lt;#REF!+#REF!),#REF!,"")),"")</f>
        <v/>
      </c>
      <c r="BT62" s="35" t="str">
        <f ca="1">IFERROR(+IF(BT$24=#REF!,Milestone_Marker,IF(AND(BT$24&gt;#REF!,BT$24&lt;#REF!+#REF!),#REF!,"")),"")</f>
        <v/>
      </c>
      <c r="BU62" s="35" t="str">
        <f ca="1">IFERROR(+IF(BU$24=#REF!,Milestone_Marker,IF(AND(BU$24&gt;#REF!,BU$24&lt;#REF!+#REF!),#REF!,"")),"")</f>
        <v/>
      </c>
      <c r="BV62" s="35" t="str">
        <f ca="1">IFERROR(+IF(BV$24=#REF!,Milestone_Marker,IF(AND(BV$24&gt;#REF!,BV$24&lt;#REF!+#REF!),#REF!,"")),"")</f>
        <v/>
      </c>
      <c r="BW62" s="35" t="str">
        <f ca="1">IFERROR(+IF(BW$24=#REF!,Milestone_Marker,IF(AND(BW$24&gt;#REF!,BW$24&lt;#REF!+#REF!),#REF!,"")),"")</f>
        <v/>
      </c>
      <c r="BX62" s="35" t="str">
        <f ca="1">IFERROR(+IF(BX$24=#REF!,Milestone_Marker,IF(AND(BX$24&gt;#REF!,BX$24&lt;#REF!+#REF!),#REF!,"")),"")</f>
        <v/>
      </c>
      <c r="BY62" s="35" t="str">
        <f ca="1">IFERROR(+IF(BY$24=#REF!,Milestone_Marker,IF(AND(BY$24&gt;#REF!,BY$24&lt;#REF!+#REF!),#REF!,"")),"")</f>
        <v/>
      </c>
      <c r="BZ62" s="35" t="str">
        <f ca="1">IFERROR(+IF(BZ$24=#REF!,Milestone_Marker,IF(AND(BZ$24&gt;#REF!,BZ$24&lt;#REF!+#REF!),#REF!,"")),"")</f>
        <v/>
      </c>
      <c r="CA62" s="35" t="str">
        <f ca="1">IFERROR(+IF(CA$24=#REF!,Milestone_Marker,IF(AND(CA$24&gt;#REF!,CA$24&lt;#REF!+#REF!),#REF!,"")),"")</f>
        <v/>
      </c>
      <c r="CB62" s="35" t="str">
        <f ca="1">IFERROR(+IF(CB$24=#REF!,Milestone_Marker,IF(AND(CB$24&gt;#REF!,CB$24&lt;#REF!+#REF!),#REF!,"")),"")</f>
        <v/>
      </c>
      <c r="CC62" s="35" t="str">
        <f ca="1">IFERROR(+IF(CC$24=#REF!,Milestone_Marker,IF(AND(CC$24&gt;#REF!,CC$24&lt;#REF!+#REF!),#REF!,"")),"")</f>
        <v/>
      </c>
      <c r="CD62" s="35" t="str">
        <f ca="1">IFERROR(+IF(CD$24=#REF!,Milestone_Marker,IF(AND(CD$24&gt;#REF!,CD$24&lt;#REF!+#REF!),#REF!,"")),"")</f>
        <v/>
      </c>
      <c r="CE62" s="35" t="str">
        <f ca="1">IFERROR(+IF(CE$24=#REF!,Milestone_Marker,IF(AND(CE$24&gt;#REF!,CE$24&lt;#REF!+#REF!),#REF!,"")),"")</f>
        <v/>
      </c>
      <c r="CF62" s="35" t="str">
        <f ca="1">IFERROR(+IF(CF$24=#REF!,Milestone_Marker,IF(AND(CF$24&gt;#REF!,CF$24&lt;#REF!+#REF!),#REF!,"")),"")</f>
        <v/>
      </c>
      <c r="CG62" s="35" t="str">
        <f ca="1">IFERROR(+IF(CG$24=#REF!,Milestone_Marker,IF(AND(CG$24&gt;#REF!,CG$24&lt;#REF!+#REF!),#REF!,"")),"")</f>
        <v/>
      </c>
      <c r="CH62" s="35" t="str">
        <f ca="1">IFERROR(+IF(CH$24=#REF!,Milestone_Marker,IF(AND(CH$24&gt;#REF!,CH$24&lt;#REF!+#REF!),#REF!,"")),"")</f>
        <v/>
      </c>
      <c r="CI62" s="35" t="str">
        <f ca="1">IFERROR(+IF(CI$24=#REF!,Milestone_Marker,IF(AND(CI$24&gt;#REF!,CI$24&lt;#REF!+#REF!),#REF!,"")),"")</f>
        <v/>
      </c>
      <c r="CJ62" s="35" t="str">
        <f ca="1">IFERROR(+IF(CJ$24=#REF!,Milestone_Marker,IF(AND(CJ$24&gt;#REF!,CJ$24&lt;#REF!+#REF!),#REF!,"")),"")</f>
        <v/>
      </c>
      <c r="CK62" s="35" t="str">
        <f ca="1">IFERROR(+IF(CK$24=#REF!,Milestone_Marker,IF(AND(CK$24&gt;#REF!,CK$24&lt;#REF!+#REF!),#REF!,"")),"")</f>
        <v/>
      </c>
      <c r="CL62" s="35" t="str">
        <f ca="1">IFERROR(+IF(CL$24=#REF!,Milestone_Marker,IF(AND(CL$24&gt;#REF!,CL$24&lt;#REF!+#REF!),#REF!,"")),"")</f>
        <v/>
      </c>
      <c r="CM62" s="35" t="str">
        <f ca="1">IFERROR(+IF(CM$24=#REF!,Milestone_Marker,IF(AND(CM$24&gt;#REF!,CM$24&lt;#REF!+#REF!),#REF!,"")),"")</f>
        <v/>
      </c>
      <c r="CN62" s="35" t="str">
        <f ca="1">IFERROR(+IF(CN$24=#REF!,Milestone_Marker,IF(AND(CN$24&gt;#REF!,CN$24&lt;#REF!+#REF!),#REF!,"")),"")</f>
        <v/>
      </c>
      <c r="CO62" s="35" t="str">
        <f ca="1">IFERROR(+IF(CO$24=#REF!,Milestone_Marker,IF(AND(CO$24&gt;#REF!,CO$24&lt;#REF!+#REF!),#REF!,"")),"")</f>
        <v/>
      </c>
      <c r="CP62" s="35" t="str">
        <f ca="1">IFERROR(+IF(CP$24=#REF!,Milestone_Marker,IF(AND(CP$24&gt;#REF!,CP$24&lt;#REF!+#REF!),#REF!,"")),"")</f>
        <v/>
      </c>
      <c r="CQ62" s="35" t="str">
        <f ca="1">IFERROR(+IF(CQ$24=#REF!,Milestone_Marker,IF(AND(CQ$24&gt;#REF!,CQ$24&lt;#REF!+#REF!),#REF!,"")),"")</f>
        <v/>
      </c>
      <c r="CR62" s="35" t="str">
        <f ca="1">IFERROR(+IF(CR$24=#REF!,Milestone_Marker,IF(AND(CR$24&gt;#REF!,CR$24&lt;#REF!+#REF!),#REF!,"")),"")</f>
        <v/>
      </c>
      <c r="CS62" s="35" t="str">
        <f ca="1">IFERROR(+IF(CS$24=#REF!,Milestone_Marker,IF(AND(CS$24&gt;#REF!,CS$24&lt;#REF!+#REF!),#REF!,"")),"")</f>
        <v/>
      </c>
      <c r="CT62" s="35" t="str">
        <f ca="1">IFERROR(+IF(CT$24=#REF!,Milestone_Marker,IF(AND(CT$24&gt;#REF!,CT$24&lt;#REF!+#REF!),#REF!,"")),"")</f>
        <v/>
      </c>
      <c r="CU62" s="35" t="str">
        <f ca="1">IFERROR(+IF(CU$24=#REF!,Milestone_Marker,IF(AND(CU$24&gt;#REF!,CU$24&lt;#REF!+#REF!),#REF!,"")),"")</f>
        <v/>
      </c>
      <c r="CV62" s="35" t="str">
        <f ca="1">IFERROR(+IF(CV$24=#REF!,Milestone_Marker,IF(AND(CV$24&gt;#REF!,CV$24&lt;#REF!+#REF!),#REF!,"")),"")</f>
        <v/>
      </c>
      <c r="CW62" s="35" t="str">
        <f ca="1">IFERROR(+IF(CW$24=#REF!,Milestone_Marker,IF(AND(CW$24&gt;#REF!,CW$24&lt;#REF!+#REF!),#REF!,"")),"")</f>
        <v/>
      </c>
      <c r="CX62" s="35" t="str">
        <f ca="1">IFERROR(+IF(CX$24=#REF!,Milestone_Marker,IF(AND(CX$24&gt;#REF!,CX$24&lt;#REF!+#REF!),#REF!,"")),"")</f>
        <v/>
      </c>
      <c r="CY62" s="35" t="str">
        <f ca="1">IFERROR(+IF(CY$24=#REF!,Milestone_Marker,IF(AND(CY$24&gt;#REF!,CY$24&lt;#REF!+#REF!),#REF!,"")),"")</f>
        <v/>
      </c>
      <c r="CZ62" s="35" t="str">
        <f ca="1">IFERROR(+IF(CZ$24=#REF!,Milestone_Marker,IF(AND(CZ$24&gt;#REF!,CZ$24&lt;#REF!+#REF!),#REF!,"")),"")</f>
        <v/>
      </c>
      <c r="DA62" s="35" t="str">
        <f ca="1">IFERROR(+IF(DA$24=#REF!,Milestone_Marker,IF(AND(DA$24&gt;#REF!,DA$24&lt;#REF!+#REF!),#REF!,"")),"")</f>
        <v/>
      </c>
      <c r="DB62" s="35" t="str">
        <f ca="1">IFERROR(+IF(DB$24=#REF!,Milestone_Marker,IF(AND(DB$24&gt;#REF!,DB$24&lt;#REF!+#REF!),#REF!,"")),"")</f>
        <v/>
      </c>
      <c r="DC62" s="35" t="str">
        <f ca="1">IFERROR(+IF(DC$24=#REF!,Milestone_Marker,IF(AND(DC$24&gt;#REF!,DC$24&lt;#REF!+#REF!),#REF!,"")),"")</f>
        <v/>
      </c>
      <c r="DD62" s="35" t="str">
        <f ca="1">IFERROR(+IF(DD$24=#REF!,Milestone_Marker,IF(AND(DD$24&gt;#REF!,DD$24&lt;#REF!+#REF!),#REF!,"")),"")</f>
        <v/>
      </c>
      <c r="DE62" s="35" t="str">
        <f ca="1">IFERROR(+IF(DE$24=#REF!,Milestone_Marker,IF(AND(DE$24&gt;#REF!,DE$24&lt;#REF!+#REF!),#REF!,"")),"")</f>
        <v/>
      </c>
      <c r="DF62" s="35"/>
      <c r="DG62" s="35"/>
      <c r="DH62" s="35"/>
      <c r="DI62" s="35"/>
      <c r="DJ62" s="35"/>
      <c r="DK62" s="35"/>
      <c r="DL62" s="35"/>
      <c r="DM62" s="35"/>
      <c r="DN62" s="35"/>
      <c r="DO62" s="35"/>
      <c r="DP62" s="35"/>
      <c r="DQ62" s="35"/>
      <c r="DR62" s="35"/>
      <c r="DS62" s="35"/>
      <c r="DT62" s="35"/>
      <c r="DU62" s="35"/>
      <c r="DV62" s="35"/>
      <c r="DW62" s="35"/>
      <c r="DX62" s="35"/>
      <c r="DY62" s="35"/>
      <c r="DZ62" s="35"/>
      <c r="EA62" s="35"/>
      <c r="EB62" s="35"/>
      <c r="EC62" s="35"/>
      <c r="ED62" s="35"/>
      <c r="EE62" s="35"/>
    </row>
    <row r="63" spans="1:135" s="40" customFormat="1" ht="15">
      <c r="A63" t="s">
        <v>552</v>
      </c>
      <c r="B63" t="s">
        <v>608</v>
      </c>
      <c r="C63" t="s">
        <v>625</v>
      </c>
      <c r="D63" s="458" t="s">
        <v>626</v>
      </c>
      <c r="E63" s="458">
        <v>1</v>
      </c>
      <c r="F63">
        <v>625</v>
      </c>
      <c r="G63">
        <v>625</v>
      </c>
      <c r="H63">
        <v>155</v>
      </c>
      <c r="I63">
        <v>625</v>
      </c>
      <c r="J63">
        <v>61</v>
      </c>
      <c r="K63" s="107"/>
      <c r="L63" s="463">
        <v>61</v>
      </c>
      <c r="M63" s="176">
        <v>2</v>
      </c>
      <c r="N63" s="160">
        <v>0</v>
      </c>
      <c r="O63" s="546" cm="1">
        <f t="array" ref="O6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45980</v>
      </c>
      <c r="P63" s="566" t="s">
        <v>458</v>
      </c>
      <c r="Q63" s="566">
        <v>0</v>
      </c>
      <c r="R63" s="22"/>
      <c r="S63" s="463" cm="1">
        <f t="array" ref="S6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3">
        <v>1</v>
      </c>
      <c r="U63" s="176">
        <v>7</v>
      </c>
      <c r="V6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65.0107</v>
      </c>
      <c r="W63" s="497"/>
      <c r="X63" s="176" t="s">
        <v>852</v>
      </c>
      <c r="Y63" s="547" t="s">
        <v>865</v>
      </c>
      <c r="Z63" s="160" t="s">
        <v>458</v>
      </c>
      <c r="AA63" s="563"/>
      <c r="AB63" cm="1">
        <f t="array" ref="AB63">ROW()-ROW(Contract_Edits[#Headers])</f>
        <v>39</v>
      </c>
      <c r="AC63">
        <f>IF(Contract_Edits[[#This Row],[RowPos]]&gt;1, Contract_Edits[[#This Row],[RowPos]]-1, 0)</f>
        <v>38</v>
      </c>
      <c r="AD63" s="35">
        <f>IF(N(Contract_Edits[[#This Row],[Dep]])=0, N(Contract_Edits[[#This Row],[Index]]), N(Contract_Edits[[#This Row],[Dep]]))</f>
        <v>155</v>
      </c>
      <c r="AE63" s="35" cm="1">
        <f t="array" ref="AE63">IF(OR(Contract_Edits[[#This Row],[Dep]]=0, TRIM(Contract_Edits[[#This Row],[Dep]])=""),
   0,
   IFERROR(
      _xlfn.XLOOKUP(1, (Contract_Edits[Dep]=Contract_Edits[[#This Row],[Dep]])*(Contract_Edits[RowPos]&lt;Contract_Edits[[#This Row],[RowPos]]), Contract_Edits[RowPos], , 0, -1),
      0
   )
)</f>
        <v>38</v>
      </c>
      <c r="AF63" s="35">
        <f>IF(OR(Contract_Edits[[#This Row],[Dep]]=0,Contract_Edits[[#This Row],[Dep]]=""),0,
   COUNTIFS(Contract_Edits[Dep],Contract_Edits[[#This Row],[Dep]],Contract_Edits[RowPos],"&lt;="&amp;Contract_Edits[[#This Row],[RowPos]],Contract_Edits[Approve],"Yes")
)</f>
        <v>8</v>
      </c>
      <c r="AG63" s="517">
        <f>--(
  ISNUMBER(SEARCH("BASE PARENT", UPPER(CLEAN(TRIM(_xlfn.XLOOKUP(TEXT(Contract_Edits[[#This Row],[Index]],"0"), baseIdxTxt, baseCost, "")))))) +
  ISNUMBER(SEARCH("DEPENDENCY GROUP", UPPER(CLEAN(TRIM(_xlfn.XLOOKUP(TEXT(Contract_Edits[[#This Row],[Index]],"0"), baseIdxTxt, baseCost, ""))))))
)</f>
        <v>0</v>
      </c>
      <c r="AH63" s="517" t="str" cm="1">
        <f t="array" ref="AH63">IF(Contract_Edits[[#This Row],[BaseFlag]]=1,
   10*BaseDepthL(TEXT(Contract_Edits[[#This Row],[Index]],"0"),500,editsIdxTxt,editsParentKeyTxt,baseIdxTxt,baseCost)-5,
   ""
)</f>
        <v/>
      </c>
      <c r="AI63" s="517" cm="1">
        <f t="array" ref="AI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3" s="517" t="str">
        <f>IF(Contract_Edits[[#This Row],[Dep]]=0,"Root",
   IF(ISNUMBER(MATCH(Contract_Edits[[#This Row],[Dep]],Contract_Edits[Index],0)),"OK","Missing")
)</f>
        <v>OK</v>
      </c>
      <c r="AK63" s="517" t="str">
        <f>IF(AND(Contract_Edits[[#This Row],[Dep]]&lt;&gt;0,
        ISNUMBER(MATCH(Contract_Edits[[#This Row],[Dep]], Contract_Edits[Index], 0)),
        INDEX(Contract_Edits[Dep], MATCH(Contract_Edits[[#This Row],[Dep]], Contract_Edits[Index], 0))=Contract_Edits[[#This Row],[Index]]),
   "2-cycle","")</f>
        <v/>
      </c>
      <c r="AL63" s="517" cm="1">
        <f t="array" ref="AL63">IF(Contract_Edits[[#This Row],[BaseFlag]]&lt;&gt;1,0,
   IF(TEXT(Contract_Edits[[#This Row],[Dep]],"0")=TEXT(Contract_Edits[[#This Row],[Index]],"0"),
      0,
      MAX(0, SUMPRODUCT(--(Contract_Edits[BaseFlag]=1),
                        --(TEXT(Contract_Edits[Dep],"0")=TEXT(Contract_Edits[[#This Row],[Dep]],"0"))) - 1)
   )
)</f>
        <v>0</v>
      </c>
      <c r="AM63" s="517" t="str" cm="1">
        <f t="array" ref="AM63">IF(Contract_Edits[[#This Row],[BaseFlag]]=1,
   TEXT(Contract_Edits[[#This Row],[Index]],"0"),
   NearestBaseL(TEXT(Contract_Edits[[#This Row],[ParentKey]],"0"),500,editsIdxTxt,editsParentKeyTxt,baseIdxTxt,baseCost)
)</f>
        <v>155</v>
      </c>
      <c r="AN63" s="517" cm="1">
        <f t="array" ref="AN63">1+SUMPRODUCT(
  (Contract_Edits[BaseFlag]=1)*
  (TEXT(Contract_Edits[ParentAnchor],"0")=TEXT(Contract_Edits[[#This Row],[ParentAnchor]],"0"))*
  (VALUE(TEXT(Contract_Edits[Index],"0"))&lt;VALUE(TEXT(Contract_Edits[[#This Row],[Index]],"0")))
)</f>
        <v>1</v>
      </c>
      <c r="AO63" s="35"/>
      <c r="AP63" s="35" t="str">
        <f ca="1">IFERROR(+IF(AP$24=#REF!,Milestone_Marker,IF(AND(AP$24&gt;#REF!,AP$24&lt;#REF!+#REF!),#REF!,"")),"")</f>
        <v/>
      </c>
      <c r="AQ63" s="35" t="str">
        <f ca="1">IFERROR(+IF(AQ$24=#REF!,Milestone_Marker,IF(AND(AQ$24&gt;#REF!,AQ$24&lt;#REF!+#REF!),#REF!,"")),"")</f>
        <v/>
      </c>
      <c r="AR63" s="35" t="str">
        <f ca="1">IFERROR(+IF(AR$24=#REF!,Milestone_Marker,IF(AND(AR$24&gt;#REF!,AR$24&lt;#REF!+#REF!),#REF!,"")),"")</f>
        <v/>
      </c>
      <c r="AS63" s="35" t="str">
        <f ca="1">IFERROR(+IF(AS$24=#REF!,Milestone_Marker,IF(AND(AS$24&gt;#REF!,AS$24&lt;#REF!+#REF!),#REF!,"")),"")</f>
        <v/>
      </c>
      <c r="AT63" s="35" t="str">
        <f ca="1">IFERROR(+IF(AT$24=#REF!,Milestone_Marker,IF(AND(AT$24&gt;#REF!,AT$24&lt;#REF!+#REF!),#REF!,"")),"")</f>
        <v/>
      </c>
      <c r="AU63" s="35" t="str">
        <f ca="1">IFERROR(+IF(AU$24=#REF!,Milestone_Marker,IF(AND(AU$24&gt;#REF!,AU$24&lt;#REF!+#REF!),#REF!,"")),"")</f>
        <v/>
      </c>
      <c r="AV63" s="35" t="str">
        <f ca="1">IFERROR(+IF(AV$24=#REF!,Milestone_Marker,IF(AND(AV$24&gt;#REF!,AV$24&lt;#REF!+#REF!),#REF!,"")),"")</f>
        <v/>
      </c>
      <c r="AW63" s="35" t="str">
        <f ca="1">IFERROR(+IF(AW$24=#REF!,Milestone_Marker,IF(AND(AW$24&gt;#REF!,AW$24&lt;#REF!+#REF!),#REF!,"")),"")</f>
        <v/>
      </c>
      <c r="AX63" s="35" t="str">
        <f ca="1">IFERROR(+IF(AX$24=#REF!,Milestone_Marker,IF(AND(AX$24&gt;#REF!,AX$24&lt;#REF!+#REF!),#REF!,"")),"")</f>
        <v/>
      </c>
      <c r="AY63" s="35" t="str">
        <f ca="1">IFERROR(+IF(AY$24=#REF!,Milestone_Marker,IF(AND(AY$24&gt;#REF!,AY$24&lt;#REF!+#REF!),#REF!,"")),"")</f>
        <v/>
      </c>
      <c r="AZ63" s="35" t="str">
        <f ca="1">IFERROR(+IF(AZ$24=#REF!,Milestone_Marker,IF(AND(AZ$24&gt;#REF!,AZ$24&lt;#REF!+#REF!),#REF!,"")),"")</f>
        <v/>
      </c>
      <c r="BA63" s="35" t="str">
        <f ca="1">IFERROR(+IF(BA$24=#REF!,Milestone_Marker,IF(AND(BA$24&gt;#REF!,BA$24&lt;#REF!+#REF!),#REF!,"")),"")</f>
        <v/>
      </c>
      <c r="BB63" s="35" t="str">
        <f ca="1">IFERROR(+IF(BB$24=#REF!,Milestone_Marker,IF(AND(BB$24&gt;#REF!,BB$24&lt;#REF!+#REF!),#REF!,"")),"")</f>
        <v/>
      </c>
      <c r="BC63" s="35" t="str">
        <f ca="1">IFERROR(+IF(BC$24=#REF!,Milestone_Marker,IF(AND(BC$24&gt;#REF!,BC$24&lt;#REF!+#REF!),#REF!,"")),"")</f>
        <v/>
      </c>
      <c r="BD63" s="35" t="str">
        <f ca="1">IFERROR(+IF(BD$24=#REF!,Milestone_Marker,IF(AND(BD$24&gt;#REF!,BD$24&lt;#REF!+#REF!),#REF!,"")),"")</f>
        <v/>
      </c>
      <c r="BE63" s="35" t="str">
        <f ca="1">IFERROR(+IF(BE$24=#REF!,Milestone_Marker,IF(AND(BE$24&gt;#REF!,BE$24&lt;#REF!+#REF!),#REF!,"")),"")</f>
        <v/>
      </c>
      <c r="BF63" s="35" t="str">
        <f ca="1">IFERROR(+IF(BF$24=#REF!,Milestone_Marker,IF(AND(BF$24&gt;#REF!,BF$24&lt;#REF!+#REF!),#REF!,"")),"")</f>
        <v/>
      </c>
      <c r="BG63" s="35" t="str">
        <f ca="1">IFERROR(+IF(BG$24=#REF!,Milestone_Marker,IF(AND(BG$24&gt;#REF!,BG$24&lt;#REF!+#REF!),#REF!,"")),"")</f>
        <v/>
      </c>
      <c r="BH63" s="35" t="str">
        <f ca="1">IFERROR(+IF(BH$24=#REF!,Milestone_Marker,IF(AND(BH$24&gt;#REF!,BH$24&lt;#REF!+#REF!),#REF!,"")),"")</f>
        <v/>
      </c>
      <c r="BI63" s="35" t="str">
        <f ca="1">IFERROR(+IF(BI$24=#REF!,Milestone_Marker,IF(AND(BI$24&gt;#REF!,BI$24&lt;#REF!+#REF!),#REF!,"")),"")</f>
        <v/>
      </c>
      <c r="BJ63" s="35" t="str">
        <f ca="1">IFERROR(+IF(BJ$24=#REF!,Milestone_Marker,IF(AND(BJ$24&gt;#REF!,BJ$24&lt;#REF!+#REF!),#REF!,"")),"")</f>
        <v/>
      </c>
      <c r="BK63" s="35" t="str">
        <f ca="1">IFERROR(+IF(BK$24=#REF!,Milestone_Marker,IF(AND(BK$24&gt;#REF!,BK$24&lt;#REF!+#REF!),#REF!,"")),"")</f>
        <v/>
      </c>
      <c r="BL63" s="35" t="str">
        <f ca="1">IFERROR(+IF(BL$24=#REF!,Milestone_Marker,IF(AND(BL$24&gt;#REF!,BL$24&lt;#REF!+#REF!),#REF!,"")),"")</f>
        <v/>
      </c>
      <c r="BM63" s="35" t="str">
        <f ca="1">IFERROR(+IF(BM$24=#REF!,Milestone_Marker,IF(AND(BM$24&gt;#REF!,BM$24&lt;#REF!+#REF!),#REF!,"")),"")</f>
        <v/>
      </c>
      <c r="BN63" s="35" t="str">
        <f ca="1">IFERROR(+IF(BN$24=#REF!,Milestone_Marker,IF(AND(BN$24&gt;#REF!,BN$24&lt;#REF!+#REF!),#REF!,"")),"")</f>
        <v/>
      </c>
      <c r="BO63" s="35" t="str">
        <f ca="1">IFERROR(+IF(BO$24=#REF!,Milestone_Marker,IF(AND(BO$24&gt;#REF!,BO$24&lt;#REF!+#REF!),#REF!,"")),"")</f>
        <v/>
      </c>
      <c r="BP63" s="35" t="str">
        <f ca="1">IFERROR(+IF(BP$24=#REF!,Milestone_Marker,IF(AND(BP$24&gt;#REF!,BP$24&lt;#REF!+#REF!),#REF!,"")),"")</f>
        <v/>
      </c>
      <c r="BQ63" s="35" t="str">
        <f ca="1">IFERROR(+IF(BQ$24=#REF!,Milestone_Marker,IF(AND(BQ$24&gt;#REF!,BQ$24&lt;#REF!+#REF!),#REF!,"")),"")</f>
        <v/>
      </c>
      <c r="BR63" s="35" t="str">
        <f ca="1">IFERROR(+IF(BR$24=#REF!,Milestone_Marker,IF(AND(BR$24&gt;#REF!,BR$24&lt;#REF!+#REF!),#REF!,"")),"")</f>
        <v/>
      </c>
      <c r="BS63" s="35" t="str">
        <f ca="1">IFERROR(+IF(BS$24=#REF!,Milestone_Marker,IF(AND(BS$24&gt;#REF!,BS$24&lt;#REF!+#REF!),#REF!,"")),"")</f>
        <v/>
      </c>
      <c r="BT63" s="35" t="str">
        <f ca="1">IFERROR(+IF(BT$24=#REF!,Milestone_Marker,IF(AND(BT$24&gt;#REF!,BT$24&lt;#REF!+#REF!),#REF!,"")),"")</f>
        <v/>
      </c>
      <c r="BU63" s="35" t="str">
        <f ca="1">IFERROR(+IF(BU$24=#REF!,Milestone_Marker,IF(AND(BU$24&gt;#REF!,BU$24&lt;#REF!+#REF!),#REF!,"")),"")</f>
        <v/>
      </c>
      <c r="BV63" s="35" t="str">
        <f ca="1">IFERROR(+IF(BV$24=#REF!,Milestone_Marker,IF(AND(BV$24&gt;#REF!,BV$24&lt;#REF!+#REF!),#REF!,"")),"")</f>
        <v/>
      </c>
      <c r="BW63" s="35" t="str">
        <f ca="1">IFERROR(+IF(BW$24=#REF!,Milestone_Marker,IF(AND(BW$24&gt;#REF!,BW$24&lt;#REF!+#REF!),#REF!,"")),"")</f>
        <v/>
      </c>
      <c r="BX63" s="35" t="str">
        <f ca="1">IFERROR(+IF(BX$24=#REF!,Milestone_Marker,IF(AND(BX$24&gt;#REF!,BX$24&lt;#REF!+#REF!),#REF!,"")),"")</f>
        <v/>
      </c>
      <c r="BY63" s="35" t="str">
        <f ca="1">IFERROR(+IF(BY$24=#REF!,Milestone_Marker,IF(AND(BY$24&gt;#REF!,BY$24&lt;#REF!+#REF!),#REF!,"")),"")</f>
        <v/>
      </c>
      <c r="BZ63" s="35" t="str">
        <f ca="1">IFERROR(+IF(BZ$24=#REF!,Milestone_Marker,IF(AND(BZ$24&gt;#REF!,BZ$24&lt;#REF!+#REF!),#REF!,"")),"")</f>
        <v/>
      </c>
      <c r="CA63" s="35" t="str">
        <f ca="1">IFERROR(+IF(CA$24=#REF!,Milestone_Marker,IF(AND(CA$24&gt;#REF!,CA$24&lt;#REF!+#REF!),#REF!,"")),"")</f>
        <v/>
      </c>
      <c r="CB63" s="35" t="str">
        <f ca="1">IFERROR(+IF(CB$24=#REF!,Milestone_Marker,IF(AND(CB$24&gt;#REF!,CB$24&lt;#REF!+#REF!),#REF!,"")),"")</f>
        <v/>
      </c>
      <c r="CC63" s="35" t="str">
        <f ca="1">IFERROR(+IF(CC$24=#REF!,Milestone_Marker,IF(AND(CC$24&gt;#REF!,CC$24&lt;#REF!+#REF!),#REF!,"")),"")</f>
        <v/>
      </c>
      <c r="CD63" s="35" t="str">
        <f ca="1">IFERROR(+IF(CD$24=#REF!,Milestone_Marker,IF(AND(CD$24&gt;#REF!,CD$24&lt;#REF!+#REF!),#REF!,"")),"")</f>
        <v/>
      </c>
      <c r="CE63" s="35" t="str">
        <f ca="1">IFERROR(+IF(CE$24=#REF!,Milestone_Marker,IF(AND(CE$24&gt;#REF!,CE$24&lt;#REF!+#REF!),#REF!,"")),"")</f>
        <v/>
      </c>
      <c r="CF63" s="35" t="str">
        <f ca="1">IFERROR(+IF(CF$24=#REF!,Milestone_Marker,IF(AND(CF$24&gt;#REF!,CF$24&lt;#REF!+#REF!),#REF!,"")),"")</f>
        <v/>
      </c>
      <c r="CG63" s="35" t="str">
        <f ca="1">IFERROR(+IF(CG$24=#REF!,Milestone_Marker,IF(AND(CG$24&gt;#REF!,CG$24&lt;#REF!+#REF!),#REF!,"")),"")</f>
        <v/>
      </c>
      <c r="CH63" s="35" t="str">
        <f ca="1">IFERROR(+IF(CH$24=#REF!,Milestone_Marker,IF(AND(CH$24&gt;#REF!,CH$24&lt;#REF!+#REF!),#REF!,"")),"")</f>
        <v/>
      </c>
      <c r="CI63" s="35" t="str">
        <f ca="1">IFERROR(+IF(CI$24=#REF!,Milestone_Marker,IF(AND(CI$24&gt;#REF!,CI$24&lt;#REF!+#REF!),#REF!,"")),"")</f>
        <v/>
      </c>
      <c r="CJ63" s="35" t="str">
        <f ca="1">IFERROR(+IF(CJ$24=#REF!,Milestone_Marker,IF(AND(CJ$24&gt;#REF!,CJ$24&lt;#REF!+#REF!),#REF!,"")),"")</f>
        <v/>
      </c>
      <c r="CK63" s="35" t="str">
        <f ca="1">IFERROR(+IF(CK$24=#REF!,Milestone_Marker,IF(AND(CK$24&gt;#REF!,CK$24&lt;#REF!+#REF!),#REF!,"")),"")</f>
        <v/>
      </c>
      <c r="CL63" s="35" t="str">
        <f ca="1">IFERROR(+IF(CL$24=#REF!,Milestone_Marker,IF(AND(CL$24&gt;#REF!,CL$24&lt;#REF!+#REF!),#REF!,"")),"")</f>
        <v/>
      </c>
      <c r="CM63" s="35" t="str">
        <f ca="1">IFERROR(+IF(CM$24=#REF!,Milestone_Marker,IF(AND(CM$24&gt;#REF!,CM$24&lt;#REF!+#REF!),#REF!,"")),"")</f>
        <v/>
      </c>
      <c r="CN63" s="35" t="str">
        <f ca="1">IFERROR(+IF(CN$24=#REF!,Milestone_Marker,IF(AND(CN$24&gt;#REF!,CN$24&lt;#REF!+#REF!),#REF!,"")),"")</f>
        <v/>
      </c>
      <c r="CO63" s="35" t="str">
        <f ca="1">IFERROR(+IF(CO$24=#REF!,Milestone_Marker,IF(AND(CO$24&gt;#REF!,CO$24&lt;#REF!+#REF!),#REF!,"")),"")</f>
        <v/>
      </c>
      <c r="CP63" s="35" t="str">
        <f ca="1">IFERROR(+IF(CP$24=#REF!,Milestone_Marker,IF(AND(CP$24&gt;#REF!,CP$24&lt;#REF!+#REF!),#REF!,"")),"")</f>
        <v/>
      </c>
      <c r="CQ63" s="35" t="str">
        <f ca="1">IFERROR(+IF(CQ$24=#REF!,Milestone_Marker,IF(AND(CQ$24&gt;#REF!,CQ$24&lt;#REF!+#REF!),#REF!,"")),"")</f>
        <v/>
      </c>
      <c r="CR63" s="35" t="str">
        <f ca="1">IFERROR(+IF(CR$24=#REF!,Milestone_Marker,IF(AND(CR$24&gt;#REF!,CR$24&lt;#REF!+#REF!),#REF!,"")),"")</f>
        <v/>
      </c>
      <c r="CS63" s="35" t="str">
        <f ca="1">IFERROR(+IF(CS$24=#REF!,Milestone_Marker,IF(AND(CS$24&gt;#REF!,CS$24&lt;#REF!+#REF!),#REF!,"")),"")</f>
        <v/>
      </c>
      <c r="CT63" s="35" t="str">
        <f ca="1">IFERROR(+IF(CT$24=#REF!,Milestone_Marker,IF(AND(CT$24&gt;#REF!,CT$24&lt;#REF!+#REF!),#REF!,"")),"")</f>
        <v/>
      </c>
      <c r="CU63" s="35" t="str">
        <f ca="1">IFERROR(+IF(CU$24=#REF!,Milestone_Marker,IF(AND(CU$24&gt;#REF!,CU$24&lt;#REF!+#REF!),#REF!,"")),"")</f>
        <v/>
      </c>
      <c r="CV63" s="35" t="str">
        <f ca="1">IFERROR(+IF(CV$24=#REF!,Milestone_Marker,IF(AND(CV$24&gt;#REF!,CV$24&lt;#REF!+#REF!),#REF!,"")),"")</f>
        <v/>
      </c>
      <c r="CW63" s="35" t="str">
        <f ca="1">IFERROR(+IF(CW$24=#REF!,Milestone_Marker,IF(AND(CW$24&gt;#REF!,CW$24&lt;#REF!+#REF!),#REF!,"")),"")</f>
        <v/>
      </c>
      <c r="CX63" s="35" t="str">
        <f ca="1">IFERROR(+IF(CX$24=#REF!,Milestone_Marker,IF(AND(CX$24&gt;#REF!,CX$24&lt;#REF!+#REF!),#REF!,"")),"")</f>
        <v/>
      </c>
      <c r="CY63" s="35" t="str">
        <f ca="1">IFERROR(+IF(CY$24=#REF!,Milestone_Marker,IF(AND(CY$24&gt;#REF!,CY$24&lt;#REF!+#REF!),#REF!,"")),"")</f>
        <v/>
      </c>
      <c r="CZ63" s="35" t="str">
        <f ca="1">IFERROR(+IF(CZ$24=#REF!,Milestone_Marker,IF(AND(CZ$24&gt;#REF!,CZ$24&lt;#REF!+#REF!),#REF!,"")),"")</f>
        <v/>
      </c>
      <c r="DA63" s="35" t="str">
        <f ca="1">IFERROR(+IF(DA$24=#REF!,Milestone_Marker,IF(AND(DA$24&gt;#REF!,DA$24&lt;#REF!+#REF!),#REF!,"")),"")</f>
        <v/>
      </c>
      <c r="DB63" s="35" t="str">
        <f ca="1">IFERROR(+IF(DB$24=#REF!,Milestone_Marker,IF(AND(DB$24&gt;#REF!,DB$24&lt;#REF!+#REF!),#REF!,"")),"")</f>
        <v/>
      </c>
      <c r="DC63" s="35" t="str">
        <f ca="1">IFERROR(+IF(DC$24=#REF!,Milestone_Marker,IF(AND(DC$24&gt;#REF!,DC$24&lt;#REF!+#REF!),#REF!,"")),"")</f>
        <v/>
      </c>
      <c r="DD63" s="35" t="str">
        <f ca="1">IFERROR(+IF(DD$24=#REF!,Milestone_Marker,IF(AND(DD$24&gt;#REF!,DD$24&lt;#REF!+#REF!),#REF!,"")),"")</f>
        <v/>
      </c>
      <c r="DE63" s="35" t="str">
        <f ca="1">IFERROR(+IF(DE$24=#REF!,Milestone_Marker,IF(AND(DE$24&gt;#REF!,DE$24&lt;#REF!+#REF!),#REF!,"")),"")</f>
        <v/>
      </c>
      <c r="DF63" s="35"/>
      <c r="DG63" s="35"/>
      <c r="DH63" s="35"/>
      <c r="DI63" s="35"/>
      <c r="DJ63" s="35"/>
      <c r="DK63" s="35"/>
      <c r="DL63" s="35"/>
      <c r="DM63" s="35"/>
      <c r="DN63" s="35"/>
      <c r="DO63" s="35"/>
      <c r="DP63" s="35"/>
      <c r="DQ63" s="35"/>
      <c r="DR63" s="35"/>
      <c r="DS63" s="35"/>
      <c r="DT63" s="35"/>
      <c r="DU63" s="35"/>
      <c r="DV63" s="35"/>
      <c r="DW63" s="35"/>
      <c r="DX63" s="35"/>
      <c r="DY63" s="35"/>
      <c r="DZ63" s="35"/>
      <c r="EA63" s="35"/>
      <c r="EB63" s="35"/>
      <c r="EC63" s="35"/>
      <c r="ED63" s="35"/>
      <c r="EE63" s="35"/>
    </row>
    <row r="64" spans="1:135" s="40" customFormat="1" ht="15">
      <c r="A64" t="s">
        <v>552</v>
      </c>
      <c r="B64" t="s">
        <v>793</v>
      </c>
      <c r="C64" t="s">
        <v>625</v>
      </c>
      <c r="D64" s="458" t="s">
        <v>1513</v>
      </c>
      <c r="E64" s="458">
        <v>1</v>
      </c>
      <c r="F64">
        <v>125</v>
      </c>
      <c r="G64">
        <v>125</v>
      </c>
      <c r="H64">
        <v>155</v>
      </c>
      <c r="I64">
        <v>125</v>
      </c>
      <c r="J64">
        <v>207</v>
      </c>
      <c r="K64" s="107"/>
      <c r="L64" s="463">
        <v>207</v>
      </c>
      <c r="M64" s="543"/>
      <c r="N64" s="544"/>
      <c r="O64" s="546" cm="1">
        <f t="array" ref="O6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45982</v>
      </c>
      <c r="P64" s="568" t="s">
        <v>458</v>
      </c>
      <c r="Q64" s="568"/>
      <c r="R64" s="499"/>
      <c r="S64" s="463" cm="1">
        <f t="array" ref="S6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4" s="34"/>
      <c r="U64" s="490">
        <v>8</v>
      </c>
      <c r="V6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65.010800000000003</v>
      </c>
      <c r="W64" s="557"/>
      <c r="X64" s="545"/>
      <c r="Y64" s="548" t="s">
        <v>865</v>
      </c>
      <c r="Z64" s="160"/>
      <c r="AA64" s="563"/>
      <c r="AB64" s="34" cm="1">
        <f t="array" ref="AB64">ROW()-ROW(Contract_Edits[#Headers])</f>
        <v>40</v>
      </c>
      <c r="AC64" s="34">
        <f>IF(Contract_Edits[[#This Row],[RowPos]]&gt;1, Contract_Edits[[#This Row],[RowPos]]-1, 0)</f>
        <v>39</v>
      </c>
      <c r="AD64" s="35">
        <f>IF(N(Contract_Edits[[#This Row],[Dep]])=0, N(Contract_Edits[[#This Row],[Index]]), N(Contract_Edits[[#This Row],[Dep]]))</f>
        <v>155</v>
      </c>
      <c r="AE64" s="35" cm="1">
        <f t="array" ref="AE64">IF(OR(Contract_Edits[[#This Row],[Dep]]=0, TRIM(Contract_Edits[[#This Row],[Dep]])=""),
   0,
   IFERROR(
      _xlfn.XLOOKUP(1, (Contract_Edits[Dep]=Contract_Edits[[#This Row],[Dep]])*(Contract_Edits[RowPos]&lt;Contract_Edits[[#This Row],[RowPos]]), Contract_Edits[RowPos], , 0, -1),
      0
   )
)</f>
        <v>39</v>
      </c>
      <c r="AF64" s="35">
        <f>IF(OR(Contract_Edits[[#This Row],[Dep]]=0,Contract_Edits[[#This Row],[Dep]]=""),0,
   COUNTIFS(Contract_Edits[Dep],Contract_Edits[[#This Row],[Dep]],Contract_Edits[RowPos],"&lt;="&amp;Contract_Edits[[#This Row],[RowPos]],Contract_Edits[Approve],"Yes")
)</f>
        <v>8</v>
      </c>
      <c r="AG64" s="517">
        <f>--(
  ISNUMBER(SEARCH("BASE PARENT", UPPER(CLEAN(TRIM(_xlfn.XLOOKUP(TEXT(Contract_Edits[[#This Row],[Index]],"0"), baseIdxTxt, baseCost, "")))))) +
  ISNUMBER(SEARCH("DEPENDENCY GROUP", UPPER(CLEAN(TRIM(_xlfn.XLOOKUP(TEXT(Contract_Edits[[#This Row],[Index]],"0"), baseIdxTxt, baseCost, ""))))))
)</f>
        <v>0</v>
      </c>
      <c r="AH64" s="517" t="str" cm="1">
        <f t="array" ref="AH64">IF(Contract_Edits[[#This Row],[BaseFlag]]=1,
   10*BaseDepthL(TEXT(Contract_Edits[[#This Row],[Index]],"0"),500,editsIdxTxt,editsParentKeyTxt,baseIdxTxt,baseCost)-5,
   ""
)</f>
        <v/>
      </c>
      <c r="AI64" s="517" cm="1">
        <f t="array" ref="AI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4" s="517" t="str">
        <f>IF(Contract_Edits[[#This Row],[Dep]]=0,"Root",
   IF(ISNUMBER(MATCH(Contract_Edits[[#This Row],[Dep]],Contract_Edits[Index],0)),"OK","Missing")
)</f>
        <v>OK</v>
      </c>
      <c r="AK64" s="517" t="str">
        <f>IF(AND(Contract_Edits[[#This Row],[Dep]]&lt;&gt;0,
        ISNUMBER(MATCH(Contract_Edits[[#This Row],[Dep]], Contract_Edits[Index], 0)),
        INDEX(Contract_Edits[Dep], MATCH(Contract_Edits[[#This Row],[Dep]], Contract_Edits[Index], 0))=Contract_Edits[[#This Row],[Index]]),
   "2-cycle","")</f>
        <v/>
      </c>
      <c r="AL64" s="517" cm="1">
        <f t="array" ref="AL64">IF(Contract_Edits[[#This Row],[BaseFlag]]&lt;&gt;1,0,
   IF(TEXT(Contract_Edits[[#This Row],[Dep]],"0")=TEXT(Contract_Edits[[#This Row],[Index]],"0"),
      0,
      MAX(0, SUMPRODUCT(--(Contract_Edits[BaseFlag]=1),
                        --(TEXT(Contract_Edits[Dep],"0")=TEXT(Contract_Edits[[#This Row],[Dep]],"0"))) - 1)
   )
)</f>
        <v>0</v>
      </c>
      <c r="AM64" s="517" t="str" cm="1">
        <f t="array" ref="AM64">IF(Contract_Edits[[#This Row],[BaseFlag]]=1,
   TEXT(Contract_Edits[[#This Row],[Index]],"0"),
   NearestBaseL(TEXT(Contract_Edits[[#This Row],[ParentKey]],"0"),500,editsIdxTxt,editsParentKeyTxt,baseIdxTxt,baseCost)
)</f>
        <v>155</v>
      </c>
      <c r="AN64" s="517" cm="1">
        <f t="array" ref="AN64">1+SUMPRODUCT(
  (Contract_Edits[BaseFlag]=1)*
  (TEXT(Contract_Edits[ParentAnchor],"0")=TEXT(Contract_Edits[[#This Row],[ParentAnchor]],"0"))*
  (VALUE(TEXT(Contract_Edits[Index],"0"))&lt;VALUE(TEXT(Contract_Edits[[#This Row],[Index]],"0")))
)</f>
        <v>5</v>
      </c>
      <c r="AO64" s="35"/>
      <c r="AP64" s="35" t="str">
        <f ca="1">IFERROR(+IF(AP$24=#REF!,Milestone_Marker,IF(AND(AP$24&gt;#REF!,AP$24&lt;#REF!+#REF!),#REF!,"")),"")</f>
        <v/>
      </c>
      <c r="AQ64" s="35" t="str">
        <f ca="1">IFERROR(+IF(AQ$24=#REF!,Milestone_Marker,IF(AND(AQ$24&gt;#REF!,AQ$24&lt;#REF!+#REF!),#REF!,"")),"")</f>
        <v/>
      </c>
      <c r="AR64" s="35" t="str">
        <f ca="1">IFERROR(+IF(AR$24=#REF!,Milestone_Marker,IF(AND(AR$24&gt;#REF!,AR$24&lt;#REF!+#REF!),#REF!,"")),"")</f>
        <v/>
      </c>
      <c r="AS64" s="35" t="str">
        <f ca="1">IFERROR(+IF(AS$24=#REF!,Milestone_Marker,IF(AND(AS$24&gt;#REF!,AS$24&lt;#REF!+#REF!),#REF!,"")),"")</f>
        <v/>
      </c>
      <c r="AT64" s="35" t="str">
        <f ca="1">IFERROR(+IF(AT$24=#REF!,Milestone_Marker,IF(AND(AT$24&gt;#REF!,AT$24&lt;#REF!+#REF!),#REF!,"")),"")</f>
        <v/>
      </c>
      <c r="AU64" s="35" t="str">
        <f ca="1">IFERROR(+IF(AU$24=#REF!,Milestone_Marker,IF(AND(AU$24&gt;#REF!,AU$24&lt;#REF!+#REF!),#REF!,"")),"")</f>
        <v/>
      </c>
      <c r="AV64" s="35" t="str">
        <f ca="1">IFERROR(+IF(AV$24=#REF!,Milestone_Marker,IF(AND(AV$24&gt;#REF!,AV$24&lt;#REF!+#REF!),#REF!,"")),"")</f>
        <v/>
      </c>
      <c r="AW64" s="35" t="str">
        <f ca="1">IFERROR(+IF(AW$24=#REF!,Milestone_Marker,IF(AND(AW$24&gt;#REF!,AW$24&lt;#REF!+#REF!),#REF!,"")),"")</f>
        <v/>
      </c>
      <c r="AX64" s="35" t="str">
        <f ca="1">IFERROR(+IF(AX$24=#REF!,Milestone_Marker,IF(AND(AX$24&gt;#REF!,AX$24&lt;#REF!+#REF!),#REF!,"")),"")</f>
        <v/>
      </c>
      <c r="AY64" s="35" t="str">
        <f ca="1">IFERROR(+IF(AY$24=#REF!,Milestone_Marker,IF(AND(AY$24&gt;#REF!,AY$24&lt;#REF!+#REF!),#REF!,"")),"")</f>
        <v/>
      </c>
      <c r="AZ64" s="35" t="str">
        <f ca="1">IFERROR(+IF(AZ$24=#REF!,Milestone_Marker,IF(AND(AZ$24&gt;#REF!,AZ$24&lt;#REF!+#REF!),#REF!,"")),"")</f>
        <v/>
      </c>
      <c r="BA64" s="35" t="str">
        <f ca="1">IFERROR(+IF(BA$24=#REF!,Milestone_Marker,IF(AND(BA$24&gt;#REF!,BA$24&lt;#REF!+#REF!),#REF!,"")),"")</f>
        <v/>
      </c>
      <c r="BB64" s="35" t="str">
        <f ca="1">IFERROR(+IF(BB$24=#REF!,Milestone_Marker,IF(AND(BB$24&gt;#REF!,BB$24&lt;#REF!+#REF!),#REF!,"")),"")</f>
        <v/>
      </c>
      <c r="BC64" s="35" t="str">
        <f ca="1">IFERROR(+IF(BC$24=#REF!,Milestone_Marker,IF(AND(BC$24&gt;#REF!,BC$24&lt;#REF!+#REF!),#REF!,"")),"")</f>
        <v/>
      </c>
      <c r="BD64" s="35" t="str">
        <f ca="1">IFERROR(+IF(BD$24=#REF!,Milestone_Marker,IF(AND(BD$24&gt;#REF!,BD$24&lt;#REF!+#REF!),#REF!,"")),"")</f>
        <v/>
      </c>
      <c r="BE64" s="35" t="str">
        <f ca="1">IFERROR(+IF(BE$24=#REF!,Milestone_Marker,IF(AND(BE$24&gt;#REF!,BE$24&lt;#REF!+#REF!),#REF!,"")),"")</f>
        <v/>
      </c>
      <c r="BF64" s="35" t="str">
        <f ca="1">IFERROR(+IF(BF$24=#REF!,Milestone_Marker,IF(AND(BF$24&gt;#REF!,BF$24&lt;#REF!+#REF!),#REF!,"")),"")</f>
        <v/>
      </c>
      <c r="BG64" s="35" t="str">
        <f ca="1">IFERROR(+IF(BG$24=#REF!,Milestone_Marker,IF(AND(BG$24&gt;#REF!,BG$24&lt;#REF!+#REF!),#REF!,"")),"")</f>
        <v/>
      </c>
      <c r="BH64" s="35" t="str">
        <f ca="1">IFERROR(+IF(BH$24=#REF!,Milestone_Marker,IF(AND(BH$24&gt;#REF!,BH$24&lt;#REF!+#REF!),#REF!,"")),"")</f>
        <v/>
      </c>
      <c r="BI64" s="35" t="str">
        <f ca="1">IFERROR(+IF(BI$24=#REF!,Milestone_Marker,IF(AND(BI$24&gt;#REF!,BI$24&lt;#REF!+#REF!),#REF!,"")),"")</f>
        <v/>
      </c>
      <c r="BJ64" s="35" t="str">
        <f ca="1">IFERROR(+IF(BJ$24=#REF!,Milestone_Marker,IF(AND(BJ$24&gt;#REF!,BJ$24&lt;#REF!+#REF!),#REF!,"")),"")</f>
        <v/>
      </c>
      <c r="BK64" s="35" t="str">
        <f ca="1">IFERROR(+IF(BK$24=#REF!,Milestone_Marker,IF(AND(BK$24&gt;#REF!,BK$24&lt;#REF!+#REF!),#REF!,"")),"")</f>
        <v/>
      </c>
      <c r="BL64" s="35" t="str">
        <f ca="1">IFERROR(+IF(BL$24=#REF!,Milestone_Marker,IF(AND(BL$24&gt;#REF!,BL$24&lt;#REF!+#REF!),#REF!,"")),"")</f>
        <v/>
      </c>
      <c r="BM64" s="35" t="str">
        <f ca="1">IFERROR(+IF(BM$24=#REF!,Milestone_Marker,IF(AND(BM$24&gt;#REF!,BM$24&lt;#REF!+#REF!),#REF!,"")),"")</f>
        <v/>
      </c>
      <c r="BN64" s="35" t="str">
        <f ca="1">IFERROR(+IF(BN$24=#REF!,Milestone_Marker,IF(AND(BN$24&gt;#REF!,BN$24&lt;#REF!+#REF!),#REF!,"")),"")</f>
        <v/>
      </c>
      <c r="BO64" s="35" t="str">
        <f ca="1">IFERROR(+IF(BO$24=#REF!,Milestone_Marker,IF(AND(BO$24&gt;#REF!,BO$24&lt;#REF!+#REF!),#REF!,"")),"")</f>
        <v/>
      </c>
      <c r="BP64" s="35" t="str">
        <f ca="1">IFERROR(+IF(BP$24=#REF!,Milestone_Marker,IF(AND(BP$24&gt;#REF!,BP$24&lt;#REF!+#REF!),#REF!,"")),"")</f>
        <v/>
      </c>
      <c r="BQ64" s="35" t="str">
        <f ca="1">IFERROR(+IF(BQ$24=#REF!,Milestone_Marker,IF(AND(BQ$24&gt;#REF!,BQ$24&lt;#REF!+#REF!),#REF!,"")),"")</f>
        <v/>
      </c>
      <c r="BR64" s="35" t="str">
        <f ca="1">IFERROR(+IF(BR$24=#REF!,Milestone_Marker,IF(AND(BR$24&gt;#REF!,BR$24&lt;#REF!+#REF!),#REF!,"")),"")</f>
        <v/>
      </c>
      <c r="BS64" s="35" t="str">
        <f ca="1">IFERROR(+IF(BS$24=#REF!,Milestone_Marker,IF(AND(BS$24&gt;#REF!,BS$24&lt;#REF!+#REF!),#REF!,"")),"")</f>
        <v/>
      </c>
      <c r="BT64" s="35" t="str">
        <f ca="1">IFERROR(+IF(BT$24=#REF!,Milestone_Marker,IF(AND(BT$24&gt;#REF!,BT$24&lt;#REF!+#REF!),#REF!,"")),"")</f>
        <v/>
      </c>
      <c r="BU64" s="35" t="str">
        <f ca="1">IFERROR(+IF(BU$24=#REF!,Milestone_Marker,IF(AND(BU$24&gt;#REF!,BU$24&lt;#REF!+#REF!),#REF!,"")),"")</f>
        <v/>
      </c>
      <c r="BV64" s="35" t="str">
        <f ca="1">IFERROR(+IF(BV$24=#REF!,Milestone_Marker,IF(AND(BV$24&gt;#REF!,BV$24&lt;#REF!+#REF!),#REF!,"")),"")</f>
        <v/>
      </c>
      <c r="BW64" s="35" t="str">
        <f ca="1">IFERROR(+IF(BW$24=#REF!,Milestone_Marker,IF(AND(BW$24&gt;#REF!,BW$24&lt;#REF!+#REF!),#REF!,"")),"")</f>
        <v/>
      </c>
      <c r="BX64" s="35" t="str">
        <f ca="1">IFERROR(+IF(BX$24=#REF!,Milestone_Marker,IF(AND(BX$24&gt;#REF!,BX$24&lt;#REF!+#REF!),#REF!,"")),"")</f>
        <v/>
      </c>
      <c r="BY64" s="35" t="str">
        <f ca="1">IFERROR(+IF(BY$24=#REF!,Milestone_Marker,IF(AND(BY$24&gt;#REF!,BY$24&lt;#REF!+#REF!),#REF!,"")),"")</f>
        <v/>
      </c>
      <c r="BZ64" s="35" t="str">
        <f ca="1">IFERROR(+IF(BZ$24=#REF!,Milestone_Marker,IF(AND(BZ$24&gt;#REF!,BZ$24&lt;#REF!+#REF!),#REF!,"")),"")</f>
        <v/>
      </c>
      <c r="CA64" s="35" t="str">
        <f ca="1">IFERROR(+IF(CA$24=#REF!,Milestone_Marker,IF(AND(CA$24&gt;#REF!,CA$24&lt;#REF!+#REF!),#REF!,"")),"")</f>
        <v/>
      </c>
      <c r="CB64" s="35" t="str">
        <f ca="1">IFERROR(+IF(CB$24=#REF!,Milestone_Marker,IF(AND(CB$24&gt;#REF!,CB$24&lt;#REF!+#REF!),#REF!,"")),"")</f>
        <v/>
      </c>
      <c r="CC64" s="35" t="str">
        <f ca="1">IFERROR(+IF(CC$24=#REF!,Milestone_Marker,IF(AND(CC$24&gt;#REF!,CC$24&lt;#REF!+#REF!),#REF!,"")),"")</f>
        <v/>
      </c>
      <c r="CD64" s="35" t="str">
        <f ca="1">IFERROR(+IF(CD$24=#REF!,Milestone_Marker,IF(AND(CD$24&gt;#REF!,CD$24&lt;#REF!+#REF!),#REF!,"")),"")</f>
        <v/>
      </c>
      <c r="CE64" s="35" t="str">
        <f ca="1">IFERROR(+IF(CE$24=#REF!,Milestone_Marker,IF(AND(CE$24&gt;#REF!,CE$24&lt;#REF!+#REF!),#REF!,"")),"")</f>
        <v/>
      </c>
      <c r="CF64" s="35" t="str">
        <f ca="1">IFERROR(+IF(CF$24=#REF!,Milestone_Marker,IF(AND(CF$24&gt;#REF!,CF$24&lt;#REF!+#REF!),#REF!,"")),"")</f>
        <v/>
      </c>
      <c r="CG64" s="35" t="str">
        <f ca="1">IFERROR(+IF(CG$24=#REF!,Milestone_Marker,IF(AND(CG$24&gt;#REF!,CG$24&lt;#REF!+#REF!),#REF!,"")),"")</f>
        <v/>
      </c>
      <c r="CH64" s="35" t="str">
        <f ca="1">IFERROR(+IF(CH$24=#REF!,Milestone_Marker,IF(AND(CH$24&gt;#REF!,CH$24&lt;#REF!+#REF!),#REF!,"")),"")</f>
        <v/>
      </c>
      <c r="CI64" s="35" t="str">
        <f ca="1">IFERROR(+IF(CI$24=#REF!,Milestone_Marker,IF(AND(CI$24&gt;#REF!,CI$24&lt;#REF!+#REF!),#REF!,"")),"")</f>
        <v/>
      </c>
      <c r="CJ64" s="35" t="str">
        <f ca="1">IFERROR(+IF(CJ$24=#REF!,Milestone_Marker,IF(AND(CJ$24&gt;#REF!,CJ$24&lt;#REF!+#REF!),#REF!,"")),"")</f>
        <v/>
      </c>
      <c r="CK64" s="35" t="str">
        <f ca="1">IFERROR(+IF(CK$24=#REF!,Milestone_Marker,IF(AND(CK$24&gt;#REF!,CK$24&lt;#REF!+#REF!),#REF!,"")),"")</f>
        <v/>
      </c>
      <c r="CL64" s="35" t="str">
        <f ca="1">IFERROR(+IF(CL$24=#REF!,Milestone_Marker,IF(AND(CL$24&gt;#REF!,CL$24&lt;#REF!+#REF!),#REF!,"")),"")</f>
        <v/>
      </c>
      <c r="CM64" s="35" t="str">
        <f ca="1">IFERROR(+IF(CM$24=#REF!,Milestone_Marker,IF(AND(CM$24&gt;#REF!,CM$24&lt;#REF!+#REF!),#REF!,"")),"")</f>
        <v/>
      </c>
      <c r="CN64" s="35" t="str">
        <f ca="1">IFERROR(+IF(CN$24=#REF!,Milestone_Marker,IF(AND(CN$24&gt;#REF!,CN$24&lt;#REF!+#REF!),#REF!,"")),"")</f>
        <v/>
      </c>
      <c r="CO64" s="35" t="str">
        <f ca="1">IFERROR(+IF(CO$24=#REF!,Milestone_Marker,IF(AND(CO$24&gt;#REF!,CO$24&lt;#REF!+#REF!),#REF!,"")),"")</f>
        <v/>
      </c>
      <c r="CP64" s="35" t="str">
        <f ca="1">IFERROR(+IF(CP$24=#REF!,Milestone_Marker,IF(AND(CP$24&gt;#REF!,CP$24&lt;#REF!+#REF!),#REF!,"")),"")</f>
        <v/>
      </c>
      <c r="CQ64" s="35" t="str">
        <f ca="1">IFERROR(+IF(CQ$24=#REF!,Milestone_Marker,IF(AND(CQ$24&gt;#REF!,CQ$24&lt;#REF!+#REF!),#REF!,"")),"")</f>
        <v/>
      </c>
      <c r="CR64" s="35" t="str">
        <f ca="1">IFERROR(+IF(CR$24=#REF!,Milestone_Marker,IF(AND(CR$24&gt;#REF!,CR$24&lt;#REF!+#REF!),#REF!,"")),"")</f>
        <v/>
      </c>
      <c r="CS64" s="35" t="str">
        <f ca="1">IFERROR(+IF(CS$24=#REF!,Milestone_Marker,IF(AND(CS$24&gt;#REF!,CS$24&lt;#REF!+#REF!),#REF!,"")),"")</f>
        <v/>
      </c>
      <c r="CT64" s="35" t="str">
        <f ca="1">IFERROR(+IF(CT$24=#REF!,Milestone_Marker,IF(AND(CT$24&gt;#REF!,CT$24&lt;#REF!+#REF!),#REF!,"")),"")</f>
        <v/>
      </c>
      <c r="CU64" s="35" t="str">
        <f ca="1">IFERROR(+IF(CU$24=#REF!,Milestone_Marker,IF(AND(CU$24&gt;#REF!,CU$24&lt;#REF!+#REF!),#REF!,"")),"")</f>
        <v/>
      </c>
      <c r="CV64" s="35" t="str">
        <f ca="1">IFERROR(+IF(CV$24=#REF!,Milestone_Marker,IF(AND(CV$24&gt;#REF!,CV$24&lt;#REF!+#REF!),#REF!,"")),"")</f>
        <v/>
      </c>
      <c r="CW64" s="35" t="str">
        <f ca="1">IFERROR(+IF(CW$24=#REF!,Milestone_Marker,IF(AND(CW$24&gt;#REF!,CW$24&lt;#REF!+#REF!),#REF!,"")),"")</f>
        <v/>
      </c>
      <c r="CX64" s="35" t="str">
        <f ca="1">IFERROR(+IF(CX$24=#REF!,Milestone_Marker,IF(AND(CX$24&gt;#REF!,CX$24&lt;#REF!+#REF!),#REF!,"")),"")</f>
        <v/>
      </c>
      <c r="CY64" s="35" t="str">
        <f ca="1">IFERROR(+IF(CY$24=#REF!,Milestone_Marker,IF(AND(CY$24&gt;#REF!,CY$24&lt;#REF!+#REF!),#REF!,"")),"")</f>
        <v/>
      </c>
      <c r="CZ64" s="35" t="str">
        <f ca="1">IFERROR(+IF(CZ$24=#REF!,Milestone_Marker,IF(AND(CZ$24&gt;#REF!,CZ$24&lt;#REF!+#REF!),#REF!,"")),"")</f>
        <v/>
      </c>
      <c r="DA64" s="35" t="str">
        <f ca="1">IFERROR(+IF(DA$24=#REF!,Milestone_Marker,IF(AND(DA$24&gt;#REF!,DA$24&lt;#REF!+#REF!),#REF!,"")),"")</f>
        <v/>
      </c>
      <c r="DB64" s="35" t="str">
        <f ca="1">IFERROR(+IF(DB$24=#REF!,Milestone_Marker,IF(AND(DB$24&gt;#REF!,DB$24&lt;#REF!+#REF!),#REF!,"")),"")</f>
        <v/>
      </c>
      <c r="DC64" s="35" t="str">
        <f ca="1">IFERROR(+IF(DC$24=#REF!,Milestone_Marker,IF(AND(DC$24&gt;#REF!,DC$24&lt;#REF!+#REF!),#REF!,"")),"")</f>
        <v/>
      </c>
      <c r="DD64" s="35" t="str">
        <f ca="1">IFERROR(+IF(DD$24=#REF!,Milestone_Marker,IF(AND(DD$24&gt;#REF!,DD$24&lt;#REF!+#REF!),#REF!,"")),"")</f>
        <v/>
      </c>
      <c r="DE64" s="35" t="str">
        <f ca="1">IFERROR(+IF(DE$24=#REF!,Milestone_Marker,IF(AND(DE$24&gt;#REF!,DE$24&lt;#REF!+#REF!),#REF!,"")),"")</f>
        <v/>
      </c>
      <c r="DF64" s="35"/>
      <c r="DG64" s="35"/>
      <c r="DH64" s="35"/>
      <c r="DI64" s="35"/>
      <c r="DJ64" s="35"/>
      <c r="DK64" s="35"/>
      <c r="DL64" s="35"/>
      <c r="DM64" s="35"/>
      <c r="DN64" s="35"/>
      <c r="DO64" s="35"/>
      <c r="DP64" s="35"/>
      <c r="DQ64" s="35"/>
      <c r="DR64" s="35"/>
      <c r="DS64" s="35"/>
      <c r="DT64" s="35"/>
      <c r="DU64" s="35"/>
      <c r="DV64" s="35"/>
      <c r="DW64" s="35"/>
      <c r="DX64" s="35"/>
      <c r="DY64" s="35"/>
      <c r="DZ64" s="35"/>
      <c r="EA64" s="35"/>
      <c r="EB64" s="35"/>
      <c r="EC64" s="35"/>
      <c r="ED64" s="35"/>
      <c r="EE64" s="35"/>
    </row>
    <row r="65" spans="1:135" s="40" customFormat="1" ht="15">
      <c r="A65" t="s">
        <v>552</v>
      </c>
      <c r="B65" t="s">
        <v>793</v>
      </c>
      <c r="C65" t="s">
        <v>625</v>
      </c>
      <c r="D65" s="458" t="s">
        <v>1512</v>
      </c>
      <c r="E65" s="458">
        <v>1</v>
      </c>
      <c r="F65">
        <v>1450</v>
      </c>
      <c r="G65">
        <v>1450</v>
      </c>
      <c r="H65">
        <v>155</v>
      </c>
      <c r="I65"/>
      <c r="J65">
        <v>206</v>
      </c>
      <c r="K65" s="107"/>
      <c r="L65" s="463">
        <v>206</v>
      </c>
      <c r="M65" s="543"/>
      <c r="N65" s="544"/>
      <c r="O65" s="546" cm="1">
        <f t="array" ref="O6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45982</v>
      </c>
      <c r="P65" s="568"/>
      <c r="Q65" s="568"/>
      <c r="R65" s="499"/>
      <c r="S65" s="463" cm="1">
        <f t="array" ref="S6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5" s="34"/>
      <c r="U65" s="490">
        <v>9</v>
      </c>
      <c r="V6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65.010900000000007</v>
      </c>
      <c r="W65" s="557"/>
      <c r="X65" s="545"/>
      <c r="Y65" s="548" t="s">
        <v>865</v>
      </c>
      <c r="Z65" s="160"/>
      <c r="AA65" s="563"/>
      <c r="AB65" s="34" cm="1">
        <f t="array" ref="AB65">ROW()-ROW(Contract_Edits[#Headers])</f>
        <v>41</v>
      </c>
      <c r="AC65" s="34">
        <f>IF(Contract_Edits[[#This Row],[RowPos]]&gt;1, Contract_Edits[[#This Row],[RowPos]]-1, 0)</f>
        <v>40</v>
      </c>
      <c r="AD65" s="35">
        <f>IF(N(Contract_Edits[[#This Row],[Dep]])=0, N(Contract_Edits[[#This Row],[Index]]), N(Contract_Edits[[#This Row],[Dep]]))</f>
        <v>155</v>
      </c>
      <c r="AE65" s="35" cm="1">
        <f t="array" ref="AE65">IF(OR(Contract_Edits[[#This Row],[Dep]]=0, TRIM(Contract_Edits[[#This Row],[Dep]])=""),
   0,
   IFERROR(
      _xlfn.XLOOKUP(1, (Contract_Edits[Dep]=Contract_Edits[[#This Row],[Dep]])*(Contract_Edits[RowPos]&lt;Contract_Edits[[#This Row],[RowPos]]), Contract_Edits[RowPos], , 0, -1),
      0
   )
)</f>
        <v>40</v>
      </c>
      <c r="AF65" s="35">
        <f>IF(OR(Contract_Edits[[#This Row],[Dep]]=0,Contract_Edits[[#This Row],[Dep]]=""),0,
   COUNTIFS(Contract_Edits[Dep],Contract_Edits[[#This Row],[Dep]],Contract_Edits[RowPos],"&lt;="&amp;Contract_Edits[[#This Row],[RowPos]],Contract_Edits[Approve],"Yes")
)</f>
        <v>8</v>
      </c>
      <c r="AG65" s="517">
        <f>--(
  ISNUMBER(SEARCH("BASE PARENT", UPPER(CLEAN(TRIM(_xlfn.XLOOKUP(TEXT(Contract_Edits[[#This Row],[Index]],"0"), baseIdxTxt, baseCost, "")))))) +
  ISNUMBER(SEARCH("DEPENDENCY GROUP", UPPER(CLEAN(TRIM(_xlfn.XLOOKUP(TEXT(Contract_Edits[[#This Row],[Index]],"0"), baseIdxTxt, baseCost, ""))))))
)</f>
        <v>0</v>
      </c>
      <c r="AH65" s="517" t="str" cm="1">
        <f t="array" ref="AH65">IF(Contract_Edits[[#This Row],[BaseFlag]]=1,
   10*BaseDepthL(TEXT(Contract_Edits[[#This Row],[Index]],"0"),500,editsIdxTxt,editsParentKeyTxt,baseIdxTxt,baseCost)-5,
   ""
)</f>
        <v/>
      </c>
      <c r="AI65" s="517" cm="1">
        <f t="array" ref="AI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5" s="517" t="str">
        <f>IF(Contract_Edits[[#This Row],[Dep]]=0,"Root",
   IF(ISNUMBER(MATCH(Contract_Edits[[#This Row],[Dep]],Contract_Edits[Index],0)),"OK","Missing")
)</f>
        <v>OK</v>
      </c>
      <c r="AK65" s="517" t="str">
        <f>IF(AND(Contract_Edits[[#This Row],[Dep]]&lt;&gt;0,
        ISNUMBER(MATCH(Contract_Edits[[#This Row],[Dep]], Contract_Edits[Index], 0)),
        INDEX(Contract_Edits[Dep], MATCH(Contract_Edits[[#This Row],[Dep]], Contract_Edits[Index], 0))=Contract_Edits[[#This Row],[Index]]),
   "2-cycle","")</f>
        <v/>
      </c>
      <c r="AL65" s="517" cm="1">
        <f t="array" ref="AL65">IF(Contract_Edits[[#This Row],[BaseFlag]]&lt;&gt;1,0,
   IF(TEXT(Contract_Edits[[#This Row],[Dep]],"0")=TEXT(Contract_Edits[[#This Row],[Index]],"0"),
      0,
      MAX(0, SUMPRODUCT(--(Contract_Edits[BaseFlag]=1),
                        --(TEXT(Contract_Edits[Dep],"0")=TEXT(Contract_Edits[[#This Row],[Dep]],"0"))) - 1)
   )
)</f>
        <v>0</v>
      </c>
      <c r="AM65" s="517" t="str" cm="1">
        <f t="array" ref="AM65">IF(Contract_Edits[[#This Row],[BaseFlag]]=1,
   TEXT(Contract_Edits[[#This Row],[Index]],"0"),
   NearestBaseL(TEXT(Contract_Edits[[#This Row],[ParentKey]],"0"),500,editsIdxTxt,editsParentKeyTxt,baseIdxTxt,baseCost)
)</f>
        <v>155</v>
      </c>
      <c r="AN65" s="517" cm="1">
        <f t="array" ref="AN65">1+SUMPRODUCT(
  (Contract_Edits[BaseFlag]=1)*
  (TEXT(Contract_Edits[ParentAnchor],"0")=TEXT(Contract_Edits[[#This Row],[ParentAnchor]],"0"))*
  (VALUE(TEXT(Contract_Edits[Index],"0"))&lt;VALUE(TEXT(Contract_Edits[[#This Row],[Index]],"0")))
)</f>
        <v>5</v>
      </c>
      <c r="AO65" s="35"/>
      <c r="AP65" s="35" t="str">
        <f ca="1">IFERROR(+IF(AP$24=#REF!,Milestone_Marker,IF(AND(AP$24&gt;#REF!,AP$24&lt;#REF!+#REF!),#REF!,"")),"")</f>
        <v/>
      </c>
      <c r="AQ65" s="35" t="str">
        <f ca="1">IFERROR(+IF(AQ$24=#REF!,Milestone_Marker,IF(AND(AQ$24&gt;#REF!,AQ$24&lt;#REF!+#REF!),#REF!,"")),"")</f>
        <v/>
      </c>
      <c r="AR65" s="35" t="str">
        <f ca="1">IFERROR(+IF(AR$24=#REF!,Milestone_Marker,IF(AND(AR$24&gt;#REF!,AR$24&lt;#REF!+#REF!),#REF!,"")),"")</f>
        <v/>
      </c>
      <c r="AS65" s="35" t="str">
        <f ca="1">IFERROR(+IF(AS$24=#REF!,Milestone_Marker,IF(AND(AS$24&gt;#REF!,AS$24&lt;#REF!+#REF!),#REF!,"")),"")</f>
        <v/>
      </c>
      <c r="AT65" s="35" t="str">
        <f ca="1">IFERROR(+IF(AT$24=#REF!,Milestone_Marker,IF(AND(AT$24&gt;#REF!,AT$24&lt;#REF!+#REF!),#REF!,"")),"")</f>
        <v/>
      </c>
      <c r="AU65" s="35" t="str">
        <f ca="1">IFERROR(+IF(AU$24=#REF!,Milestone_Marker,IF(AND(AU$24&gt;#REF!,AU$24&lt;#REF!+#REF!),#REF!,"")),"")</f>
        <v/>
      </c>
      <c r="AV65" s="35" t="str">
        <f ca="1">IFERROR(+IF(AV$24=#REF!,Milestone_Marker,IF(AND(AV$24&gt;#REF!,AV$24&lt;#REF!+#REF!),#REF!,"")),"")</f>
        <v/>
      </c>
      <c r="AW65" s="35" t="str">
        <f ca="1">IFERROR(+IF(AW$24=#REF!,Milestone_Marker,IF(AND(AW$24&gt;#REF!,AW$24&lt;#REF!+#REF!),#REF!,"")),"")</f>
        <v/>
      </c>
      <c r="AX65" s="35" t="str">
        <f ca="1">IFERROR(+IF(AX$24=#REF!,Milestone_Marker,IF(AND(AX$24&gt;#REF!,AX$24&lt;#REF!+#REF!),#REF!,"")),"")</f>
        <v/>
      </c>
      <c r="AY65" s="35" t="str">
        <f ca="1">IFERROR(+IF(AY$24=#REF!,Milestone_Marker,IF(AND(AY$24&gt;#REF!,AY$24&lt;#REF!+#REF!),#REF!,"")),"")</f>
        <v/>
      </c>
      <c r="AZ65" s="35" t="str">
        <f ca="1">IFERROR(+IF(AZ$24=#REF!,Milestone_Marker,IF(AND(AZ$24&gt;#REF!,AZ$24&lt;#REF!+#REF!),#REF!,"")),"")</f>
        <v/>
      </c>
      <c r="BA65" s="35" t="str">
        <f ca="1">IFERROR(+IF(BA$24=#REF!,Milestone_Marker,IF(AND(BA$24&gt;#REF!,BA$24&lt;#REF!+#REF!),#REF!,"")),"")</f>
        <v/>
      </c>
      <c r="BB65" s="35" t="str">
        <f ca="1">IFERROR(+IF(BB$24=#REF!,Milestone_Marker,IF(AND(BB$24&gt;#REF!,BB$24&lt;#REF!+#REF!),#REF!,"")),"")</f>
        <v/>
      </c>
      <c r="BC65" s="35" t="str">
        <f ca="1">IFERROR(+IF(BC$24=#REF!,Milestone_Marker,IF(AND(BC$24&gt;#REF!,BC$24&lt;#REF!+#REF!),#REF!,"")),"")</f>
        <v/>
      </c>
      <c r="BD65" s="35" t="str">
        <f ca="1">IFERROR(+IF(BD$24=#REF!,Milestone_Marker,IF(AND(BD$24&gt;#REF!,BD$24&lt;#REF!+#REF!),#REF!,"")),"")</f>
        <v/>
      </c>
      <c r="BE65" s="35" t="str">
        <f ca="1">IFERROR(+IF(BE$24=#REF!,Milestone_Marker,IF(AND(BE$24&gt;#REF!,BE$24&lt;#REF!+#REF!),#REF!,"")),"")</f>
        <v/>
      </c>
      <c r="BF65" s="35" t="str">
        <f ca="1">IFERROR(+IF(BF$24=#REF!,Milestone_Marker,IF(AND(BF$24&gt;#REF!,BF$24&lt;#REF!+#REF!),#REF!,"")),"")</f>
        <v/>
      </c>
      <c r="BG65" s="35" t="str">
        <f ca="1">IFERROR(+IF(BG$24=#REF!,Milestone_Marker,IF(AND(BG$24&gt;#REF!,BG$24&lt;#REF!+#REF!),#REF!,"")),"")</f>
        <v/>
      </c>
      <c r="BH65" s="35" t="str">
        <f ca="1">IFERROR(+IF(BH$24=#REF!,Milestone_Marker,IF(AND(BH$24&gt;#REF!,BH$24&lt;#REF!+#REF!),#REF!,"")),"")</f>
        <v/>
      </c>
      <c r="BI65" s="35" t="str">
        <f ca="1">IFERROR(+IF(BI$24=#REF!,Milestone_Marker,IF(AND(BI$24&gt;#REF!,BI$24&lt;#REF!+#REF!),#REF!,"")),"")</f>
        <v/>
      </c>
      <c r="BJ65" s="35" t="str">
        <f ca="1">IFERROR(+IF(BJ$24=#REF!,Milestone_Marker,IF(AND(BJ$24&gt;#REF!,BJ$24&lt;#REF!+#REF!),#REF!,"")),"")</f>
        <v/>
      </c>
      <c r="BK65" s="35" t="str">
        <f ca="1">IFERROR(+IF(BK$24=#REF!,Milestone_Marker,IF(AND(BK$24&gt;#REF!,BK$24&lt;#REF!+#REF!),#REF!,"")),"")</f>
        <v/>
      </c>
      <c r="BL65" s="35" t="str">
        <f ca="1">IFERROR(+IF(BL$24=#REF!,Milestone_Marker,IF(AND(BL$24&gt;#REF!,BL$24&lt;#REF!+#REF!),#REF!,"")),"")</f>
        <v/>
      </c>
      <c r="BM65" s="35" t="str">
        <f ca="1">IFERROR(+IF(BM$24=#REF!,Milestone_Marker,IF(AND(BM$24&gt;#REF!,BM$24&lt;#REF!+#REF!),#REF!,"")),"")</f>
        <v/>
      </c>
      <c r="BN65" s="35" t="str">
        <f ca="1">IFERROR(+IF(BN$24=#REF!,Milestone_Marker,IF(AND(BN$24&gt;#REF!,BN$24&lt;#REF!+#REF!),#REF!,"")),"")</f>
        <v/>
      </c>
      <c r="BO65" s="35" t="str">
        <f ca="1">IFERROR(+IF(BO$24=#REF!,Milestone_Marker,IF(AND(BO$24&gt;#REF!,BO$24&lt;#REF!+#REF!),#REF!,"")),"")</f>
        <v/>
      </c>
      <c r="BP65" s="35" t="str">
        <f ca="1">IFERROR(+IF(BP$24=#REF!,Milestone_Marker,IF(AND(BP$24&gt;#REF!,BP$24&lt;#REF!+#REF!),#REF!,"")),"")</f>
        <v/>
      </c>
      <c r="BQ65" s="35" t="str">
        <f ca="1">IFERROR(+IF(BQ$24=#REF!,Milestone_Marker,IF(AND(BQ$24&gt;#REF!,BQ$24&lt;#REF!+#REF!),#REF!,"")),"")</f>
        <v/>
      </c>
      <c r="BR65" s="35" t="str">
        <f ca="1">IFERROR(+IF(BR$24=#REF!,Milestone_Marker,IF(AND(BR$24&gt;#REF!,BR$24&lt;#REF!+#REF!),#REF!,"")),"")</f>
        <v/>
      </c>
      <c r="BS65" s="35" t="str">
        <f ca="1">IFERROR(+IF(BS$24=#REF!,Milestone_Marker,IF(AND(BS$24&gt;#REF!,BS$24&lt;#REF!+#REF!),#REF!,"")),"")</f>
        <v/>
      </c>
      <c r="BT65" s="35" t="str">
        <f ca="1">IFERROR(+IF(BT$24=#REF!,Milestone_Marker,IF(AND(BT$24&gt;#REF!,BT$24&lt;#REF!+#REF!),#REF!,"")),"")</f>
        <v/>
      </c>
      <c r="BU65" s="35" t="str">
        <f ca="1">IFERROR(+IF(BU$24=#REF!,Milestone_Marker,IF(AND(BU$24&gt;#REF!,BU$24&lt;#REF!+#REF!),#REF!,"")),"")</f>
        <v/>
      </c>
      <c r="BV65" s="35" t="str">
        <f ca="1">IFERROR(+IF(BV$24=#REF!,Milestone_Marker,IF(AND(BV$24&gt;#REF!,BV$24&lt;#REF!+#REF!),#REF!,"")),"")</f>
        <v/>
      </c>
      <c r="BW65" s="35" t="str">
        <f ca="1">IFERROR(+IF(BW$24=#REF!,Milestone_Marker,IF(AND(BW$24&gt;#REF!,BW$24&lt;#REF!+#REF!),#REF!,"")),"")</f>
        <v/>
      </c>
      <c r="BX65" s="35" t="str">
        <f ca="1">IFERROR(+IF(BX$24=#REF!,Milestone_Marker,IF(AND(BX$24&gt;#REF!,BX$24&lt;#REF!+#REF!),#REF!,"")),"")</f>
        <v/>
      </c>
      <c r="BY65" s="35" t="str">
        <f ca="1">IFERROR(+IF(BY$24=#REF!,Milestone_Marker,IF(AND(BY$24&gt;#REF!,BY$24&lt;#REF!+#REF!),#REF!,"")),"")</f>
        <v/>
      </c>
      <c r="BZ65" s="35" t="str">
        <f ca="1">IFERROR(+IF(BZ$24=#REF!,Milestone_Marker,IF(AND(BZ$24&gt;#REF!,BZ$24&lt;#REF!+#REF!),#REF!,"")),"")</f>
        <v/>
      </c>
      <c r="CA65" s="35" t="str">
        <f ca="1">IFERROR(+IF(CA$24=#REF!,Milestone_Marker,IF(AND(CA$24&gt;#REF!,CA$24&lt;#REF!+#REF!),#REF!,"")),"")</f>
        <v/>
      </c>
      <c r="CB65" s="35" t="str">
        <f ca="1">IFERROR(+IF(CB$24=#REF!,Milestone_Marker,IF(AND(CB$24&gt;#REF!,CB$24&lt;#REF!+#REF!),#REF!,"")),"")</f>
        <v/>
      </c>
      <c r="CC65" s="35" t="str">
        <f ca="1">IFERROR(+IF(CC$24=#REF!,Milestone_Marker,IF(AND(CC$24&gt;#REF!,CC$24&lt;#REF!+#REF!),#REF!,"")),"")</f>
        <v/>
      </c>
      <c r="CD65" s="35" t="str">
        <f ca="1">IFERROR(+IF(CD$24=#REF!,Milestone_Marker,IF(AND(CD$24&gt;#REF!,CD$24&lt;#REF!+#REF!),#REF!,"")),"")</f>
        <v/>
      </c>
      <c r="CE65" s="35" t="str">
        <f ca="1">IFERROR(+IF(CE$24=#REF!,Milestone_Marker,IF(AND(CE$24&gt;#REF!,CE$24&lt;#REF!+#REF!),#REF!,"")),"")</f>
        <v/>
      </c>
      <c r="CF65" s="35" t="str">
        <f ca="1">IFERROR(+IF(CF$24=#REF!,Milestone_Marker,IF(AND(CF$24&gt;#REF!,CF$24&lt;#REF!+#REF!),#REF!,"")),"")</f>
        <v/>
      </c>
      <c r="CG65" s="35" t="str">
        <f ca="1">IFERROR(+IF(CG$24=#REF!,Milestone_Marker,IF(AND(CG$24&gt;#REF!,CG$24&lt;#REF!+#REF!),#REF!,"")),"")</f>
        <v/>
      </c>
      <c r="CH65" s="35" t="str">
        <f ca="1">IFERROR(+IF(CH$24=#REF!,Milestone_Marker,IF(AND(CH$24&gt;#REF!,CH$24&lt;#REF!+#REF!),#REF!,"")),"")</f>
        <v/>
      </c>
      <c r="CI65" s="35" t="str">
        <f ca="1">IFERROR(+IF(CI$24=#REF!,Milestone_Marker,IF(AND(CI$24&gt;#REF!,CI$24&lt;#REF!+#REF!),#REF!,"")),"")</f>
        <v/>
      </c>
      <c r="CJ65" s="35" t="str">
        <f ca="1">IFERROR(+IF(CJ$24=#REF!,Milestone_Marker,IF(AND(CJ$24&gt;#REF!,CJ$24&lt;#REF!+#REF!),#REF!,"")),"")</f>
        <v/>
      </c>
      <c r="CK65" s="35" t="str">
        <f ca="1">IFERROR(+IF(CK$24=#REF!,Milestone_Marker,IF(AND(CK$24&gt;#REF!,CK$24&lt;#REF!+#REF!),#REF!,"")),"")</f>
        <v/>
      </c>
      <c r="CL65" s="35" t="str">
        <f ca="1">IFERROR(+IF(CL$24=#REF!,Milestone_Marker,IF(AND(CL$24&gt;#REF!,CL$24&lt;#REF!+#REF!),#REF!,"")),"")</f>
        <v/>
      </c>
      <c r="CM65" s="35" t="str">
        <f ca="1">IFERROR(+IF(CM$24=#REF!,Milestone_Marker,IF(AND(CM$24&gt;#REF!,CM$24&lt;#REF!+#REF!),#REF!,"")),"")</f>
        <v/>
      </c>
      <c r="CN65" s="35" t="str">
        <f ca="1">IFERROR(+IF(CN$24=#REF!,Milestone_Marker,IF(AND(CN$24&gt;#REF!,CN$24&lt;#REF!+#REF!),#REF!,"")),"")</f>
        <v/>
      </c>
      <c r="CO65" s="35" t="str">
        <f ca="1">IFERROR(+IF(CO$24=#REF!,Milestone_Marker,IF(AND(CO$24&gt;#REF!,CO$24&lt;#REF!+#REF!),#REF!,"")),"")</f>
        <v/>
      </c>
      <c r="CP65" s="35" t="str">
        <f ca="1">IFERROR(+IF(CP$24=#REF!,Milestone_Marker,IF(AND(CP$24&gt;#REF!,CP$24&lt;#REF!+#REF!),#REF!,"")),"")</f>
        <v/>
      </c>
      <c r="CQ65" s="35" t="str">
        <f ca="1">IFERROR(+IF(CQ$24=#REF!,Milestone_Marker,IF(AND(CQ$24&gt;#REF!,CQ$24&lt;#REF!+#REF!),#REF!,"")),"")</f>
        <v/>
      </c>
      <c r="CR65" s="35" t="str">
        <f ca="1">IFERROR(+IF(CR$24=#REF!,Milestone_Marker,IF(AND(CR$24&gt;#REF!,CR$24&lt;#REF!+#REF!),#REF!,"")),"")</f>
        <v/>
      </c>
      <c r="CS65" s="35" t="str">
        <f ca="1">IFERROR(+IF(CS$24=#REF!,Milestone_Marker,IF(AND(CS$24&gt;#REF!,CS$24&lt;#REF!+#REF!),#REF!,"")),"")</f>
        <v/>
      </c>
      <c r="CT65" s="35" t="str">
        <f ca="1">IFERROR(+IF(CT$24=#REF!,Milestone_Marker,IF(AND(CT$24&gt;#REF!,CT$24&lt;#REF!+#REF!),#REF!,"")),"")</f>
        <v/>
      </c>
      <c r="CU65" s="35" t="str">
        <f ca="1">IFERROR(+IF(CU$24=#REF!,Milestone_Marker,IF(AND(CU$24&gt;#REF!,CU$24&lt;#REF!+#REF!),#REF!,"")),"")</f>
        <v/>
      </c>
      <c r="CV65" s="35" t="str">
        <f ca="1">IFERROR(+IF(CV$24=#REF!,Milestone_Marker,IF(AND(CV$24&gt;#REF!,CV$24&lt;#REF!+#REF!),#REF!,"")),"")</f>
        <v/>
      </c>
      <c r="CW65" s="35" t="str">
        <f ca="1">IFERROR(+IF(CW$24=#REF!,Milestone_Marker,IF(AND(CW$24&gt;#REF!,CW$24&lt;#REF!+#REF!),#REF!,"")),"")</f>
        <v/>
      </c>
      <c r="CX65" s="35" t="str">
        <f ca="1">IFERROR(+IF(CX$24=#REF!,Milestone_Marker,IF(AND(CX$24&gt;#REF!,CX$24&lt;#REF!+#REF!),#REF!,"")),"")</f>
        <v/>
      </c>
      <c r="CY65" s="35" t="str">
        <f ca="1">IFERROR(+IF(CY$24=#REF!,Milestone_Marker,IF(AND(CY$24&gt;#REF!,CY$24&lt;#REF!+#REF!),#REF!,"")),"")</f>
        <v/>
      </c>
      <c r="CZ65" s="35" t="str">
        <f ca="1">IFERROR(+IF(CZ$24=#REF!,Milestone_Marker,IF(AND(CZ$24&gt;#REF!,CZ$24&lt;#REF!+#REF!),#REF!,"")),"")</f>
        <v/>
      </c>
      <c r="DA65" s="35" t="str">
        <f ca="1">IFERROR(+IF(DA$24=#REF!,Milestone_Marker,IF(AND(DA$24&gt;#REF!,DA$24&lt;#REF!+#REF!),#REF!,"")),"")</f>
        <v/>
      </c>
      <c r="DB65" s="35" t="str">
        <f ca="1">IFERROR(+IF(DB$24=#REF!,Milestone_Marker,IF(AND(DB$24&gt;#REF!,DB$24&lt;#REF!+#REF!),#REF!,"")),"")</f>
        <v/>
      </c>
      <c r="DC65" s="35" t="str">
        <f ca="1">IFERROR(+IF(DC$24=#REF!,Milestone_Marker,IF(AND(DC$24&gt;#REF!,DC$24&lt;#REF!+#REF!),#REF!,"")),"")</f>
        <v/>
      </c>
      <c r="DD65" s="35" t="str">
        <f ca="1">IFERROR(+IF(DD$24=#REF!,Milestone_Marker,IF(AND(DD$24&gt;#REF!,DD$24&lt;#REF!+#REF!),#REF!,"")),"")</f>
        <v/>
      </c>
      <c r="DE65" s="35" t="str">
        <f ca="1">IFERROR(+IF(DE$24=#REF!,Milestone_Marker,IF(AND(DE$24&gt;#REF!,DE$24&lt;#REF!+#REF!),#REF!,"")),"")</f>
        <v/>
      </c>
      <c r="DF65" s="35"/>
      <c r="DG65" s="35"/>
      <c r="DH65" s="35"/>
      <c r="DI65" s="35"/>
      <c r="DJ65" s="35"/>
      <c r="DK65" s="35"/>
      <c r="DL65" s="35"/>
      <c r="DM65" s="35"/>
      <c r="DN65" s="35"/>
      <c r="DO65" s="35"/>
      <c r="DP65" s="35"/>
      <c r="DQ65" s="35"/>
      <c r="DR65" s="35"/>
      <c r="DS65" s="35"/>
      <c r="DT65" s="35"/>
      <c r="DU65" s="35"/>
      <c r="DV65" s="35"/>
      <c r="DW65" s="35"/>
      <c r="DX65" s="35"/>
      <c r="DY65" s="35"/>
      <c r="DZ65" s="35"/>
      <c r="EA65" s="35"/>
      <c r="EB65" s="35"/>
      <c r="EC65" s="35"/>
      <c r="ED65" s="35"/>
      <c r="EE65" s="35"/>
    </row>
    <row r="66" spans="1:135" s="40" customFormat="1" ht="15">
      <c r="A66" t="s">
        <v>467</v>
      </c>
      <c r="B66" t="s">
        <v>639</v>
      </c>
      <c r="C66" t="s">
        <v>553</v>
      </c>
      <c r="D66" s="458" t="s">
        <v>648</v>
      </c>
      <c r="E66" s="458">
        <v>1</v>
      </c>
      <c r="F66">
        <v>0</v>
      </c>
      <c r="G66">
        <v>0</v>
      </c>
      <c r="H66">
        <v>155</v>
      </c>
      <c r="I66">
        <v>0</v>
      </c>
      <c r="J66">
        <v>77</v>
      </c>
      <c r="K66" s="107"/>
      <c r="L66" s="463">
        <v>77</v>
      </c>
      <c r="M66" s="490"/>
      <c r="N66" s="160">
        <v>0</v>
      </c>
      <c r="O66" s="546" cm="1">
        <f t="array" ref="O6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45982</v>
      </c>
      <c r="P66" s="567" t="s">
        <v>458</v>
      </c>
      <c r="Q66" s="567"/>
      <c r="R66" s="499"/>
      <c r="S66" s="463" cm="1">
        <f t="array" ref="S6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6" s="34">
        <v>1</v>
      </c>
      <c r="U66" s="490">
        <v>10</v>
      </c>
      <c r="V6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65.01100000000001</v>
      </c>
      <c r="W66" s="557"/>
      <c r="X66" s="545" t="s">
        <v>866</v>
      </c>
      <c r="Y66" s="548" t="s">
        <v>865</v>
      </c>
      <c r="Z66" s="160" t="s">
        <v>458</v>
      </c>
      <c r="AA66" s="563">
        <v>101700</v>
      </c>
      <c r="AB66" cm="1">
        <f t="array" ref="AB66">ROW()-ROW(Contract_Edits[#Headers])</f>
        <v>42</v>
      </c>
      <c r="AC66">
        <f>IF(Contract_Edits[[#This Row],[RowPos]]&gt;1, Contract_Edits[[#This Row],[RowPos]]-1, 0)</f>
        <v>41</v>
      </c>
      <c r="AD66" s="35">
        <f>IF(N(Contract_Edits[[#This Row],[Dep]])=0, N(Contract_Edits[[#This Row],[Index]]), N(Contract_Edits[[#This Row],[Dep]]))</f>
        <v>155</v>
      </c>
      <c r="AE66" s="35" cm="1">
        <f t="array" ref="AE66">IF(OR(Contract_Edits[[#This Row],[Dep]]=0, TRIM(Contract_Edits[[#This Row],[Dep]])=""),
   0,
   IFERROR(
      _xlfn.XLOOKUP(1, (Contract_Edits[Dep]=Contract_Edits[[#This Row],[Dep]])*(Contract_Edits[RowPos]&lt;Contract_Edits[[#This Row],[RowPos]]), Contract_Edits[RowPos], , 0, -1),
      0
   )
)</f>
        <v>41</v>
      </c>
      <c r="AF66" s="35">
        <f>IF(OR(Contract_Edits[[#This Row],[Dep]]=0,Contract_Edits[[#This Row],[Dep]]=""),0,
   COUNTIFS(Contract_Edits[Dep],Contract_Edits[[#This Row],[Dep]],Contract_Edits[RowPos],"&lt;="&amp;Contract_Edits[[#This Row],[RowPos]],Contract_Edits[Approve],"Yes")
)</f>
        <v>9</v>
      </c>
      <c r="AG66" s="517">
        <f>--(
  ISNUMBER(SEARCH("BASE PARENT", UPPER(CLEAN(TRIM(_xlfn.XLOOKUP(TEXT(Contract_Edits[[#This Row],[Index]],"0"), baseIdxTxt, baseCost, "")))))) +
  ISNUMBER(SEARCH("DEPENDENCY GROUP", UPPER(CLEAN(TRIM(_xlfn.XLOOKUP(TEXT(Contract_Edits[[#This Row],[Index]],"0"), baseIdxTxt, baseCost, ""))))))
)</f>
        <v>0</v>
      </c>
      <c r="AH66" s="517" t="str" cm="1">
        <f t="array" ref="AH66">IF(Contract_Edits[[#This Row],[BaseFlag]]=1,
   10*BaseDepthL(TEXT(Contract_Edits[[#This Row],[Index]],"0"),500,editsIdxTxt,editsParentKeyTxt,baseIdxTxt,baseCost)-5,
   ""
)</f>
        <v/>
      </c>
      <c r="AI66" s="517" cm="1">
        <f t="array" ref="AI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6" s="517" t="str">
        <f>IF(Contract_Edits[[#This Row],[Dep]]=0,"Root",
   IF(ISNUMBER(MATCH(Contract_Edits[[#This Row],[Dep]],Contract_Edits[Index],0)),"OK","Missing")
)</f>
        <v>OK</v>
      </c>
      <c r="AK66" s="517" t="str">
        <f>IF(AND(Contract_Edits[[#This Row],[Dep]]&lt;&gt;0,
        ISNUMBER(MATCH(Contract_Edits[[#This Row],[Dep]], Contract_Edits[Index], 0)),
        INDEX(Contract_Edits[Dep], MATCH(Contract_Edits[[#This Row],[Dep]], Contract_Edits[Index], 0))=Contract_Edits[[#This Row],[Index]]),
   "2-cycle","")</f>
        <v/>
      </c>
      <c r="AL66" s="517" cm="1">
        <f t="array" ref="AL66">IF(Contract_Edits[[#This Row],[BaseFlag]]&lt;&gt;1,0,
   IF(TEXT(Contract_Edits[[#This Row],[Dep]],"0")=TEXT(Contract_Edits[[#This Row],[Index]],"0"),
      0,
      MAX(0, SUMPRODUCT(--(Contract_Edits[BaseFlag]=1),
                        --(TEXT(Contract_Edits[Dep],"0")=TEXT(Contract_Edits[[#This Row],[Dep]],"0"))) - 1)
   )
)</f>
        <v>0</v>
      </c>
      <c r="AM66" s="517" t="str" cm="1">
        <f t="array" ref="AM66">IF(Contract_Edits[[#This Row],[BaseFlag]]=1,
   TEXT(Contract_Edits[[#This Row],[Index]],"0"),
   NearestBaseL(TEXT(Contract_Edits[[#This Row],[ParentKey]],"0"),500,editsIdxTxt,editsParentKeyTxt,baseIdxTxt,baseCost)
)</f>
        <v>155</v>
      </c>
      <c r="AN66" s="517" cm="1">
        <f t="array" ref="AN66">1+SUMPRODUCT(
  (Contract_Edits[BaseFlag]=1)*
  (TEXT(Contract_Edits[ParentAnchor],"0")=TEXT(Contract_Edits[[#This Row],[ParentAnchor]],"0"))*
  (VALUE(TEXT(Contract_Edits[Index],"0"))&lt;VALUE(TEXT(Contract_Edits[[#This Row],[Index]],"0")))
)</f>
        <v>1</v>
      </c>
      <c r="AO66" s="35"/>
      <c r="AP66" s="35" t="str">
        <f ca="1">IFERROR(+IF(AP$24=#REF!,Milestone_Marker,IF(AND(AP$24&gt;#REF!,AP$24&lt;#REF!+#REF!),#REF!,"")),"")</f>
        <v/>
      </c>
      <c r="AQ66" s="35" t="str">
        <f ca="1">IFERROR(+IF(AQ$24=#REF!,Milestone_Marker,IF(AND(AQ$24&gt;#REF!,AQ$24&lt;#REF!+#REF!),#REF!,"")),"")</f>
        <v/>
      </c>
      <c r="AR66" s="35" t="str">
        <f ca="1">IFERROR(+IF(AR$24=#REF!,Milestone_Marker,IF(AND(AR$24&gt;#REF!,AR$24&lt;#REF!+#REF!),#REF!,"")),"")</f>
        <v/>
      </c>
      <c r="AS66" s="35" t="str">
        <f ca="1">IFERROR(+IF(AS$24=#REF!,Milestone_Marker,IF(AND(AS$24&gt;#REF!,AS$24&lt;#REF!+#REF!),#REF!,"")),"")</f>
        <v/>
      </c>
      <c r="AT66" s="35" t="str">
        <f ca="1">IFERROR(+IF(AT$24=#REF!,Milestone_Marker,IF(AND(AT$24&gt;#REF!,AT$24&lt;#REF!+#REF!),#REF!,"")),"")</f>
        <v/>
      </c>
      <c r="AU66" s="35" t="str">
        <f ca="1">IFERROR(+IF(AU$24=#REF!,Milestone_Marker,IF(AND(AU$24&gt;#REF!,AU$24&lt;#REF!+#REF!),#REF!,"")),"")</f>
        <v/>
      </c>
      <c r="AV66" s="35" t="str">
        <f ca="1">IFERROR(+IF(AV$24=#REF!,Milestone_Marker,IF(AND(AV$24&gt;#REF!,AV$24&lt;#REF!+#REF!),#REF!,"")),"")</f>
        <v/>
      </c>
      <c r="AW66" s="35" t="str">
        <f ca="1">IFERROR(+IF(AW$24=#REF!,Milestone_Marker,IF(AND(AW$24&gt;#REF!,AW$24&lt;#REF!+#REF!),#REF!,"")),"")</f>
        <v/>
      </c>
      <c r="AX66" s="35" t="str">
        <f ca="1">IFERROR(+IF(AX$24=#REF!,Milestone_Marker,IF(AND(AX$24&gt;#REF!,AX$24&lt;#REF!+#REF!),#REF!,"")),"")</f>
        <v/>
      </c>
      <c r="AY66" s="35" t="str">
        <f ca="1">IFERROR(+IF(AY$24=#REF!,Milestone_Marker,IF(AND(AY$24&gt;#REF!,AY$24&lt;#REF!+#REF!),#REF!,"")),"")</f>
        <v/>
      </c>
      <c r="AZ66" s="35" t="str">
        <f ca="1">IFERROR(+IF(AZ$24=#REF!,Milestone_Marker,IF(AND(AZ$24&gt;#REF!,AZ$24&lt;#REF!+#REF!),#REF!,"")),"")</f>
        <v/>
      </c>
      <c r="BA66" s="35" t="str">
        <f ca="1">IFERROR(+IF(BA$24=#REF!,Milestone_Marker,IF(AND(BA$24&gt;#REF!,BA$24&lt;#REF!+#REF!),#REF!,"")),"")</f>
        <v/>
      </c>
      <c r="BB66" s="35" t="str">
        <f ca="1">IFERROR(+IF(BB$24=#REF!,Milestone_Marker,IF(AND(BB$24&gt;#REF!,BB$24&lt;#REF!+#REF!),#REF!,"")),"")</f>
        <v/>
      </c>
      <c r="BC66" s="35" t="str">
        <f ca="1">IFERROR(+IF(BC$24=#REF!,Milestone_Marker,IF(AND(BC$24&gt;#REF!,BC$24&lt;#REF!+#REF!),#REF!,"")),"")</f>
        <v/>
      </c>
      <c r="BD66" s="35" t="str">
        <f ca="1">IFERROR(+IF(BD$24=#REF!,Milestone_Marker,IF(AND(BD$24&gt;#REF!,BD$24&lt;#REF!+#REF!),#REF!,"")),"")</f>
        <v/>
      </c>
      <c r="BE66" s="35" t="str">
        <f ca="1">IFERROR(+IF(BE$24=#REF!,Milestone_Marker,IF(AND(BE$24&gt;#REF!,BE$24&lt;#REF!+#REF!),#REF!,"")),"")</f>
        <v/>
      </c>
      <c r="BF66" s="35" t="str">
        <f ca="1">IFERROR(+IF(BF$24=#REF!,Milestone_Marker,IF(AND(BF$24&gt;#REF!,BF$24&lt;#REF!+#REF!),#REF!,"")),"")</f>
        <v/>
      </c>
      <c r="BG66" s="35" t="str">
        <f ca="1">IFERROR(+IF(BG$24=#REF!,Milestone_Marker,IF(AND(BG$24&gt;#REF!,BG$24&lt;#REF!+#REF!),#REF!,"")),"")</f>
        <v/>
      </c>
      <c r="BH66" s="35" t="str">
        <f ca="1">IFERROR(+IF(BH$24=#REF!,Milestone_Marker,IF(AND(BH$24&gt;#REF!,BH$24&lt;#REF!+#REF!),#REF!,"")),"")</f>
        <v/>
      </c>
      <c r="BI66" s="35" t="str">
        <f ca="1">IFERROR(+IF(BI$24=#REF!,Milestone_Marker,IF(AND(BI$24&gt;#REF!,BI$24&lt;#REF!+#REF!),#REF!,"")),"")</f>
        <v/>
      </c>
      <c r="BJ66" s="35" t="str">
        <f ca="1">IFERROR(+IF(BJ$24=#REF!,Milestone_Marker,IF(AND(BJ$24&gt;#REF!,BJ$24&lt;#REF!+#REF!),#REF!,"")),"")</f>
        <v/>
      </c>
      <c r="BK66" s="35" t="str">
        <f ca="1">IFERROR(+IF(BK$24=#REF!,Milestone_Marker,IF(AND(BK$24&gt;#REF!,BK$24&lt;#REF!+#REF!),#REF!,"")),"")</f>
        <v/>
      </c>
      <c r="BL66" s="35" t="str">
        <f ca="1">IFERROR(+IF(BL$24=#REF!,Milestone_Marker,IF(AND(BL$24&gt;#REF!,BL$24&lt;#REF!+#REF!),#REF!,"")),"")</f>
        <v/>
      </c>
      <c r="BM66" s="35" t="str">
        <f ca="1">IFERROR(+IF(BM$24=#REF!,Milestone_Marker,IF(AND(BM$24&gt;#REF!,BM$24&lt;#REF!+#REF!),#REF!,"")),"")</f>
        <v/>
      </c>
      <c r="BN66" s="35" t="str">
        <f ca="1">IFERROR(+IF(BN$24=#REF!,Milestone_Marker,IF(AND(BN$24&gt;#REF!,BN$24&lt;#REF!+#REF!),#REF!,"")),"")</f>
        <v/>
      </c>
      <c r="BO66" s="35" t="str">
        <f ca="1">IFERROR(+IF(BO$24=#REF!,Milestone_Marker,IF(AND(BO$24&gt;#REF!,BO$24&lt;#REF!+#REF!),#REF!,"")),"")</f>
        <v/>
      </c>
      <c r="BP66" s="35" t="str">
        <f ca="1">IFERROR(+IF(BP$24=#REF!,Milestone_Marker,IF(AND(BP$24&gt;#REF!,BP$24&lt;#REF!+#REF!),#REF!,"")),"")</f>
        <v/>
      </c>
      <c r="BQ66" s="35" t="str">
        <f ca="1">IFERROR(+IF(BQ$24=#REF!,Milestone_Marker,IF(AND(BQ$24&gt;#REF!,BQ$24&lt;#REF!+#REF!),#REF!,"")),"")</f>
        <v/>
      </c>
      <c r="BR66" s="35" t="str">
        <f ca="1">IFERROR(+IF(BR$24=#REF!,Milestone_Marker,IF(AND(BR$24&gt;#REF!,BR$24&lt;#REF!+#REF!),#REF!,"")),"")</f>
        <v/>
      </c>
      <c r="BS66" s="35" t="str">
        <f ca="1">IFERROR(+IF(BS$24=#REF!,Milestone_Marker,IF(AND(BS$24&gt;#REF!,BS$24&lt;#REF!+#REF!),#REF!,"")),"")</f>
        <v/>
      </c>
      <c r="BT66" s="35" t="str">
        <f ca="1">IFERROR(+IF(BT$24=#REF!,Milestone_Marker,IF(AND(BT$24&gt;#REF!,BT$24&lt;#REF!+#REF!),#REF!,"")),"")</f>
        <v/>
      </c>
      <c r="BU66" s="35" t="str">
        <f ca="1">IFERROR(+IF(BU$24=#REF!,Milestone_Marker,IF(AND(BU$24&gt;#REF!,BU$24&lt;#REF!+#REF!),#REF!,"")),"")</f>
        <v/>
      </c>
      <c r="BV66" s="35" t="str">
        <f ca="1">IFERROR(+IF(BV$24=#REF!,Milestone_Marker,IF(AND(BV$24&gt;#REF!,BV$24&lt;#REF!+#REF!),#REF!,"")),"")</f>
        <v/>
      </c>
      <c r="BW66" s="35" t="str">
        <f ca="1">IFERROR(+IF(BW$24=#REF!,Milestone_Marker,IF(AND(BW$24&gt;#REF!,BW$24&lt;#REF!+#REF!),#REF!,"")),"")</f>
        <v/>
      </c>
      <c r="BX66" s="35" t="str">
        <f ca="1">IFERROR(+IF(BX$24=#REF!,Milestone_Marker,IF(AND(BX$24&gt;#REF!,BX$24&lt;#REF!+#REF!),#REF!,"")),"")</f>
        <v/>
      </c>
      <c r="BY66" s="35" t="str">
        <f ca="1">IFERROR(+IF(BY$24=#REF!,Milestone_Marker,IF(AND(BY$24&gt;#REF!,BY$24&lt;#REF!+#REF!),#REF!,"")),"")</f>
        <v/>
      </c>
      <c r="BZ66" s="35" t="str">
        <f ca="1">IFERROR(+IF(BZ$24=#REF!,Milestone_Marker,IF(AND(BZ$24&gt;#REF!,BZ$24&lt;#REF!+#REF!),#REF!,"")),"")</f>
        <v/>
      </c>
      <c r="CA66" s="35" t="str">
        <f ca="1">IFERROR(+IF(CA$24=#REF!,Milestone_Marker,IF(AND(CA$24&gt;#REF!,CA$24&lt;#REF!+#REF!),#REF!,"")),"")</f>
        <v/>
      </c>
      <c r="CB66" s="35" t="str">
        <f ca="1">IFERROR(+IF(CB$24=#REF!,Milestone_Marker,IF(AND(CB$24&gt;#REF!,CB$24&lt;#REF!+#REF!),#REF!,"")),"")</f>
        <v/>
      </c>
      <c r="CC66" s="35" t="str">
        <f ca="1">IFERROR(+IF(CC$24=#REF!,Milestone_Marker,IF(AND(CC$24&gt;#REF!,CC$24&lt;#REF!+#REF!),#REF!,"")),"")</f>
        <v/>
      </c>
      <c r="CD66" s="35" t="str">
        <f ca="1">IFERROR(+IF(CD$24=#REF!,Milestone_Marker,IF(AND(CD$24&gt;#REF!,CD$24&lt;#REF!+#REF!),#REF!,"")),"")</f>
        <v/>
      </c>
      <c r="CE66" s="35" t="str">
        <f ca="1">IFERROR(+IF(CE$24=#REF!,Milestone_Marker,IF(AND(CE$24&gt;#REF!,CE$24&lt;#REF!+#REF!),#REF!,"")),"")</f>
        <v/>
      </c>
      <c r="CF66" s="35" t="str">
        <f ca="1">IFERROR(+IF(CF$24=#REF!,Milestone_Marker,IF(AND(CF$24&gt;#REF!,CF$24&lt;#REF!+#REF!),#REF!,"")),"")</f>
        <v/>
      </c>
      <c r="CG66" s="35" t="str">
        <f ca="1">IFERROR(+IF(CG$24=#REF!,Milestone_Marker,IF(AND(CG$24&gt;#REF!,CG$24&lt;#REF!+#REF!),#REF!,"")),"")</f>
        <v/>
      </c>
      <c r="CH66" s="35" t="str">
        <f ca="1">IFERROR(+IF(CH$24=#REF!,Milestone_Marker,IF(AND(CH$24&gt;#REF!,CH$24&lt;#REF!+#REF!),#REF!,"")),"")</f>
        <v/>
      </c>
      <c r="CI66" s="35" t="str">
        <f ca="1">IFERROR(+IF(CI$24=#REF!,Milestone_Marker,IF(AND(CI$24&gt;#REF!,CI$24&lt;#REF!+#REF!),#REF!,"")),"")</f>
        <v/>
      </c>
      <c r="CJ66" s="35" t="str">
        <f ca="1">IFERROR(+IF(CJ$24=#REF!,Milestone_Marker,IF(AND(CJ$24&gt;#REF!,CJ$24&lt;#REF!+#REF!),#REF!,"")),"")</f>
        <v/>
      </c>
      <c r="CK66" s="35" t="str">
        <f ca="1">IFERROR(+IF(CK$24=#REF!,Milestone_Marker,IF(AND(CK$24&gt;#REF!,CK$24&lt;#REF!+#REF!),#REF!,"")),"")</f>
        <v/>
      </c>
      <c r="CL66" s="35" t="str">
        <f ca="1">IFERROR(+IF(CL$24=#REF!,Milestone_Marker,IF(AND(CL$24&gt;#REF!,CL$24&lt;#REF!+#REF!),#REF!,"")),"")</f>
        <v/>
      </c>
      <c r="CM66" s="35" t="str">
        <f ca="1">IFERROR(+IF(CM$24=#REF!,Milestone_Marker,IF(AND(CM$24&gt;#REF!,CM$24&lt;#REF!+#REF!),#REF!,"")),"")</f>
        <v/>
      </c>
      <c r="CN66" s="35" t="str">
        <f ca="1">IFERROR(+IF(CN$24=#REF!,Milestone_Marker,IF(AND(CN$24&gt;#REF!,CN$24&lt;#REF!+#REF!),#REF!,"")),"")</f>
        <v/>
      </c>
      <c r="CO66" s="35" t="str">
        <f ca="1">IFERROR(+IF(CO$24=#REF!,Milestone_Marker,IF(AND(CO$24&gt;#REF!,CO$24&lt;#REF!+#REF!),#REF!,"")),"")</f>
        <v/>
      </c>
      <c r="CP66" s="35" t="str">
        <f ca="1">IFERROR(+IF(CP$24=#REF!,Milestone_Marker,IF(AND(CP$24&gt;#REF!,CP$24&lt;#REF!+#REF!),#REF!,"")),"")</f>
        <v/>
      </c>
      <c r="CQ66" s="35" t="str">
        <f ca="1">IFERROR(+IF(CQ$24=#REF!,Milestone_Marker,IF(AND(CQ$24&gt;#REF!,CQ$24&lt;#REF!+#REF!),#REF!,"")),"")</f>
        <v/>
      </c>
      <c r="CR66" s="35" t="str">
        <f ca="1">IFERROR(+IF(CR$24=#REF!,Milestone_Marker,IF(AND(CR$24&gt;#REF!,CR$24&lt;#REF!+#REF!),#REF!,"")),"")</f>
        <v/>
      </c>
      <c r="CS66" s="35" t="str">
        <f ca="1">IFERROR(+IF(CS$24=#REF!,Milestone_Marker,IF(AND(CS$24&gt;#REF!,CS$24&lt;#REF!+#REF!),#REF!,"")),"")</f>
        <v/>
      </c>
      <c r="CT66" s="35" t="str">
        <f ca="1">IFERROR(+IF(CT$24=#REF!,Milestone_Marker,IF(AND(CT$24&gt;#REF!,CT$24&lt;#REF!+#REF!),#REF!,"")),"")</f>
        <v/>
      </c>
      <c r="CU66" s="35" t="str">
        <f ca="1">IFERROR(+IF(CU$24=#REF!,Milestone_Marker,IF(AND(CU$24&gt;#REF!,CU$24&lt;#REF!+#REF!),#REF!,"")),"")</f>
        <v/>
      </c>
      <c r="CV66" s="35" t="str">
        <f ca="1">IFERROR(+IF(CV$24=#REF!,Milestone_Marker,IF(AND(CV$24&gt;#REF!,CV$24&lt;#REF!+#REF!),#REF!,"")),"")</f>
        <v/>
      </c>
      <c r="CW66" s="35" t="str">
        <f ca="1">IFERROR(+IF(CW$24=#REF!,Milestone_Marker,IF(AND(CW$24&gt;#REF!,CW$24&lt;#REF!+#REF!),#REF!,"")),"")</f>
        <v/>
      </c>
      <c r="CX66" s="35" t="str">
        <f ca="1">IFERROR(+IF(CX$24=#REF!,Milestone_Marker,IF(AND(CX$24&gt;#REF!,CX$24&lt;#REF!+#REF!),#REF!,"")),"")</f>
        <v/>
      </c>
      <c r="CY66" s="35" t="str">
        <f ca="1">IFERROR(+IF(CY$24=#REF!,Milestone_Marker,IF(AND(CY$24&gt;#REF!,CY$24&lt;#REF!+#REF!),#REF!,"")),"")</f>
        <v/>
      </c>
      <c r="CZ66" s="35" t="str">
        <f ca="1">IFERROR(+IF(CZ$24=#REF!,Milestone_Marker,IF(AND(CZ$24&gt;#REF!,CZ$24&lt;#REF!+#REF!),#REF!,"")),"")</f>
        <v/>
      </c>
      <c r="DA66" s="35" t="str">
        <f ca="1">IFERROR(+IF(DA$24=#REF!,Milestone_Marker,IF(AND(DA$24&gt;#REF!,DA$24&lt;#REF!+#REF!),#REF!,"")),"")</f>
        <v/>
      </c>
      <c r="DB66" s="35" t="str">
        <f ca="1">IFERROR(+IF(DB$24=#REF!,Milestone_Marker,IF(AND(DB$24&gt;#REF!,DB$24&lt;#REF!+#REF!),#REF!,"")),"")</f>
        <v/>
      </c>
      <c r="DC66" s="35" t="str">
        <f ca="1">IFERROR(+IF(DC$24=#REF!,Milestone_Marker,IF(AND(DC$24&gt;#REF!,DC$24&lt;#REF!+#REF!),#REF!,"")),"")</f>
        <v/>
      </c>
      <c r="DD66" s="35" t="str">
        <f ca="1">IFERROR(+IF(DD$24=#REF!,Milestone_Marker,IF(AND(DD$24&gt;#REF!,DD$24&lt;#REF!+#REF!),#REF!,"")),"")</f>
        <v/>
      </c>
      <c r="DE66" s="35" t="str">
        <f ca="1">IFERROR(+IF(DE$24=#REF!,Milestone_Marker,IF(AND(DE$24&gt;#REF!,DE$24&lt;#REF!+#REF!),#REF!,"")),"")</f>
        <v/>
      </c>
      <c r="DF66" s="35"/>
      <c r="DG66" s="35"/>
      <c r="DH66" s="35"/>
      <c r="DI66" s="35"/>
      <c r="DJ66" s="35"/>
      <c r="DK66" s="35"/>
      <c r="DL66" s="35"/>
      <c r="DM66" s="35"/>
      <c r="DN66" s="35"/>
      <c r="DO66" s="35"/>
      <c r="DP66" s="35"/>
      <c r="DQ66" s="35"/>
      <c r="DR66" s="35"/>
      <c r="DS66" s="35"/>
      <c r="DT66" s="35"/>
      <c r="DU66" s="35"/>
      <c r="DV66" s="35"/>
      <c r="DW66" s="35"/>
      <c r="DX66" s="35"/>
      <c r="DY66" s="35"/>
      <c r="DZ66" s="35"/>
      <c r="EA66" s="35"/>
      <c r="EB66" s="35"/>
      <c r="EC66" s="35"/>
      <c r="ED66" s="35"/>
      <c r="EE66" s="35"/>
    </row>
    <row r="67" spans="1:135" s="40" customFormat="1" ht="15">
      <c r="A67" t="s">
        <v>552</v>
      </c>
      <c r="B67" t="s">
        <v>587</v>
      </c>
      <c r="C67" t="s">
        <v>550</v>
      </c>
      <c r="D67" s="458" t="s">
        <v>590</v>
      </c>
      <c r="E67" s="458">
        <v>1</v>
      </c>
      <c r="F67">
        <v>625</v>
      </c>
      <c r="G67">
        <v>625</v>
      </c>
      <c r="H67">
        <v>155</v>
      </c>
      <c r="I67"/>
      <c r="J67">
        <v>38</v>
      </c>
      <c r="K67" s="107"/>
      <c r="L67" s="463">
        <v>38</v>
      </c>
      <c r="M67" s="176">
        <v>2</v>
      </c>
      <c r="N67" s="160">
        <v>0</v>
      </c>
      <c r="O67" s="546" cm="1">
        <f t="array" ref="O6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45982</v>
      </c>
      <c r="P67" s="566"/>
      <c r="Q67" s="566">
        <v>0</v>
      </c>
      <c r="R67" s="22"/>
      <c r="S67" s="463" cm="1">
        <f t="array" ref="S6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7">
        <v>1</v>
      </c>
      <c r="U67" s="176">
        <v>11</v>
      </c>
      <c r="V6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65.011099999999999</v>
      </c>
      <c r="W67" s="497"/>
      <c r="X67" s="176" t="s">
        <v>852</v>
      </c>
      <c r="Y67" s="547" t="s">
        <v>865</v>
      </c>
      <c r="Z67" s="160" t="s">
        <v>458</v>
      </c>
      <c r="AA67" s="563">
        <v>101700</v>
      </c>
      <c r="AB67" cm="1">
        <f t="array" ref="AB67">ROW()-ROW(Contract_Edits[#Headers])</f>
        <v>43</v>
      </c>
      <c r="AC67">
        <f>IF(Contract_Edits[[#This Row],[RowPos]]&gt;1, Contract_Edits[[#This Row],[RowPos]]-1, 0)</f>
        <v>42</v>
      </c>
      <c r="AD67" s="35">
        <f>IF(N(Contract_Edits[[#This Row],[Dep]])=0, N(Contract_Edits[[#This Row],[Index]]), N(Contract_Edits[[#This Row],[Dep]]))</f>
        <v>155</v>
      </c>
      <c r="AE67" s="35" cm="1">
        <f t="array" ref="AE67">IF(OR(Contract_Edits[[#This Row],[Dep]]=0, TRIM(Contract_Edits[[#This Row],[Dep]])=""),
   0,
   IFERROR(
      _xlfn.XLOOKUP(1, (Contract_Edits[Dep]=Contract_Edits[[#This Row],[Dep]])*(Contract_Edits[RowPos]&lt;Contract_Edits[[#This Row],[RowPos]]), Contract_Edits[RowPos], , 0, -1),
      0
   )
)</f>
        <v>42</v>
      </c>
      <c r="AF67" s="35">
        <f>IF(OR(Contract_Edits[[#This Row],[Dep]]=0,Contract_Edits[[#This Row],[Dep]]=""),0,
   COUNTIFS(Contract_Edits[Dep],Contract_Edits[[#This Row],[Dep]],Contract_Edits[RowPos],"&lt;="&amp;Contract_Edits[[#This Row],[RowPos]],Contract_Edits[Approve],"Yes")
)</f>
        <v>10</v>
      </c>
      <c r="AG67" s="517">
        <f>--(
  ISNUMBER(SEARCH("BASE PARENT", UPPER(CLEAN(TRIM(_xlfn.XLOOKUP(TEXT(Contract_Edits[[#This Row],[Index]],"0"), baseIdxTxt, baseCost, "")))))) +
  ISNUMBER(SEARCH("DEPENDENCY GROUP", UPPER(CLEAN(TRIM(_xlfn.XLOOKUP(TEXT(Contract_Edits[[#This Row],[Index]],"0"), baseIdxTxt, baseCost, ""))))))
)</f>
        <v>0</v>
      </c>
      <c r="AH67" s="517" t="str" cm="1">
        <f t="array" ref="AH67">IF(Contract_Edits[[#This Row],[BaseFlag]]=1,
   10*BaseDepthL(TEXT(Contract_Edits[[#This Row],[Index]],"0"),500,editsIdxTxt,editsParentKeyTxt,baseIdxTxt,baseCost)-5,
   ""
)</f>
        <v/>
      </c>
      <c r="AI67" s="517" cm="1">
        <f t="array" ref="AI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7" s="517" t="str">
        <f>IF(Contract_Edits[[#This Row],[Dep]]=0,"Root",
   IF(ISNUMBER(MATCH(Contract_Edits[[#This Row],[Dep]],Contract_Edits[Index],0)),"OK","Missing")
)</f>
        <v>OK</v>
      </c>
      <c r="AK67" s="517" t="str">
        <f>IF(AND(Contract_Edits[[#This Row],[Dep]]&lt;&gt;0,
        ISNUMBER(MATCH(Contract_Edits[[#This Row],[Dep]], Contract_Edits[Index], 0)),
        INDEX(Contract_Edits[Dep], MATCH(Contract_Edits[[#This Row],[Dep]], Contract_Edits[Index], 0))=Contract_Edits[[#This Row],[Index]]),
   "2-cycle","")</f>
        <v/>
      </c>
      <c r="AL67" s="517" cm="1">
        <f t="array" ref="AL67">IF(Contract_Edits[[#This Row],[BaseFlag]]&lt;&gt;1,0,
   IF(TEXT(Contract_Edits[[#This Row],[Dep]],"0")=TEXT(Contract_Edits[[#This Row],[Index]],"0"),
      0,
      MAX(0, SUMPRODUCT(--(Contract_Edits[BaseFlag]=1),
                        --(TEXT(Contract_Edits[Dep],"0")=TEXT(Contract_Edits[[#This Row],[Dep]],"0"))) - 1)
   )
)</f>
        <v>0</v>
      </c>
      <c r="AM67" s="517" t="str" cm="1">
        <f t="array" ref="AM67">IF(Contract_Edits[[#This Row],[BaseFlag]]=1,
   TEXT(Contract_Edits[[#This Row],[Index]],"0"),
   NearestBaseL(TEXT(Contract_Edits[[#This Row],[ParentKey]],"0"),500,editsIdxTxt,editsParentKeyTxt,baseIdxTxt,baseCost)
)</f>
        <v>155</v>
      </c>
      <c r="AN67" s="517" cm="1">
        <f t="array" ref="AN67">1+SUMPRODUCT(
  (Contract_Edits[BaseFlag]=1)*
  (TEXT(Contract_Edits[ParentAnchor],"0")=TEXT(Contract_Edits[[#This Row],[ParentAnchor]],"0"))*
  (VALUE(TEXT(Contract_Edits[Index],"0"))&lt;VALUE(TEXT(Contract_Edits[[#This Row],[Index]],"0")))
)</f>
        <v>1</v>
      </c>
      <c r="AO67" s="35"/>
      <c r="AP67" s="35" t="str">
        <f ca="1">IFERROR(+IF(AP$24=#REF!,Milestone_Marker,IF(AND(AP$24&gt;#REF!,AP$24&lt;#REF!+#REF!),#REF!,"")),"")</f>
        <v/>
      </c>
      <c r="AQ67" s="35" t="str">
        <f ca="1">IFERROR(+IF(AQ$24=#REF!,Milestone_Marker,IF(AND(AQ$24&gt;#REF!,AQ$24&lt;#REF!+#REF!),#REF!,"")),"")</f>
        <v/>
      </c>
      <c r="AR67" s="35" t="str">
        <f ca="1">IFERROR(+IF(AR$24=#REF!,Milestone_Marker,IF(AND(AR$24&gt;#REF!,AR$24&lt;#REF!+#REF!),#REF!,"")),"")</f>
        <v/>
      </c>
      <c r="AS67" s="35" t="str">
        <f ca="1">IFERROR(+IF(AS$24=#REF!,Milestone_Marker,IF(AND(AS$24&gt;#REF!,AS$24&lt;#REF!+#REF!),#REF!,"")),"")</f>
        <v/>
      </c>
      <c r="AT67" s="35" t="str">
        <f ca="1">IFERROR(+IF(AT$24=#REF!,Milestone_Marker,IF(AND(AT$24&gt;#REF!,AT$24&lt;#REF!+#REF!),#REF!,"")),"")</f>
        <v/>
      </c>
      <c r="AU67" s="35" t="str">
        <f ca="1">IFERROR(+IF(AU$24=#REF!,Milestone_Marker,IF(AND(AU$24&gt;#REF!,AU$24&lt;#REF!+#REF!),#REF!,"")),"")</f>
        <v/>
      </c>
      <c r="AV67" s="35" t="str">
        <f ca="1">IFERROR(+IF(AV$24=#REF!,Milestone_Marker,IF(AND(AV$24&gt;#REF!,AV$24&lt;#REF!+#REF!),#REF!,"")),"")</f>
        <v/>
      </c>
      <c r="AW67" s="35" t="str">
        <f ca="1">IFERROR(+IF(AW$24=#REF!,Milestone_Marker,IF(AND(AW$24&gt;#REF!,AW$24&lt;#REF!+#REF!),#REF!,"")),"")</f>
        <v/>
      </c>
      <c r="AX67" s="35" t="str">
        <f ca="1">IFERROR(+IF(AX$24=#REF!,Milestone_Marker,IF(AND(AX$24&gt;#REF!,AX$24&lt;#REF!+#REF!),#REF!,"")),"")</f>
        <v/>
      </c>
      <c r="AY67" s="35" t="str">
        <f ca="1">IFERROR(+IF(AY$24=#REF!,Milestone_Marker,IF(AND(AY$24&gt;#REF!,AY$24&lt;#REF!+#REF!),#REF!,"")),"")</f>
        <v/>
      </c>
      <c r="AZ67" s="35" t="str">
        <f ca="1">IFERROR(+IF(AZ$24=#REF!,Milestone_Marker,IF(AND(AZ$24&gt;#REF!,AZ$24&lt;#REF!+#REF!),#REF!,"")),"")</f>
        <v/>
      </c>
      <c r="BA67" s="35" t="str">
        <f ca="1">IFERROR(+IF(BA$24=#REF!,Milestone_Marker,IF(AND(BA$24&gt;#REF!,BA$24&lt;#REF!+#REF!),#REF!,"")),"")</f>
        <v/>
      </c>
      <c r="BB67" s="35" t="str">
        <f ca="1">IFERROR(+IF(BB$24=#REF!,Milestone_Marker,IF(AND(BB$24&gt;#REF!,BB$24&lt;#REF!+#REF!),#REF!,"")),"")</f>
        <v/>
      </c>
      <c r="BC67" s="35" t="str">
        <f ca="1">IFERROR(+IF(BC$24=#REF!,Milestone_Marker,IF(AND(BC$24&gt;#REF!,BC$24&lt;#REF!+#REF!),#REF!,"")),"")</f>
        <v/>
      </c>
      <c r="BD67" s="35" t="str">
        <f ca="1">IFERROR(+IF(BD$24=#REF!,Milestone_Marker,IF(AND(BD$24&gt;#REF!,BD$24&lt;#REF!+#REF!),#REF!,"")),"")</f>
        <v/>
      </c>
      <c r="BE67" s="35" t="str">
        <f ca="1">IFERROR(+IF(BE$24=#REF!,Milestone_Marker,IF(AND(BE$24&gt;#REF!,BE$24&lt;#REF!+#REF!),#REF!,"")),"")</f>
        <v/>
      </c>
      <c r="BF67" s="35" t="str">
        <f ca="1">IFERROR(+IF(BF$24=#REF!,Milestone_Marker,IF(AND(BF$24&gt;#REF!,BF$24&lt;#REF!+#REF!),#REF!,"")),"")</f>
        <v/>
      </c>
      <c r="BG67" s="35" t="str">
        <f ca="1">IFERROR(+IF(BG$24=#REF!,Milestone_Marker,IF(AND(BG$24&gt;#REF!,BG$24&lt;#REF!+#REF!),#REF!,"")),"")</f>
        <v/>
      </c>
      <c r="BH67" s="35" t="str">
        <f ca="1">IFERROR(+IF(BH$24=#REF!,Milestone_Marker,IF(AND(BH$24&gt;#REF!,BH$24&lt;#REF!+#REF!),#REF!,"")),"")</f>
        <v/>
      </c>
      <c r="BI67" s="35" t="str">
        <f ca="1">IFERROR(+IF(BI$24=#REF!,Milestone_Marker,IF(AND(BI$24&gt;#REF!,BI$24&lt;#REF!+#REF!),#REF!,"")),"")</f>
        <v/>
      </c>
      <c r="BJ67" s="35" t="str">
        <f ca="1">IFERROR(+IF(BJ$24=#REF!,Milestone_Marker,IF(AND(BJ$24&gt;#REF!,BJ$24&lt;#REF!+#REF!),#REF!,"")),"")</f>
        <v/>
      </c>
      <c r="BK67" s="35" t="str">
        <f ca="1">IFERROR(+IF(BK$24=#REF!,Milestone_Marker,IF(AND(BK$24&gt;#REF!,BK$24&lt;#REF!+#REF!),#REF!,"")),"")</f>
        <v/>
      </c>
      <c r="BL67" s="35" t="str">
        <f ca="1">IFERROR(+IF(BL$24=#REF!,Milestone_Marker,IF(AND(BL$24&gt;#REF!,BL$24&lt;#REF!+#REF!),#REF!,"")),"")</f>
        <v/>
      </c>
      <c r="BM67" s="35" t="str">
        <f ca="1">IFERROR(+IF(BM$24=#REF!,Milestone_Marker,IF(AND(BM$24&gt;#REF!,BM$24&lt;#REF!+#REF!),#REF!,"")),"")</f>
        <v/>
      </c>
      <c r="BN67" s="35" t="str">
        <f ca="1">IFERROR(+IF(BN$24=#REF!,Milestone_Marker,IF(AND(BN$24&gt;#REF!,BN$24&lt;#REF!+#REF!),#REF!,"")),"")</f>
        <v/>
      </c>
      <c r="BO67" s="35" t="str">
        <f ca="1">IFERROR(+IF(BO$24=#REF!,Milestone_Marker,IF(AND(BO$24&gt;#REF!,BO$24&lt;#REF!+#REF!),#REF!,"")),"")</f>
        <v/>
      </c>
      <c r="BP67" s="35" t="str">
        <f ca="1">IFERROR(+IF(BP$24=#REF!,Milestone_Marker,IF(AND(BP$24&gt;#REF!,BP$24&lt;#REF!+#REF!),#REF!,"")),"")</f>
        <v/>
      </c>
      <c r="BQ67" s="35" t="str">
        <f ca="1">IFERROR(+IF(BQ$24=#REF!,Milestone_Marker,IF(AND(BQ$24&gt;#REF!,BQ$24&lt;#REF!+#REF!),#REF!,"")),"")</f>
        <v/>
      </c>
      <c r="BR67" s="35" t="str">
        <f ca="1">IFERROR(+IF(BR$24=#REF!,Milestone_Marker,IF(AND(BR$24&gt;#REF!,BR$24&lt;#REF!+#REF!),#REF!,"")),"")</f>
        <v/>
      </c>
      <c r="BS67" s="35" t="str">
        <f ca="1">IFERROR(+IF(BS$24=#REF!,Milestone_Marker,IF(AND(BS$24&gt;#REF!,BS$24&lt;#REF!+#REF!),#REF!,"")),"")</f>
        <v/>
      </c>
      <c r="BT67" s="35" t="str">
        <f ca="1">IFERROR(+IF(BT$24=#REF!,Milestone_Marker,IF(AND(BT$24&gt;#REF!,BT$24&lt;#REF!+#REF!),#REF!,"")),"")</f>
        <v/>
      </c>
      <c r="BU67" s="35" t="str">
        <f ca="1">IFERROR(+IF(BU$24=#REF!,Milestone_Marker,IF(AND(BU$24&gt;#REF!,BU$24&lt;#REF!+#REF!),#REF!,"")),"")</f>
        <v/>
      </c>
      <c r="BV67" s="35" t="str">
        <f ca="1">IFERROR(+IF(BV$24=#REF!,Milestone_Marker,IF(AND(BV$24&gt;#REF!,BV$24&lt;#REF!+#REF!),#REF!,"")),"")</f>
        <v/>
      </c>
      <c r="BW67" s="35" t="str">
        <f ca="1">IFERROR(+IF(BW$24=#REF!,Milestone_Marker,IF(AND(BW$24&gt;#REF!,BW$24&lt;#REF!+#REF!),#REF!,"")),"")</f>
        <v/>
      </c>
      <c r="BX67" s="35" t="str">
        <f ca="1">IFERROR(+IF(BX$24=#REF!,Milestone_Marker,IF(AND(BX$24&gt;#REF!,BX$24&lt;#REF!+#REF!),#REF!,"")),"")</f>
        <v/>
      </c>
      <c r="BY67" s="35" t="str">
        <f ca="1">IFERROR(+IF(BY$24=#REF!,Milestone_Marker,IF(AND(BY$24&gt;#REF!,BY$24&lt;#REF!+#REF!),#REF!,"")),"")</f>
        <v/>
      </c>
      <c r="BZ67" s="35" t="str">
        <f ca="1">IFERROR(+IF(BZ$24=#REF!,Milestone_Marker,IF(AND(BZ$24&gt;#REF!,BZ$24&lt;#REF!+#REF!),#REF!,"")),"")</f>
        <v/>
      </c>
      <c r="CA67" s="35" t="str">
        <f ca="1">IFERROR(+IF(CA$24=#REF!,Milestone_Marker,IF(AND(CA$24&gt;#REF!,CA$24&lt;#REF!+#REF!),#REF!,"")),"")</f>
        <v/>
      </c>
      <c r="CB67" s="35" t="str">
        <f ca="1">IFERROR(+IF(CB$24=#REF!,Milestone_Marker,IF(AND(CB$24&gt;#REF!,CB$24&lt;#REF!+#REF!),#REF!,"")),"")</f>
        <v/>
      </c>
      <c r="CC67" s="35" t="str">
        <f ca="1">IFERROR(+IF(CC$24=#REF!,Milestone_Marker,IF(AND(CC$24&gt;#REF!,CC$24&lt;#REF!+#REF!),#REF!,"")),"")</f>
        <v/>
      </c>
      <c r="CD67" s="35" t="str">
        <f ca="1">IFERROR(+IF(CD$24=#REF!,Milestone_Marker,IF(AND(CD$24&gt;#REF!,CD$24&lt;#REF!+#REF!),#REF!,"")),"")</f>
        <v/>
      </c>
      <c r="CE67" s="35" t="str">
        <f ca="1">IFERROR(+IF(CE$24=#REF!,Milestone_Marker,IF(AND(CE$24&gt;#REF!,CE$24&lt;#REF!+#REF!),#REF!,"")),"")</f>
        <v/>
      </c>
      <c r="CF67" s="35" t="str">
        <f ca="1">IFERROR(+IF(CF$24=#REF!,Milestone_Marker,IF(AND(CF$24&gt;#REF!,CF$24&lt;#REF!+#REF!),#REF!,"")),"")</f>
        <v/>
      </c>
      <c r="CG67" s="35" t="str">
        <f ca="1">IFERROR(+IF(CG$24=#REF!,Milestone_Marker,IF(AND(CG$24&gt;#REF!,CG$24&lt;#REF!+#REF!),#REF!,"")),"")</f>
        <v/>
      </c>
      <c r="CH67" s="35" t="str">
        <f ca="1">IFERROR(+IF(CH$24=#REF!,Milestone_Marker,IF(AND(CH$24&gt;#REF!,CH$24&lt;#REF!+#REF!),#REF!,"")),"")</f>
        <v/>
      </c>
      <c r="CI67" s="35" t="str">
        <f ca="1">IFERROR(+IF(CI$24=#REF!,Milestone_Marker,IF(AND(CI$24&gt;#REF!,CI$24&lt;#REF!+#REF!),#REF!,"")),"")</f>
        <v/>
      </c>
      <c r="CJ67" s="35" t="str">
        <f ca="1">IFERROR(+IF(CJ$24=#REF!,Milestone_Marker,IF(AND(CJ$24&gt;#REF!,CJ$24&lt;#REF!+#REF!),#REF!,"")),"")</f>
        <v/>
      </c>
      <c r="CK67" s="35" t="str">
        <f ca="1">IFERROR(+IF(CK$24=#REF!,Milestone_Marker,IF(AND(CK$24&gt;#REF!,CK$24&lt;#REF!+#REF!),#REF!,"")),"")</f>
        <v/>
      </c>
      <c r="CL67" s="35" t="str">
        <f ca="1">IFERROR(+IF(CL$24=#REF!,Milestone_Marker,IF(AND(CL$24&gt;#REF!,CL$24&lt;#REF!+#REF!),#REF!,"")),"")</f>
        <v/>
      </c>
      <c r="CM67" s="35" t="str">
        <f ca="1">IFERROR(+IF(CM$24=#REF!,Milestone_Marker,IF(AND(CM$24&gt;#REF!,CM$24&lt;#REF!+#REF!),#REF!,"")),"")</f>
        <v/>
      </c>
      <c r="CN67" s="35" t="str">
        <f ca="1">IFERROR(+IF(CN$24=#REF!,Milestone_Marker,IF(AND(CN$24&gt;#REF!,CN$24&lt;#REF!+#REF!),#REF!,"")),"")</f>
        <v/>
      </c>
      <c r="CO67" s="35" t="str">
        <f ca="1">IFERROR(+IF(CO$24=#REF!,Milestone_Marker,IF(AND(CO$24&gt;#REF!,CO$24&lt;#REF!+#REF!),#REF!,"")),"")</f>
        <v/>
      </c>
      <c r="CP67" s="35" t="str">
        <f ca="1">IFERROR(+IF(CP$24=#REF!,Milestone_Marker,IF(AND(CP$24&gt;#REF!,CP$24&lt;#REF!+#REF!),#REF!,"")),"")</f>
        <v/>
      </c>
      <c r="CQ67" s="35" t="str">
        <f ca="1">IFERROR(+IF(CQ$24=#REF!,Milestone_Marker,IF(AND(CQ$24&gt;#REF!,CQ$24&lt;#REF!+#REF!),#REF!,"")),"")</f>
        <v/>
      </c>
      <c r="CR67" s="35" t="str">
        <f ca="1">IFERROR(+IF(CR$24=#REF!,Milestone_Marker,IF(AND(CR$24&gt;#REF!,CR$24&lt;#REF!+#REF!),#REF!,"")),"")</f>
        <v/>
      </c>
      <c r="CS67" s="35" t="str">
        <f ca="1">IFERROR(+IF(CS$24=#REF!,Milestone_Marker,IF(AND(CS$24&gt;#REF!,CS$24&lt;#REF!+#REF!),#REF!,"")),"")</f>
        <v/>
      </c>
      <c r="CT67" s="35" t="str">
        <f ca="1">IFERROR(+IF(CT$24=#REF!,Milestone_Marker,IF(AND(CT$24&gt;#REF!,CT$24&lt;#REF!+#REF!),#REF!,"")),"")</f>
        <v/>
      </c>
      <c r="CU67" s="35" t="str">
        <f ca="1">IFERROR(+IF(CU$24=#REF!,Milestone_Marker,IF(AND(CU$24&gt;#REF!,CU$24&lt;#REF!+#REF!),#REF!,"")),"")</f>
        <v/>
      </c>
      <c r="CV67" s="35" t="str">
        <f ca="1">IFERROR(+IF(CV$24=#REF!,Milestone_Marker,IF(AND(CV$24&gt;#REF!,CV$24&lt;#REF!+#REF!),#REF!,"")),"")</f>
        <v/>
      </c>
      <c r="CW67" s="35" t="str">
        <f ca="1">IFERROR(+IF(CW$24=#REF!,Milestone_Marker,IF(AND(CW$24&gt;#REF!,CW$24&lt;#REF!+#REF!),#REF!,"")),"")</f>
        <v/>
      </c>
      <c r="CX67" s="35" t="str">
        <f ca="1">IFERROR(+IF(CX$24=#REF!,Milestone_Marker,IF(AND(CX$24&gt;#REF!,CX$24&lt;#REF!+#REF!),#REF!,"")),"")</f>
        <v/>
      </c>
      <c r="CY67" s="35" t="str">
        <f ca="1">IFERROR(+IF(CY$24=#REF!,Milestone_Marker,IF(AND(CY$24&gt;#REF!,CY$24&lt;#REF!+#REF!),#REF!,"")),"")</f>
        <v/>
      </c>
      <c r="CZ67" s="35" t="str">
        <f ca="1">IFERROR(+IF(CZ$24=#REF!,Milestone_Marker,IF(AND(CZ$24&gt;#REF!,CZ$24&lt;#REF!+#REF!),#REF!,"")),"")</f>
        <v/>
      </c>
      <c r="DA67" s="35" t="str">
        <f ca="1">IFERROR(+IF(DA$24=#REF!,Milestone_Marker,IF(AND(DA$24&gt;#REF!,DA$24&lt;#REF!+#REF!),#REF!,"")),"")</f>
        <v/>
      </c>
      <c r="DB67" s="35" t="str">
        <f ca="1">IFERROR(+IF(DB$24=#REF!,Milestone_Marker,IF(AND(DB$24&gt;#REF!,DB$24&lt;#REF!+#REF!),#REF!,"")),"")</f>
        <v/>
      </c>
      <c r="DC67" s="35" t="str">
        <f ca="1">IFERROR(+IF(DC$24=#REF!,Milestone_Marker,IF(AND(DC$24&gt;#REF!,DC$24&lt;#REF!+#REF!),#REF!,"")),"")</f>
        <v/>
      </c>
      <c r="DD67" s="35" t="str">
        <f ca="1">IFERROR(+IF(DD$24=#REF!,Milestone_Marker,IF(AND(DD$24&gt;#REF!,DD$24&lt;#REF!+#REF!),#REF!,"")),"")</f>
        <v/>
      </c>
      <c r="DE67" s="35" t="str">
        <f ca="1">IFERROR(+IF(DE$24=#REF!,Milestone_Marker,IF(AND(DE$24&gt;#REF!,DE$24&lt;#REF!+#REF!),#REF!,"")),"")</f>
        <v/>
      </c>
      <c r="DF67" s="35"/>
      <c r="DG67" s="35"/>
      <c r="DH67" s="35"/>
      <c r="DI67" s="35"/>
      <c r="DJ67" s="35"/>
      <c r="DK67" s="35"/>
      <c r="DL67" s="35"/>
      <c r="DM67" s="35"/>
      <c r="DN67" s="35"/>
      <c r="DO67" s="35"/>
      <c r="DP67" s="35"/>
      <c r="DQ67" s="35"/>
      <c r="DR67" s="35"/>
      <c r="DS67" s="35"/>
      <c r="DT67" s="35"/>
      <c r="DU67" s="35"/>
      <c r="DV67" s="35"/>
      <c r="DW67" s="35"/>
      <c r="DX67" s="35"/>
      <c r="DY67" s="35"/>
      <c r="DZ67" s="35"/>
      <c r="EA67" s="35"/>
      <c r="EB67" s="35"/>
      <c r="EC67" s="35"/>
      <c r="ED67" s="35"/>
      <c r="EE67" s="35"/>
    </row>
    <row r="68" spans="1:135" s="40" customFormat="1" ht="45">
      <c r="A68" t="s">
        <v>552</v>
      </c>
      <c r="B68" t="s">
        <v>549</v>
      </c>
      <c r="C68" t="s">
        <v>550</v>
      </c>
      <c r="D68" s="458" t="s">
        <v>551</v>
      </c>
      <c r="E68" s="458">
        <v>1</v>
      </c>
      <c r="F68">
        <v>1250</v>
      </c>
      <c r="G68">
        <v>1250</v>
      </c>
      <c r="H68">
        <v>155</v>
      </c>
      <c r="I68"/>
      <c r="J68">
        <v>16</v>
      </c>
      <c r="K68" s="107"/>
      <c r="L68" s="463">
        <v>16</v>
      </c>
      <c r="M68" s="176">
        <v>4</v>
      </c>
      <c r="N68" s="160">
        <v>0</v>
      </c>
      <c r="O68" s="546" cm="1">
        <f t="array" ref="O6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45986</v>
      </c>
      <c r="P68" s="566" t="s">
        <v>797</v>
      </c>
      <c r="Q68" s="566">
        <v>0</v>
      </c>
      <c r="R68" s="22"/>
      <c r="S68" s="463" cm="1">
        <f t="array" ref="S6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8">
        <v>1</v>
      </c>
      <c r="U68" s="176">
        <v>12</v>
      </c>
      <c r="V6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65.011200000000002</v>
      </c>
      <c r="W68" s="497"/>
      <c r="X68" s="176" t="s">
        <v>852</v>
      </c>
      <c r="Y68" s="547" t="s">
        <v>865</v>
      </c>
      <c r="Z68" s="160" t="s">
        <v>458</v>
      </c>
      <c r="AA68" s="563">
        <v>101700</v>
      </c>
      <c r="AB68" cm="1">
        <f t="array" ref="AB68">ROW()-ROW(Contract_Edits[#Headers])</f>
        <v>44</v>
      </c>
      <c r="AC68">
        <f>IF(Contract_Edits[[#This Row],[RowPos]]&gt;1, Contract_Edits[[#This Row],[RowPos]]-1, 0)</f>
        <v>43</v>
      </c>
      <c r="AD68" s="35">
        <f>IF(N(Contract_Edits[[#This Row],[Dep]])=0, N(Contract_Edits[[#This Row],[Index]]), N(Contract_Edits[[#This Row],[Dep]]))</f>
        <v>155</v>
      </c>
      <c r="AE68" s="35" cm="1">
        <f t="array" ref="AE68">IF(OR(Contract_Edits[[#This Row],[Dep]]=0, TRIM(Contract_Edits[[#This Row],[Dep]])=""),
   0,
   IFERROR(
      _xlfn.XLOOKUP(1, (Contract_Edits[Dep]=Contract_Edits[[#This Row],[Dep]])*(Contract_Edits[RowPos]&lt;Contract_Edits[[#This Row],[RowPos]]), Contract_Edits[RowPos], , 0, -1),
      0
   )
)</f>
        <v>43</v>
      </c>
      <c r="AF68" s="35">
        <f>IF(OR(Contract_Edits[[#This Row],[Dep]]=0,Contract_Edits[[#This Row],[Dep]]=""),0,
   COUNTIFS(Contract_Edits[Dep],Contract_Edits[[#This Row],[Dep]],Contract_Edits[RowPos],"&lt;="&amp;Contract_Edits[[#This Row],[RowPos]],Contract_Edits[Approve],"Yes")
)</f>
        <v>11</v>
      </c>
      <c r="AG68" s="517">
        <f>--(
  ISNUMBER(SEARCH("BASE PARENT", UPPER(CLEAN(TRIM(_xlfn.XLOOKUP(TEXT(Contract_Edits[[#This Row],[Index]],"0"), baseIdxTxt, baseCost, "")))))) +
  ISNUMBER(SEARCH("DEPENDENCY GROUP", UPPER(CLEAN(TRIM(_xlfn.XLOOKUP(TEXT(Contract_Edits[[#This Row],[Index]],"0"), baseIdxTxt, baseCost, ""))))))
)</f>
        <v>0</v>
      </c>
      <c r="AH68" s="517" t="str" cm="1">
        <f t="array" ref="AH68">IF(Contract_Edits[[#This Row],[BaseFlag]]=1,
   10*BaseDepthL(TEXT(Contract_Edits[[#This Row],[Index]],"0"),500,editsIdxTxt,editsParentKeyTxt,baseIdxTxt,baseCost)-5,
   ""
)</f>
        <v/>
      </c>
      <c r="AI68" s="517" cm="1">
        <f t="array" ref="AI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8" s="517" t="str">
        <f>IF(Contract_Edits[[#This Row],[Dep]]=0,"Root",
   IF(ISNUMBER(MATCH(Contract_Edits[[#This Row],[Dep]],Contract_Edits[Index],0)),"OK","Missing")
)</f>
        <v>OK</v>
      </c>
      <c r="AK68" s="517" t="str">
        <f>IF(AND(Contract_Edits[[#This Row],[Dep]]&lt;&gt;0,
        ISNUMBER(MATCH(Contract_Edits[[#This Row],[Dep]], Contract_Edits[Index], 0)),
        INDEX(Contract_Edits[Dep], MATCH(Contract_Edits[[#This Row],[Dep]], Contract_Edits[Index], 0))=Contract_Edits[[#This Row],[Index]]),
   "2-cycle","")</f>
        <v/>
      </c>
      <c r="AL68" s="517" cm="1">
        <f t="array" ref="AL68">IF(Contract_Edits[[#This Row],[BaseFlag]]&lt;&gt;1,0,
   IF(TEXT(Contract_Edits[[#This Row],[Dep]],"0")=TEXT(Contract_Edits[[#This Row],[Index]],"0"),
      0,
      MAX(0, SUMPRODUCT(--(Contract_Edits[BaseFlag]=1),
                        --(TEXT(Contract_Edits[Dep],"0")=TEXT(Contract_Edits[[#This Row],[Dep]],"0"))) - 1)
   )
)</f>
        <v>0</v>
      </c>
      <c r="AM68" s="517" t="str" cm="1">
        <f t="array" ref="AM68">IF(Contract_Edits[[#This Row],[BaseFlag]]=1,
   TEXT(Contract_Edits[[#This Row],[Index]],"0"),
   NearestBaseL(TEXT(Contract_Edits[[#This Row],[ParentKey]],"0"),500,editsIdxTxt,editsParentKeyTxt,baseIdxTxt,baseCost)
)</f>
        <v>155</v>
      </c>
      <c r="AN68" s="517" cm="1">
        <f t="array" ref="AN68">1+SUMPRODUCT(
  (Contract_Edits[BaseFlag]=1)*
  (TEXT(Contract_Edits[ParentAnchor],"0")=TEXT(Contract_Edits[[#This Row],[ParentAnchor]],"0"))*
  (VALUE(TEXT(Contract_Edits[Index],"0"))&lt;VALUE(TEXT(Contract_Edits[[#This Row],[Index]],"0")))
)</f>
        <v>1</v>
      </c>
      <c r="AO68" s="35"/>
      <c r="AP68" s="35" t="str">
        <f ca="1">IFERROR(+IF(AP$24=#REF!,Milestone_Marker,IF(AND(AP$24&gt;#REF!,AP$24&lt;#REF!+#REF!),#REF!,"")),"")</f>
        <v/>
      </c>
      <c r="AQ68" s="35" t="str">
        <f ca="1">IFERROR(+IF(AQ$24=#REF!,Milestone_Marker,IF(AND(AQ$24&gt;#REF!,AQ$24&lt;#REF!+#REF!),#REF!,"")),"")</f>
        <v/>
      </c>
      <c r="AR68" s="35" t="str">
        <f ca="1">IFERROR(+IF(AR$24=#REF!,Milestone_Marker,IF(AND(AR$24&gt;#REF!,AR$24&lt;#REF!+#REF!),#REF!,"")),"")</f>
        <v/>
      </c>
      <c r="AS68" s="35" t="str">
        <f ca="1">IFERROR(+IF(AS$24=#REF!,Milestone_Marker,IF(AND(AS$24&gt;#REF!,AS$24&lt;#REF!+#REF!),#REF!,"")),"")</f>
        <v/>
      </c>
      <c r="AT68" s="35" t="str">
        <f ca="1">IFERROR(+IF(AT$24=#REF!,Milestone_Marker,IF(AND(AT$24&gt;#REF!,AT$24&lt;#REF!+#REF!),#REF!,"")),"")</f>
        <v/>
      </c>
      <c r="AU68" s="35" t="str">
        <f ca="1">IFERROR(+IF(AU$24=#REF!,Milestone_Marker,IF(AND(AU$24&gt;#REF!,AU$24&lt;#REF!+#REF!),#REF!,"")),"")</f>
        <v/>
      </c>
      <c r="AV68" s="35" t="str">
        <f ca="1">IFERROR(+IF(AV$24=#REF!,Milestone_Marker,IF(AND(AV$24&gt;#REF!,AV$24&lt;#REF!+#REF!),#REF!,"")),"")</f>
        <v/>
      </c>
      <c r="AW68" s="35" t="str">
        <f ca="1">IFERROR(+IF(AW$24=#REF!,Milestone_Marker,IF(AND(AW$24&gt;#REF!,AW$24&lt;#REF!+#REF!),#REF!,"")),"")</f>
        <v/>
      </c>
      <c r="AX68" s="35" t="str">
        <f ca="1">IFERROR(+IF(AX$24=#REF!,Milestone_Marker,IF(AND(AX$24&gt;#REF!,AX$24&lt;#REF!+#REF!),#REF!,"")),"")</f>
        <v/>
      </c>
      <c r="AY68" s="35" t="str">
        <f ca="1">IFERROR(+IF(AY$24=#REF!,Milestone_Marker,IF(AND(AY$24&gt;#REF!,AY$24&lt;#REF!+#REF!),#REF!,"")),"")</f>
        <v/>
      </c>
      <c r="AZ68" s="35" t="str">
        <f ca="1">IFERROR(+IF(AZ$24=#REF!,Milestone_Marker,IF(AND(AZ$24&gt;#REF!,AZ$24&lt;#REF!+#REF!),#REF!,"")),"")</f>
        <v/>
      </c>
      <c r="BA68" s="35" t="str">
        <f ca="1">IFERROR(+IF(BA$24=#REF!,Milestone_Marker,IF(AND(BA$24&gt;#REF!,BA$24&lt;#REF!+#REF!),#REF!,"")),"")</f>
        <v/>
      </c>
      <c r="BB68" s="35" t="str">
        <f ca="1">IFERROR(+IF(BB$24=#REF!,Milestone_Marker,IF(AND(BB$24&gt;#REF!,BB$24&lt;#REF!+#REF!),#REF!,"")),"")</f>
        <v/>
      </c>
      <c r="BC68" s="35" t="str">
        <f ca="1">IFERROR(+IF(BC$24=#REF!,Milestone_Marker,IF(AND(BC$24&gt;#REF!,BC$24&lt;#REF!+#REF!),#REF!,"")),"")</f>
        <v/>
      </c>
      <c r="BD68" s="35" t="str">
        <f ca="1">IFERROR(+IF(BD$24=#REF!,Milestone_Marker,IF(AND(BD$24&gt;#REF!,BD$24&lt;#REF!+#REF!),#REF!,"")),"")</f>
        <v/>
      </c>
      <c r="BE68" s="35" t="str">
        <f ca="1">IFERROR(+IF(BE$24=#REF!,Milestone_Marker,IF(AND(BE$24&gt;#REF!,BE$24&lt;#REF!+#REF!),#REF!,"")),"")</f>
        <v/>
      </c>
      <c r="BF68" s="35" t="str">
        <f ca="1">IFERROR(+IF(BF$24=#REF!,Milestone_Marker,IF(AND(BF$24&gt;#REF!,BF$24&lt;#REF!+#REF!),#REF!,"")),"")</f>
        <v/>
      </c>
      <c r="BG68" s="35" t="str">
        <f ca="1">IFERROR(+IF(BG$24=#REF!,Milestone_Marker,IF(AND(BG$24&gt;#REF!,BG$24&lt;#REF!+#REF!),#REF!,"")),"")</f>
        <v/>
      </c>
      <c r="BH68" s="35" t="str">
        <f ca="1">IFERROR(+IF(BH$24=#REF!,Milestone_Marker,IF(AND(BH$24&gt;#REF!,BH$24&lt;#REF!+#REF!),#REF!,"")),"")</f>
        <v/>
      </c>
      <c r="BI68" s="35" t="str">
        <f ca="1">IFERROR(+IF(BI$24=#REF!,Milestone_Marker,IF(AND(BI$24&gt;#REF!,BI$24&lt;#REF!+#REF!),#REF!,"")),"")</f>
        <v/>
      </c>
      <c r="BJ68" s="35" t="str">
        <f ca="1">IFERROR(+IF(BJ$24=#REF!,Milestone_Marker,IF(AND(BJ$24&gt;#REF!,BJ$24&lt;#REF!+#REF!),#REF!,"")),"")</f>
        <v/>
      </c>
      <c r="BK68" s="35" t="str">
        <f ca="1">IFERROR(+IF(BK$24=#REF!,Milestone_Marker,IF(AND(BK$24&gt;#REF!,BK$24&lt;#REF!+#REF!),#REF!,"")),"")</f>
        <v/>
      </c>
      <c r="BL68" s="35" t="str">
        <f ca="1">IFERROR(+IF(BL$24=#REF!,Milestone_Marker,IF(AND(BL$24&gt;#REF!,BL$24&lt;#REF!+#REF!),#REF!,"")),"")</f>
        <v/>
      </c>
      <c r="BM68" s="35" t="str">
        <f ca="1">IFERROR(+IF(BM$24=#REF!,Milestone_Marker,IF(AND(BM$24&gt;#REF!,BM$24&lt;#REF!+#REF!),#REF!,"")),"")</f>
        <v/>
      </c>
      <c r="BN68" s="35" t="str">
        <f ca="1">IFERROR(+IF(BN$24=#REF!,Milestone_Marker,IF(AND(BN$24&gt;#REF!,BN$24&lt;#REF!+#REF!),#REF!,"")),"")</f>
        <v/>
      </c>
      <c r="BO68" s="35" t="str">
        <f ca="1">IFERROR(+IF(BO$24=#REF!,Milestone_Marker,IF(AND(BO$24&gt;#REF!,BO$24&lt;#REF!+#REF!),#REF!,"")),"")</f>
        <v/>
      </c>
      <c r="BP68" s="35" t="str">
        <f ca="1">IFERROR(+IF(BP$24=#REF!,Milestone_Marker,IF(AND(BP$24&gt;#REF!,BP$24&lt;#REF!+#REF!),#REF!,"")),"")</f>
        <v/>
      </c>
      <c r="BQ68" s="35" t="str">
        <f ca="1">IFERROR(+IF(BQ$24=#REF!,Milestone_Marker,IF(AND(BQ$24&gt;#REF!,BQ$24&lt;#REF!+#REF!),#REF!,"")),"")</f>
        <v/>
      </c>
      <c r="BR68" s="35" t="str">
        <f ca="1">IFERROR(+IF(BR$24=#REF!,Milestone_Marker,IF(AND(BR$24&gt;#REF!,BR$24&lt;#REF!+#REF!),#REF!,"")),"")</f>
        <v/>
      </c>
      <c r="BS68" s="35" t="str">
        <f ca="1">IFERROR(+IF(BS$24=#REF!,Milestone_Marker,IF(AND(BS$24&gt;#REF!,BS$24&lt;#REF!+#REF!),#REF!,"")),"")</f>
        <v/>
      </c>
      <c r="BT68" s="35" t="str">
        <f ca="1">IFERROR(+IF(BT$24=#REF!,Milestone_Marker,IF(AND(BT$24&gt;#REF!,BT$24&lt;#REF!+#REF!),#REF!,"")),"")</f>
        <v/>
      </c>
      <c r="BU68" s="35" t="str">
        <f ca="1">IFERROR(+IF(BU$24=#REF!,Milestone_Marker,IF(AND(BU$24&gt;#REF!,BU$24&lt;#REF!+#REF!),#REF!,"")),"")</f>
        <v/>
      </c>
      <c r="BV68" s="35" t="str">
        <f ca="1">IFERROR(+IF(BV$24=#REF!,Milestone_Marker,IF(AND(BV$24&gt;#REF!,BV$24&lt;#REF!+#REF!),#REF!,"")),"")</f>
        <v/>
      </c>
      <c r="BW68" s="35" t="str">
        <f ca="1">IFERROR(+IF(BW$24=#REF!,Milestone_Marker,IF(AND(BW$24&gt;#REF!,BW$24&lt;#REF!+#REF!),#REF!,"")),"")</f>
        <v/>
      </c>
      <c r="BX68" s="35" t="str">
        <f ca="1">IFERROR(+IF(BX$24=#REF!,Milestone_Marker,IF(AND(BX$24&gt;#REF!,BX$24&lt;#REF!+#REF!),#REF!,"")),"")</f>
        <v/>
      </c>
      <c r="BY68" s="35" t="str">
        <f ca="1">IFERROR(+IF(BY$24=#REF!,Milestone_Marker,IF(AND(BY$24&gt;#REF!,BY$24&lt;#REF!+#REF!),#REF!,"")),"")</f>
        <v/>
      </c>
      <c r="BZ68" s="35" t="str">
        <f ca="1">IFERROR(+IF(BZ$24=#REF!,Milestone_Marker,IF(AND(BZ$24&gt;#REF!,BZ$24&lt;#REF!+#REF!),#REF!,"")),"")</f>
        <v/>
      </c>
      <c r="CA68" s="35" t="str">
        <f ca="1">IFERROR(+IF(CA$24=#REF!,Milestone_Marker,IF(AND(CA$24&gt;#REF!,CA$24&lt;#REF!+#REF!),#REF!,"")),"")</f>
        <v/>
      </c>
      <c r="CB68" s="35" t="str">
        <f ca="1">IFERROR(+IF(CB$24=#REF!,Milestone_Marker,IF(AND(CB$24&gt;#REF!,CB$24&lt;#REF!+#REF!),#REF!,"")),"")</f>
        <v/>
      </c>
      <c r="CC68" s="35" t="str">
        <f ca="1">IFERROR(+IF(CC$24=#REF!,Milestone_Marker,IF(AND(CC$24&gt;#REF!,CC$24&lt;#REF!+#REF!),#REF!,"")),"")</f>
        <v/>
      </c>
      <c r="CD68" s="35" t="str">
        <f ca="1">IFERROR(+IF(CD$24=#REF!,Milestone_Marker,IF(AND(CD$24&gt;#REF!,CD$24&lt;#REF!+#REF!),#REF!,"")),"")</f>
        <v/>
      </c>
      <c r="CE68" s="35" t="str">
        <f ca="1">IFERROR(+IF(CE$24=#REF!,Milestone_Marker,IF(AND(CE$24&gt;#REF!,CE$24&lt;#REF!+#REF!),#REF!,"")),"")</f>
        <v/>
      </c>
      <c r="CF68" s="35" t="str">
        <f ca="1">IFERROR(+IF(CF$24=#REF!,Milestone_Marker,IF(AND(CF$24&gt;#REF!,CF$24&lt;#REF!+#REF!),#REF!,"")),"")</f>
        <v/>
      </c>
      <c r="CG68" s="35" t="str">
        <f ca="1">IFERROR(+IF(CG$24=#REF!,Milestone_Marker,IF(AND(CG$24&gt;#REF!,CG$24&lt;#REF!+#REF!),#REF!,"")),"")</f>
        <v/>
      </c>
      <c r="CH68" s="35" t="str">
        <f ca="1">IFERROR(+IF(CH$24=#REF!,Milestone_Marker,IF(AND(CH$24&gt;#REF!,CH$24&lt;#REF!+#REF!),#REF!,"")),"")</f>
        <v/>
      </c>
      <c r="CI68" s="35" t="str">
        <f ca="1">IFERROR(+IF(CI$24=#REF!,Milestone_Marker,IF(AND(CI$24&gt;#REF!,CI$24&lt;#REF!+#REF!),#REF!,"")),"")</f>
        <v/>
      </c>
      <c r="CJ68" s="35" t="str">
        <f ca="1">IFERROR(+IF(CJ$24=#REF!,Milestone_Marker,IF(AND(CJ$24&gt;#REF!,CJ$24&lt;#REF!+#REF!),#REF!,"")),"")</f>
        <v/>
      </c>
      <c r="CK68" s="35" t="str">
        <f ca="1">IFERROR(+IF(CK$24=#REF!,Milestone_Marker,IF(AND(CK$24&gt;#REF!,CK$24&lt;#REF!+#REF!),#REF!,"")),"")</f>
        <v/>
      </c>
      <c r="CL68" s="35" t="str">
        <f ca="1">IFERROR(+IF(CL$24=#REF!,Milestone_Marker,IF(AND(CL$24&gt;#REF!,CL$24&lt;#REF!+#REF!),#REF!,"")),"")</f>
        <v/>
      </c>
      <c r="CM68" s="35" t="str">
        <f ca="1">IFERROR(+IF(CM$24=#REF!,Milestone_Marker,IF(AND(CM$24&gt;#REF!,CM$24&lt;#REF!+#REF!),#REF!,"")),"")</f>
        <v/>
      </c>
      <c r="CN68" s="35" t="str">
        <f ca="1">IFERROR(+IF(CN$24=#REF!,Milestone_Marker,IF(AND(CN$24&gt;#REF!,CN$24&lt;#REF!+#REF!),#REF!,"")),"")</f>
        <v/>
      </c>
      <c r="CO68" s="35" t="str">
        <f ca="1">IFERROR(+IF(CO$24=#REF!,Milestone_Marker,IF(AND(CO$24&gt;#REF!,CO$24&lt;#REF!+#REF!),#REF!,"")),"")</f>
        <v/>
      </c>
      <c r="CP68" s="35" t="str">
        <f ca="1">IFERROR(+IF(CP$24=#REF!,Milestone_Marker,IF(AND(CP$24&gt;#REF!,CP$24&lt;#REF!+#REF!),#REF!,"")),"")</f>
        <v/>
      </c>
      <c r="CQ68" s="35" t="str">
        <f ca="1">IFERROR(+IF(CQ$24=#REF!,Milestone_Marker,IF(AND(CQ$24&gt;#REF!,CQ$24&lt;#REF!+#REF!),#REF!,"")),"")</f>
        <v/>
      </c>
      <c r="CR68" s="35" t="str">
        <f ca="1">IFERROR(+IF(CR$24=#REF!,Milestone_Marker,IF(AND(CR$24&gt;#REF!,CR$24&lt;#REF!+#REF!),#REF!,"")),"")</f>
        <v/>
      </c>
      <c r="CS68" s="35" t="str">
        <f ca="1">IFERROR(+IF(CS$24=#REF!,Milestone_Marker,IF(AND(CS$24&gt;#REF!,CS$24&lt;#REF!+#REF!),#REF!,"")),"")</f>
        <v/>
      </c>
      <c r="CT68" s="35" t="str">
        <f ca="1">IFERROR(+IF(CT$24=#REF!,Milestone_Marker,IF(AND(CT$24&gt;#REF!,CT$24&lt;#REF!+#REF!),#REF!,"")),"")</f>
        <v/>
      </c>
      <c r="CU68" s="35" t="str">
        <f ca="1">IFERROR(+IF(CU$24=#REF!,Milestone_Marker,IF(AND(CU$24&gt;#REF!,CU$24&lt;#REF!+#REF!),#REF!,"")),"")</f>
        <v/>
      </c>
      <c r="CV68" s="35" t="str">
        <f ca="1">IFERROR(+IF(CV$24=#REF!,Milestone_Marker,IF(AND(CV$24&gt;#REF!,CV$24&lt;#REF!+#REF!),#REF!,"")),"")</f>
        <v/>
      </c>
      <c r="CW68" s="35" t="str">
        <f ca="1">IFERROR(+IF(CW$24=#REF!,Milestone_Marker,IF(AND(CW$24&gt;#REF!,CW$24&lt;#REF!+#REF!),#REF!,"")),"")</f>
        <v/>
      </c>
      <c r="CX68" s="35" t="str">
        <f ca="1">IFERROR(+IF(CX$24=#REF!,Milestone_Marker,IF(AND(CX$24&gt;#REF!,CX$24&lt;#REF!+#REF!),#REF!,"")),"")</f>
        <v/>
      </c>
      <c r="CY68" s="35" t="str">
        <f ca="1">IFERROR(+IF(CY$24=#REF!,Milestone_Marker,IF(AND(CY$24&gt;#REF!,CY$24&lt;#REF!+#REF!),#REF!,"")),"")</f>
        <v/>
      </c>
      <c r="CZ68" s="35" t="str">
        <f ca="1">IFERROR(+IF(CZ$24=#REF!,Milestone_Marker,IF(AND(CZ$24&gt;#REF!,CZ$24&lt;#REF!+#REF!),#REF!,"")),"")</f>
        <v/>
      </c>
      <c r="DA68" s="35" t="str">
        <f ca="1">IFERROR(+IF(DA$24=#REF!,Milestone_Marker,IF(AND(DA$24&gt;#REF!,DA$24&lt;#REF!+#REF!),#REF!,"")),"")</f>
        <v/>
      </c>
      <c r="DB68" s="35" t="str">
        <f ca="1">IFERROR(+IF(DB$24=#REF!,Milestone_Marker,IF(AND(DB$24&gt;#REF!,DB$24&lt;#REF!+#REF!),#REF!,"")),"")</f>
        <v/>
      </c>
      <c r="DC68" s="35" t="str">
        <f ca="1">IFERROR(+IF(DC$24=#REF!,Milestone_Marker,IF(AND(DC$24&gt;#REF!,DC$24&lt;#REF!+#REF!),#REF!,"")),"")</f>
        <v/>
      </c>
      <c r="DD68" s="35" t="str">
        <f ca="1">IFERROR(+IF(DD$24=#REF!,Milestone_Marker,IF(AND(DD$24&gt;#REF!,DD$24&lt;#REF!+#REF!),#REF!,"")),"")</f>
        <v/>
      </c>
      <c r="DE68" s="35" t="str">
        <f ca="1">IFERROR(+IF(DE$24=#REF!,Milestone_Marker,IF(AND(DE$24&gt;#REF!,DE$24&lt;#REF!+#REF!),#REF!,"")),"")</f>
        <v/>
      </c>
      <c r="DF68" s="35"/>
      <c r="DG68" s="35"/>
      <c r="DH68" s="35"/>
      <c r="DI68" s="35"/>
      <c r="DJ68" s="35"/>
      <c r="DK68" s="35"/>
      <c r="DL68" s="35"/>
      <c r="DM68" s="35"/>
      <c r="DN68" s="35"/>
      <c r="DO68" s="35"/>
      <c r="DP68" s="35"/>
      <c r="DQ68" s="35"/>
      <c r="DR68" s="35"/>
      <c r="DS68" s="35"/>
      <c r="DT68" s="35"/>
      <c r="DU68" s="35"/>
      <c r="DV68" s="35"/>
      <c r="DW68" s="35"/>
      <c r="DX68" s="35"/>
      <c r="DY68" s="35"/>
      <c r="DZ68" s="35"/>
      <c r="EA68" s="35"/>
      <c r="EB68" s="35"/>
      <c r="EC68" s="35"/>
      <c r="ED68" s="35"/>
      <c r="EE68" s="35"/>
    </row>
    <row r="69" spans="1:135" ht="15">
      <c r="A69" t="s">
        <v>467</v>
      </c>
      <c r="B69" t="s">
        <v>587</v>
      </c>
      <c r="C69" t="s">
        <v>553</v>
      </c>
      <c r="D69" s="458" t="s">
        <v>589</v>
      </c>
      <c r="E69" s="458">
        <v>1</v>
      </c>
      <c r="F69">
        <v>0</v>
      </c>
      <c r="G69">
        <v>0</v>
      </c>
      <c r="H69">
        <v>155</v>
      </c>
      <c r="I69">
        <v>0</v>
      </c>
      <c r="J69">
        <v>37</v>
      </c>
      <c r="K69" s="107"/>
      <c r="L69" s="463">
        <v>37</v>
      </c>
      <c r="M69" s="490"/>
      <c r="N69" s="160">
        <v>0</v>
      </c>
      <c r="O69" s="546" cm="1">
        <f t="array" ref="O6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45992</v>
      </c>
      <c r="P69" s="567" t="s">
        <v>458</v>
      </c>
      <c r="Q69" s="567"/>
      <c r="R69" s="499"/>
      <c r="S69" s="463" cm="1">
        <f t="array" ref="S6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9" s="34">
        <v>1</v>
      </c>
      <c r="U69" s="490">
        <v>15</v>
      </c>
      <c r="V6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65.011499999999998</v>
      </c>
      <c r="W69" s="557"/>
      <c r="X69" s="545" t="s">
        <v>866</v>
      </c>
      <c r="Y69" s="548" t="s">
        <v>865</v>
      </c>
      <c r="Z69" s="160" t="s">
        <v>458</v>
      </c>
      <c r="AA69" s="563">
        <v>101700</v>
      </c>
      <c r="AB69" cm="1">
        <f t="array" ref="AB69">ROW()-ROW(Contract_Edits[#Headers])</f>
        <v>45</v>
      </c>
      <c r="AC69">
        <f>IF(Contract_Edits[[#This Row],[RowPos]]&gt;1, Contract_Edits[[#This Row],[RowPos]]-1, 0)</f>
        <v>44</v>
      </c>
      <c r="AD69" s="35">
        <f>IF(N(Contract_Edits[[#This Row],[Dep]])=0, N(Contract_Edits[[#This Row],[Index]]), N(Contract_Edits[[#This Row],[Dep]]))</f>
        <v>155</v>
      </c>
      <c r="AE69" s="35" cm="1">
        <f t="array" ref="AE69">IF(OR(Contract_Edits[[#This Row],[Dep]]=0, TRIM(Contract_Edits[[#This Row],[Dep]])=""),
   0,
   IFERROR(
      _xlfn.XLOOKUP(1, (Contract_Edits[Dep]=Contract_Edits[[#This Row],[Dep]])*(Contract_Edits[RowPos]&lt;Contract_Edits[[#This Row],[RowPos]]), Contract_Edits[RowPos], , 0, -1),
      0
   )
)</f>
        <v>44</v>
      </c>
      <c r="AF69" s="35">
        <f>IF(OR(Contract_Edits[[#This Row],[Dep]]=0,Contract_Edits[[#This Row],[Dep]]=""),0,
   COUNTIFS(Contract_Edits[Dep],Contract_Edits[[#This Row],[Dep]],Contract_Edits[RowPos],"&lt;="&amp;Contract_Edits[[#This Row],[RowPos]],Contract_Edits[Approve],"Yes")
)</f>
        <v>12</v>
      </c>
      <c r="AG69" s="517">
        <f>--(
  ISNUMBER(SEARCH("BASE PARENT", UPPER(CLEAN(TRIM(_xlfn.XLOOKUP(TEXT(Contract_Edits[[#This Row],[Index]],"0"), baseIdxTxt, baseCost, "")))))) +
  ISNUMBER(SEARCH("DEPENDENCY GROUP", UPPER(CLEAN(TRIM(_xlfn.XLOOKUP(TEXT(Contract_Edits[[#This Row],[Index]],"0"), baseIdxTxt, baseCost, ""))))))
)</f>
        <v>0</v>
      </c>
      <c r="AH69" s="517" t="str" cm="1">
        <f t="array" ref="AH69">IF(Contract_Edits[[#This Row],[BaseFlag]]=1,
   10*BaseDepthL(TEXT(Contract_Edits[[#This Row],[Index]],"0"),500,editsIdxTxt,editsParentKeyTxt,baseIdxTxt,baseCost)-5,
   ""
)</f>
        <v/>
      </c>
      <c r="AI69" s="517" cm="1">
        <f t="array" ref="AI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9" s="517" t="str">
        <f>IF(Contract_Edits[[#This Row],[Dep]]=0,"Root",
   IF(ISNUMBER(MATCH(Contract_Edits[[#This Row],[Dep]],Contract_Edits[Index],0)),"OK","Missing")
)</f>
        <v>OK</v>
      </c>
      <c r="AK69" s="517" t="str">
        <f>IF(AND(Contract_Edits[[#This Row],[Dep]]&lt;&gt;0,
        ISNUMBER(MATCH(Contract_Edits[[#This Row],[Dep]], Contract_Edits[Index], 0)),
        INDEX(Contract_Edits[Dep], MATCH(Contract_Edits[[#This Row],[Dep]], Contract_Edits[Index], 0))=Contract_Edits[[#This Row],[Index]]),
   "2-cycle","")</f>
        <v/>
      </c>
      <c r="AL69" s="517" cm="1">
        <f t="array" ref="AL69">IF(Contract_Edits[[#This Row],[BaseFlag]]&lt;&gt;1,0,
   IF(TEXT(Contract_Edits[[#This Row],[Dep]],"0")=TEXT(Contract_Edits[[#This Row],[Index]],"0"),
      0,
      MAX(0, SUMPRODUCT(--(Contract_Edits[BaseFlag]=1),
                        --(TEXT(Contract_Edits[Dep],"0")=TEXT(Contract_Edits[[#This Row],[Dep]],"0"))) - 1)
   )
)</f>
        <v>0</v>
      </c>
      <c r="AM69" s="517" t="str" cm="1">
        <f t="array" ref="AM69">IF(Contract_Edits[[#This Row],[BaseFlag]]=1,
   TEXT(Contract_Edits[[#This Row],[Index]],"0"),
   NearestBaseL(TEXT(Contract_Edits[[#This Row],[ParentKey]],"0"),500,editsIdxTxt,editsParentKeyTxt,baseIdxTxt,baseCost)
)</f>
        <v>155</v>
      </c>
      <c r="AN69" s="517" cm="1">
        <f t="array" ref="AN69">1+SUMPRODUCT(
  (Contract_Edits[BaseFlag]=1)*
  (TEXT(Contract_Edits[ParentAnchor],"0")=TEXT(Contract_Edits[[#This Row],[ParentAnchor]],"0"))*
  (VALUE(TEXT(Contract_Edits[Index],"0"))&lt;VALUE(TEXT(Contract_Edits[[#This Row],[Index]],"0")))
)</f>
        <v>1</v>
      </c>
      <c r="AO69" s="35"/>
      <c r="AP69" s="35" t="str">
        <f ca="1">IFERROR(+IF(AP$24=#REF!,Milestone_Marker,IF(AND(AP$24&gt;#REF!,AP$24&lt;#REF!+#REF!),#REF!,"")),"")</f>
        <v/>
      </c>
      <c r="AQ69" s="35" t="str">
        <f ca="1">IFERROR(+IF(AQ$24=#REF!,Milestone_Marker,IF(AND(AQ$24&gt;#REF!,AQ$24&lt;#REF!+#REF!),#REF!,"")),"")</f>
        <v/>
      </c>
      <c r="AR69" s="35" t="str">
        <f ca="1">IFERROR(+IF(AR$24=#REF!,Milestone_Marker,IF(AND(AR$24&gt;#REF!,AR$24&lt;#REF!+#REF!),#REF!,"")),"")</f>
        <v/>
      </c>
      <c r="AS69" s="35" t="str">
        <f ca="1">IFERROR(+IF(AS$24=#REF!,Milestone_Marker,IF(AND(AS$24&gt;#REF!,AS$24&lt;#REF!+#REF!),#REF!,"")),"")</f>
        <v/>
      </c>
      <c r="AT69" s="35" t="str">
        <f ca="1">IFERROR(+IF(AT$24=#REF!,Milestone_Marker,IF(AND(AT$24&gt;#REF!,AT$24&lt;#REF!+#REF!),#REF!,"")),"")</f>
        <v/>
      </c>
      <c r="AU69" s="35" t="str">
        <f ca="1">IFERROR(+IF(AU$24=#REF!,Milestone_Marker,IF(AND(AU$24&gt;#REF!,AU$24&lt;#REF!+#REF!),#REF!,"")),"")</f>
        <v/>
      </c>
      <c r="AV69" s="35" t="str">
        <f ca="1">IFERROR(+IF(AV$24=#REF!,Milestone_Marker,IF(AND(AV$24&gt;#REF!,AV$24&lt;#REF!+#REF!),#REF!,"")),"")</f>
        <v/>
      </c>
      <c r="AW69" s="35" t="str">
        <f ca="1">IFERROR(+IF(AW$24=#REF!,Milestone_Marker,IF(AND(AW$24&gt;#REF!,AW$24&lt;#REF!+#REF!),#REF!,"")),"")</f>
        <v/>
      </c>
      <c r="AX69" s="35" t="str">
        <f ca="1">IFERROR(+IF(AX$24=#REF!,Milestone_Marker,IF(AND(AX$24&gt;#REF!,AX$24&lt;#REF!+#REF!),#REF!,"")),"")</f>
        <v/>
      </c>
      <c r="AY69" s="35" t="str">
        <f ca="1">IFERROR(+IF(AY$24=#REF!,Milestone_Marker,IF(AND(AY$24&gt;#REF!,AY$24&lt;#REF!+#REF!),#REF!,"")),"")</f>
        <v/>
      </c>
      <c r="AZ69" s="35" t="str">
        <f ca="1">IFERROR(+IF(AZ$24=#REF!,Milestone_Marker,IF(AND(AZ$24&gt;#REF!,AZ$24&lt;#REF!+#REF!),#REF!,"")),"")</f>
        <v/>
      </c>
      <c r="BA69" s="35" t="str">
        <f ca="1">IFERROR(+IF(BA$24=#REF!,Milestone_Marker,IF(AND(BA$24&gt;#REF!,BA$24&lt;#REF!+#REF!),#REF!,"")),"")</f>
        <v/>
      </c>
      <c r="BB69" s="35" t="str">
        <f ca="1">IFERROR(+IF(BB$24=#REF!,Milestone_Marker,IF(AND(BB$24&gt;#REF!,BB$24&lt;#REF!+#REF!),#REF!,"")),"")</f>
        <v/>
      </c>
      <c r="BC69" s="35" t="str">
        <f ca="1">IFERROR(+IF(BC$24=#REF!,Milestone_Marker,IF(AND(BC$24&gt;#REF!,BC$24&lt;#REF!+#REF!),#REF!,"")),"")</f>
        <v/>
      </c>
      <c r="BD69" s="35" t="str">
        <f ca="1">IFERROR(+IF(BD$24=#REF!,Milestone_Marker,IF(AND(BD$24&gt;#REF!,BD$24&lt;#REF!+#REF!),#REF!,"")),"")</f>
        <v/>
      </c>
      <c r="BE69" s="35" t="str">
        <f ca="1">IFERROR(+IF(BE$24=#REF!,Milestone_Marker,IF(AND(BE$24&gt;#REF!,BE$24&lt;#REF!+#REF!),#REF!,"")),"")</f>
        <v/>
      </c>
      <c r="BF69" s="35" t="str">
        <f ca="1">IFERROR(+IF(BF$24=#REF!,Milestone_Marker,IF(AND(BF$24&gt;#REF!,BF$24&lt;#REF!+#REF!),#REF!,"")),"")</f>
        <v/>
      </c>
      <c r="BG69" s="35" t="str">
        <f ca="1">IFERROR(+IF(BG$24=#REF!,Milestone_Marker,IF(AND(BG$24&gt;#REF!,BG$24&lt;#REF!+#REF!),#REF!,"")),"")</f>
        <v/>
      </c>
      <c r="BH69" s="35" t="str">
        <f ca="1">IFERROR(+IF(BH$24=#REF!,Milestone_Marker,IF(AND(BH$24&gt;#REF!,BH$24&lt;#REF!+#REF!),#REF!,"")),"")</f>
        <v/>
      </c>
      <c r="BI69" s="35" t="str">
        <f ca="1">IFERROR(+IF(BI$24=#REF!,Milestone_Marker,IF(AND(BI$24&gt;#REF!,BI$24&lt;#REF!+#REF!),#REF!,"")),"")</f>
        <v/>
      </c>
      <c r="BJ69" s="35" t="str">
        <f ca="1">IFERROR(+IF(BJ$24=#REF!,Milestone_Marker,IF(AND(BJ$24&gt;#REF!,BJ$24&lt;#REF!+#REF!),#REF!,"")),"")</f>
        <v/>
      </c>
      <c r="BK69" s="35" t="str">
        <f ca="1">IFERROR(+IF(BK$24=#REF!,Milestone_Marker,IF(AND(BK$24&gt;#REF!,BK$24&lt;#REF!+#REF!),#REF!,"")),"")</f>
        <v/>
      </c>
      <c r="BL69" s="35" t="str">
        <f ca="1">IFERROR(+IF(BL$24=#REF!,Milestone_Marker,IF(AND(BL$24&gt;#REF!,BL$24&lt;#REF!+#REF!),#REF!,"")),"")</f>
        <v/>
      </c>
      <c r="BM69" s="35" t="str">
        <f ca="1">IFERROR(+IF(BM$24=#REF!,Milestone_Marker,IF(AND(BM$24&gt;#REF!,BM$24&lt;#REF!+#REF!),#REF!,"")),"")</f>
        <v/>
      </c>
      <c r="BN69" s="35" t="str">
        <f ca="1">IFERROR(+IF(BN$24=#REF!,Milestone_Marker,IF(AND(BN$24&gt;#REF!,BN$24&lt;#REF!+#REF!),#REF!,"")),"")</f>
        <v/>
      </c>
      <c r="BO69" s="35" t="str">
        <f ca="1">IFERROR(+IF(BO$24=#REF!,Milestone_Marker,IF(AND(BO$24&gt;#REF!,BO$24&lt;#REF!+#REF!),#REF!,"")),"")</f>
        <v/>
      </c>
      <c r="BP69" s="35" t="str">
        <f ca="1">IFERROR(+IF(BP$24=#REF!,Milestone_Marker,IF(AND(BP$24&gt;#REF!,BP$24&lt;#REF!+#REF!),#REF!,"")),"")</f>
        <v/>
      </c>
      <c r="BQ69" s="35" t="str">
        <f ca="1">IFERROR(+IF(BQ$24=#REF!,Milestone_Marker,IF(AND(BQ$24&gt;#REF!,BQ$24&lt;#REF!+#REF!),#REF!,"")),"")</f>
        <v/>
      </c>
      <c r="BR69" s="35" t="str">
        <f ca="1">IFERROR(+IF(BR$24=#REF!,Milestone_Marker,IF(AND(BR$24&gt;#REF!,BR$24&lt;#REF!+#REF!),#REF!,"")),"")</f>
        <v/>
      </c>
      <c r="BS69" s="35" t="str">
        <f ca="1">IFERROR(+IF(BS$24=#REF!,Milestone_Marker,IF(AND(BS$24&gt;#REF!,BS$24&lt;#REF!+#REF!),#REF!,"")),"")</f>
        <v/>
      </c>
      <c r="BT69" s="35" t="str">
        <f ca="1">IFERROR(+IF(BT$24=#REF!,Milestone_Marker,IF(AND(BT$24&gt;#REF!,BT$24&lt;#REF!+#REF!),#REF!,"")),"")</f>
        <v/>
      </c>
      <c r="BU69" s="35" t="str">
        <f ca="1">IFERROR(+IF(BU$24=#REF!,Milestone_Marker,IF(AND(BU$24&gt;#REF!,BU$24&lt;#REF!+#REF!),#REF!,"")),"")</f>
        <v/>
      </c>
      <c r="BV69" s="35" t="str">
        <f ca="1">IFERROR(+IF(BV$24=#REF!,Milestone_Marker,IF(AND(BV$24&gt;#REF!,BV$24&lt;#REF!+#REF!),#REF!,"")),"")</f>
        <v/>
      </c>
      <c r="BW69" s="35" t="str">
        <f ca="1">IFERROR(+IF(BW$24=#REF!,Milestone_Marker,IF(AND(BW$24&gt;#REF!,BW$24&lt;#REF!+#REF!),#REF!,"")),"")</f>
        <v/>
      </c>
      <c r="BX69" s="35" t="str">
        <f ca="1">IFERROR(+IF(BX$24=#REF!,Milestone_Marker,IF(AND(BX$24&gt;#REF!,BX$24&lt;#REF!+#REF!),#REF!,"")),"")</f>
        <v/>
      </c>
      <c r="BY69" s="35" t="str">
        <f ca="1">IFERROR(+IF(BY$24=#REF!,Milestone_Marker,IF(AND(BY$24&gt;#REF!,BY$24&lt;#REF!+#REF!),#REF!,"")),"")</f>
        <v/>
      </c>
      <c r="BZ69" s="35" t="str">
        <f ca="1">IFERROR(+IF(BZ$24=#REF!,Milestone_Marker,IF(AND(BZ$24&gt;#REF!,BZ$24&lt;#REF!+#REF!),#REF!,"")),"")</f>
        <v/>
      </c>
      <c r="CA69" s="35" t="str">
        <f ca="1">IFERROR(+IF(CA$24=#REF!,Milestone_Marker,IF(AND(CA$24&gt;#REF!,CA$24&lt;#REF!+#REF!),#REF!,"")),"")</f>
        <v/>
      </c>
      <c r="CB69" s="35" t="str">
        <f ca="1">IFERROR(+IF(CB$24=#REF!,Milestone_Marker,IF(AND(CB$24&gt;#REF!,CB$24&lt;#REF!+#REF!),#REF!,"")),"")</f>
        <v/>
      </c>
      <c r="CC69" s="35" t="str">
        <f ca="1">IFERROR(+IF(CC$24=#REF!,Milestone_Marker,IF(AND(CC$24&gt;#REF!,CC$24&lt;#REF!+#REF!),#REF!,"")),"")</f>
        <v/>
      </c>
      <c r="CD69" s="35" t="str">
        <f ca="1">IFERROR(+IF(CD$24=#REF!,Milestone_Marker,IF(AND(CD$24&gt;#REF!,CD$24&lt;#REF!+#REF!),#REF!,"")),"")</f>
        <v/>
      </c>
      <c r="CE69" s="35" t="str">
        <f ca="1">IFERROR(+IF(CE$24=#REF!,Milestone_Marker,IF(AND(CE$24&gt;#REF!,CE$24&lt;#REF!+#REF!),#REF!,"")),"")</f>
        <v/>
      </c>
      <c r="CF69" s="35" t="str">
        <f ca="1">IFERROR(+IF(CF$24=#REF!,Milestone_Marker,IF(AND(CF$24&gt;#REF!,CF$24&lt;#REF!+#REF!),#REF!,"")),"")</f>
        <v/>
      </c>
      <c r="CG69" s="35" t="str">
        <f ca="1">IFERROR(+IF(CG$24=#REF!,Milestone_Marker,IF(AND(CG$24&gt;#REF!,CG$24&lt;#REF!+#REF!),#REF!,"")),"")</f>
        <v/>
      </c>
      <c r="CH69" s="35" t="str">
        <f ca="1">IFERROR(+IF(CH$24=#REF!,Milestone_Marker,IF(AND(CH$24&gt;#REF!,CH$24&lt;#REF!+#REF!),#REF!,"")),"")</f>
        <v/>
      </c>
      <c r="CI69" s="35" t="str">
        <f ca="1">IFERROR(+IF(CI$24=#REF!,Milestone_Marker,IF(AND(CI$24&gt;#REF!,CI$24&lt;#REF!+#REF!),#REF!,"")),"")</f>
        <v/>
      </c>
      <c r="CJ69" s="35" t="str">
        <f ca="1">IFERROR(+IF(CJ$24=#REF!,Milestone_Marker,IF(AND(CJ$24&gt;#REF!,CJ$24&lt;#REF!+#REF!),#REF!,"")),"")</f>
        <v/>
      </c>
      <c r="CK69" s="35" t="str">
        <f ca="1">IFERROR(+IF(CK$24=#REF!,Milestone_Marker,IF(AND(CK$24&gt;#REF!,CK$24&lt;#REF!+#REF!),#REF!,"")),"")</f>
        <v/>
      </c>
      <c r="CL69" s="35" t="str">
        <f ca="1">IFERROR(+IF(CL$24=#REF!,Milestone_Marker,IF(AND(CL$24&gt;#REF!,CL$24&lt;#REF!+#REF!),#REF!,"")),"")</f>
        <v/>
      </c>
      <c r="CM69" s="35" t="str">
        <f ca="1">IFERROR(+IF(CM$24=#REF!,Milestone_Marker,IF(AND(CM$24&gt;#REF!,CM$24&lt;#REF!+#REF!),#REF!,"")),"")</f>
        <v/>
      </c>
      <c r="CN69" s="35" t="str">
        <f ca="1">IFERROR(+IF(CN$24=#REF!,Milestone_Marker,IF(AND(CN$24&gt;#REF!,CN$24&lt;#REF!+#REF!),#REF!,"")),"")</f>
        <v/>
      </c>
      <c r="CO69" s="35" t="str">
        <f ca="1">IFERROR(+IF(CO$24=#REF!,Milestone_Marker,IF(AND(CO$24&gt;#REF!,CO$24&lt;#REF!+#REF!),#REF!,"")),"")</f>
        <v/>
      </c>
      <c r="CP69" s="35" t="str">
        <f ca="1">IFERROR(+IF(CP$24=#REF!,Milestone_Marker,IF(AND(CP$24&gt;#REF!,CP$24&lt;#REF!+#REF!),#REF!,"")),"")</f>
        <v/>
      </c>
      <c r="CQ69" s="35" t="str">
        <f ca="1">IFERROR(+IF(CQ$24=#REF!,Milestone_Marker,IF(AND(CQ$24&gt;#REF!,CQ$24&lt;#REF!+#REF!),#REF!,"")),"")</f>
        <v/>
      </c>
      <c r="CR69" s="35" t="str">
        <f ca="1">IFERROR(+IF(CR$24=#REF!,Milestone_Marker,IF(AND(CR$24&gt;#REF!,CR$24&lt;#REF!+#REF!),#REF!,"")),"")</f>
        <v/>
      </c>
      <c r="CS69" s="35" t="str">
        <f ca="1">IFERROR(+IF(CS$24=#REF!,Milestone_Marker,IF(AND(CS$24&gt;#REF!,CS$24&lt;#REF!+#REF!),#REF!,"")),"")</f>
        <v/>
      </c>
      <c r="CT69" s="35" t="str">
        <f ca="1">IFERROR(+IF(CT$24=#REF!,Milestone_Marker,IF(AND(CT$24&gt;#REF!,CT$24&lt;#REF!+#REF!),#REF!,"")),"")</f>
        <v/>
      </c>
      <c r="CU69" s="35" t="str">
        <f ca="1">IFERROR(+IF(CU$24=#REF!,Milestone_Marker,IF(AND(CU$24&gt;#REF!,CU$24&lt;#REF!+#REF!),#REF!,"")),"")</f>
        <v/>
      </c>
      <c r="CV69" s="35" t="str">
        <f ca="1">IFERROR(+IF(CV$24=#REF!,Milestone_Marker,IF(AND(CV$24&gt;#REF!,CV$24&lt;#REF!+#REF!),#REF!,"")),"")</f>
        <v/>
      </c>
      <c r="CW69" s="35" t="str">
        <f ca="1">IFERROR(+IF(CW$24=#REF!,Milestone_Marker,IF(AND(CW$24&gt;#REF!,CW$24&lt;#REF!+#REF!),#REF!,"")),"")</f>
        <v/>
      </c>
      <c r="CX69" s="35" t="str">
        <f ca="1">IFERROR(+IF(CX$24=#REF!,Milestone_Marker,IF(AND(CX$24&gt;#REF!,CX$24&lt;#REF!+#REF!),#REF!,"")),"")</f>
        <v/>
      </c>
      <c r="CY69" s="35" t="str">
        <f ca="1">IFERROR(+IF(CY$24=#REF!,Milestone_Marker,IF(AND(CY$24&gt;#REF!,CY$24&lt;#REF!+#REF!),#REF!,"")),"")</f>
        <v/>
      </c>
      <c r="CZ69" s="35" t="str">
        <f ca="1">IFERROR(+IF(CZ$24=#REF!,Milestone_Marker,IF(AND(CZ$24&gt;#REF!,CZ$24&lt;#REF!+#REF!),#REF!,"")),"")</f>
        <v/>
      </c>
      <c r="DA69" s="35" t="str">
        <f ca="1">IFERROR(+IF(DA$24=#REF!,Milestone_Marker,IF(AND(DA$24&gt;#REF!,DA$24&lt;#REF!+#REF!),#REF!,"")),"")</f>
        <v/>
      </c>
      <c r="DB69" s="35" t="str">
        <f ca="1">IFERROR(+IF(DB$24=#REF!,Milestone_Marker,IF(AND(DB$24&gt;#REF!,DB$24&lt;#REF!+#REF!),#REF!,"")),"")</f>
        <v/>
      </c>
      <c r="DC69" s="35" t="str">
        <f ca="1">IFERROR(+IF(DC$24=#REF!,Milestone_Marker,IF(AND(DC$24&gt;#REF!,DC$24&lt;#REF!+#REF!),#REF!,"")),"")</f>
        <v/>
      </c>
      <c r="DD69" s="35" t="str">
        <f ca="1">IFERROR(+IF(DD$24=#REF!,Milestone_Marker,IF(AND(DD$24&gt;#REF!,DD$24&lt;#REF!+#REF!),#REF!,"")),"")</f>
        <v/>
      </c>
      <c r="DE69" s="35" t="str">
        <f ca="1">IFERROR(+IF(DE$24=#REF!,Milestone_Marker,IF(AND(DE$24&gt;#REF!,DE$24&lt;#REF!+#REF!),#REF!,"")),"")</f>
        <v/>
      </c>
      <c r="DF69" s="35"/>
      <c r="DG69" s="35"/>
      <c r="DH69" s="35"/>
      <c r="DI69" s="35"/>
      <c r="DJ69" s="35"/>
      <c r="DK69" s="35"/>
      <c r="DL69" s="35"/>
      <c r="DM69" s="35"/>
      <c r="DN69" s="35"/>
      <c r="DO69" s="35"/>
      <c r="DP69" s="35"/>
      <c r="DQ69" s="35"/>
      <c r="DR69" s="35"/>
      <c r="DS69" s="35"/>
      <c r="DT69" s="35"/>
      <c r="DU69" s="35"/>
      <c r="DV69" s="35"/>
      <c r="DW69" s="35"/>
      <c r="DX69" s="35"/>
      <c r="DY69" s="35"/>
      <c r="DZ69" s="35"/>
      <c r="EA69" s="35"/>
      <c r="EB69" s="35"/>
      <c r="EC69" s="35"/>
      <c r="ED69" s="35"/>
      <c r="EE69" s="35"/>
    </row>
    <row r="70" spans="1:135" ht="15">
      <c r="A70" t="s">
        <v>552</v>
      </c>
      <c r="B70" t="s">
        <v>639</v>
      </c>
      <c r="C70" t="s">
        <v>646</v>
      </c>
      <c r="D70" s="458" t="s">
        <v>647</v>
      </c>
      <c r="E70" s="458">
        <v>1</v>
      </c>
      <c r="F70">
        <v>625</v>
      </c>
      <c r="G70">
        <v>625</v>
      </c>
      <c r="H70">
        <v>155</v>
      </c>
      <c r="I70"/>
      <c r="J70">
        <v>76</v>
      </c>
      <c r="K70" s="107"/>
      <c r="L70" s="463">
        <v>76</v>
      </c>
      <c r="M70" s="176">
        <v>2</v>
      </c>
      <c r="N70" s="160">
        <v>0</v>
      </c>
      <c r="O70" s="546" cm="1">
        <f t="array" ref="O7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45992</v>
      </c>
      <c r="P70" s="566" t="s">
        <v>797</v>
      </c>
      <c r="Q70" s="566"/>
      <c r="R70" s="22"/>
      <c r="S70" s="463" cm="1">
        <f t="array" ref="S7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70">
        <v>1</v>
      </c>
      <c r="U70" s="176">
        <v>20</v>
      </c>
      <c r="V7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65.012</v>
      </c>
      <c r="W70" s="497"/>
      <c r="X70" s="176" t="s">
        <v>852</v>
      </c>
      <c r="Y70" s="547" t="s">
        <v>865</v>
      </c>
      <c r="Z70" s="160" t="s">
        <v>458</v>
      </c>
      <c r="AA70" s="563">
        <v>101700</v>
      </c>
      <c r="AB70" cm="1">
        <f t="array" ref="AB70">ROW()-ROW(Contract_Edits[#Headers])</f>
        <v>46</v>
      </c>
      <c r="AC70">
        <f>IF(Contract_Edits[[#This Row],[RowPos]]&gt;1, Contract_Edits[[#This Row],[RowPos]]-1, 0)</f>
        <v>45</v>
      </c>
      <c r="AD70" s="35">
        <f>IF(N(Contract_Edits[[#This Row],[Dep]])=0, N(Contract_Edits[[#This Row],[Index]]), N(Contract_Edits[[#This Row],[Dep]]))</f>
        <v>155</v>
      </c>
      <c r="AE70" s="35" cm="1">
        <f t="array" ref="AE70">IF(OR(Contract_Edits[[#This Row],[Dep]]=0, TRIM(Contract_Edits[[#This Row],[Dep]])=""),
   0,
   IFERROR(
      _xlfn.XLOOKUP(1, (Contract_Edits[Dep]=Contract_Edits[[#This Row],[Dep]])*(Contract_Edits[RowPos]&lt;Contract_Edits[[#This Row],[RowPos]]), Contract_Edits[RowPos], , 0, -1),
      0
   )
)</f>
        <v>45</v>
      </c>
      <c r="AF70" s="35">
        <f>IF(OR(Contract_Edits[[#This Row],[Dep]]=0,Contract_Edits[[#This Row],[Dep]]=""),0,
   COUNTIFS(Contract_Edits[Dep],Contract_Edits[[#This Row],[Dep]],Contract_Edits[RowPos],"&lt;="&amp;Contract_Edits[[#This Row],[RowPos]],Contract_Edits[Approve],"Yes")
)</f>
        <v>13</v>
      </c>
      <c r="AG70" s="517">
        <f>--(
  ISNUMBER(SEARCH("BASE PARENT", UPPER(CLEAN(TRIM(_xlfn.XLOOKUP(TEXT(Contract_Edits[[#This Row],[Index]],"0"), baseIdxTxt, baseCost, "")))))) +
  ISNUMBER(SEARCH("DEPENDENCY GROUP", UPPER(CLEAN(TRIM(_xlfn.XLOOKUP(TEXT(Contract_Edits[[#This Row],[Index]],"0"), baseIdxTxt, baseCost, ""))))))
)</f>
        <v>0</v>
      </c>
      <c r="AH70" s="517" t="str" cm="1">
        <f t="array" ref="AH70">IF(Contract_Edits[[#This Row],[BaseFlag]]=1,
   10*BaseDepthL(TEXT(Contract_Edits[[#This Row],[Index]],"0"),500,editsIdxTxt,editsParentKeyTxt,baseIdxTxt,baseCost)-5,
   ""
)</f>
        <v/>
      </c>
      <c r="AI70" s="517" cm="1">
        <f t="array" ref="AI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70" s="517" t="str">
        <f>IF(Contract_Edits[[#This Row],[Dep]]=0,"Root",
   IF(ISNUMBER(MATCH(Contract_Edits[[#This Row],[Dep]],Contract_Edits[Index],0)),"OK","Missing")
)</f>
        <v>OK</v>
      </c>
      <c r="AK70" s="517" t="str">
        <f>IF(AND(Contract_Edits[[#This Row],[Dep]]&lt;&gt;0,
        ISNUMBER(MATCH(Contract_Edits[[#This Row],[Dep]], Contract_Edits[Index], 0)),
        INDEX(Contract_Edits[Dep], MATCH(Contract_Edits[[#This Row],[Dep]], Contract_Edits[Index], 0))=Contract_Edits[[#This Row],[Index]]),
   "2-cycle","")</f>
        <v/>
      </c>
      <c r="AL70" s="517" cm="1">
        <f t="array" ref="AL70">IF(Contract_Edits[[#This Row],[BaseFlag]]&lt;&gt;1,0,
   IF(TEXT(Contract_Edits[[#This Row],[Dep]],"0")=TEXT(Contract_Edits[[#This Row],[Index]],"0"),
      0,
      MAX(0, SUMPRODUCT(--(Contract_Edits[BaseFlag]=1),
                        --(TEXT(Contract_Edits[Dep],"0")=TEXT(Contract_Edits[[#This Row],[Dep]],"0"))) - 1)
   )
)</f>
        <v>0</v>
      </c>
      <c r="AM70" s="517" t="str" cm="1">
        <f t="array" ref="AM70">IF(Contract_Edits[[#This Row],[BaseFlag]]=1,
   TEXT(Contract_Edits[[#This Row],[Index]],"0"),
   NearestBaseL(TEXT(Contract_Edits[[#This Row],[ParentKey]],"0"),500,editsIdxTxt,editsParentKeyTxt,baseIdxTxt,baseCost)
)</f>
        <v>155</v>
      </c>
      <c r="AN70" s="517" cm="1">
        <f t="array" ref="AN70">1+SUMPRODUCT(
  (Contract_Edits[BaseFlag]=1)*
  (TEXT(Contract_Edits[ParentAnchor],"0")=TEXT(Contract_Edits[[#This Row],[ParentAnchor]],"0"))*
  (VALUE(TEXT(Contract_Edits[Index],"0"))&lt;VALUE(TEXT(Contract_Edits[[#This Row],[Index]],"0")))
)</f>
        <v>1</v>
      </c>
      <c r="AO70" s="35"/>
      <c r="AP70" s="35" t="str">
        <f ca="1">IFERROR(+IF(AP$24=#REF!,Milestone_Marker,IF(AND(AP$24&gt;#REF!,AP$24&lt;#REF!+#REF!),#REF!,"")),"")</f>
        <v/>
      </c>
      <c r="AQ70" s="35" t="str">
        <f ca="1">IFERROR(+IF(AQ$24=#REF!,Milestone_Marker,IF(AND(AQ$24&gt;#REF!,AQ$24&lt;#REF!+#REF!),#REF!,"")),"")</f>
        <v/>
      </c>
      <c r="AR70" s="35" t="str">
        <f ca="1">IFERROR(+IF(AR$24=#REF!,Milestone_Marker,IF(AND(AR$24&gt;#REF!,AR$24&lt;#REF!+#REF!),#REF!,"")),"")</f>
        <v/>
      </c>
      <c r="AS70" s="35" t="str">
        <f ca="1">IFERROR(+IF(AS$24=#REF!,Milestone_Marker,IF(AND(AS$24&gt;#REF!,AS$24&lt;#REF!+#REF!),#REF!,"")),"")</f>
        <v/>
      </c>
      <c r="AT70" s="35" t="str">
        <f ca="1">IFERROR(+IF(AT$24=#REF!,Milestone_Marker,IF(AND(AT$24&gt;#REF!,AT$24&lt;#REF!+#REF!),#REF!,"")),"")</f>
        <v/>
      </c>
      <c r="AU70" s="35" t="str">
        <f ca="1">IFERROR(+IF(AU$24=#REF!,Milestone_Marker,IF(AND(AU$24&gt;#REF!,AU$24&lt;#REF!+#REF!),#REF!,"")),"")</f>
        <v/>
      </c>
      <c r="AV70" s="35" t="str">
        <f ca="1">IFERROR(+IF(AV$24=#REF!,Milestone_Marker,IF(AND(AV$24&gt;#REF!,AV$24&lt;#REF!+#REF!),#REF!,"")),"")</f>
        <v/>
      </c>
      <c r="AW70" s="35" t="str">
        <f ca="1">IFERROR(+IF(AW$24=#REF!,Milestone_Marker,IF(AND(AW$24&gt;#REF!,AW$24&lt;#REF!+#REF!),#REF!,"")),"")</f>
        <v/>
      </c>
      <c r="AX70" s="35" t="str">
        <f ca="1">IFERROR(+IF(AX$24=#REF!,Milestone_Marker,IF(AND(AX$24&gt;#REF!,AX$24&lt;#REF!+#REF!),#REF!,"")),"")</f>
        <v/>
      </c>
      <c r="AY70" s="35" t="str">
        <f ca="1">IFERROR(+IF(AY$24=#REF!,Milestone_Marker,IF(AND(AY$24&gt;#REF!,AY$24&lt;#REF!+#REF!),#REF!,"")),"")</f>
        <v/>
      </c>
      <c r="AZ70" s="35" t="str">
        <f ca="1">IFERROR(+IF(AZ$24=#REF!,Milestone_Marker,IF(AND(AZ$24&gt;#REF!,AZ$24&lt;#REF!+#REF!),#REF!,"")),"")</f>
        <v/>
      </c>
      <c r="BA70" s="35" t="str">
        <f ca="1">IFERROR(+IF(BA$24=#REF!,Milestone_Marker,IF(AND(BA$24&gt;#REF!,BA$24&lt;#REF!+#REF!),#REF!,"")),"")</f>
        <v/>
      </c>
      <c r="BB70" s="35" t="str">
        <f ca="1">IFERROR(+IF(BB$24=#REF!,Milestone_Marker,IF(AND(BB$24&gt;#REF!,BB$24&lt;#REF!+#REF!),#REF!,"")),"")</f>
        <v/>
      </c>
      <c r="BC70" s="35" t="str">
        <f ca="1">IFERROR(+IF(BC$24=#REF!,Milestone_Marker,IF(AND(BC$24&gt;#REF!,BC$24&lt;#REF!+#REF!),#REF!,"")),"")</f>
        <v/>
      </c>
      <c r="BD70" s="35" t="str">
        <f ca="1">IFERROR(+IF(BD$24=#REF!,Milestone_Marker,IF(AND(BD$24&gt;#REF!,BD$24&lt;#REF!+#REF!),#REF!,"")),"")</f>
        <v/>
      </c>
      <c r="BE70" s="35" t="str">
        <f ca="1">IFERROR(+IF(BE$24=#REF!,Milestone_Marker,IF(AND(BE$24&gt;#REF!,BE$24&lt;#REF!+#REF!),#REF!,"")),"")</f>
        <v/>
      </c>
      <c r="BF70" s="35" t="str">
        <f ca="1">IFERROR(+IF(BF$24=#REF!,Milestone_Marker,IF(AND(BF$24&gt;#REF!,BF$24&lt;#REF!+#REF!),#REF!,"")),"")</f>
        <v/>
      </c>
      <c r="BG70" s="35" t="str">
        <f ca="1">IFERROR(+IF(BG$24=#REF!,Milestone_Marker,IF(AND(BG$24&gt;#REF!,BG$24&lt;#REF!+#REF!),#REF!,"")),"")</f>
        <v/>
      </c>
      <c r="BH70" s="35" t="str">
        <f ca="1">IFERROR(+IF(BH$24=#REF!,Milestone_Marker,IF(AND(BH$24&gt;#REF!,BH$24&lt;#REF!+#REF!),#REF!,"")),"")</f>
        <v/>
      </c>
      <c r="BI70" s="35" t="str">
        <f ca="1">IFERROR(+IF(BI$24=#REF!,Milestone_Marker,IF(AND(BI$24&gt;#REF!,BI$24&lt;#REF!+#REF!),#REF!,"")),"")</f>
        <v/>
      </c>
      <c r="BJ70" s="35" t="str">
        <f ca="1">IFERROR(+IF(BJ$24=#REF!,Milestone_Marker,IF(AND(BJ$24&gt;#REF!,BJ$24&lt;#REF!+#REF!),#REF!,"")),"")</f>
        <v/>
      </c>
      <c r="BK70" s="35" t="str">
        <f ca="1">IFERROR(+IF(BK$24=#REF!,Milestone_Marker,IF(AND(BK$24&gt;#REF!,BK$24&lt;#REF!+#REF!),#REF!,"")),"")</f>
        <v/>
      </c>
      <c r="BL70" s="35" t="str">
        <f ca="1">IFERROR(+IF(BL$24=#REF!,Milestone_Marker,IF(AND(BL$24&gt;#REF!,BL$24&lt;#REF!+#REF!),#REF!,"")),"")</f>
        <v/>
      </c>
      <c r="BM70" s="35" t="str">
        <f ca="1">IFERROR(+IF(BM$24=#REF!,Milestone_Marker,IF(AND(BM$24&gt;#REF!,BM$24&lt;#REF!+#REF!),#REF!,"")),"")</f>
        <v/>
      </c>
      <c r="BN70" s="35" t="str">
        <f ca="1">IFERROR(+IF(BN$24=#REF!,Milestone_Marker,IF(AND(BN$24&gt;#REF!,BN$24&lt;#REF!+#REF!),#REF!,"")),"")</f>
        <v/>
      </c>
      <c r="BO70" s="35" t="str">
        <f ca="1">IFERROR(+IF(BO$24=#REF!,Milestone_Marker,IF(AND(BO$24&gt;#REF!,BO$24&lt;#REF!+#REF!),#REF!,"")),"")</f>
        <v/>
      </c>
      <c r="BP70" s="35" t="str">
        <f ca="1">IFERROR(+IF(BP$24=#REF!,Milestone_Marker,IF(AND(BP$24&gt;#REF!,BP$24&lt;#REF!+#REF!),#REF!,"")),"")</f>
        <v/>
      </c>
      <c r="BQ70" s="35" t="str">
        <f ca="1">IFERROR(+IF(BQ$24=#REF!,Milestone_Marker,IF(AND(BQ$24&gt;#REF!,BQ$24&lt;#REF!+#REF!),#REF!,"")),"")</f>
        <v/>
      </c>
      <c r="BR70" s="35" t="str">
        <f ca="1">IFERROR(+IF(BR$24=#REF!,Milestone_Marker,IF(AND(BR$24&gt;#REF!,BR$24&lt;#REF!+#REF!),#REF!,"")),"")</f>
        <v/>
      </c>
      <c r="BS70" s="35" t="str">
        <f ca="1">IFERROR(+IF(BS$24=#REF!,Milestone_Marker,IF(AND(BS$24&gt;#REF!,BS$24&lt;#REF!+#REF!),#REF!,"")),"")</f>
        <v/>
      </c>
      <c r="BT70" s="35" t="str">
        <f ca="1">IFERROR(+IF(BT$24=#REF!,Milestone_Marker,IF(AND(BT$24&gt;#REF!,BT$24&lt;#REF!+#REF!),#REF!,"")),"")</f>
        <v/>
      </c>
      <c r="BU70" s="35" t="str">
        <f ca="1">IFERROR(+IF(BU$24=#REF!,Milestone_Marker,IF(AND(BU$24&gt;#REF!,BU$24&lt;#REF!+#REF!),#REF!,"")),"")</f>
        <v/>
      </c>
      <c r="BV70" s="35" t="str">
        <f ca="1">IFERROR(+IF(BV$24=#REF!,Milestone_Marker,IF(AND(BV$24&gt;#REF!,BV$24&lt;#REF!+#REF!),#REF!,"")),"")</f>
        <v/>
      </c>
      <c r="BW70" s="35" t="str">
        <f ca="1">IFERROR(+IF(BW$24=#REF!,Milestone_Marker,IF(AND(BW$24&gt;#REF!,BW$24&lt;#REF!+#REF!),#REF!,"")),"")</f>
        <v/>
      </c>
      <c r="BX70" s="35" t="str">
        <f ca="1">IFERROR(+IF(BX$24=#REF!,Milestone_Marker,IF(AND(BX$24&gt;#REF!,BX$24&lt;#REF!+#REF!),#REF!,"")),"")</f>
        <v/>
      </c>
      <c r="BY70" s="35" t="str">
        <f ca="1">IFERROR(+IF(BY$24=#REF!,Milestone_Marker,IF(AND(BY$24&gt;#REF!,BY$24&lt;#REF!+#REF!),#REF!,"")),"")</f>
        <v/>
      </c>
      <c r="BZ70" s="35" t="str">
        <f ca="1">IFERROR(+IF(BZ$24=#REF!,Milestone_Marker,IF(AND(BZ$24&gt;#REF!,BZ$24&lt;#REF!+#REF!),#REF!,"")),"")</f>
        <v/>
      </c>
      <c r="CA70" s="35" t="str">
        <f ca="1">IFERROR(+IF(CA$24=#REF!,Milestone_Marker,IF(AND(CA$24&gt;#REF!,CA$24&lt;#REF!+#REF!),#REF!,"")),"")</f>
        <v/>
      </c>
      <c r="CB70" s="35" t="str">
        <f ca="1">IFERROR(+IF(CB$24=#REF!,Milestone_Marker,IF(AND(CB$24&gt;#REF!,CB$24&lt;#REF!+#REF!),#REF!,"")),"")</f>
        <v/>
      </c>
      <c r="CC70" s="35" t="str">
        <f ca="1">IFERROR(+IF(CC$24=#REF!,Milestone_Marker,IF(AND(CC$24&gt;#REF!,CC$24&lt;#REF!+#REF!),#REF!,"")),"")</f>
        <v/>
      </c>
      <c r="CD70" s="35" t="str">
        <f ca="1">IFERROR(+IF(CD$24=#REF!,Milestone_Marker,IF(AND(CD$24&gt;#REF!,CD$24&lt;#REF!+#REF!),#REF!,"")),"")</f>
        <v/>
      </c>
      <c r="CE70" s="35" t="str">
        <f ca="1">IFERROR(+IF(CE$24=#REF!,Milestone_Marker,IF(AND(CE$24&gt;#REF!,CE$24&lt;#REF!+#REF!),#REF!,"")),"")</f>
        <v/>
      </c>
      <c r="CF70" s="35" t="str">
        <f ca="1">IFERROR(+IF(CF$24=#REF!,Milestone_Marker,IF(AND(CF$24&gt;#REF!,CF$24&lt;#REF!+#REF!),#REF!,"")),"")</f>
        <v/>
      </c>
      <c r="CG70" s="35" t="str">
        <f ca="1">IFERROR(+IF(CG$24=#REF!,Milestone_Marker,IF(AND(CG$24&gt;#REF!,CG$24&lt;#REF!+#REF!),#REF!,"")),"")</f>
        <v/>
      </c>
      <c r="CH70" s="35" t="str">
        <f ca="1">IFERROR(+IF(CH$24=#REF!,Milestone_Marker,IF(AND(CH$24&gt;#REF!,CH$24&lt;#REF!+#REF!),#REF!,"")),"")</f>
        <v/>
      </c>
      <c r="CI70" s="35" t="str">
        <f ca="1">IFERROR(+IF(CI$24=#REF!,Milestone_Marker,IF(AND(CI$24&gt;#REF!,CI$24&lt;#REF!+#REF!),#REF!,"")),"")</f>
        <v/>
      </c>
      <c r="CJ70" s="35" t="str">
        <f ca="1">IFERROR(+IF(CJ$24=#REF!,Milestone_Marker,IF(AND(CJ$24&gt;#REF!,CJ$24&lt;#REF!+#REF!),#REF!,"")),"")</f>
        <v/>
      </c>
      <c r="CK70" s="35" t="str">
        <f ca="1">IFERROR(+IF(CK$24=#REF!,Milestone_Marker,IF(AND(CK$24&gt;#REF!,CK$24&lt;#REF!+#REF!),#REF!,"")),"")</f>
        <v/>
      </c>
      <c r="CL70" s="35" t="str">
        <f ca="1">IFERROR(+IF(CL$24=#REF!,Milestone_Marker,IF(AND(CL$24&gt;#REF!,CL$24&lt;#REF!+#REF!),#REF!,"")),"")</f>
        <v/>
      </c>
      <c r="CM70" s="35" t="str">
        <f ca="1">IFERROR(+IF(CM$24=#REF!,Milestone_Marker,IF(AND(CM$24&gt;#REF!,CM$24&lt;#REF!+#REF!),#REF!,"")),"")</f>
        <v/>
      </c>
      <c r="CN70" s="35" t="str">
        <f ca="1">IFERROR(+IF(CN$24=#REF!,Milestone_Marker,IF(AND(CN$24&gt;#REF!,CN$24&lt;#REF!+#REF!),#REF!,"")),"")</f>
        <v/>
      </c>
      <c r="CO70" s="35" t="str">
        <f ca="1">IFERROR(+IF(CO$24=#REF!,Milestone_Marker,IF(AND(CO$24&gt;#REF!,CO$24&lt;#REF!+#REF!),#REF!,"")),"")</f>
        <v/>
      </c>
      <c r="CP70" s="35" t="str">
        <f ca="1">IFERROR(+IF(CP$24=#REF!,Milestone_Marker,IF(AND(CP$24&gt;#REF!,CP$24&lt;#REF!+#REF!),#REF!,"")),"")</f>
        <v/>
      </c>
      <c r="CQ70" s="35" t="str">
        <f ca="1">IFERROR(+IF(CQ$24=#REF!,Milestone_Marker,IF(AND(CQ$24&gt;#REF!,CQ$24&lt;#REF!+#REF!),#REF!,"")),"")</f>
        <v/>
      </c>
      <c r="CR70" s="35" t="str">
        <f ca="1">IFERROR(+IF(CR$24=#REF!,Milestone_Marker,IF(AND(CR$24&gt;#REF!,CR$24&lt;#REF!+#REF!),#REF!,"")),"")</f>
        <v/>
      </c>
      <c r="CS70" s="35" t="str">
        <f ca="1">IFERROR(+IF(CS$24=#REF!,Milestone_Marker,IF(AND(CS$24&gt;#REF!,CS$24&lt;#REF!+#REF!),#REF!,"")),"")</f>
        <v/>
      </c>
      <c r="CT70" s="35" t="str">
        <f ca="1">IFERROR(+IF(CT$24=#REF!,Milestone_Marker,IF(AND(CT$24&gt;#REF!,CT$24&lt;#REF!+#REF!),#REF!,"")),"")</f>
        <v/>
      </c>
      <c r="CU70" s="35" t="str">
        <f ca="1">IFERROR(+IF(CU$24=#REF!,Milestone_Marker,IF(AND(CU$24&gt;#REF!,CU$24&lt;#REF!+#REF!),#REF!,"")),"")</f>
        <v/>
      </c>
      <c r="CV70" s="35" t="str">
        <f ca="1">IFERROR(+IF(CV$24=#REF!,Milestone_Marker,IF(AND(CV$24&gt;#REF!,CV$24&lt;#REF!+#REF!),#REF!,"")),"")</f>
        <v/>
      </c>
      <c r="CW70" s="35" t="str">
        <f ca="1">IFERROR(+IF(CW$24=#REF!,Milestone_Marker,IF(AND(CW$24&gt;#REF!,CW$24&lt;#REF!+#REF!),#REF!,"")),"")</f>
        <v/>
      </c>
      <c r="CX70" s="35" t="str">
        <f ca="1">IFERROR(+IF(CX$24=#REF!,Milestone_Marker,IF(AND(CX$24&gt;#REF!,CX$24&lt;#REF!+#REF!),#REF!,"")),"")</f>
        <v/>
      </c>
      <c r="CY70" s="35" t="str">
        <f ca="1">IFERROR(+IF(CY$24=#REF!,Milestone_Marker,IF(AND(CY$24&gt;#REF!,CY$24&lt;#REF!+#REF!),#REF!,"")),"")</f>
        <v/>
      </c>
      <c r="CZ70" s="35" t="str">
        <f ca="1">IFERROR(+IF(CZ$24=#REF!,Milestone_Marker,IF(AND(CZ$24&gt;#REF!,CZ$24&lt;#REF!+#REF!),#REF!,"")),"")</f>
        <v/>
      </c>
      <c r="DA70" s="35" t="str">
        <f ca="1">IFERROR(+IF(DA$24=#REF!,Milestone_Marker,IF(AND(DA$24&gt;#REF!,DA$24&lt;#REF!+#REF!),#REF!,"")),"")</f>
        <v/>
      </c>
      <c r="DB70" s="35" t="str">
        <f ca="1">IFERROR(+IF(DB$24=#REF!,Milestone_Marker,IF(AND(DB$24&gt;#REF!,DB$24&lt;#REF!+#REF!),#REF!,"")),"")</f>
        <v/>
      </c>
      <c r="DC70" s="35" t="str">
        <f ca="1">IFERROR(+IF(DC$24=#REF!,Milestone_Marker,IF(AND(DC$24&gt;#REF!,DC$24&lt;#REF!+#REF!),#REF!,"")),"")</f>
        <v/>
      </c>
      <c r="DD70" s="35" t="str">
        <f ca="1">IFERROR(+IF(DD$24=#REF!,Milestone_Marker,IF(AND(DD$24&gt;#REF!,DD$24&lt;#REF!+#REF!),#REF!,"")),"")</f>
        <v/>
      </c>
      <c r="DE70" s="35" t="str">
        <f ca="1">IFERROR(+IF(DE$24=#REF!,Milestone_Marker,IF(AND(DE$24&gt;#REF!,DE$24&lt;#REF!+#REF!),#REF!,"")),"")</f>
        <v/>
      </c>
      <c r="DF70" s="35"/>
      <c r="DG70" s="35"/>
      <c r="DH70" s="35"/>
      <c r="DI70" s="35"/>
      <c r="DJ70" s="35"/>
      <c r="DK70" s="35"/>
      <c r="DL70" s="35"/>
      <c r="DM70" s="35"/>
      <c r="DN70" s="35"/>
      <c r="DO70" s="35"/>
      <c r="DP70" s="35"/>
      <c r="DQ70" s="35"/>
      <c r="DR70" s="35"/>
      <c r="DS70" s="35"/>
      <c r="DT70" s="35"/>
      <c r="DU70" s="35"/>
      <c r="DV70" s="35"/>
      <c r="DW70" s="35"/>
      <c r="DX70" s="35"/>
      <c r="DY70" s="35"/>
      <c r="DZ70" s="35"/>
      <c r="EA70" s="35"/>
      <c r="EB70" s="35"/>
      <c r="EC70" s="35"/>
      <c r="ED70" s="35"/>
      <c r="EE70" s="35"/>
    </row>
    <row r="71" spans="1:135" ht="15">
      <c r="A71" t="s">
        <v>467</v>
      </c>
      <c r="B71" t="s">
        <v>793</v>
      </c>
      <c r="C71" t="s">
        <v>1457</v>
      </c>
      <c r="D71" s="458" t="s">
        <v>1458</v>
      </c>
      <c r="E71" s="458">
        <v>1</v>
      </c>
      <c r="F71"/>
      <c r="G71"/>
      <c r="H71">
        <v>155</v>
      </c>
      <c r="I71"/>
      <c r="J71">
        <v>191</v>
      </c>
      <c r="K71" s="107"/>
      <c r="L71" s="463">
        <v>191</v>
      </c>
      <c r="M71" s="543"/>
      <c r="N71" s="544"/>
      <c r="O71" s="546" cm="1">
        <f t="array" ref="O7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71" s="568"/>
      <c r="Q71" s="568"/>
      <c r="R71" s="499"/>
      <c r="S71" s="463" cm="1">
        <f t="array" ref="S7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71" s="34"/>
      <c r="U71" s="490">
        <v>25</v>
      </c>
      <c r="V7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65.012500000000003</v>
      </c>
      <c r="W71" s="557"/>
      <c r="X71" s="545"/>
      <c r="Y71" s="548" t="s">
        <v>865</v>
      </c>
      <c r="Z71" s="160" t="s">
        <v>458</v>
      </c>
      <c r="AA71" s="563"/>
      <c r="AB71" s="34" cm="1">
        <f t="array" ref="AB71">ROW()-ROW(Contract_Edits[#Headers])</f>
        <v>47</v>
      </c>
      <c r="AC71" s="34">
        <f>IF(Contract_Edits[[#This Row],[RowPos]]&gt;1, Contract_Edits[[#This Row],[RowPos]]-1, 0)</f>
        <v>46</v>
      </c>
      <c r="AD71" s="35">
        <f>IF(N(Contract_Edits[[#This Row],[Dep]])=0, N(Contract_Edits[[#This Row],[Index]]), N(Contract_Edits[[#This Row],[Dep]]))</f>
        <v>155</v>
      </c>
      <c r="AE71" s="35" cm="1">
        <f t="array" ref="AE71">IF(OR(Contract_Edits[[#This Row],[Dep]]=0, TRIM(Contract_Edits[[#This Row],[Dep]])=""),
   0,
   IFERROR(
      _xlfn.XLOOKUP(1, (Contract_Edits[Dep]=Contract_Edits[[#This Row],[Dep]])*(Contract_Edits[RowPos]&lt;Contract_Edits[[#This Row],[RowPos]]), Contract_Edits[RowPos], , 0, -1),
      0
   )
)</f>
        <v>46</v>
      </c>
      <c r="AF71" s="35">
        <f>IF(OR(Contract_Edits[[#This Row],[Dep]]=0,Contract_Edits[[#This Row],[Dep]]=""),0,
   COUNTIFS(Contract_Edits[Dep],Contract_Edits[[#This Row],[Dep]],Contract_Edits[RowPos],"&lt;="&amp;Contract_Edits[[#This Row],[RowPos]],Contract_Edits[Approve],"Yes")
)</f>
        <v>14</v>
      </c>
      <c r="AG71" s="517">
        <f>--(
  ISNUMBER(SEARCH("BASE PARENT", UPPER(CLEAN(TRIM(_xlfn.XLOOKUP(TEXT(Contract_Edits[[#This Row],[Index]],"0"), baseIdxTxt, baseCost, "")))))) +
  ISNUMBER(SEARCH("DEPENDENCY GROUP", UPPER(CLEAN(TRIM(_xlfn.XLOOKUP(TEXT(Contract_Edits[[#This Row],[Index]],"0"), baseIdxTxt, baseCost, ""))))))
)</f>
        <v>0</v>
      </c>
      <c r="AH71" s="517" t="str" cm="1">
        <f t="array" ref="AH71">IF(Contract_Edits[[#This Row],[BaseFlag]]=1,
   10*BaseDepthL(TEXT(Contract_Edits[[#This Row],[Index]],"0"),500,editsIdxTxt,editsParentKeyTxt,baseIdxTxt,baseCost)-5,
   ""
)</f>
        <v/>
      </c>
      <c r="AI71" s="517" cm="1">
        <f t="array" ref="AI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71" s="517" t="str">
        <f>IF(Contract_Edits[[#This Row],[Dep]]=0,"Root",
   IF(ISNUMBER(MATCH(Contract_Edits[[#This Row],[Dep]],Contract_Edits[Index],0)),"OK","Missing")
)</f>
        <v>OK</v>
      </c>
      <c r="AK71" s="517" t="str">
        <f>IF(AND(Contract_Edits[[#This Row],[Dep]]&lt;&gt;0,
        ISNUMBER(MATCH(Contract_Edits[[#This Row],[Dep]], Contract_Edits[Index], 0)),
        INDEX(Contract_Edits[Dep], MATCH(Contract_Edits[[#This Row],[Dep]], Contract_Edits[Index], 0))=Contract_Edits[[#This Row],[Index]]),
   "2-cycle","")</f>
        <v/>
      </c>
      <c r="AL71" s="517" cm="1">
        <f t="array" ref="AL71">IF(Contract_Edits[[#This Row],[BaseFlag]]&lt;&gt;1,0,
   IF(TEXT(Contract_Edits[[#This Row],[Dep]],"0")=TEXT(Contract_Edits[[#This Row],[Index]],"0"),
      0,
      MAX(0, SUMPRODUCT(--(Contract_Edits[BaseFlag]=1),
                        --(TEXT(Contract_Edits[Dep],"0")=TEXT(Contract_Edits[[#This Row],[Dep]],"0"))) - 1)
   )
)</f>
        <v>0</v>
      </c>
      <c r="AM71" s="517" t="str" cm="1">
        <f t="array" ref="AM71">IF(Contract_Edits[[#This Row],[BaseFlag]]=1,
   TEXT(Contract_Edits[[#This Row],[Index]],"0"),
   NearestBaseL(TEXT(Contract_Edits[[#This Row],[ParentKey]],"0"),500,editsIdxTxt,editsParentKeyTxt,baseIdxTxt,baseCost)
)</f>
        <v>155</v>
      </c>
      <c r="AN71" s="517" cm="1">
        <f t="array" ref="AN71">1+SUMPRODUCT(
  (Contract_Edits[BaseFlag]=1)*
  (TEXT(Contract_Edits[ParentAnchor],"0")=TEXT(Contract_Edits[[#This Row],[ParentAnchor]],"0"))*
  (VALUE(TEXT(Contract_Edits[Index],"0"))&lt;VALUE(TEXT(Contract_Edits[[#This Row],[Index]],"0")))
)</f>
        <v>5</v>
      </c>
      <c r="AO71" s="35"/>
      <c r="AP71" s="35" t="str">
        <f ca="1">IFERROR(+IF(AP$24=#REF!,Milestone_Marker,IF(AND(AP$24&gt;#REF!,AP$24&lt;#REF!+#REF!),#REF!,"")),"")</f>
        <v/>
      </c>
      <c r="AQ71" s="35" t="str">
        <f ca="1">IFERROR(+IF(AQ$24=#REF!,Milestone_Marker,IF(AND(AQ$24&gt;#REF!,AQ$24&lt;#REF!+#REF!),#REF!,"")),"")</f>
        <v/>
      </c>
      <c r="AR71" s="35" t="str">
        <f ca="1">IFERROR(+IF(AR$24=#REF!,Milestone_Marker,IF(AND(AR$24&gt;#REF!,AR$24&lt;#REF!+#REF!),#REF!,"")),"")</f>
        <v/>
      </c>
      <c r="AS71" s="35" t="str">
        <f ca="1">IFERROR(+IF(AS$24=#REF!,Milestone_Marker,IF(AND(AS$24&gt;#REF!,AS$24&lt;#REF!+#REF!),#REF!,"")),"")</f>
        <v/>
      </c>
      <c r="AT71" s="35" t="str">
        <f ca="1">IFERROR(+IF(AT$24=#REF!,Milestone_Marker,IF(AND(AT$24&gt;#REF!,AT$24&lt;#REF!+#REF!),#REF!,"")),"")</f>
        <v/>
      </c>
      <c r="AU71" s="35" t="str">
        <f ca="1">IFERROR(+IF(AU$24=#REF!,Milestone_Marker,IF(AND(AU$24&gt;#REF!,AU$24&lt;#REF!+#REF!),#REF!,"")),"")</f>
        <v/>
      </c>
      <c r="AV71" s="35" t="str">
        <f ca="1">IFERROR(+IF(AV$24=#REF!,Milestone_Marker,IF(AND(AV$24&gt;#REF!,AV$24&lt;#REF!+#REF!),#REF!,"")),"")</f>
        <v/>
      </c>
      <c r="AW71" s="35" t="str">
        <f ca="1">IFERROR(+IF(AW$24=#REF!,Milestone_Marker,IF(AND(AW$24&gt;#REF!,AW$24&lt;#REF!+#REF!),#REF!,"")),"")</f>
        <v/>
      </c>
      <c r="AX71" s="35" t="str">
        <f ca="1">IFERROR(+IF(AX$24=#REF!,Milestone_Marker,IF(AND(AX$24&gt;#REF!,AX$24&lt;#REF!+#REF!),#REF!,"")),"")</f>
        <v/>
      </c>
      <c r="AY71" s="35" t="str">
        <f ca="1">IFERROR(+IF(AY$24=#REF!,Milestone_Marker,IF(AND(AY$24&gt;#REF!,AY$24&lt;#REF!+#REF!),#REF!,"")),"")</f>
        <v/>
      </c>
      <c r="AZ71" s="35" t="str">
        <f ca="1">IFERROR(+IF(AZ$24=#REF!,Milestone_Marker,IF(AND(AZ$24&gt;#REF!,AZ$24&lt;#REF!+#REF!),#REF!,"")),"")</f>
        <v/>
      </c>
      <c r="BA71" s="35" t="str">
        <f ca="1">IFERROR(+IF(BA$24=#REF!,Milestone_Marker,IF(AND(BA$24&gt;#REF!,BA$24&lt;#REF!+#REF!),#REF!,"")),"")</f>
        <v/>
      </c>
      <c r="BB71" s="35" t="str">
        <f ca="1">IFERROR(+IF(BB$24=#REF!,Milestone_Marker,IF(AND(BB$24&gt;#REF!,BB$24&lt;#REF!+#REF!),#REF!,"")),"")</f>
        <v/>
      </c>
      <c r="BC71" s="35" t="str">
        <f ca="1">IFERROR(+IF(BC$24=#REF!,Milestone_Marker,IF(AND(BC$24&gt;#REF!,BC$24&lt;#REF!+#REF!),#REF!,"")),"")</f>
        <v/>
      </c>
      <c r="BD71" s="35" t="str">
        <f ca="1">IFERROR(+IF(BD$24=#REF!,Milestone_Marker,IF(AND(BD$24&gt;#REF!,BD$24&lt;#REF!+#REF!),#REF!,"")),"")</f>
        <v/>
      </c>
      <c r="BE71" s="35" t="str">
        <f ca="1">IFERROR(+IF(BE$24=#REF!,Milestone_Marker,IF(AND(BE$24&gt;#REF!,BE$24&lt;#REF!+#REF!),#REF!,"")),"")</f>
        <v/>
      </c>
      <c r="BF71" s="35" t="str">
        <f ca="1">IFERROR(+IF(BF$24=#REF!,Milestone_Marker,IF(AND(BF$24&gt;#REF!,BF$24&lt;#REF!+#REF!),#REF!,"")),"")</f>
        <v/>
      </c>
      <c r="BG71" s="35" t="str">
        <f ca="1">IFERROR(+IF(BG$24=#REF!,Milestone_Marker,IF(AND(BG$24&gt;#REF!,BG$24&lt;#REF!+#REF!),#REF!,"")),"")</f>
        <v/>
      </c>
      <c r="BH71" s="35" t="str">
        <f ca="1">IFERROR(+IF(BH$24=#REF!,Milestone_Marker,IF(AND(BH$24&gt;#REF!,BH$24&lt;#REF!+#REF!),#REF!,"")),"")</f>
        <v/>
      </c>
      <c r="BI71" s="35" t="str">
        <f ca="1">IFERROR(+IF(BI$24=#REF!,Milestone_Marker,IF(AND(BI$24&gt;#REF!,BI$24&lt;#REF!+#REF!),#REF!,"")),"")</f>
        <v/>
      </c>
      <c r="BJ71" s="35" t="str">
        <f ca="1">IFERROR(+IF(BJ$24=#REF!,Milestone_Marker,IF(AND(BJ$24&gt;#REF!,BJ$24&lt;#REF!+#REF!),#REF!,"")),"")</f>
        <v/>
      </c>
      <c r="BK71" s="35" t="str">
        <f ca="1">IFERROR(+IF(BK$24=#REF!,Milestone_Marker,IF(AND(BK$24&gt;#REF!,BK$24&lt;#REF!+#REF!),#REF!,"")),"")</f>
        <v/>
      </c>
      <c r="BL71" s="35" t="str">
        <f ca="1">IFERROR(+IF(BL$24=#REF!,Milestone_Marker,IF(AND(BL$24&gt;#REF!,BL$24&lt;#REF!+#REF!),#REF!,"")),"")</f>
        <v/>
      </c>
      <c r="BM71" s="35" t="str">
        <f ca="1">IFERROR(+IF(BM$24=#REF!,Milestone_Marker,IF(AND(BM$24&gt;#REF!,BM$24&lt;#REF!+#REF!),#REF!,"")),"")</f>
        <v/>
      </c>
      <c r="BN71" s="35" t="str">
        <f ca="1">IFERROR(+IF(BN$24=#REF!,Milestone_Marker,IF(AND(BN$24&gt;#REF!,BN$24&lt;#REF!+#REF!),#REF!,"")),"")</f>
        <v/>
      </c>
      <c r="BO71" s="35" t="str">
        <f ca="1">IFERROR(+IF(BO$24=#REF!,Milestone_Marker,IF(AND(BO$24&gt;#REF!,BO$24&lt;#REF!+#REF!),#REF!,"")),"")</f>
        <v/>
      </c>
      <c r="BP71" s="35" t="str">
        <f ca="1">IFERROR(+IF(BP$24=#REF!,Milestone_Marker,IF(AND(BP$24&gt;#REF!,BP$24&lt;#REF!+#REF!),#REF!,"")),"")</f>
        <v/>
      </c>
      <c r="BQ71" s="35" t="str">
        <f ca="1">IFERROR(+IF(BQ$24=#REF!,Milestone_Marker,IF(AND(BQ$24&gt;#REF!,BQ$24&lt;#REF!+#REF!),#REF!,"")),"")</f>
        <v/>
      </c>
      <c r="BR71" s="35" t="str">
        <f ca="1">IFERROR(+IF(BR$24=#REF!,Milestone_Marker,IF(AND(BR$24&gt;#REF!,BR$24&lt;#REF!+#REF!),#REF!,"")),"")</f>
        <v/>
      </c>
      <c r="BS71" s="35" t="str">
        <f ca="1">IFERROR(+IF(BS$24=#REF!,Milestone_Marker,IF(AND(BS$24&gt;#REF!,BS$24&lt;#REF!+#REF!),#REF!,"")),"")</f>
        <v/>
      </c>
      <c r="BT71" s="35" t="str">
        <f ca="1">IFERROR(+IF(BT$24=#REF!,Milestone_Marker,IF(AND(BT$24&gt;#REF!,BT$24&lt;#REF!+#REF!),#REF!,"")),"")</f>
        <v/>
      </c>
      <c r="BU71" s="35" t="str">
        <f ca="1">IFERROR(+IF(BU$24=#REF!,Milestone_Marker,IF(AND(BU$24&gt;#REF!,BU$24&lt;#REF!+#REF!),#REF!,"")),"")</f>
        <v/>
      </c>
      <c r="BV71" s="35" t="str">
        <f ca="1">IFERROR(+IF(BV$24=#REF!,Milestone_Marker,IF(AND(BV$24&gt;#REF!,BV$24&lt;#REF!+#REF!),#REF!,"")),"")</f>
        <v/>
      </c>
      <c r="BW71" s="35" t="str">
        <f ca="1">IFERROR(+IF(BW$24=#REF!,Milestone_Marker,IF(AND(BW$24&gt;#REF!,BW$24&lt;#REF!+#REF!),#REF!,"")),"")</f>
        <v/>
      </c>
      <c r="BX71" s="35" t="str">
        <f ca="1">IFERROR(+IF(BX$24=#REF!,Milestone_Marker,IF(AND(BX$24&gt;#REF!,BX$24&lt;#REF!+#REF!),#REF!,"")),"")</f>
        <v/>
      </c>
      <c r="BY71" s="35" t="str">
        <f ca="1">IFERROR(+IF(BY$24=#REF!,Milestone_Marker,IF(AND(BY$24&gt;#REF!,BY$24&lt;#REF!+#REF!),#REF!,"")),"")</f>
        <v/>
      </c>
      <c r="BZ71" s="35" t="str">
        <f ca="1">IFERROR(+IF(BZ$24=#REF!,Milestone_Marker,IF(AND(BZ$24&gt;#REF!,BZ$24&lt;#REF!+#REF!),#REF!,"")),"")</f>
        <v/>
      </c>
      <c r="CA71" s="35" t="str">
        <f ca="1">IFERROR(+IF(CA$24=#REF!,Milestone_Marker,IF(AND(CA$24&gt;#REF!,CA$24&lt;#REF!+#REF!),#REF!,"")),"")</f>
        <v/>
      </c>
      <c r="CB71" s="35" t="str">
        <f ca="1">IFERROR(+IF(CB$24=#REF!,Milestone_Marker,IF(AND(CB$24&gt;#REF!,CB$24&lt;#REF!+#REF!),#REF!,"")),"")</f>
        <v/>
      </c>
      <c r="CC71" s="35" t="str">
        <f ca="1">IFERROR(+IF(CC$24=#REF!,Milestone_Marker,IF(AND(CC$24&gt;#REF!,CC$24&lt;#REF!+#REF!),#REF!,"")),"")</f>
        <v/>
      </c>
      <c r="CD71" s="35" t="str">
        <f ca="1">IFERROR(+IF(CD$24=#REF!,Milestone_Marker,IF(AND(CD$24&gt;#REF!,CD$24&lt;#REF!+#REF!),#REF!,"")),"")</f>
        <v/>
      </c>
      <c r="CE71" s="35" t="str">
        <f ca="1">IFERROR(+IF(CE$24=#REF!,Milestone_Marker,IF(AND(CE$24&gt;#REF!,CE$24&lt;#REF!+#REF!),#REF!,"")),"")</f>
        <v/>
      </c>
      <c r="CF71" s="35" t="str">
        <f ca="1">IFERROR(+IF(CF$24=#REF!,Milestone_Marker,IF(AND(CF$24&gt;#REF!,CF$24&lt;#REF!+#REF!),#REF!,"")),"")</f>
        <v/>
      </c>
      <c r="CG71" s="35" t="str">
        <f ca="1">IFERROR(+IF(CG$24=#REF!,Milestone_Marker,IF(AND(CG$24&gt;#REF!,CG$24&lt;#REF!+#REF!),#REF!,"")),"")</f>
        <v/>
      </c>
      <c r="CH71" s="35" t="str">
        <f ca="1">IFERROR(+IF(CH$24=#REF!,Milestone_Marker,IF(AND(CH$24&gt;#REF!,CH$24&lt;#REF!+#REF!),#REF!,"")),"")</f>
        <v/>
      </c>
      <c r="CI71" s="35" t="str">
        <f ca="1">IFERROR(+IF(CI$24=#REF!,Milestone_Marker,IF(AND(CI$24&gt;#REF!,CI$24&lt;#REF!+#REF!),#REF!,"")),"")</f>
        <v/>
      </c>
      <c r="CJ71" s="35" t="str">
        <f ca="1">IFERROR(+IF(CJ$24=#REF!,Milestone_Marker,IF(AND(CJ$24&gt;#REF!,CJ$24&lt;#REF!+#REF!),#REF!,"")),"")</f>
        <v/>
      </c>
      <c r="CK71" s="35" t="str">
        <f ca="1">IFERROR(+IF(CK$24=#REF!,Milestone_Marker,IF(AND(CK$24&gt;#REF!,CK$24&lt;#REF!+#REF!),#REF!,"")),"")</f>
        <v/>
      </c>
      <c r="CL71" s="35" t="str">
        <f ca="1">IFERROR(+IF(CL$24=#REF!,Milestone_Marker,IF(AND(CL$24&gt;#REF!,CL$24&lt;#REF!+#REF!),#REF!,"")),"")</f>
        <v/>
      </c>
      <c r="CM71" s="35" t="str">
        <f ca="1">IFERROR(+IF(CM$24=#REF!,Milestone_Marker,IF(AND(CM$24&gt;#REF!,CM$24&lt;#REF!+#REF!),#REF!,"")),"")</f>
        <v/>
      </c>
      <c r="CN71" s="35" t="str">
        <f ca="1">IFERROR(+IF(CN$24=#REF!,Milestone_Marker,IF(AND(CN$24&gt;#REF!,CN$24&lt;#REF!+#REF!),#REF!,"")),"")</f>
        <v/>
      </c>
      <c r="CO71" s="35" t="str">
        <f ca="1">IFERROR(+IF(CO$24=#REF!,Milestone_Marker,IF(AND(CO$24&gt;#REF!,CO$24&lt;#REF!+#REF!),#REF!,"")),"")</f>
        <v/>
      </c>
      <c r="CP71" s="35" t="str">
        <f ca="1">IFERROR(+IF(CP$24=#REF!,Milestone_Marker,IF(AND(CP$24&gt;#REF!,CP$24&lt;#REF!+#REF!),#REF!,"")),"")</f>
        <v/>
      </c>
      <c r="CQ71" s="35" t="str">
        <f ca="1">IFERROR(+IF(CQ$24=#REF!,Milestone_Marker,IF(AND(CQ$24&gt;#REF!,CQ$24&lt;#REF!+#REF!),#REF!,"")),"")</f>
        <v/>
      </c>
      <c r="CR71" s="35" t="str">
        <f ca="1">IFERROR(+IF(CR$24=#REF!,Milestone_Marker,IF(AND(CR$24&gt;#REF!,CR$24&lt;#REF!+#REF!),#REF!,"")),"")</f>
        <v/>
      </c>
      <c r="CS71" s="35" t="str">
        <f ca="1">IFERROR(+IF(CS$24=#REF!,Milestone_Marker,IF(AND(CS$24&gt;#REF!,CS$24&lt;#REF!+#REF!),#REF!,"")),"")</f>
        <v/>
      </c>
      <c r="CT71" s="35" t="str">
        <f ca="1">IFERROR(+IF(CT$24=#REF!,Milestone_Marker,IF(AND(CT$24&gt;#REF!,CT$24&lt;#REF!+#REF!),#REF!,"")),"")</f>
        <v/>
      </c>
      <c r="CU71" s="35" t="str">
        <f ca="1">IFERROR(+IF(CU$24=#REF!,Milestone_Marker,IF(AND(CU$24&gt;#REF!,CU$24&lt;#REF!+#REF!),#REF!,"")),"")</f>
        <v/>
      </c>
      <c r="CV71" s="35" t="str">
        <f ca="1">IFERROR(+IF(CV$24=#REF!,Milestone_Marker,IF(AND(CV$24&gt;#REF!,CV$24&lt;#REF!+#REF!),#REF!,"")),"")</f>
        <v/>
      </c>
      <c r="CW71" s="35" t="str">
        <f ca="1">IFERROR(+IF(CW$24=#REF!,Milestone_Marker,IF(AND(CW$24&gt;#REF!,CW$24&lt;#REF!+#REF!),#REF!,"")),"")</f>
        <v/>
      </c>
      <c r="CX71" s="35" t="str">
        <f ca="1">IFERROR(+IF(CX$24=#REF!,Milestone_Marker,IF(AND(CX$24&gt;#REF!,CX$24&lt;#REF!+#REF!),#REF!,"")),"")</f>
        <v/>
      </c>
      <c r="CY71" s="35" t="str">
        <f ca="1">IFERROR(+IF(CY$24=#REF!,Milestone_Marker,IF(AND(CY$24&gt;#REF!,CY$24&lt;#REF!+#REF!),#REF!,"")),"")</f>
        <v/>
      </c>
      <c r="CZ71" s="35" t="str">
        <f ca="1">IFERROR(+IF(CZ$24=#REF!,Milestone_Marker,IF(AND(CZ$24&gt;#REF!,CZ$24&lt;#REF!+#REF!),#REF!,"")),"")</f>
        <v/>
      </c>
      <c r="DA71" s="35" t="str">
        <f ca="1">IFERROR(+IF(DA$24=#REF!,Milestone_Marker,IF(AND(DA$24&gt;#REF!,DA$24&lt;#REF!+#REF!),#REF!,"")),"")</f>
        <v/>
      </c>
      <c r="DB71" s="35" t="str">
        <f ca="1">IFERROR(+IF(DB$24=#REF!,Milestone_Marker,IF(AND(DB$24&gt;#REF!,DB$24&lt;#REF!+#REF!),#REF!,"")),"")</f>
        <v/>
      </c>
      <c r="DC71" s="35" t="str">
        <f ca="1">IFERROR(+IF(DC$24=#REF!,Milestone_Marker,IF(AND(DC$24&gt;#REF!,DC$24&lt;#REF!+#REF!),#REF!,"")),"")</f>
        <v/>
      </c>
      <c r="DD71" s="35" t="str">
        <f ca="1">IFERROR(+IF(DD$24=#REF!,Milestone_Marker,IF(AND(DD$24&gt;#REF!,DD$24&lt;#REF!+#REF!),#REF!,"")),"")</f>
        <v/>
      </c>
      <c r="DE71" s="35" t="str">
        <f ca="1">IFERROR(+IF(DE$24=#REF!,Milestone_Marker,IF(AND(DE$24&gt;#REF!,DE$24&lt;#REF!+#REF!),#REF!,"")),"")</f>
        <v/>
      </c>
      <c r="DF71" s="35"/>
      <c r="DG71" s="35"/>
      <c r="DH71" s="35"/>
      <c r="DI71" s="35"/>
      <c r="DJ71" s="35"/>
      <c r="DK71" s="35"/>
      <c r="DL71" s="35"/>
      <c r="DM71" s="35"/>
      <c r="DN71" s="35"/>
      <c r="DO71" s="35"/>
      <c r="DP71" s="35"/>
      <c r="DQ71" s="35"/>
      <c r="DR71" s="35"/>
      <c r="DS71" s="35"/>
      <c r="DT71" s="35"/>
      <c r="DU71" s="35"/>
      <c r="DV71" s="35"/>
      <c r="DW71" s="35"/>
      <c r="DX71" s="35"/>
      <c r="DY71" s="35"/>
      <c r="DZ71" s="35"/>
      <c r="EA71" s="35"/>
      <c r="EB71" s="35"/>
      <c r="EC71" s="35"/>
      <c r="ED71" s="35"/>
      <c r="EE71" s="35"/>
    </row>
    <row r="72" spans="1:135" ht="15">
      <c r="A72" t="s">
        <v>747</v>
      </c>
      <c r="B72" t="s">
        <v>744</v>
      </c>
      <c r="C72" t="s">
        <v>745</v>
      </c>
      <c r="D72" s="458" t="s">
        <v>779</v>
      </c>
      <c r="E72" s="458">
        <v>0</v>
      </c>
      <c r="F72"/>
      <c r="G72"/>
      <c r="H72">
        <v>149</v>
      </c>
      <c r="I72"/>
      <c r="J72">
        <v>150</v>
      </c>
      <c r="K72" s="107"/>
      <c r="L72" s="463">
        <v>150</v>
      </c>
      <c r="M72" s="176">
        <v>0</v>
      </c>
      <c r="N72" s="160">
        <v>0</v>
      </c>
      <c r="O72" s="546" cm="1">
        <f t="array" ref="O7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72" s="566"/>
      <c r="Q72" s="566">
        <v>0</v>
      </c>
      <c r="R72" s="22"/>
      <c r="S72" s="463" cm="1">
        <f t="array" ref="S7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72">
        <v>1</v>
      </c>
      <c r="U72" s="176"/>
      <c r="V7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75.010000000000005</v>
      </c>
      <c r="W72" s="497"/>
      <c r="X72" s="176" t="s">
        <v>852</v>
      </c>
      <c r="Y72" s="547" t="s">
        <v>865</v>
      </c>
      <c r="Z72" s="22" t="s">
        <v>458</v>
      </c>
      <c r="AA72" s="562"/>
      <c r="AB72" cm="1">
        <f t="array" ref="AB72">ROW()-ROW(Contract_Edits[#Headers])</f>
        <v>48</v>
      </c>
      <c r="AC72">
        <f>IF(Contract_Edits[[#This Row],[RowPos]]&gt;1, Contract_Edits[[#This Row],[RowPos]]-1, 0)</f>
        <v>47</v>
      </c>
      <c r="AD72" s="35">
        <f>IF(N(Contract_Edits[[#This Row],[Dep]])=0, N(Contract_Edits[[#This Row],[Index]]), N(Contract_Edits[[#This Row],[Dep]]))</f>
        <v>155</v>
      </c>
      <c r="AE72" s="35" cm="1">
        <f t="array" ref="AE72">IF(OR(Contract_Edits[[#This Row],[Dep]]=0, TRIM(Contract_Edits[[#This Row],[Dep]])=""),
   0,
   IFERROR(
      _xlfn.XLOOKUP(1, (Contract_Edits[Dep]=Contract_Edits[[#This Row],[Dep]])*(Contract_Edits[RowPos]&lt;Contract_Edits[[#This Row],[RowPos]]), Contract_Edits[RowPos], , 0, -1),
      0
   )
)</f>
        <v>47</v>
      </c>
      <c r="AF72" s="35">
        <f>IF(OR(Contract_Edits[[#This Row],[Dep]]=0,Contract_Edits[[#This Row],[Dep]]=""),0,
   COUNTIFS(Contract_Edits[Dep],Contract_Edits[[#This Row],[Dep]],Contract_Edits[RowPos],"&lt;="&amp;Contract_Edits[[#This Row],[RowPos]],Contract_Edits[Approve],"Yes")
)</f>
        <v>15</v>
      </c>
      <c r="AG72" s="517">
        <f>--(
  ISNUMBER(SEARCH("BASE PARENT", UPPER(CLEAN(TRIM(_xlfn.XLOOKUP(TEXT(Contract_Edits[[#This Row],[Index]],"0"), baseIdxTxt, baseCost, "")))))) +
  ISNUMBER(SEARCH("DEPENDENCY GROUP", UPPER(CLEAN(TRIM(_xlfn.XLOOKUP(TEXT(Contract_Edits[[#This Row],[Index]],"0"), baseIdxTxt, baseCost, ""))))))
)</f>
        <v>1</v>
      </c>
      <c r="AH72" s="517" cm="1">
        <f t="array" ref="AH72">IF(Contract_Edits[[#This Row],[BaseFlag]]=1,
   10*BaseDepthL(TEXT(Contract_Edits[[#This Row],[Index]],"0"),500,editsIdxTxt,editsParentKeyTxt,baseIdxTxt,baseCost)-5,
   ""
)</f>
        <v>75</v>
      </c>
      <c r="AI72" s="517" cm="1">
        <f t="array" ref="AI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72" s="517" t="str">
        <f>IF(Contract_Edits[[#This Row],[Dep]]=0,"Root",
   IF(ISNUMBER(MATCH(Contract_Edits[[#This Row],[Dep]],Contract_Edits[Index],0)),"OK","Missing")
)</f>
        <v>OK</v>
      </c>
      <c r="AK72" s="517" t="str">
        <f>IF(AND(Contract_Edits[[#This Row],[Dep]]&lt;&gt;0,
        ISNUMBER(MATCH(Contract_Edits[[#This Row],[Dep]], Contract_Edits[Index], 0)),
        INDEX(Contract_Edits[Dep], MATCH(Contract_Edits[[#This Row],[Dep]], Contract_Edits[Index], 0))=Contract_Edits[[#This Row],[Index]]),
   "2-cycle","")</f>
        <v/>
      </c>
      <c r="AL72" s="517" cm="1">
        <f t="array" ref="AL72">IF(Contract_Edits[[#This Row],[BaseFlag]]&lt;&gt;1,0,
   IF(TEXT(Contract_Edits[[#This Row],[Dep]],"0")=TEXT(Contract_Edits[[#This Row],[Index]],"0"),
      0,
      MAX(0, SUMPRODUCT(--(Contract_Edits[BaseFlag]=1),
                        --(TEXT(Contract_Edits[Dep],"0")=TEXT(Contract_Edits[[#This Row],[Dep]],"0"))) - 1)
   )
)</f>
        <v>3</v>
      </c>
      <c r="AM72" s="517" t="str" cm="1">
        <f t="array" ref="AM72">IF(Contract_Edits[[#This Row],[BaseFlag]]=1,
   TEXT(Contract_Edits[[#This Row],[Index]],"0"),
   NearestBaseL(TEXT(Contract_Edits[[#This Row],[ParentKey]],"0"),500,editsIdxTxt,editsParentKeyTxt,baseIdxTxt,baseCost)
)</f>
        <v>150</v>
      </c>
      <c r="AN72" s="517" cm="1">
        <f t="array" ref="AN72">1+SUMPRODUCT(
  (Contract_Edits[BaseFlag]=1)*
  (TEXT(Contract_Edits[ParentAnchor],"0")=TEXT(Contract_Edits[[#This Row],[ParentAnchor]],"0"))*
  (VALUE(TEXT(Contract_Edits[Index],"0"))&lt;VALUE(TEXT(Contract_Edits[[#This Row],[Index]],"0")))
)</f>
        <v>1</v>
      </c>
      <c r="AO72" s="35"/>
      <c r="AP72" s="35" t="str">
        <f ca="1">IFERROR(+IF(AP$24=#REF!,Milestone_Marker,IF(AND(AP$24&gt;#REF!,AP$24&lt;#REF!+#REF!),#REF!,"")),"")</f>
        <v/>
      </c>
      <c r="AQ72" s="35" t="str">
        <f ca="1">IFERROR(+IF(AQ$24=#REF!,Milestone_Marker,IF(AND(AQ$24&gt;#REF!,AQ$24&lt;#REF!+#REF!),#REF!,"")),"")</f>
        <v/>
      </c>
      <c r="AR72" s="35" t="str">
        <f ca="1">IFERROR(+IF(AR$24=#REF!,Milestone_Marker,IF(AND(AR$24&gt;#REF!,AR$24&lt;#REF!+#REF!),#REF!,"")),"")</f>
        <v/>
      </c>
      <c r="AS72" s="35" t="str">
        <f ca="1">IFERROR(+IF(AS$24=#REF!,Milestone_Marker,IF(AND(AS$24&gt;#REF!,AS$24&lt;#REF!+#REF!),#REF!,"")),"")</f>
        <v/>
      </c>
      <c r="AT72" s="35" t="str">
        <f ca="1">IFERROR(+IF(AT$24=#REF!,Milestone_Marker,IF(AND(AT$24&gt;#REF!,AT$24&lt;#REF!+#REF!),#REF!,"")),"")</f>
        <v/>
      </c>
      <c r="AU72" s="35" t="str">
        <f ca="1">IFERROR(+IF(AU$24=#REF!,Milestone_Marker,IF(AND(AU$24&gt;#REF!,AU$24&lt;#REF!+#REF!),#REF!,"")),"")</f>
        <v/>
      </c>
      <c r="AV72" s="35" t="str">
        <f ca="1">IFERROR(+IF(AV$24=#REF!,Milestone_Marker,IF(AND(AV$24&gt;#REF!,AV$24&lt;#REF!+#REF!),#REF!,"")),"")</f>
        <v/>
      </c>
      <c r="AW72" s="35" t="str">
        <f ca="1">IFERROR(+IF(AW$24=#REF!,Milestone_Marker,IF(AND(AW$24&gt;#REF!,AW$24&lt;#REF!+#REF!),#REF!,"")),"")</f>
        <v/>
      </c>
      <c r="AX72" s="35" t="str">
        <f ca="1">IFERROR(+IF(AX$24=#REF!,Milestone_Marker,IF(AND(AX$24&gt;#REF!,AX$24&lt;#REF!+#REF!),#REF!,"")),"")</f>
        <v/>
      </c>
      <c r="AY72" s="35" t="str">
        <f ca="1">IFERROR(+IF(AY$24=#REF!,Milestone_Marker,IF(AND(AY$24&gt;#REF!,AY$24&lt;#REF!+#REF!),#REF!,"")),"")</f>
        <v/>
      </c>
      <c r="AZ72" s="35" t="str">
        <f ca="1">IFERROR(+IF(AZ$24=#REF!,Milestone_Marker,IF(AND(AZ$24&gt;#REF!,AZ$24&lt;#REF!+#REF!),#REF!,"")),"")</f>
        <v/>
      </c>
      <c r="BA72" s="35" t="str">
        <f ca="1">IFERROR(+IF(BA$24=#REF!,Milestone_Marker,IF(AND(BA$24&gt;#REF!,BA$24&lt;#REF!+#REF!),#REF!,"")),"")</f>
        <v/>
      </c>
      <c r="BB72" s="35" t="str">
        <f ca="1">IFERROR(+IF(BB$24=#REF!,Milestone_Marker,IF(AND(BB$24&gt;#REF!,BB$24&lt;#REF!+#REF!),#REF!,"")),"")</f>
        <v/>
      </c>
      <c r="BC72" s="35" t="str">
        <f ca="1">IFERROR(+IF(BC$24=#REF!,Milestone_Marker,IF(AND(BC$24&gt;#REF!,BC$24&lt;#REF!+#REF!),#REF!,"")),"")</f>
        <v/>
      </c>
      <c r="BD72" s="35" t="str">
        <f ca="1">IFERROR(+IF(BD$24=#REF!,Milestone_Marker,IF(AND(BD$24&gt;#REF!,BD$24&lt;#REF!+#REF!),#REF!,"")),"")</f>
        <v/>
      </c>
      <c r="BE72" s="35" t="str">
        <f ca="1">IFERROR(+IF(BE$24=#REF!,Milestone_Marker,IF(AND(BE$24&gt;#REF!,BE$24&lt;#REF!+#REF!),#REF!,"")),"")</f>
        <v/>
      </c>
      <c r="BF72" s="35" t="str">
        <f ca="1">IFERROR(+IF(BF$24=#REF!,Milestone_Marker,IF(AND(BF$24&gt;#REF!,BF$24&lt;#REF!+#REF!),#REF!,"")),"")</f>
        <v/>
      </c>
      <c r="BG72" s="35" t="str">
        <f ca="1">IFERROR(+IF(BG$24=#REF!,Milestone_Marker,IF(AND(BG$24&gt;#REF!,BG$24&lt;#REF!+#REF!),#REF!,"")),"")</f>
        <v/>
      </c>
      <c r="BH72" s="35" t="str">
        <f ca="1">IFERROR(+IF(BH$24=#REF!,Milestone_Marker,IF(AND(BH$24&gt;#REF!,BH$24&lt;#REF!+#REF!),#REF!,"")),"")</f>
        <v/>
      </c>
      <c r="BI72" s="35" t="str">
        <f ca="1">IFERROR(+IF(BI$24=#REF!,Milestone_Marker,IF(AND(BI$24&gt;#REF!,BI$24&lt;#REF!+#REF!),#REF!,"")),"")</f>
        <v/>
      </c>
      <c r="BJ72" s="35" t="str">
        <f ca="1">IFERROR(+IF(BJ$24=#REF!,Milestone_Marker,IF(AND(BJ$24&gt;#REF!,BJ$24&lt;#REF!+#REF!),#REF!,"")),"")</f>
        <v/>
      </c>
      <c r="BK72" s="35" t="str">
        <f ca="1">IFERROR(+IF(BK$24=#REF!,Milestone_Marker,IF(AND(BK$24&gt;#REF!,BK$24&lt;#REF!+#REF!),#REF!,"")),"")</f>
        <v/>
      </c>
      <c r="BL72" s="35" t="str">
        <f ca="1">IFERROR(+IF(BL$24=#REF!,Milestone_Marker,IF(AND(BL$24&gt;#REF!,BL$24&lt;#REF!+#REF!),#REF!,"")),"")</f>
        <v/>
      </c>
      <c r="BM72" s="35" t="str">
        <f ca="1">IFERROR(+IF(BM$24=#REF!,Milestone_Marker,IF(AND(BM$24&gt;#REF!,BM$24&lt;#REF!+#REF!),#REF!,"")),"")</f>
        <v/>
      </c>
      <c r="BN72" s="35" t="str">
        <f ca="1">IFERROR(+IF(BN$24=#REF!,Milestone_Marker,IF(AND(BN$24&gt;#REF!,BN$24&lt;#REF!+#REF!),#REF!,"")),"")</f>
        <v/>
      </c>
      <c r="BO72" s="35" t="str">
        <f ca="1">IFERROR(+IF(BO$24=#REF!,Milestone_Marker,IF(AND(BO$24&gt;#REF!,BO$24&lt;#REF!+#REF!),#REF!,"")),"")</f>
        <v/>
      </c>
      <c r="BP72" s="35" t="str">
        <f ca="1">IFERROR(+IF(BP$24=#REF!,Milestone_Marker,IF(AND(BP$24&gt;#REF!,BP$24&lt;#REF!+#REF!),#REF!,"")),"")</f>
        <v/>
      </c>
      <c r="BQ72" s="35" t="str">
        <f ca="1">IFERROR(+IF(BQ$24=#REF!,Milestone_Marker,IF(AND(BQ$24&gt;#REF!,BQ$24&lt;#REF!+#REF!),#REF!,"")),"")</f>
        <v/>
      </c>
      <c r="BR72" s="35" t="str">
        <f ca="1">IFERROR(+IF(BR$24=#REF!,Milestone_Marker,IF(AND(BR$24&gt;#REF!,BR$24&lt;#REF!+#REF!),#REF!,"")),"")</f>
        <v/>
      </c>
      <c r="BS72" s="35" t="str">
        <f ca="1">IFERROR(+IF(BS$24=#REF!,Milestone_Marker,IF(AND(BS$24&gt;#REF!,BS$24&lt;#REF!+#REF!),#REF!,"")),"")</f>
        <v/>
      </c>
      <c r="BT72" s="35" t="str">
        <f ca="1">IFERROR(+IF(BT$24=#REF!,Milestone_Marker,IF(AND(BT$24&gt;#REF!,BT$24&lt;#REF!+#REF!),#REF!,"")),"")</f>
        <v/>
      </c>
      <c r="BU72" s="35" t="str">
        <f ca="1">IFERROR(+IF(BU$24=#REF!,Milestone_Marker,IF(AND(BU$24&gt;#REF!,BU$24&lt;#REF!+#REF!),#REF!,"")),"")</f>
        <v/>
      </c>
      <c r="BV72" s="35" t="str">
        <f ca="1">IFERROR(+IF(BV$24=#REF!,Milestone_Marker,IF(AND(BV$24&gt;#REF!,BV$24&lt;#REF!+#REF!),#REF!,"")),"")</f>
        <v/>
      </c>
      <c r="BW72" s="35" t="str">
        <f ca="1">IFERROR(+IF(BW$24=#REF!,Milestone_Marker,IF(AND(BW$24&gt;#REF!,BW$24&lt;#REF!+#REF!),#REF!,"")),"")</f>
        <v/>
      </c>
      <c r="BX72" s="35" t="str">
        <f ca="1">IFERROR(+IF(BX$24=#REF!,Milestone_Marker,IF(AND(BX$24&gt;#REF!,BX$24&lt;#REF!+#REF!),#REF!,"")),"")</f>
        <v/>
      </c>
      <c r="BY72" s="35" t="str">
        <f ca="1">IFERROR(+IF(BY$24=#REF!,Milestone_Marker,IF(AND(BY$24&gt;#REF!,BY$24&lt;#REF!+#REF!),#REF!,"")),"")</f>
        <v/>
      </c>
      <c r="BZ72" s="35" t="str">
        <f ca="1">IFERROR(+IF(BZ$24=#REF!,Milestone_Marker,IF(AND(BZ$24&gt;#REF!,BZ$24&lt;#REF!+#REF!),#REF!,"")),"")</f>
        <v/>
      </c>
      <c r="CA72" s="35" t="str">
        <f ca="1">IFERROR(+IF(CA$24=#REF!,Milestone_Marker,IF(AND(CA$24&gt;#REF!,CA$24&lt;#REF!+#REF!),#REF!,"")),"")</f>
        <v/>
      </c>
      <c r="CB72" s="35" t="str">
        <f ca="1">IFERROR(+IF(CB$24=#REF!,Milestone_Marker,IF(AND(CB$24&gt;#REF!,CB$24&lt;#REF!+#REF!),#REF!,"")),"")</f>
        <v/>
      </c>
      <c r="CC72" s="35" t="str">
        <f ca="1">IFERROR(+IF(CC$24=#REF!,Milestone_Marker,IF(AND(CC$24&gt;#REF!,CC$24&lt;#REF!+#REF!),#REF!,"")),"")</f>
        <v/>
      </c>
      <c r="CD72" s="35" t="str">
        <f ca="1">IFERROR(+IF(CD$24=#REF!,Milestone_Marker,IF(AND(CD$24&gt;#REF!,CD$24&lt;#REF!+#REF!),#REF!,"")),"")</f>
        <v/>
      </c>
      <c r="CE72" s="35" t="str">
        <f ca="1">IFERROR(+IF(CE$24=#REF!,Milestone_Marker,IF(AND(CE$24&gt;#REF!,CE$24&lt;#REF!+#REF!),#REF!,"")),"")</f>
        <v/>
      </c>
      <c r="CF72" s="35" t="str">
        <f ca="1">IFERROR(+IF(CF$24=#REF!,Milestone_Marker,IF(AND(CF$24&gt;#REF!,CF$24&lt;#REF!+#REF!),#REF!,"")),"")</f>
        <v/>
      </c>
      <c r="CG72" s="35" t="str">
        <f ca="1">IFERROR(+IF(CG$24=#REF!,Milestone_Marker,IF(AND(CG$24&gt;#REF!,CG$24&lt;#REF!+#REF!),#REF!,"")),"")</f>
        <v/>
      </c>
      <c r="CH72" s="35" t="str">
        <f ca="1">IFERROR(+IF(CH$24=#REF!,Milestone_Marker,IF(AND(CH$24&gt;#REF!,CH$24&lt;#REF!+#REF!),#REF!,"")),"")</f>
        <v/>
      </c>
      <c r="CI72" s="35" t="str">
        <f ca="1">IFERROR(+IF(CI$24=#REF!,Milestone_Marker,IF(AND(CI$24&gt;#REF!,CI$24&lt;#REF!+#REF!),#REF!,"")),"")</f>
        <v/>
      </c>
      <c r="CJ72" s="35" t="str">
        <f ca="1">IFERROR(+IF(CJ$24=#REF!,Milestone_Marker,IF(AND(CJ$24&gt;#REF!,CJ$24&lt;#REF!+#REF!),#REF!,"")),"")</f>
        <v/>
      </c>
      <c r="CK72" s="35" t="str">
        <f ca="1">IFERROR(+IF(CK$24=#REF!,Milestone_Marker,IF(AND(CK$24&gt;#REF!,CK$24&lt;#REF!+#REF!),#REF!,"")),"")</f>
        <v/>
      </c>
      <c r="CL72" s="35" t="str">
        <f ca="1">IFERROR(+IF(CL$24=#REF!,Milestone_Marker,IF(AND(CL$24&gt;#REF!,CL$24&lt;#REF!+#REF!),#REF!,"")),"")</f>
        <v/>
      </c>
      <c r="CM72" s="35" t="str">
        <f ca="1">IFERROR(+IF(CM$24=#REF!,Milestone_Marker,IF(AND(CM$24&gt;#REF!,CM$24&lt;#REF!+#REF!),#REF!,"")),"")</f>
        <v/>
      </c>
      <c r="CN72" s="35" t="str">
        <f ca="1">IFERROR(+IF(CN$24=#REF!,Milestone_Marker,IF(AND(CN$24&gt;#REF!,CN$24&lt;#REF!+#REF!),#REF!,"")),"")</f>
        <v/>
      </c>
      <c r="CO72" s="35" t="str">
        <f ca="1">IFERROR(+IF(CO$24=#REF!,Milestone_Marker,IF(AND(CO$24&gt;#REF!,CO$24&lt;#REF!+#REF!),#REF!,"")),"")</f>
        <v/>
      </c>
      <c r="CP72" s="35" t="str">
        <f ca="1">IFERROR(+IF(CP$24=#REF!,Milestone_Marker,IF(AND(CP$24&gt;#REF!,CP$24&lt;#REF!+#REF!),#REF!,"")),"")</f>
        <v/>
      </c>
      <c r="CQ72" s="35" t="str">
        <f ca="1">IFERROR(+IF(CQ$24=#REF!,Milestone_Marker,IF(AND(CQ$24&gt;#REF!,CQ$24&lt;#REF!+#REF!),#REF!,"")),"")</f>
        <v/>
      </c>
      <c r="CR72" s="35" t="str">
        <f ca="1">IFERROR(+IF(CR$24=#REF!,Milestone_Marker,IF(AND(CR$24&gt;#REF!,CR$24&lt;#REF!+#REF!),#REF!,"")),"")</f>
        <v/>
      </c>
      <c r="CS72" s="35" t="str">
        <f ca="1">IFERROR(+IF(CS$24=#REF!,Milestone_Marker,IF(AND(CS$24&gt;#REF!,CS$24&lt;#REF!+#REF!),#REF!,"")),"")</f>
        <v/>
      </c>
      <c r="CT72" s="35" t="str">
        <f ca="1">IFERROR(+IF(CT$24=#REF!,Milestone_Marker,IF(AND(CT$24&gt;#REF!,CT$24&lt;#REF!+#REF!),#REF!,"")),"")</f>
        <v/>
      </c>
      <c r="CU72" s="35" t="str">
        <f ca="1">IFERROR(+IF(CU$24=#REF!,Milestone_Marker,IF(AND(CU$24&gt;#REF!,CU$24&lt;#REF!+#REF!),#REF!,"")),"")</f>
        <v/>
      </c>
      <c r="CV72" s="35" t="str">
        <f ca="1">IFERROR(+IF(CV$24=#REF!,Milestone_Marker,IF(AND(CV$24&gt;#REF!,CV$24&lt;#REF!+#REF!),#REF!,"")),"")</f>
        <v/>
      </c>
      <c r="CW72" s="35" t="str">
        <f ca="1">IFERROR(+IF(CW$24=#REF!,Milestone_Marker,IF(AND(CW$24&gt;#REF!,CW$24&lt;#REF!+#REF!),#REF!,"")),"")</f>
        <v/>
      </c>
      <c r="CX72" s="35" t="str">
        <f ca="1">IFERROR(+IF(CX$24=#REF!,Milestone_Marker,IF(AND(CX$24&gt;#REF!,CX$24&lt;#REF!+#REF!),#REF!,"")),"")</f>
        <v/>
      </c>
      <c r="CY72" s="35" t="str">
        <f ca="1">IFERROR(+IF(CY$24=#REF!,Milestone_Marker,IF(AND(CY$24&gt;#REF!,CY$24&lt;#REF!+#REF!),#REF!,"")),"")</f>
        <v/>
      </c>
      <c r="CZ72" s="35" t="str">
        <f ca="1">IFERROR(+IF(CZ$24=#REF!,Milestone_Marker,IF(AND(CZ$24&gt;#REF!,CZ$24&lt;#REF!+#REF!),#REF!,"")),"")</f>
        <v/>
      </c>
      <c r="DA72" s="35" t="str">
        <f ca="1">IFERROR(+IF(DA$24=#REF!,Milestone_Marker,IF(AND(DA$24&gt;#REF!,DA$24&lt;#REF!+#REF!),#REF!,"")),"")</f>
        <v/>
      </c>
      <c r="DB72" s="35" t="str">
        <f ca="1">IFERROR(+IF(DB$24=#REF!,Milestone_Marker,IF(AND(DB$24&gt;#REF!,DB$24&lt;#REF!+#REF!),#REF!,"")),"")</f>
        <v/>
      </c>
      <c r="DC72" s="35" t="str">
        <f ca="1">IFERROR(+IF(DC$24=#REF!,Milestone_Marker,IF(AND(DC$24&gt;#REF!,DC$24&lt;#REF!+#REF!),#REF!,"")),"")</f>
        <v/>
      </c>
      <c r="DD72" s="35" t="str">
        <f ca="1">IFERROR(+IF(DD$24=#REF!,Milestone_Marker,IF(AND(DD$24&gt;#REF!,DD$24&lt;#REF!+#REF!),#REF!,"")),"")</f>
        <v/>
      </c>
      <c r="DE72" s="35" t="str">
        <f ca="1">IFERROR(+IF(DE$24=#REF!,Milestone_Marker,IF(AND(DE$24&gt;#REF!,DE$24&lt;#REF!+#REF!),#REF!,"")),"")</f>
        <v/>
      </c>
      <c r="DF72" s="35"/>
      <c r="DG72" s="35"/>
      <c r="DH72" s="35"/>
      <c r="DI72" s="35"/>
      <c r="DJ72" s="35"/>
      <c r="DK72" s="35"/>
      <c r="DL72" s="35"/>
      <c r="DM72" s="35"/>
      <c r="DN72" s="35"/>
      <c r="DO72" s="35"/>
      <c r="DP72" s="35"/>
      <c r="DQ72" s="35"/>
      <c r="DR72" s="35"/>
      <c r="DS72" s="35"/>
      <c r="DT72" s="35"/>
      <c r="DU72" s="35"/>
      <c r="DV72" s="35"/>
      <c r="DW72" s="35"/>
      <c r="DX72" s="35"/>
      <c r="DY72" s="35"/>
      <c r="DZ72" s="35"/>
      <c r="EA72" s="35"/>
      <c r="EB72" s="35"/>
      <c r="EC72" s="35"/>
      <c r="ED72" s="35"/>
      <c r="EE72" s="35"/>
    </row>
    <row r="73" spans="1:135" ht="15">
      <c r="A73" t="s">
        <v>519</v>
      </c>
      <c r="B73" t="s">
        <v>521</v>
      </c>
      <c r="C73" t="s">
        <v>679</v>
      </c>
      <c r="D73" s="458" t="s">
        <v>680</v>
      </c>
      <c r="E73" s="458">
        <v>1</v>
      </c>
      <c r="F73">
        <v>2900</v>
      </c>
      <c r="G73">
        <v>2900</v>
      </c>
      <c r="H73">
        <v>150</v>
      </c>
      <c r="I73">
        <v>2900</v>
      </c>
      <c r="J73">
        <v>100</v>
      </c>
      <c r="K73" s="107"/>
      <c r="L73" s="463">
        <v>100</v>
      </c>
      <c r="M73" s="490">
        <v>30</v>
      </c>
      <c r="N73" s="160">
        <v>0</v>
      </c>
      <c r="O73" s="546" cm="1">
        <f t="array" ref="O7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73" s="567" t="s">
        <v>458</v>
      </c>
      <c r="Q73" s="567"/>
      <c r="R73" s="499"/>
      <c r="S73" s="463" cm="1">
        <f t="array" ref="S7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150</v>
      </c>
      <c r="T73" s="34">
        <v>1</v>
      </c>
      <c r="U73" s="490">
        <v>1</v>
      </c>
      <c r="V7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75.010100000000008</v>
      </c>
      <c r="W73" s="557"/>
      <c r="X73" s="545"/>
      <c r="Y73" s="548" t="s">
        <v>854</v>
      </c>
      <c r="Z73" s="160" t="s">
        <v>458</v>
      </c>
      <c r="AA73" s="563">
        <v>100300</v>
      </c>
      <c r="AB73" cm="1">
        <f t="array" ref="AB73">ROW()-ROW(Contract_Edits[#Headers])</f>
        <v>49</v>
      </c>
      <c r="AC73">
        <f>IF(Contract_Edits[[#This Row],[RowPos]]&gt;1, Contract_Edits[[#This Row],[RowPos]]-1, 0)</f>
        <v>48</v>
      </c>
      <c r="AD73" s="35">
        <f>IF(N(Contract_Edits[[#This Row],[Dep]])=0, N(Contract_Edits[[#This Row],[Index]]), N(Contract_Edits[[#This Row],[Dep]]))</f>
        <v>150</v>
      </c>
      <c r="AE73" s="35" cm="1">
        <f t="array" ref="AE73">IF(OR(Contract_Edits[[#This Row],[Dep]]=0, TRIM(Contract_Edits[[#This Row],[Dep]])=""),
   0,
   IFERROR(
      _xlfn.XLOOKUP(1, (Contract_Edits[Dep]=Contract_Edits[[#This Row],[Dep]])*(Contract_Edits[RowPos]&lt;Contract_Edits[[#This Row],[RowPos]]), Contract_Edits[RowPos], , 0, -1),
      0
   )
)</f>
        <v>0</v>
      </c>
      <c r="AF73" s="35">
        <f>IF(OR(Contract_Edits[[#This Row],[Dep]]=0,Contract_Edits[[#This Row],[Dep]]=""),0,
   COUNTIFS(Contract_Edits[Dep],Contract_Edits[[#This Row],[Dep]],Contract_Edits[RowPos],"&lt;="&amp;Contract_Edits[[#This Row],[RowPos]],Contract_Edits[Approve],"Yes")
)</f>
        <v>1</v>
      </c>
      <c r="AG73" s="517">
        <f>--(
  ISNUMBER(SEARCH("BASE PARENT", UPPER(CLEAN(TRIM(_xlfn.XLOOKUP(TEXT(Contract_Edits[[#This Row],[Index]],"0"), baseIdxTxt, baseCost, "")))))) +
  ISNUMBER(SEARCH("DEPENDENCY GROUP", UPPER(CLEAN(TRIM(_xlfn.XLOOKUP(TEXT(Contract_Edits[[#This Row],[Index]],"0"), baseIdxTxt, baseCost, ""))))))
)</f>
        <v>0</v>
      </c>
      <c r="AH73" s="517" t="str" cm="1">
        <f t="array" ref="AH73">IF(Contract_Edits[[#This Row],[BaseFlag]]=1,
   10*BaseDepthL(TEXT(Contract_Edits[[#This Row],[Index]],"0"),500,editsIdxTxt,editsParentKeyTxt,baseIdxTxt,baseCost)-5,
   ""
)</f>
        <v/>
      </c>
      <c r="AI73" s="517" cm="1">
        <f t="array" ref="AI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73" s="517" t="str">
        <f>IF(Contract_Edits[[#This Row],[Dep]]=0,"Root",
   IF(ISNUMBER(MATCH(Contract_Edits[[#This Row],[Dep]],Contract_Edits[Index],0)),"OK","Missing")
)</f>
        <v>OK</v>
      </c>
      <c r="AK73" s="517" t="str">
        <f>IF(AND(Contract_Edits[[#This Row],[Dep]]&lt;&gt;0,
        ISNUMBER(MATCH(Contract_Edits[[#This Row],[Dep]], Contract_Edits[Index], 0)),
        INDEX(Contract_Edits[Dep], MATCH(Contract_Edits[[#This Row],[Dep]], Contract_Edits[Index], 0))=Contract_Edits[[#This Row],[Index]]),
   "2-cycle","")</f>
        <v/>
      </c>
      <c r="AL73" s="517" cm="1">
        <f t="array" ref="AL73">IF(Contract_Edits[[#This Row],[BaseFlag]]&lt;&gt;1,0,
   IF(TEXT(Contract_Edits[[#This Row],[Dep]],"0")=TEXT(Contract_Edits[[#This Row],[Index]],"0"),
      0,
      MAX(0, SUMPRODUCT(--(Contract_Edits[BaseFlag]=1),
                        --(TEXT(Contract_Edits[Dep],"0")=TEXT(Contract_Edits[[#This Row],[Dep]],"0"))) - 1)
   )
)</f>
        <v>0</v>
      </c>
      <c r="AM73" s="517" t="str" cm="1">
        <f t="array" ref="AM73">IF(Contract_Edits[[#This Row],[BaseFlag]]=1,
   TEXT(Contract_Edits[[#This Row],[Index]],"0"),
   NearestBaseL(TEXT(Contract_Edits[[#This Row],[ParentKey]],"0"),500,editsIdxTxt,editsParentKeyTxt,baseIdxTxt,baseCost)
)</f>
        <v>150</v>
      </c>
      <c r="AN73" s="517" cm="1">
        <f t="array" ref="AN73">1+SUMPRODUCT(
  (Contract_Edits[BaseFlag]=1)*
  (TEXT(Contract_Edits[ParentAnchor],"0")=TEXT(Contract_Edits[[#This Row],[ParentAnchor]],"0"))*
  (VALUE(TEXT(Contract_Edits[Index],"0"))&lt;VALUE(TEXT(Contract_Edits[[#This Row],[Index]],"0")))
)</f>
        <v>1</v>
      </c>
      <c r="AO73" s="35"/>
      <c r="AP73" s="35" t="str">
        <f ca="1">IFERROR(+IF(AP$24=#REF!,Milestone_Marker,IF(AND(AP$24&gt;#REF!,AP$24&lt;#REF!+#REF!),#REF!,"")),"")</f>
        <v/>
      </c>
      <c r="AQ73" s="35" t="str">
        <f ca="1">IFERROR(+IF(AQ$24=#REF!,Milestone_Marker,IF(AND(AQ$24&gt;#REF!,AQ$24&lt;#REF!+#REF!),#REF!,"")),"")</f>
        <v/>
      </c>
      <c r="AR73" s="35" t="str">
        <f ca="1">IFERROR(+IF(AR$24=#REF!,Milestone_Marker,IF(AND(AR$24&gt;#REF!,AR$24&lt;#REF!+#REF!),#REF!,"")),"")</f>
        <v/>
      </c>
      <c r="AS73" s="35" t="str">
        <f ca="1">IFERROR(+IF(AS$24=#REF!,Milestone_Marker,IF(AND(AS$24&gt;#REF!,AS$24&lt;#REF!+#REF!),#REF!,"")),"")</f>
        <v/>
      </c>
      <c r="AT73" s="35" t="str">
        <f ca="1">IFERROR(+IF(AT$24=#REF!,Milestone_Marker,IF(AND(AT$24&gt;#REF!,AT$24&lt;#REF!+#REF!),#REF!,"")),"")</f>
        <v/>
      </c>
      <c r="AU73" s="35" t="str">
        <f ca="1">IFERROR(+IF(AU$24=#REF!,Milestone_Marker,IF(AND(AU$24&gt;#REF!,AU$24&lt;#REF!+#REF!),#REF!,"")),"")</f>
        <v/>
      </c>
      <c r="AV73" s="35" t="str">
        <f ca="1">IFERROR(+IF(AV$24=#REF!,Milestone_Marker,IF(AND(AV$24&gt;#REF!,AV$24&lt;#REF!+#REF!),#REF!,"")),"")</f>
        <v/>
      </c>
      <c r="AW73" s="35" t="str">
        <f ca="1">IFERROR(+IF(AW$24=#REF!,Milestone_Marker,IF(AND(AW$24&gt;#REF!,AW$24&lt;#REF!+#REF!),#REF!,"")),"")</f>
        <v/>
      </c>
      <c r="AX73" s="35" t="str">
        <f ca="1">IFERROR(+IF(AX$24=#REF!,Milestone_Marker,IF(AND(AX$24&gt;#REF!,AX$24&lt;#REF!+#REF!),#REF!,"")),"")</f>
        <v/>
      </c>
      <c r="AY73" s="35" t="str">
        <f ca="1">IFERROR(+IF(AY$24=#REF!,Milestone_Marker,IF(AND(AY$24&gt;#REF!,AY$24&lt;#REF!+#REF!),#REF!,"")),"")</f>
        <v/>
      </c>
      <c r="AZ73" s="35" t="str">
        <f ca="1">IFERROR(+IF(AZ$24=#REF!,Milestone_Marker,IF(AND(AZ$24&gt;#REF!,AZ$24&lt;#REF!+#REF!),#REF!,"")),"")</f>
        <v/>
      </c>
      <c r="BA73" s="35" t="str">
        <f ca="1">IFERROR(+IF(BA$24=#REF!,Milestone_Marker,IF(AND(BA$24&gt;#REF!,BA$24&lt;#REF!+#REF!),#REF!,"")),"")</f>
        <v/>
      </c>
      <c r="BB73" s="35" t="str">
        <f ca="1">IFERROR(+IF(BB$24=#REF!,Milestone_Marker,IF(AND(BB$24&gt;#REF!,BB$24&lt;#REF!+#REF!),#REF!,"")),"")</f>
        <v/>
      </c>
      <c r="BC73" s="35" t="str">
        <f ca="1">IFERROR(+IF(BC$24=#REF!,Milestone_Marker,IF(AND(BC$24&gt;#REF!,BC$24&lt;#REF!+#REF!),#REF!,"")),"")</f>
        <v/>
      </c>
      <c r="BD73" s="35" t="str">
        <f ca="1">IFERROR(+IF(BD$24=#REF!,Milestone_Marker,IF(AND(BD$24&gt;#REF!,BD$24&lt;#REF!+#REF!),#REF!,"")),"")</f>
        <v/>
      </c>
      <c r="BE73" s="35" t="str">
        <f ca="1">IFERROR(+IF(BE$24=#REF!,Milestone_Marker,IF(AND(BE$24&gt;#REF!,BE$24&lt;#REF!+#REF!),#REF!,"")),"")</f>
        <v/>
      </c>
      <c r="BF73" s="35" t="str">
        <f ca="1">IFERROR(+IF(BF$24=#REF!,Milestone_Marker,IF(AND(BF$24&gt;#REF!,BF$24&lt;#REF!+#REF!),#REF!,"")),"")</f>
        <v/>
      </c>
      <c r="BG73" s="35" t="str">
        <f ca="1">IFERROR(+IF(BG$24=#REF!,Milestone_Marker,IF(AND(BG$24&gt;#REF!,BG$24&lt;#REF!+#REF!),#REF!,"")),"")</f>
        <v/>
      </c>
      <c r="BH73" s="35" t="str">
        <f ca="1">IFERROR(+IF(BH$24=#REF!,Milestone_Marker,IF(AND(BH$24&gt;#REF!,BH$24&lt;#REF!+#REF!),#REF!,"")),"")</f>
        <v/>
      </c>
      <c r="BI73" s="35" t="str">
        <f ca="1">IFERROR(+IF(BI$24=#REF!,Milestone_Marker,IF(AND(BI$24&gt;#REF!,BI$24&lt;#REF!+#REF!),#REF!,"")),"")</f>
        <v/>
      </c>
      <c r="BJ73" s="35" t="str">
        <f ca="1">IFERROR(+IF(BJ$24=#REF!,Milestone_Marker,IF(AND(BJ$24&gt;#REF!,BJ$24&lt;#REF!+#REF!),#REF!,"")),"")</f>
        <v/>
      </c>
      <c r="BK73" s="35" t="str">
        <f ca="1">IFERROR(+IF(BK$24=#REF!,Milestone_Marker,IF(AND(BK$24&gt;#REF!,BK$24&lt;#REF!+#REF!),#REF!,"")),"")</f>
        <v/>
      </c>
      <c r="BL73" s="35" t="str">
        <f ca="1">IFERROR(+IF(BL$24=#REF!,Milestone_Marker,IF(AND(BL$24&gt;#REF!,BL$24&lt;#REF!+#REF!),#REF!,"")),"")</f>
        <v/>
      </c>
      <c r="BM73" s="35" t="str">
        <f ca="1">IFERROR(+IF(BM$24=#REF!,Milestone_Marker,IF(AND(BM$24&gt;#REF!,BM$24&lt;#REF!+#REF!),#REF!,"")),"")</f>
        <v/>
      </c>
      <c r="BN73" s="35" t="str">
        <f ca="1">IFERROR(+IF(BN$24=#REF!,Milestone_Marker,IF(AND(BN$24&gt;#REF!,BN$24&lt;#REF!+#REF!),#REF!,"")),"")</f>
        <v/>
      </c>
      <c r="BO73" s="35" t="str">
        <f ca="1">IFERROR(+IF(BO$24=#REF!,Milestone_Marker,IF(AND(BO$24&gt;#REF!,BO$24&lt;#REF!+#REF!),#REF!,"")),"")</f>
        <v/>
      </c>
      <c r="BP73" s="35" t="str">
        <f ca="1">IFERROR(+IF(BP$24=#REF!,Milestone_Marker,IF(AND(BP$24&gt;#REF!,BP$24&lt;#REF!+#REF!),#REF!,"")),"")</f>
        <v/>
      </c>
      <c r="BQ73" s="35" t="str">
        <f ca="1">IFERROR(+IF(BQ$24=#REF!,Milestone_Marker,IF(AND(BQ$24&gt;#REF!,BQ$24&lt;#REF!+#REF!),#REF!,"")),"")</f>
        <v/>
      </c>
      <c r="BR73" s="35" t="str">
        <f ca="1">IFERROR(+IF(BR$24=#REF!,Milestone_Marker,IF(AND(BR$24&gt;#REF!,BR$24&lt;#REF!+#REF!),#REF!,"")),"")</f>
        <v/>
      </c>
      <c r="BS73" s="35" t="str">
        <f ca="1">IFERROR(+IF(BS$24=#REF!,Milestone_Marker,IF(AND(BS$24&gt;#REF!,BS$24&lt;#REF!+#REF!),#REF!,"")),"")</f>
        <v/>
      </c>
      <c r="BT73" s="35" t="str">
        <f ca="1">IFERROR(+IF(BT$24=#REF!,Milestone_Marker,IF(AND(BT$24&gt;#REF!,BT$24&lt;#REF!+#REF!),#REF!,"")),"")</f>
        <v/>
      </c>
      <c r="BU73" s="35" t="str">
        <f ca="1">IFERROR(+IF(BU$24=#REF!,Milestone_Marker,IF(AND(BU$24&gt;#REF!,BU$24&lt;#REF!+#REF!),#REF!,"")),"")</f>
        <v/>
      </c>
      <c r="BV73" s="35" t="str">
        <f ca="1">IFERROR(+IF(BV$24=#REF!,Milestone_Marker,IF(AND(BV$24&gt;#REF!,BV$24&lt;#REF!+#REF!),#REF!,"")),"")</f>
        <v/>
      </c>
      <c r="BW73" s="35" t="str">
        <f ca="1">IFERROR(+IF(BW$24=#REF!,Milestone_Marker,IF(AND(BW$24&gt;#REF!,BW$24&lt;#REF!+#REF!),#REF!,"")),"")</f>
        <v/>
      </c>
      <c r="BX73" s="35" t="str">
        <f ca="1">IFERROR(+IF(BX$24=#REF!,Milestone_Marker,IF(AND(BX$24&gt;#REF!,BX$24&lt;#REF!+#REF!),#REF!,"")),"")</f>
        <v/>
      </c>
      <c r="BY73" s="35" t="str">
        <f ca="1">IFERROR(+IF(BY$24=#REF!,Milestone_Marker,IF(AND(BY$24&gt;#REF!,BY$24&lt;#REF!+#REF!),#REF!,"")),"")</f>
        <v/>
      </c>
      <c r="BZ73" s="35" t="str">
        <f ca="1">IFERROR(+IF(BZ$24=#REF!,Milestone_Marker,IF(AND(BZ$24&gt;#REF!,BZ$24&lt;#REF!+#REF!),#REF!,"")),"")</f>
        <v/>
      </c>
      <c r="CA73" s="35" t="str">
        <f ca="1">IFERROR(+IF(CA$24=#REF!,Milestone_Marker,IF(AND(CA$24&gt;#REF!,CA$24&lt;#REF!+#REF!),#REF!,"")),"")</f>
        <v/>
      </c>
      <c r="CB73" s="35" t="str">
        <f ca="1">IFERROR(+IF(CB$24=#REF!,Milestone_Marker,IF(AND(CB$24&gt;#REF!,CB$24&lt;#REF!+#REF!),#REF!,"")),"")</f>
        <v/>
      </c>
      <c r="CC73" s="35" t="str">
        <f ca="1">IFERROR(+IF(CC$24=#REF!,Milestone_Marker,IF(AND(CC$24&gt;#REF!,CC$24&lt;#REF!+#REF!),#REF!,"")),"")</f>
        <v/>
      </c>
      <c r="CD73" s="35" t="str">
        <f ca="1">IFERROR(+IF(CD$24=#REF!,Milestone_Marker,IF(AND(CD$24&gt;#REF!,CD$24&lt;#REF!+#REF!),#REF!,"")),"")</f>
        <v/>
      </c>
      <c r="CE73" s="35" t="str">
        <f ca="1">IFERROR(+IF(CE$24=#REF!,Milestone_Marker,IF(AND(CE$24&gt;#REF!,CE$24&lt;#REF!+#REF!),#REF!,"")),"")</f>
        <v/>
      </c>
      <c r="CF73" s="35" t="str">
        <f ca="1">IFERROR(+IF(CF$24=#REF!,Milestone_Marker,IF(AND(CF$24&gt;#REF!,CF$24&lt;#REF!+#REF!),#REF!,"")),"")</f>
        <v/>
      </c>
      <c r="CG73" s="35" t="str">
        <f ca="1">IFERROR(+IF(CG$24=#REF!,Milestone_Marker,IF(AND(CG$24&gt;#REF!,CG$24&lt;#REF!+#REF!),#REF!,"")),"")</f>
        <v/>
      </c>
      <c r="CH73" s="35" t="str">
        <f ca="1">IFERROR(+IF(CH$24=#REF!,Milestone_Marker,IF(AND(CH$24&gt;#REF!,CH$24&lt;#REF!+#REF!),#REF!,"")),"")</f>
        <v/>
      </c>
      <c r="CI73" s="35" t="str">
        <f ca="1">IFERROR(+IF(CI$24=#REF!,Milestone_Marker,IF(AND(CI$24&gt;#REF!,CI$24&lt;#REF!+#REF!),#REF!,"")),"")</f>
        <v/>
      </c>
      <c r="CJ73" s="35" t="str">
        <f ca="1">IFERROR(+IF(CJ$24=#REF!,Milestone_Marker,IF(AND(CJ$24&gt;#REF!,CJ$24&lt;#REF!+#REF!),#REF!,"")),"")</f>
        <v/>
      </c>
      <c r="CK73" s="35" t="str">
        <f ca="1">IFERROR(+IF(CK$24=#REF!,Milestone_Marker,IF(AND(CK$24&gt;#REF!,CK$24&lt;#REF!+#REF!),#REF!,"")),"")</f>
        <v/>
      </c>
      <c r="CL73" s="35" t="str">
        <f ca="1">IFERROR(+IF(CL$24=#REF!,Milestone_Marker,IF(AND(CL$24&gt;#REF!,CL$24&lt;#REF!+#REF!),#REF!,"")),"")</f>
        <v/>
      </c>
      <c r="CM73" s="35" t="str">
        <f ca="1">IFERROR(+IF(CM$24=#REF!,Milestone_Marker,IF(AND(CM$24&gt;#REF!,CM$24&lt;#REF!+#REF!),#REF!,"")),"")</f>
        <v/>
      </c>
      <c r="CN73" s="35" t="str">
        <f ca="1">IFERROR(+IF(CN$24=#REF!,Milestone_Marker,IF(AND(CN$24&gt;#REF!,CN$24&lt;#REF!+#REF!),#REF!,"")),"")</f>
        <v/>
      </c>
      <c r="CO73" s="35" t="str">
        <f ca="1">IFERROR(+IF(CO$24=#REF!,Milestone_Marker,IF(AND(CO$24&gt;#REF!,CO$24&lt;#REF!+#REF!),#REF!,"")),"")</f>
        <v/>
      </c>
      <c r="CP73" s="35" t="str">
        <f ca="1">IFERROR(+IF(CP$24=#REF!,Milestone_Marker,IF(AND(CP$24&gt;#REF!,CP$24&lt;#REF!+#REF!),#REF!,"")),"")</f>
        <v/>
      </c>
      <c r="CQ73" s="35" t="str">
        <f ca="1">IFERROR(+IF(CQ$24=#REF!,Milestone_Marker,IF(AND(CQ$24&gt;#REF!,CQ$24&lt;#REF!+#REF!),#REF!,"")),"")</f>
        <v/>
      </c>
      <c r="CR73" s="35" t="str">
        <f ca="1">IFERROR(+IF(CR$24=#REF!,Milestone_Marker,IF(AND(CR$24&gt;#REF!,CR$24&lt;#REF!+#REF!),#REF!,"")),"")</f>
        <v/>
      </c>
      <c r="CS73" s="35" t="str">
        <f ca="1">IFERROR(+IF(CS$24=#REF!,Milestone_Marker,IF(AND(CS$24&gt;#REF!,CS$24&lt;#REF!+#REF!),#REF!,"")),"")</f>
        <v/>
      </c>
      <c r="CT73" s="35" t="str">
        <f ca="1">IFERROR(+IF(CT$24=#REF!,Milestone_Marker,IF(AND(CT$24&gt;#REF!,CT$24&lt;#REF!+#REF!),#REF!,"")),"")</f>
        <v/>
      </c>
      <c r="CU73" s="35" t="str">
        <f ca="1">IFERROR(+IF(CU$24=#REF!,Milestone_Marker,IF(AND(CU$24&gt;#REF!,CU$24&lt;#REF!+#REF!),#REF!,"")),"")</f>
        <v/>
      </c>
      <c r="CV73" s="35" t="str">
        <f ca="1">IFERROR(+IF(CV$24=#REF!,Milestone_Marker,IF(AND(CV$24&gt;#REF!,CV$24&lt;#REF!+#REF!),#REF!,"")),"")</f>
        <v/>
      </c>
      <c r="CW73" s="35" t="str">
        <f ca="1">IFERROR(+IF(CW$24=#REF!,Milestone_Marker,IF(AND(CW$24&gt;#REF!,CW$24&lt;#REF!+#REF!),#REF!,"")),"")</f>
        <v/>
      </c>
      <c r="CX73" s="35" t="str">
        <f ca="1">IFERROR(+IF(CX$24=#REF!,Milestone_Marker,IF(AND(CX$24&gt;#REF!,CX$24&lt;#REF!+#REF!),#REF!,"")),"")</f>
        <v/>
      </c>
      <c r="CY73" s="35" t="str">
        <f ca="1">IFERROR(+IF(CY$24=#REF!,Milestone_Marker,IF(AND(CY$24&gt;#REF!,CY$24&lt;#REF!+#REF!),#REF!,"")),"")</f>
        <v/>
      </c>
      <c r="CZ73" s="35" t="str">
        <f ca="1">IFERROR(+IF(CZ$24=#REF!,Milestone_Marker,IF(AND(CZ$24&gt;#REF!,CZ$24&lt;#REF!+#REF!),#REF!,"")),"")</f>
        <v/>
      </c>
      <c r="DA73" s="35" t="str">
        <f ca="1">IFERROR(+IF(DA$24=#REF!,Milestone_Marker,IF(AND(DA$24&gt;#REF!,DA$24&lt;#REF!+#REF!),#REF!,"")),"")</f>
        <v/>
      </c>
      <c r="DB73" s="35" t="str">
        <f ca="1">IFERROR(+IF(DB$24=#REF!,Milestone_Marker,IF(AND(DB$24&gt;#REF!,DB$24&lt;#REF!+#REF!),#REF!,"")),"")</f>
        <v/>
      </c>
      <c r="DC73" s="35" t="str">
        <f ca="1">IFERROR(+IF(DC$24=#REF!,Milestone_Marker,IF(AND(DC$24&gt;#REF!,DC$24&lt;#REF!+#REF!),#REF!,"")),"")</f>
        <v/>
      </c>
      <c r="DD73" s="35" t="str">
        <f ca="1">IFERROR(+IF(DD$24=#REF!,Milestone_Marker,IF(AND(DD$24&gt;#REF!,DD$24&lt;#REF!+#REF!),#REF!,"")),"")</f>
        <v/>
      </c>
      <c r="DE73" s="35" t="str">
        <f ca="1">IFERROR(+IF(DE$24=#REF!,Milestone_Marker,IF(AND(DE$24&gt;#REF!,DE$24&lt;#REF!+#REF!),#REF!,"")),"")</f>
        <v/>
      </c>
      <c r="DF73" s="35"/>
      <c r="DG73" s="35"/>
      <c r="DH73" s="35"/>
      <c r="DI73" s="35"/>
      <c r="DJ73" s="35"/>
      <c r="DK73" s="35"/>
      <c r="DL73" s="35"/>
      <c r="DM73" s="35"/>
      <c r="DN73" s="35"/>
      <c r="DO73" s="35"/>
      <c r="DP73" s="35"/>
      <c r="DQ73" s="35"/>
      <c r="DR73" s="35"/>
      <c r="DS73" s="35"/>
      <c r="DT73" s="35"/>
      <c r="DU73" s="35"/>
      <c r="DV73" s="35"/>
      <c r="DW73" s="35"/>
      <c r="DX73" s="35"/>
      <c r="DY73" s="35"/>
      <c r="DZ73" s="35"/>
      <c r="EA73" s="35"/>
      <c r="EB73" s="35"/>
      <c r="EC73" s="35"/>
      <c r="ED73" s="35"/>
      <c r="EE73" s="35"/>
    </row>
    <row r="74" spans="1:135" ht="15">
      <c r="A74" t="s">
        <v>519</v>
      </c>
      <c r="B74" t="s">
        <v>517</v>
      </c>
      <c r="C74" t="s">
        <v>537</v>
      </c>
      <c r="D74" s="458" t="s">
        <v>538</v>
      </c>
      <c r="E74" s="458">
        <v>1</v>
      </c>
      <c r="F74">
        <v>2175</v>
      </c>
      <c r="G74">
        <v>2175</v>
      </c>
      <c r="H74">
        <v>150</v>
      </c>
      <c r="I74"/>
      <c r="J74">
        <v>10</v>
      </c>
      <c r="K74" s="107"/>
      <c r="L74" s="463">
        <v>10</v>
      </c>
      <c r="M74" s="490">
        <v>30</v>
      </c>
      <c r="N74" s="160">
        <v>0</v>
      </c>
      <c r="O74" s="546" cm="1">
        <f t="array" ref="O7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46036</v>
      </c>
      <c r="P74" s="567" t="s">
        <v>797</v>
      </c>
      <c r="Q74" s="567"/>
      <c r="R74" s="499"/>
      <c r="S74" s="463" cm="1">
        <f t="array" ref="S7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150</v>
      </c>
      <c r="T74" s="34">
        <v>1</v>
      </c>
      <c r="U74" s="490">
        <v>2</v>
      </c>
      <c r="V7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75.010200000000012</v>
      </c>
      <c r="W74" s="557"/>
      <c r="X74" s="545"/>
      <c r="Y74" s="548" t="s">
        <v>854</v>
      </c>
      <c r="Z74" s="22" t="s">
        <v>458</v>
      </c>
      <c r="AA74" s="562">
        <v>100200</v>
      </c>
      <c r="AB74" cm="1">
        <f t="array" ref="AB74">ROW()-ROW(Contract_Edits[#Headers])</f>
        <v>50</v>
      </c>
      <c r="AC74">
        <f>IF(Contract_Edits[[#This Row],[RowPos]]&gt;1, Contract_Edits[[#This Row],[RowPos]]-1, 0)</f>
        <v>49</v>
      </c>
      <c r="AD74" s="35">
        <f>IF(N(Contract_Edits[[#This Row],[Dep]])=0, N(Contract_Edits[[#This Row],[Index]]), N(Contract_Edits[[#This Row],[Dep]]))</f>
        <v>150</v>
      </c>
      <c r="AE74" s="35" cm="1">
        <f t="array" ref="AE74">IF(OR(Contract_Edits[[#This Row],[Dep]]=0, TRIM(Contract_Edits[[#This Row],[Dep]])=""),
   0,
   IFERROR(
      _xlfn.XLOOKUP(1, (Contract_Edits[Dep]=Contract_Edits[[#This Row],[Dep]])*(Contract_Edits[RowPos]&lt;Contract_Edits[[#This Row],[RowPos]]), Contract_Edits[RowPos], , 0, -1),
      0
   )
)</f>
        <v>49</v>
      </c>
      <c r="AF74" s="35">
        <f>IF(OR(Contract_Edits[[#This Row],[Dep]]=0,Contract_Edits[[#This Row],[Dep]]=""),0,
   COUNTIFS(Contract_Edits[Dep],Contract_Edits[[#This Row],[Dep]],Contract_Edits[RowPos],"&lt;="&amp;Contract_Edits[[#This Row],[RowPos]],Contract_Edits[Approve],"Yes")
)</f>
        <v>2</v>
      </c>
      <c r="AG74" s="517">
        <f>--(
  ISNUMBER(SEARCH("BASE PARENT", UPPER(CLEAN(TRIM(_xlfn.XLOOKUP(TEXT(Contract_Edits[[#This Row],[Index]],"0"), baseIdxTxt, baseCost, "")))))) +
  ISNUMBER(SEARCH("DEPENDENCY GROUP", UPPER(CLEAN(TRIM(_xlfn.XLOOKUP(TEXT(Contract_Edits[[#This Row],[Index]],"0"), baseIdxTxt, baseCost, ""))))))
)</f>
        <v>0</v>
      </c>
      <c r="AH74" s="517" t="str" cm="1">
        <f t="array" ref="AH74">IF(Contract_Edits[[#This Row],[BaseFlag]]=1,
   10*BaseDepthL(TEXT(Contract_Edits[[#This Row],[Index]],"0"),500,editsIdxTxt,editsParentKeyTxt,baseIdxTxt,baseCost)-5,
   ""
)</f>
        <v/>
      </c>
      <c r="AI74" s="517" cm="1">
        <f t="array" ref="AI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74" s="517" t="str">
        <f>IF(Contract_Edits[[#This Row],[Dep]]=0,"Root",
   IF(ISNUMBER(MATCH(Contract_Edits[[#This Row],[Dep]],Contract_Edits[Index],0)),"OK","Missing")
)</f>
        <v>OK</v>
      </c>
      <c r="AK74" s="517" t="str">
        <f>IF(AND(Contract_Edits[[#This Row],[Dep]]&lt;&gt;0,
        ISNUMBER(MATCH(Contract_Edits[[#This Row],[Dep]], Contract_Edits[Index], 0)),
        INDEX(Contract_Edits[Dep], MATCH(Contract_Edits[[#This Row],[Dep]], Contract_Edits[Index], 0))=Contract_Edits[[#This Row],[Index]]),
   "2-cycle","")</f>
        <v/>
      </c>
      <c r="AL74" s="517" cm="1">
        <f t="array" ref="AL74">IF(Contract_Edits[[#This Row],[BaseFlag]]&lt;&gt;1,0,
   IF(TEXT(Contract_Edits[[#This Row],[Dep]],"0")=TEXT(Contract_Edits[[#This Row],[Index]],"0"),
      0,
      MAX(0, SUMPRODUCT(--(Contract_Edits[BaseFlag]=1),
                        --(TEXT(Contract_Edits[Dep],"0")=TEXT(Contract_Edits[[#This Row],[Dep]],"0"))) - 1)
   )
)</f>
        <v>0</v>
      </c>
      <c r="AM74" s="517" t="str" cm="1">
        <f t="array" ref="AM74">IF(Contract_Edits[[#This Row],[BaseFlag]]=1,
   TEXT(Contract_Edits[[#This Row],[Index]],"0"),
   NearestBaseL(TEXT(Contract_Edits[[#This Row],[ParentKey]],"0"),500,editsIdxTxt,editsParentKeyTxt,baseIdxTxt,baseCost)
)</f>
        <v>150</v>
      </c>
      <c r="AN74" s="517" cm="1">
        <f t="array" ref="AN74">1+SUMPRODUCT(
  (Contract_Edits[BaseFlag]=1)*
  (TEXT(Contract_Edits[ParentAnchor],"0")=TEXT(Contract_Edits[[#This Row],[ParentAnchor]],"0"))*
  (VALUE(TEXT(Contract_Edits[Index],"0"))&lt;VALUE(TEXT(Contract_Edits[[#This Row],[Index]],"0")))
)</f>
        <v>1</v>
      </c>
      <c r="AO74" s="35"/>
      <c r="AP74" s="35" t="str">
        <f ca="1">IFERROR(+IF(AP$24=#REF!,Milestone_Marker,IF(AND(AP$24&gt;#REF!,AP$24&lt;#REF!+#REF!),#REF!,"")),"")</f>
        <v/>
      </c>
      <c r="AQ74" s="35" t="str">
        <f ca="1">IFERROR(+IF(AQ$24=#REF!,Milestone_Marker,IF(AND(AQ$24&gt;#REF!,AQ$24&lt;#REF!+#REF!),#REF!,"")),"")</f>
        <v/>
      </c>
      <c r="AR74" s="35" t="str">
        <f ca="1">IFERROR(+IF(AR$24=#REF!,Milestone_Marker,IF(AND(AR$24&gt;#REF!,AR$24&lt;#REF!+#REF!),#REF!,"")),"")</f>
        <v/>
      </c>
      <c r="AS74" s="35" t="str">
        <f ca="1">IFERROR(+IF(AS$24=#REF!,Milestone_Marker,IF(AND(AS$24&gt;#REF!,AS$24&lt;#REF!+#REF!),#REF!,"")),"")</f>
        <v/>
      </c>
      <c r="AT74" s="35" t="str">
        <f ca="1">IFERROR(+IF(AT$24=#REF!,Milestone_Marker,IF(AND(AT$24&gt;#REF!,AT$24&lt;#REF!+#REF!),#REF!,"")),"")</f>
        <v/>
      </c>
      <c r="AU74" s="35" t="str">
        <f ca="1">IFERROR(+IF(AU$24=#REF!,Milestone_Marker,IF(AND(AU$24&gt;#REF!,AU$24&lt;#REF!+#REF!),#REF!,"")),"")</f>
        <v/>
      </c>
      <c r="AV74" s="35" t="str">
        <f ca="1">IFERROR(+IF(AV$24=#REF!,Milestone_Marker,IF(AND(AV$24&gt;#REF!,AV$24&lt;#REF!+#REF!),#REF!,"")),"")</f>
        <v/>
      </c>
      <c r="AW74" s="35" t="str">
        <f ca="1">IFERROR(+IF(AW$24=#REF!,Milestone_Marker,IF(AND(AW$24&gt;#REF!,AW$24&lt;#REF!+#REF!),#REF!,"")),"")</f>
        <v/>
      </c>
      <c r="AX74" s="35" t="str">
        <f ca="1">IFERROR(+IF(AX$24=#REF!,Milestone_Marker,IF(AND(AX$24&gt;#REF!,AX$24&lt;#REF!+#REF!),#REF!,"")),"")</f>
        <v/>
      </c>
      <c r="AY74" s="35" t="str">
        <f ca="1">IFERROR(+IF(AY$24=#REF!,Milestone_Marker,IF(AND(AY$24&gt;#REF!,AY$24&lt;#REF!+#REF!),#REF!,"")),"")</f>
        <v/>
      </c>
      <c r="AZ74" s="35" t="str">
        <f ca="1">IFERROR(+IF(AZ$24=#REF!,Milestone_Marker,IF(AND(AZ$24&gt;#REF!,AZ$24&lt;#REF!+#REF!),#REF!,"")),"")</f>
        <v/>
      </c>
      <c r="BA74" s="35" t="str">
        <f ca="1">IFERROR(+IF(BA$24=#REF!,Milestone_Marker,IF(AND(BA$24&gt;#REF!,BA$24&lt;#REF!+#REF!),#REF!,"")),"")</f>
        <v/>
      </c>
      <c r="BB74" s="35" t="str">
        <f ca="1">IFERROR(+IF(BB$24=#REF!,Milestone_Marker,IF(AND(BB$24&gt;#REF!,BB$24&lt;#REF!+#REF!),#REF!,"")),"")</f>
        <v/>
      </c>
      <c r="BC74" s="35" t="str">
        <f ca="1">IFERROR(+IF(BC$24=#REF!,Milestone_Marker,IF(AND(BC$24&gt;#REF!,BC$24&lt;#REF!+#REF!),#REF!,"")),"")</f>
        <v/>
      </c>
      <c r="BD74" s="35" t="str">
        <f ca="1">IFERROR(+IF(BD$24=#REF!,Milestone_Marker,IF(AND(BD$24&gt;#REF!,BD$24&lt;#REF!+#REF!),#REF!,"")),"")</f>
        <v/>
      </c>
      <c r="BE74" s="35" t="str">
        <f ca="1">IFERROR(+IF(BE$24=#REF!,Milestone_Marker,IF(AND(BE$24&gt;#REF!,BE$24&lt;#REF!+#REF!),#REF!,"")),"")</f>
        <v/>
      </c>
      <c r="BF74" s="35" t="str">
        <f ca="1">IFERROR(+IF(BF$24=#REF!,Milestone_Marker,IF(AND(BF$24&gt;#REF!,BF$24&lt;#REF!+#REF!),#REF!,"")),"")</f>
        <v/>
      </c>
      <c r="BG74" s="35" t="str">
        <f ca="1">IFERROR(+IF(BG$24=#REF!,Milestone_Marker,IF(AND(BG$24&gt;#REF!,BG$24&lt;#REF!+#REF!),#REF!,"")),"")</f>
        <v/>
      </c>
      <c r="BH74" s="35" t="str">
        <f ca="1">IFERROR(+IF(BH$24=#REF!,Milestone_Marker,IF(AND(BH$24&gt;#REF!,BH$24&lt;#REF!+#REF!),#REF!,"")),"")</f>
        <v/>
      </c>
      <c r="BI74" s="35" t="str">
        <f ca="1">IFERROR(+IF(BI$24=#REF!,Milestone_Marker,IF(AND(BI$24&gt;#REF!,BI$24&lt;#REF!+#REF!),#REF!,"")),"")</f>
        <v/>
      </c>
      <c r="BJ74" s="35" t="str">
        <f ca="1">IFERROR(+IF(BJ$24=#REF!,Milestone_Marker,IF(AND(BJ$24&gt;#REF!,BJ$24&lt;#REF!+#REF!),#REF!,"")),"")</f>
        <v/>
      </c>
      <c r="BK74" s="35" t="str">
        <f ca="1">IFERROR(+IF(BK$24=#REF!,Milestone_Marker,IF(AND(BK$24&gt;#REF!,BK$24&lt;#REF!+#REF!),#REF!,"")),"")</f>
        <v/>
      </c>
      <c r="BL74" s="35" t="str">
        <f ca="1">IFERROR(+IF(BL$24=#REF!,Milestone_Marker,IF(AND(BL$24&gt;#REF!,BL$24&lt;#REF!+#REF!),#REF!,"")),"")</f>
        <v/>
      </c>
      <c r="BM74" s="35" t="str">
        <f ca="1">IFERROR(+IF(BM$24=#REF!,Milestone_Marker,IF(AND(BM$24&gt;#REF!,BM$24&lt;#REF!+#REF!),#REF!,"")),"")</f>
        <v/>
      </c>
      <c r="BN74" s="35" t="str">
        <f ca="1">IFERROR(+IF(BN$24=#REF!,Milestone_Marker,IF(AND(BN$24&gt;#REF!,BN$24&lt;#REF!+#REF!),#REF!,"")),"")</f>
        <v/>
      </c>
      <c r="BO74" s="35" t="str">
        <f ca="1">IFERROR(+IF(BO$24=#REF!,Milestone_Marker,IF(AND(BO$24&gt;#REF!,BO$24&lt;#REF!+#REF!),#REF!,"")),"")</f>
        <v/>
      </c>
      <c r="BP74" s="35" t="str">
        <f ca="1">IFERROR(+IF(BP$24=#REF!,Milestone_Marker,IF(AND(BP$24&gt;#REF!,BP$24&lt;#REF!+#REF!),#REF!,"")),"")</f>
        <v/>
      </c>
      <c r="BQ74" s="35" t="str">
        <f ca="1">IFERROR(+IF(BQ$24=#REF!,Milestone_Marker,IF(AND(BQ$24&gt;#REF!,BQ$24&lt;#REF!+#REF!),#REF!,"")),"")</f>
        <v/>
      </c>
      <c r="BR74" s="35" t="str">
        <f ca="1">IFERROR(+IF(BR$24=#REF!,Milestone_Marker,IF(AND(BR$24&gt;#REF!,BR$24&lt;#REF!+#REF!),#REF!,"")),"")</f>
        <v/>
      </c>
      <c r="BS74" s="35" t="str">
        <f ca="1">IFERROR(+IF(BS$24=#REF!,Milestone_Marker,IF(AND(BS$24&gt;#REF!,BS$24&lt;#REF!+#REF!),#REF!,"")),"")</f>
        <v/>
      </c>
      <c r="BT74" s="35" t="str">
        <f ca="1">IFERROR(+IF(BT$24=#REF!,Milestone_Marker,IF(AND(BT$24&gt;#REF!,BT$24&lt;#REF!+#REF!),#REF!,"")),"")</f>
        <v/>
      </c>
      <c r="BU74" s="35" t="str">
        <f ca="1">IFERROR(+IF(BU$24=#REF!,Milestone_Marker,IF(AND(BU$24&gt;#REF!,BU$24&lt;#REF!+#REF!),#REF!,"")),"")</f>
        <v/>
      </c>
      <c r="BV74" s="35" t="str">
        <f ca="1">IFERROR(+IF(BV$24=#REF!,Milestone_Marker,IF(AND(BV$24&gt;#REF!,BV$24&lt;#REF!+#REF!),#REF!,"")),"")</f>
        <v/>
      </c>
      <c r="BW74" s="35" t="str">
        <f ca="1">IFERROR(+IF(BW$24=#REF!,Milestone_Marker,IF(AND(BW$24&gt;#REF!,BW$24&lt;#REF!+#REF!),#REF!,"")),"")</f>
        <v/>
      </c>
      <c r="BX74" s="35" t="str">
        <f ca="1">IFERROR(+IF(BX$24=#REF!,Milestone_Marker,IF(AND(BX$24&gt;#REF!,BX$24&lt;#REF!+#REF!),#REF!,"")),"")</f>
        <v/>
      </c>
      <c r="BY74" s="35" t="str">
        <f ca="1">IFERROR(+IF(BY$24=#REF!,Milestone_Marker,IF(AND(BY$24&gt;#REF!,BY$24&lt;#REF!+#REF!),#REF!,"")),"")</f>
        <v/>
      </c>
      <c r="BZ74" s="35" t="str">
        <f ca="1">IFERROR(+IF(BZ$24=#REF!,Milestone_Marker,IF(AND(BZ$24&gt;#REF!,BZ$24&lt;#REF!+#REF!),#REF!,"")),"")</f>
        <v/>
      </c>
      <c r="CA74" s="35" t="str">
        <f ca="1">IFERROR(+IF(CA$24=#REF!,Milestone_Marker,IF(AND(CA$24&gt;#REF!,CA$24&lt;#REF!+#REF!),#REF!,"")),"")</f>
        <v/>
      </c>
      <c r="CB74" s="35" t="str">
        <f ca="1">IFERROR(+IF(CB$24=#REF!,Milestone_Marker,IF(AND(CB$24&gt;#REF!,CB$24&lt;#REF!+#REF!),#REF!,"")),"")</f>
        <v/>
      </c>
      <c r="CC74" s="35" t="str">
        <f ca="1">IFERROR(+IF(CC$24=#REF!,Milestone_Marker,IF(AND(CC$24&gt;#REF!,CC$24&lt;#REF!+#REF!),#REF!,"")),"")</f>
        <v/>
      </c>
      <c r="CD74" s="35" t="str">
        <f ca="1">IFERROR(+IF(CD$24=#REF!,Milestone_Marker,IF(AND(CD$24&gt;#REF!,CD$24&lt;#REF!+#REF!),#REF!,"")),"")</f>
        <v/>
      </c>
      <c r="CE74" s="35" t="str">
        <f ca="1">IFERROR(+IF(CE$24=#REF!,Milestone_Marker,IF(AND(CE$24&gt;#REF!,CE$24&lt;#REF!+#REF!),#REF!,"")),"")</f>
        <v/>
      </c>
      <c r="CF74" s="35" t="str">
        <f ca="1">IFERROR(+IF(CF$24=#REF!,Milestone_Marker,IF(AND(CF$24&gt;#REF!,CF$24&lt;#REF!+#REF!),#REF!,"")),"")</f>
        <v/>
      </c>
      <c r="CG74" s="35" t="str">
        <f ca="1">IFERROR(+IF(CG$24=#REF!,Milestone_Marker,IF(AND(CG$24&gt;#REF!,CG$24&lt;#REF!+#REF!),#REF!,"")),"")</f>
        <v/>
      </c>
      <c r="CH74" s="35" t="str">
        <f ca="1">IFERROR(+IF(CH$24=#REF!,Milestone_Marker,IF(AND(CH$24&gt;#REF!,CH$24&lt;#REF!+#REF!),#REF!,"")),"")</f>
        <v/>
      </c>
      <c r="CI74" s="35" t="str">
        <f ca="1">IFERROR(+IF(CI$24=#REF!,Milestone_Marker,IF(AND(CI$24&gt;#REF!,CI$24&lt;#REF!+#REF!),#REF!,"")),"")</f>
        <v/>
      </c>
      <c r="CJ74" s="35" t="str">
        <f ca="1">IFERROR(+IF(CJ$24=#REF!,Milestone_Marker,IF(AND(CJ$24&gt;#REF!,CJ$24&lt;#REF!+#REF!),#REF!,"")),"")</f>
        <v/>
      </c>
      <c r="CK74" s="35" t="str">
        <f ca="1">IFERROR(+IF(CK$24=#REF!,Milestone_Marker,IF(AND(CK$24&gt;#REF!,CK$24&lt;#REF!+#REF!),#REF!,"")),"")</f>
        <v/>
      </c>
      <c r="CL74" s="35" t="str">
        <f ca="1">IFERROR(+IF(CL$24=#REF!,Milestone_Marker,IF(AND(CL$24&gt;#REF!,CL$24&lt;#REF!+#REF!),#REF!,"")),"")</f>
        <v/>
      </c>
      <c r="CM74" s="35" t="str">
        <f ca="1">IFERROR(+IF(CM$24=#REF!,Milestone_Marker,IF(AND(CM$24&gt;#REF!,CM$24&lt;#REF!+#REF!),#REF!,"")),"")</f>
        <v/>
      </c>
      <c r="CN74" s="35" t="str">
        <f ca="1">IFERROR(+IF(CN$24=#REF!,Milestone_Marker,IF(AND(CN$24&gt;#REF!,CN$24&lt;#REF!+#REF!),#REF!,"")),"")</f>
        <v/>
      </c>
      <c r="CO74" s="35" t="str">
        <f ca="1">IFERROR(+IF(CO$24=#REF!,Milestone_Marker,IF(AND(CO$24&gt;#REF!,CO$24&lt;#REF!+#REF!),#REF!,"")),"")</f>
        <v/>
      </c>
      <c r="CP74" s="35" t="str">
        <f ca="1">IFERROR(+IF(CP$24=#REF!,Milestone_Marker,IF(AND(CP$24&gt;#REF!,CP$24&lt;#REF!+#REF!),#REF!,"")),"")</f>
        <v/>
      </c>
      <c r="CQ74" s="35" t="str">
        <f ca="1">IFERROR(+IF(CQ$24=#REF!,Milestone_Marker,IF(AND(CQ$24&gt;#REF!,CQ$24&lt;#REF!+#REF!),#REF!,"")),"")</f>
        <v/>
      </c>
      <c r="CR74" s="35" t="str">
        <f ca="1">IFERROR(+IF(CR$24=#REF!,Milestone_Marker,IF(AND(CR$24&gt;#REF!,CR$24&lt;#REF!+#REF!),#REF!,"")),"")</f>
        <v/>
      </c>
      <c r="CS74" s="35" t="str">
        <f ca="1">IFERROR(+IF(CS$24=#REF!,Milestone_Marker,IF(AND(CS$24&gt;#REF!,CS$24&lt;#REF!+#REF!),#REF!,"")),"")</f>
        <v/>
      </c>
      <c r="CT74" s="35" t="str">
        <f ca="1">IFERROR(+IF(CT$24=#REF!,Milestone_Marker,IF(AND(CT$24&gt;#REF!,CT$24&lt;#REF!+#REF!),#REF!,"")),"")</f>
        <v/>
      </c>
      <c r="CU74" s="35" t="str">
        <f ca="1">IFERROR(+IF(CU$24=#REF!,Milestone_Marker,IF(AND(CU$24&gt;#REF!,CU$24&lt;#REF!+#REF!),#REF!,"")),"")</f>
        <v/>
      </c>
      <c r="CV74" s="35" t="str">
        <f ca="1">IFERROR(+IF(CV$24=#REF!,Milestone_Marker,IF(AND(CV$24&gt;#REF!,CV$24&lt;#REF!+#REF!),#REF!,"")),"")</f>
        <v/>
      </c>
      <c r="CW74" s="35" t="str">
        <f ca="1">IFERROR(+IF(CW$24=#REF!,Milestone_Marker,IF(AND(CW$24&gt;#REF!,CW$24&lt;#REF!+#REF!),#REF!,"")),"")</f>
        <v/>
      </c>
      <c r="CX74" s="35" t="str">
        <f ca="1">IFERROR(+IF(CX$24=#REF!,Milestone_Marker,IF(AND(CX$24&gt;#REF!,CX$24&lt;#REF!+#REF!),#REF!,"")),"")</f>
        <v/>
      </c>
      <c r="CY74" s="35" t="str">
        <f ca="1">IFERROR(+IF(CY$24=#REF!,Milestone_Marker,IF(AND(CY$24&gt;#REF!,CY$24&lt;#REF!+#REF!),#REF!,"")),"")</f>
        <v/>
      </c>
      <c r="CZ74" s="35" t="str">
        <f ca="1">IFERROR(+IF(CZ$24=#REF!,Milestone_Marker,IF(AND(CZ$24&gt;#REF!,CZ$24&lt;#REF!+#REF!),#REF!,"")),"")</f>
        <v/>
      </c>
      <c r="DA74" s="35" t="str">
        <f ca="1">IFERROR(+IF(DA$24=#REF!,Milestone_Marker,IF(AND(DA$24&gt;#REF!,DA$24&lt;#REF!+#REF!),#REF!,"")),"")</f>
        <v/>
      </c>
      <c r="DB74" s="35" t="str">
        <f ca="1">IFERROR(+IF(DB$24=#REF!,Milestone_Marker,IF(AND(DB$24&gt;#REF!,DB$24&lt;#REF!+#REF!),#REF!,"")),"")</f>
        <v/>
      </c>
      <c r="DC74" s="35" t="str">
        <f ca="1">IFERROR(+IF(DC$24=#REF!,Milestone_Marker,IF(AND(DC$24&gt;#REF!,DC$24&lt;#REF!+#REF!),#REF!,"")),"")</f>
        <v/>
      </c>
      <c r="DD74" s="35" t="str">
        <f ca="1">IFERROR(+IF(DD$24=#REF!,Milestone_Marker,IF(AND(DD$24&gt;#REF!,DD$24&lt;#REF!+#REF!),#REF!,"")),"")</f>
        <v/>
      </c>
      <c r="DE74" s="35" t="str">
        <f ca="1">IFERROR(+IF(DE$24=#REF!,Milestone_Marker,IF(AND(DE$24&gt;#REF!,DE$24&lt;#REF!+#REF!),#REF!,"")),"")</f>
        <v/>
      </c>
      <c r="DF74" s="35"/>
      <c r="DG74" s="35"/>
      <c r="DH74" s="35"/>
      <c r="DI74" s="35"/>
      <c r="DJ74" s="35"/>
      <c r="DK74" s="35"/>
      <c r="DL74" s="35"/>
      <c r="DM74" s="35"/>
      <c r="DN74" s="35"/>
      <c r="DO74" s="35"/>
      <c r="DP74" s="35"/>
      <c r="DQ74" s="35"/>
      <c r="DR74" s="35"/>
      <c r="DS74" s="35"/>
      <c r="DT74" s="35"/>
      <c r="DU74" s="35"/>
      <c r="DV74" s="35"/>
      <c r="DW74" s="35"/>
      <c r="DX74" s="35"/>
      <c r="DY74" s="35"/>
      <c r="DZ74" s="35"/>
      <c r="EA74" s="35"/>
      <c r="EB74" s="35"/>
      <c r="EC74" s="35"/>
      <c r="ED74" s="35"/>
      <c r="EE74" s="35"/>
    </row>
    <row r="75" spans="1:135" ht="15">
      <c r="A75" t="s">
        <v>519</v>
      </c>
      <c r="B75" t="s">
        <v>555</v>
      </c>
      <c r="C75" t="s">
        <v>547</v>
      </c>
      <c r="D75" s="458" t="s">
        <v>556</v>
      </c>
      <c r="E75" s="458">
        <v>1</v>
      </c>
      <c r="F75">
        <v>870</v>
      </c>
      <c r="G75">
        <v>870</v>
      </c>
      <c r="H75">
        <v>150</v>
      </c>
      <c r="I75"/>
      <c r="J75">
        <v>18</v>
      </c>
      <c r="K75" s="107"/>
      <c r="L75" s="463">
        <v>18</v>
      </c>
      <c r="M75" s="176">
        <v>1</v>
      </c>
      <c r="N75" s="160">
        <v>0</v>
      </c>
      <c r="O75" s="546" cm="1">
        <f t="array" ref="O7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46078</v>
      </c>
      <c r="P75" s="566" t="s">
        <v>797</v>
      </c>
      <c r="Q75" s="566">
        <v>0</v>
      </c>
      <c r="R75" s="22"/>
      <c r="S75" s="463" cm="1">
        <f t="array" ref="S7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150</v>
      </c>
      <c r="T75">
        <v>1</v>
      </c>
      <c r="U75" s="176"/>
      <c r="V7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75.010300000000001</v>
      </c>
      <c r="W75" s="497"/>
      <c r="X75" s="176"/>
      <c r="Y75" s="548" t="s">
        <v>854</v>
      </c>
      <c r="Z75" s="160" t="s">
        <v>458</v>
      </c>
      <c r="AA75" s="563">
        <v>100300</v>
      </c>
      <c r="AB75" cm="1">
        <f t="array" ref="AB75">ROW()-ROW(Contract_Edits[#Headers])</f>
        <v>51</v>
      </c>
      <c r="AC75">
        <f>IF(Contract_Edits[[#This Row],[RowPos]]&gt;1, Contract_Edits[[#This Row],[RowPos]]-1, 0)</f>
        <v>50</v>
      </c>
      <c r="AD75" s="35">
        <f>IF(N(Contract_Edits[[#This Row],[Dep]])=0, N(Contract_Edits[[#This Row],[Index]]), N(Contract_Edits[[#This Row],[Dep]]))</f>
        <v>150</v>
      </c>
      <c r="AE75" s="35" cm="1">
        <f t="array" ref="AE75">IF(OR(Contract_Edits[[#This Row],[Dep]]=0, TRIM(Contract_Edits[[#This Row],[Dep]])=""),
   0,
   IFERROR(
      _xlfn.XLOOKUP(1, (Contract_Edits[Dep]=Contract_Edits[[#This Row],[Dep]])*(Contract_Edits[RowPos]&lt;Contract_Edits[[#This Row],[RowPos]]), Contract_Edits[RowPos], , 0, -1),
      0
   )
)</f>
        <v>50</v>
      </c>
      <c r="AF75" s="35">
        <f>IF(OR(Contract_Edits[[#This Row],[Dep]]=0,Contract_Edits[[#This Row],[Dep]]=""),0,
   COUNTIFS(Contract_Edits[Dep],Contract_Edits[[#This Row],[Dep]],Contract_Edits[RowPos],"&lt;="&amp;Contract_Edits[[#This Row],[RowPos]],Contract_Edits[Approve],"Yes")
)</f>
        <v>3</v>
      </c>
      <c r="AG75" s="517">
        <f>--(
  ISNUMBER(SEARCH("BASE PARENT", UPPER(CLEAN(TRIM(_xlfn.XLOOKUP(TEXT(Contract_Edits[[#This Row],[Index]],"0"), baseIdxTxt, baseCost, "")))))) +
  ISNUMBER(SEARCH("DEPENDENCY GROUP", UPPER(CLEAN(TRIM(_xlfn.XLOOKUP(TEXT(Contract_Edits[[#This Row],[Index]],"0"), baseIdxTxt, baseCost, ""))))))
)</f>
        <v>0</v>
      </c>
      <c r="AH75" s="517" t="str" cm="1">
        <f t="array" ref="AH75">IF(Contract_Edits[[#This Row],[BaseFlag]]=1,
   10*BaseDepthL(TEXT(Contract_Edits[[#This Row],[Index]],"0"),500,editsIdxTxt,editsParentKeyTxt,baseIdxTxt,baseCost)-5,
   ""
)</f>
        <v/>
      </c>
      <c r="AI75" s="517" cm="1">
        <f t="array" ref="AI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75" s="517" t="str">
        <f>IF(Contract_Edits[[#This Row],[Dep]]=0,"Root",
   IF(ISNUMBER(MATCH(Contract_Edits[[#This Row],[Dep]],Contract_Edits[Index],0)),"OK","Missing")
)</f>
        <v>OK</v>
      </c>
      <c r="AK75" s="517" t="str">
        <f>IF(AND(Contract_Edits[[#This Row],[Dep]]&lt;&gt;0,
        ISNUMBER(MATCH(Contract_Edits[[#This Row],[Dep]], Contract_Edits[Index], 0)),
        INDEX(Contract_Edits[Dep], MATCH(Contract_Edits[[#This Row],[Dep]], Contract_Edits[Index], 0))=Contract_Edits[[#This Row],[Index]]),
   "2-cycle","")</f>
        <v/>
      </c>
      <c r="AL75" s="517" cm="1">
        <f t="array" ref="AL75">IF(Contract_Edits[[#This Row],[BaseFlag]]&lt;&gt;1,0,
   IF(TEXT(Contract_Edits[[#This Row],[Dep]],"0")=TEXT(Contract_Edits[[#This Row],[Index]],"0"),
      0,
      MAX(0, SUMPRODUCT(--(Contract_Edits[BaseFlag]=1),
                        --(TEXT(Contract_Edits[Dep],"0")=TEXT(Contract_Edits[[#This Row],[Dep]],"0"))) - 1)
   )
)</f>
        <v>0</v>
      </c>
      <c r="AM75" s="517" t="str" cm="1">
        <f t="array" ref="AM75">IF(Contract_Edits[[#This Row],[BaseFlag]]=1,
   TEXT(Contract_Edits[[#This Row],[Index]],"0"),
   NearestBaseL(TEXT(Contract_Edits[[#This Row],[ParentKey]],"0"),500,editsIdxTxt,editsParentKeyTxt,baseIdxTxt,baseCost)
)</f>
        <v>150</v>
      </c>
      <c r="AN75" s="517" cm="1">
        <f t="array" ref="AN75">1+SUMPRODUCT(
  (Contract_Edits[BaseFlag]=1)*
  (TEXT(Contract_Edits[ParentAnchor],"0")=TEXT(Contract_Edits[[#This Row],[ParentAnchor]],"0"))*
  (VALUE(TEXT(Contract_Edits[Index],"0"))&lt;VALUE(TEXT(Contract_Edits[[#This Row],[Index]],"0")))
)</f>
        <v>1</v>
      </c>
      <c r="AO75" s="35"/>
      <c r="AP75" s="35" t="str">
        <f ca="1">IFERROR(+IF(AP$24=#REF!,Milestone_Marker,IF(AND(AP$24&gt;#REF!,AP$24&lt;#REF!+#REF!),#REF!,"")),"")</f>
        <v/>
      </c>
      <c r="AQ75" s="35" t="str">
        <f ca="1">IFERROR(+IF(AQ$24=#REF!,Milestone_Marker,IF(AND(AQ$24&gt;#REF!,AQ$24&lt;#REF!+#REF!),#REF!,"")),"")</f>
        <v/>
      </c>
      <c r="AR75" s="35" t="str">
        <f ca="1">IFERROR(+IF(AR$24=#REF!,Milestone_Marker,IF(AND(AR$24&gt;#REF!,AR$24&lt;#REF!+#REF!),#REF!,"")),"")</f>
        <v/>
      </c>
      <c r="AS75" s="35" t="str">
        <f ca="1">IFERROR(+IF(AS$24=#REF!,Milestone_Marker,IF(AND(AS$24&gt;#REF!,AS$24&lt;#REF!+#REF!),#REF!,"")),"")</f>
        <v/>
      </c>
      <c r="AT75" s="35" t="str">
        <f ca="1">IFERROR(+IF(AT$24=#REF!,Milestone_Marker,IF(AND(AT$24&gt;#REF!,AT$24&lt;#REF!+#REF!),#REF!,"")),"")</f>
        <v/>
      </c>
      <c r="AU75" s="35" t="str">
        <f ca="1">IFERROR(+IF(AU$24=#REF!,Milestone_Marker,IF(AND(AU$24&gt;#REF!,AU$24&lt;#REF!+#REF!),#REF!,"")),"")</f>
        <v/>
      </c>
      <c r="AV75" s="35" t="str">
        <f ca="1">IFERROR(+IF(AV$24=#REF!,Milestone_Marker,IF(AND(AV$24&gt;#REF!,AV$24&lt;#REF!+#REF!),#REF!,"")),"")</f>
        <v/>
      </c>
      <c r="AW75" s="35" t="str">
        <f ca="1">IFERROR(+IF(AW$24=#REF!,Milestone_Marker,IF(AND(AW$24&gt;#REF!,AW$24&lt;#REF!+#REF!),#REF!,"")),"")</f>
        <v/>
      </c>
      <c r="AX75" s="35" t="str">
        <f ca="1">IFERROR(+IF(AX$24=#REF!,Milestone_Marker,IF(AND(AX$24&gt;#REF!,AX$24&lt;#REF!+#REF!),#REF!,"")),"")</f>
        <v/>
      </c>
      <c r="AY75" s="35" t="str">
        <f ca="1">IFERROR(+IF(AY$24=#REF!,Milestone_Marker,IF(AND(AY$24&gt;#REF!,AY$24&lt;#REF!+#REF!),#REF!,"")),"")</f>
        <v/>
      </c>
      <c r="AZ75" s="35" t="str">
        <f ca="1">IFERROR(+IF(AZ$24=#REF!,Milestone_Marker,IF(AND(AZ$24&gt;#REF!,AZ$24&lt;#REF!+#REF!),#REF!,"")),"")</f>
        <v/>
      </c>
      <c r="BA75" s="35" t="str">
        <f ca="1">IFERROR(+IF(BA$24=#REF!,Milestone_Marker,IF(AND(BA$24&gt;#REF!,BA$24&lt;#REF!+#REF!),#REF!,"")),"")</f>
        <v/>
      </c>
      <c r="BB75" s="35" t="str">
        <f ca="1">IFERROR(+IF(BB$24=#REF!,Milestone_Marker,IF(AND(BB$24&gt;#REF!,BB$24&lt;#REF!+#REF!),#REF!,"")),"")</f>
        <v/>
      </c>
      <c r="BC75" s="35" t="str">
        <f ca="1">IFERROR(+IF(BC$24=#REF!,Milestone_Marker,IF(AND(BC$24&gt;#REF!,BC$24&lt;#REF!+#REF!),#REF!,"")),"")</f>
        <v/>
      </c>
      <c r="BD75" s="35" t="str">
        <f ca="1">IFERROR(+IF(BD$24=#REF!,Milestone_Marker,IF(AND(BD$24&gt;#REF!,BD$24&lt;#REF!+#REF!),#REF!,"")),"")</f>
        <v/>
      </c>
      <c r="BE75" s="35" t="str">
        <f ca="1">IFERROR(+IF(BE$24=#REF!,Milestone_Marker,IF(AND(BE$24&gt;#REF!,BE$24&lt;#REF!+#REF!),#REF!,"")),"")</f>
        <v/>
      </c>
      <c r="BF75" s="35" t="str">
        <f ca="1">IFERROR(+IF(BF$24=#REF!,Milestone_Marker,IF(AND(BF$24&gt;#REF!,BF$24&lt;#REF!+#REF!),#REF!,"")),"")</f>
        <v/>
      </c>
      <c r="BG75" s="35" t="str">
        <f ca="1">IFERROR(+IF(BG$24=#REF!,Milestone_Marker,IF(AND(BG$24&gt;#REF!,BG$24&lt;#REF!+#REF!),#REF!,"")),"")</f>
        <v/>
      </c>
      <c r="BH75" s="35" t="str">
        <f ca="1">IFERROR(+IF(BH$24=#REF!,Milestone_Marker,IF(AND(BH$24&gt;#REF!,BH$24&lt;#REF!+#REF!),#REF!,"")),"")</f>
        <v/>
      </c>
      <c r="BI75" s="35" t="str">
        <f ca="1">IFERROR(+IF(BI$24=#REF!,Milestone_Marker,IF(AND(BI$24&gt;#REF!,BI$24&lt;#REF!+#REF!),#REF!,"")),"")</f>
        <v/>
      </c>
      <c r="BJ75" s="35" t="str">
        <f ca="1">IFERROR(+IF(BJ$24=#REF!,Milestone_Marker,IF(AND(BJ$24&gt;#REF!,BJ$24&lt;#REF!+#REF!),#REF!,"")),"")</f>
        <v/>
      </c>
      <c r="BK75" s="35" t="str">
        <f ca="1">IFERROR(+IF(BK$24=#REF!,Milestone_Marker,IF(AND(BK$24&gt;#REF!,BK$24&lt;#REF!+#REF!),#REF!,"")),"")</f>
        <v/>
      </c>
      <c r="BL75" s="35" t="str">
        <f ca="1">IFERROR(+IF(BL$24=#REF!,Milestone_Marker,IF(AND(BL$24&gt;#REF!,BL$24&lt;#REF!+#REF!),#REF!,"")),"")</f>
        <v/>
      </c>
      <c r="BM75" s="35" t="str">
        <f ca="1">IFERROR(+IF(BM$24=#REF!,Milestone_Marker,IF(AND(BM$24&gt;#REF!,BM$24&lt;#REF!+#REF!),#REF!,"")),"")</f>
        <v/>
      </c>
      <c r="BN75" s="35" t="str">
        <f ca="1">IFERROR(+IF(BN$24=#REF!,Milestone_Marker,IF(AND(BN$24&gt;#REF!,BN$24&lt;#REF!+#REF!),#REF!,"")),"")</f>
        <v/>
      </c>
      <c r="BO75" s="35" t="str">
        <f ca="1">IFERROR(+IF(BO$24=#REF!,Milestone_Marker,IF(AND(BO$24&gt;#REF!,BO$24&lt;#REF!+#REF!),#REF!,"")),"")</f>
        <v/>
      </c>
      <c r="BP75" s="35" t="str">
        <f ca="1">IFERROR(+IF(BP$24=#REF!,Milestone_Marker,IF(AND(BP$24&gt;#REF!,BP$24&lt;#REF!+#REF!),#REF!,"")),"")</f>
        <v/>
      </c>
      <c r="BQ75" s="35" t="str">
        <f ca="1">IFERROR(+IF(BQ$24=#REF!,Milestone_Marker,IF(AND(BQ$24&gt;#REF!,BQ$24&lt;#REF!+#REF!),#REF!,"")),"")</f>
        <v/>
      </c>
      <c r="BR75" s="35" t="str">
        <f ca="1">IFERROR(+IF(BR$24=#REF!,Milestone_Marker,IF(AND(BR$24&gt;#REF!,BR$24&lt;#REF!+#REF!),#REF!,"")),"")</f>
        <v/>
      </c>
      <c r="BS75" s="35" t="str">
        <f ca="1">IFERROR(+IF(BS$24=#REF!,Milestone_Marker,IF(AND(BS$24&gt;#REF!,BS$24&lt;#REF!+#REF!),#REF!,"")),"")</f>
        <v/>
      </c>
      <c r="BT75" s="35" t="str">
        <f ca="1">IFERROR(+IF(BT$24=#REF!,Milestone_Marker,IF(AND(BT$24&gt;#REF!,BT$24&lt;#REF!+#REF!),#REF!,"")),"")</f>
        <v/>
      </c>
      <c r="BU75" s="35" t="str">
        <f ca="1">IFERROR(+IF(BU$24=#REF!,Milestone_Marker,IF(AND(BU$24&gt;#REF!,BU$24&lt;#REF!+#REF!),#REF!,"")),"")</f>
        <v/>
      </c>
      <c r="BV75" s="35" t="str">
        <f ca="1">IFERROR(+IF(BV$24=#REF!,Milestone_Marker,IF(AND(BV$24&gt;#REF!,BV$24&lt;#REF!+#REF!),#REF!,"")),"")</f>
        <v/>
      </c>
      <c r="BW75" s="35" t="str">
        <f ca="1">IFERROR(+IF(BW$24=#REF!,Milestone_Marker,IF(AND(BW$24&gt;#REF!,BW$24&lt;#REF!+#REF!),#REF!,"")),"")</f>
        <v/>
      </c>
      <c r="BX75" s="35" t="str">
        <f ca="1">IFERROR(+IF(BX$24=#REF!,Milestone_Marker,IF(AND(BX$24&gt;#REF!,BX$24&lt;#REF!+#REF!),#REF!,"")),"")</f>
        <v/>
      </c>
      <c r="BY75" s="35" t="str">
        <f ca="1">IFERROR(+IF(BY$24=#REF!,Milestone_Marker,IF(AND(BY$24&gt;#REF!,BY$24&lt;#REF!+#REF!),#REF!,"")),"")</f>
        <v/>
      </c>
      <c r="BZ75" s="35" t="str">
        <f ca="1">IFERROR(+IF(BZ$24=#REF!,Milestone_Marker,IF(AND(BZ$24&gt;#REF!,BZ$24&lt;#REF!+#REF!),#REF!,"")),"")</f>
        <v/>
      </c>
      <c r="CA75" s="35" t="str">
        <f ca="1">IFERROR(+IF(CA$24=#REF!,Milestone_Marker,IF(AND(CA$24&gt;#REF!,CA$24&lt;#REF!+#REF!),#REF!,"")),"")</f>
        <v/>
      </c>
      <c r="CB75" s="35" t="str">
        <f ca="1">IFERROR(+IF(CB$24=#REF!,Milestone_Marker,IF(AND(CB$24&gt;#REF!,CB$24&lt;#REF!+#REF!),#REF!,"")),"")</f>
        <v/>
      </c>
      <c r="CC75" s="35" t="str">
        <f ca="1">IFERROR(+IF(CC$24=#REF!,Milestone_Marker,IF(AND(CC$24&gt;#REF!,CC$24&lt;#REF!+#REF!),#REF!,"")),"")</f>
        <v/>
      </c>
      <c r="CD75" s="35" t="str">
        <f ca="1">IFERROR(+IF(CD$24=#REF!,Milestone_Marker,IF(AND(CD$24&gt;#REF!,CD$24&lt;#REF!+#REF!),#REF!,"")),"")</f>
        <v/>
      </c>
      <c r="CE75" s="35" t="str">
        <f ca="1">IFERROR(+IF(CE$24=#REF!,Milestone_Marker,IF(AND(CE$24&gt;#REF!,CE$24&lt;#REF!+#REF!),#REF!,"")),"")</f>
        <v/>
      </c>
      <c r="CF75" s="35" t="str">
        <f ca="1">IFERROR(+IF(CF$24=#REF!,Milestone_Marker,IF(AND(CF$24&gt;#REF!,CF$24&lt;#REF!+#REF!),#REF!,"")),"")</f>
        <v/>
      </c>
      <c r="CG75" s="35" t="str">
        <f ca="1">IFERROR(+IF(CG$24=#REF!,Milestone_Marker,IF(AND(CG$24&gt;#REF!,CG$24&lt;#REF!+#REF!),#REF!,"")),"")</f>
        <v/>
      </c>
      <c r="CH75" s="35" t="str">
        <f ca="1">IFERROR(+IF(CH$24=#REF!,Milestone_Marker,IF(AND(CH$24&gt;#REF!,CH$24&lt;#REF!+#REF!),#REF!,"")),"")</f>
        <v/>
      </c>
      <c r="CI75" s="35" t="str">
        <f ca="1">IFERROR(+IF(CI$24=#REF!,Milestone_Marker,IF(AND(CI$24&gt;#REF!,CI$24&lt;#REF!+#REF!),#REF!,"")),"")</f>
        <v/>
      </c>
      <c r="CJ75" s="35" t="str">
        <f ca="1">IFERROR(+IF(CJ$24=#REF!,Milestone_Marker,IF(AND(CJ$24&gt;#REF!,CJ$24&lt;#REF!+#REF!),#REF!,"")),"")</f>
        <v/>
      </c>
      <c r="CK75" s="35" t="str">
        <f ca="1">IFERROR(+IF(CK$24=#REF!,Milestone_Marker,IF(AND(CK$24&gt;#REF!,CK$24&lt;#REF!+#REF!),#REF!,"")),"")</f>
        <v/>
      </c>
      <c r="CL75" s="35" t="str">
        <f ca="1">IFERROR(+IF(CL$24=#REF!,Milestone_Marker,IF(AND(CL$24&gt;#REF!,CL$24&lt;#REF!+#REF!),#REF!,"")),"")</f>
        <v/>
      </c>
      <c r="CM75" s="35" t="str">
        <f ca="1">IFERROR(+IF(CM$24=#REF!,Milestone_Marker,IF(AND(CM$24&gt;#REF!,CM$24&lt;#REF!+#REF!),#REF!,"")),"")</f>
        <v/>
      </c>
      <c r="CN75" s="35" t="str">
        <f ca="1">IFERROR(+IF(CN$24=#REF!,Milestone_Marker,IF(AND(CN$24&gt;#REF!,CN$24&lt;#REF!+#REF!),#REF!,"")),"")</f>
        <v/>
      </c>
      <c r="CO75" s="35" t="str">
        <f ca="1">IFERROR(+IF(CO$24=#REF!,Milestone_Marker,IF(AND(CO$24&gt;#REF!,CO$24&lt;#REF!+#REF!),#REF!,"")),"")</f>
        <v/>
      </c>
      <c r="CP75" s="35" t="str">
        <f ca="1">IFERROR(+IF(CP$24=#REF!,Milestone_Marker,IF(AND(CP$24&gt;#REF!,CP$24&lt;#REF!+#REF!),#REF!,"")),"")</f>
        <v/>
      </c>
      <c r="CQ75" s="35" t="str">
        <f ca="1">IFERROR(+IF(CQ$24=#REF!,Milestone_Marker,IF(AND(CQ$24&gt;#REF!,CQ$24&lt;#REF!+#REF!),#REF!,"")),"")</f>
        <v/>
      </c>
      <c r="CR75" s="35" t="str">
        <f ca="1">IFERROR(+IF(CR$24=#REF!,Milestone_Marker,IF(AND(CR$24&gt;#REF!,CR$24&lt;#REF!+#REF!),#REF!,"")),"")</f>
        <v/>
      </c>
      <c r="CS75" s="35" t="str">
        <f ca="1">IFERROR(+IF(CS$24=#REF!,Milestone_Marker,IF(AND(CS$24&gt;#REF!,CS$24&lt;#REF!+#REF!),#REF!,"")),"")</f>
        <v/>
      </c>
      <c r="CT75" s="35" t="str">
        <f ca="1">IFERROR(+IF(CT$24=#REF!,Milestone_Marker,IF(AND(CT$24&gt;#REF!,CT$24&lt;#REF!+#REF!),#REF!,"")),"")</f>
        <v/>
      </c>
      <c r="CU75" s="35" t="str">
        <f ca="1">IFERROR(+IF(CU$24=#REF!,Milestone_Marker,IF(AND(CU$24&gt;#REF!,CU$24&lt;#REF!+#REF!),#REF!,"")),"")</f>
        <v/>
      </c>
      <c r="CV75" s="35" t="str">
        <f ca="1">IFERROR(+IF(CV$24=#REF!,Milestone_Marker,IF(AND(CV$24&gt;#REF!,CV$24&lt;#REF!+#REF!),#REF!,"")),"")</f>
        <v/>
      </c>
      <c r="CW75" s="35" t="str">
        <f ca="1">IFERROR(+IF(CW$24=#REF!,Milestone_Marker,IF(AND(CW$24&gt;#REF!,CW$24&lt;#REF!+#REF!),#REF!,"")),"")</f>
        <v/>
      </c>
      <c r="CX75" s="35" t="str">
        <f ca="1">IFERROR(+IF(CX$24=#REF!,Milestone_Marker,IF(AND(CX$24&gt;#REF!,CX$24&lt;#REF!+#REF!),#REF!,"")),"")</f>
        <v/>
      </c>
      <c r="CY75" s="35" t="str">
        <f ca="1">IFERROR(+IF(CY$24=#REF!,Milestone_Marker,IF(AND(CY$24&gt;#REF!,CY$24&lt;#REF!+#REF!),#REF!,"")),"")</f>
        <v/>
      </c>
      <c r="CZ75" s="35" t="str">
        <f ca="1">IFERROR(+IF(CZ$24=#REF!,Milestone_Marker,IF(AND(CZ$24&gt;#REF!,CZ$24&lt;#REF!+#REF!),#REF!,"")),"")</f>
        <v/>
      </c>
      <c r="DA75" s="35" t="str">
        <f ca="1">IFERROR(+IF(DA$24=#REF!,Milestone_Marker,IF(AND(DA$24&gt;#REF!,DA$24&lt;#REF!+#REF!),#REF!,"")),"")</f>
        <v/>
      </c>
      <c r="DB75" s="35" t="str">
        <f ca="1">IFERROR(+IF(DB$24=#REF!,Milestone_Marker,IF(AND(DB$24&gt;#REF!,DB$24&lt;#REF!+#REF!),#REF!,"")),"")</f>
        <v/>
      </c>
      <c r="DC75" s="35" t="str">
        <f ca="1">IFERROR(+IF(DC$24=#REF!,Milestone_Marker,IF(AND(DC$24&gt;#REF!,DC$24&lt;#REF!+#REF!),#REF!,"")),"")</f>
        <v/>
      </c>
      <c r="DD75" s="35" t="str">
        <f ca="1">IFERROR(+IF(DD$24=#REF!,Milestone_Marker,IF(AND(DD$24&gt;#REF!,DD$24&lt;#REF!+#REF!),#REF!,"")),"")</f>
        <v/>
      </c>
      <c r="DE75" s="35" t="str">
        <f ca="1">IFERROR(+IF(DE$24=#REF!,Milestone_Marker,IF(AND(DE$24&gt;#REF!,DE$24&lt;#REF!+#REF!),#REF!,"")),"")</f>
        <v/>
      </c>
      <c r="DF75" s="35" t="str">
        <f ca="1">IFERROR(+IF(DD$24=#REF!,Milestone_Marker,IF(AND(DD$24&gt;#REF!,DD$24&lt;=#REF!+#REF!),#REF!,"")),"")</f>
        <v/>
      </c>
      <c r="DG75" s="35" t="str">
        <f ca="1">IFERROR(+IF(DE$24=#REF!,Milestone_Marker,IF(AND(DE$24&gt;#REF!,DE$24&lt;=#REF!+#REF!),#REF!,"")),"")</f>
        <v/>
      </c>
      <c r="DH75" s="35"/>
      <c r="DI75" s="35"/>
      <c r="DJ75" s="35"/>
      <c r="DK75" s="35"/>
      <c r="DL75" s="35"/>
      <c r="DM75" s="35"/>
      <c r="DN75" s="35"/>
      <c r="DO75" s="35"/>
      <c r="DP75" s="35"/>
      <c r="DQ75" s="35"/>
      <c r="DR75" s="35"/>
      <c r="DS75" s="35"/>
      <c r="DT75" s="35"/>
      <c r="DU75" s="35"/>
      <c r="DV75" s="35"/>
      <c r="DW75" s="35"/>
      <c r="DX75" s="35"/>
      <c r="DY75" s="35"/>
      <c r="DZ75" s="35"/>
      <c r="EA75" s="35"/>
      <c r="EB75" s="35"/>
      <c r="EC75" s="35"/>
      <c r="ED75" s="35"/>
      <c r="EE75" s="35"/>
    </row>
    <row r="76" spans="1:135" ht="15">
      <c r="A76" t="s">
        <v>519</v>
      </c>
      <c r="B76" t="s">
        <v>517</v>
      </c>
      <c r="C76" t="s">
        <v>547</v>
      </c>
      <c r="D76" s="458" t="s">
        <v>548</v>
      </c>
      <c r="E76" s="458">
        <v>1</v>
      </c>
      <c r="F76">
        <v>1087.5</v>
      </c>
      <c r="G76">
        <v>1087.5</v>
      </c>
      <c r="H76">
        <v>150</v>
      </c>
      <c r="I76"/>
      <c r="J76">
        <v>15</v>
      </c>
      <c r="K76" s="107"/>
      <c r="L76" s="463">
        <v>15</v>
      </c>
      <c r="M76" s="490">
        <v>1</v>
      </c>
      <c r="N76" s="160">
        <v>0</v>
      </c>
      <c r="O76" s="546" cm="1">
        <f t="array" ref="O7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46079</v>
      </c>
      <c r="P76" s="567" t="s">
        <v>797</v>
      </c>
      <c r="Q76" s="567"/>
      <c r="R76" s="499"/>
      <c r="S76" s="463" cm="1">
        <f t="array" ref="S7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150</v>
      </c>
      <c r="T76" s="34">
        <v>1</v>
      </c>
      <c r="U76" s="490">
        <v>5</v>
      </c>
      <c r="V7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75.010500000000008</v>
      </c>
      <c r="W76" s="557"/>
      <c r="X76" s="545"/>
      <c r="Y76" s="548" t="s">
        <v>854</v>
      </c>
      <c r="Z76" s="160" t="s">
        <v>458</v>
      </c>
      <c r="AA76" s="563">
        <v>100300</v>
      </c>
      <c r="AB76" cm="1">
        <f t="array" ref="AB76">ROW()-ROW(Contract_Edits[#Headers])</f>
        <v>52</v>
      </c>
      <c r="AC76">
        <f>IF(Contract_Edits[[#This Row],[RowPos]]&gt;1, Contract_Edits[[#This Row],[RowPos]]-1, 0)</f>
        <v>51</v>
      </c>
      <c r="AD76" s="35">
        <f>IF(N(Contract_Edits[[#This Row],[Dep]])=0, N(Contract_Edits[[#This Row],[Index]]), N(Contract_Edits[[#This Row],[Dep]]))</f>
        <v>150</v>
      </c>
      <c r="AE76" s="35" cm="1">
        <f t="array" ref="AE76">IF(OR(Contract_Edits[[#This Row],[Dep]]=0, TRIM(Contract_Edits[[#This Row],[Dep]])=""),
   0,
   IFERROR(
      _xlfn.XLOOKUP(1, (Contract_Edits[Dep]=Contract_Edits[[#This Row],[Dep]])*(Contract_Edits[RowPos]&lt;Contract_Edits[[#This Row],[RowPos]]), Contract_Edits[RowPos], , 0, -1),
      0
   )
)</f>
        <v>51</v>
      </c>
      <c r="AF76" s="35">
        <f>IF(OR(Contract_Edits[[#This Row],[Dep]]=0,Contract_Edits[[#This Row],[Dep]]=""),0,
   COUNTIFS(Contract_Edits[Dep],Contract_Edits[[#This Row],[Dep]],Contract_Edits[RowPos],"&lt;="&amp;Contract_Edits[[#This Row],[RowPos]],Contract_Edits[Approve],"Yes")
)</f>
        <v>4</v>
      </c>
      <c r="AG76" s="517">
        <f>--(
  ISNUMBER(SEARCH("BASE PARENT", UPPER(CLEAN(TRIM(_xlfn.XLOOKUP(TEXT(Contract_Edits[[#This Row],[Index]],"0"), baseIdxTxt, baseCost, "")))))) +
  ISNUMBER(SEARCH("DEPENDENCY GROUP", UPPER(CLEAN(TRIM(_xlfn.XLOOKUP(TEXT(Contract_Edits[[#This Row],[Index]],"0"), baseIdxTxt, baseCost, ""))))))
)</f>
        <v>0</v>
      </c>
      <c r="AH76" s="517" t="str" cm="1">
        <f t="array" ref="AH76">IF(Contract_Edits[[#This Row],[BaseFlag]]=1,
   10*BaseDepthL(TEXT(Contract_Edits[[#This Row],[Index]],"0"),500,editsIdxTxt,editsParentKeyTxt,baseIdxTxt,baseCost)-5,
   ""
)</f>
        <v/>
      </c>
      <c r="AI76" s="517" cm="1">
        <f t="array" ref="AI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76" s="517" t="str">
        <f>IF(Contract_Edits[[#This Row],[Dep]]=0,"Root",
   IF(ISNUMBER(MATCH(Contract_Edits[[#This Row],[Dep]],Contract_Edits[Index],0)),"OK","Missing")
)</f>
        <v>OK</v>
      </c>
      <c r="AK76" s="517" t="str">
        <f>IF(AND(Contract_Edits[[#This Row],[Dep]]&lt;&gt;0,
        ISNUMBER(MATCH(Contract_Edits[[#This Row],[Dep]], Contract_Edits[Index], 0)),
        INDEX(Contract_Edits[Dep], MATCH(Contract_Edits[[#This Row],[Dep]], Contract_Edits[Index], 0))=Contract_Edits[[#This Row],[Index]]),
   "2-cycle","")</f>
        <v/>
      </c>
      <c r="AL76" s="517" cm="1">
        <f t="array" ref="AL76">IF(Contract_Edits[[#This Row],[BaseFlag]]&lt;&gt;1,0,
   IF(TEXT(Contract_Edits[[#This Row],[Dep]],"0")=TEXT(Contract_Edits[[#This Row],[Index]],"0"),
      0,
      MAX(0, SUMPRODUCT(--(Contract_Edits[BaseFlag]=1),
                        --(TEXT(Contract_Edits[Dep],"0")=TEXT(Contract_Edits[[#This Row],[Dep]],"0"))) - 1)
   )
)</f>
        <v>0</v>
      </c>
      <c r="AM76" s="517" t="str" cm="1">
        <f t="array" ref="AM76">IF(Contract_Edits[[#This Row],[BaseFlag]]=1,
   TEXT(Contract_Edits[[#This Row],[Index]],"0"),
   NearestBaseL(TEXT(Contract_Edits[[#This Row],[ParentKey]],"0"),500,editsIdxTxt,editsParentKeyTxt,baseIdxTxt,baseCost)
)</f>
        <v>150</v>
      </c>
      <c r="AN76" s="517" cm="1">
        <f t="array" ref="AN76">1+SUMPRODUCT(
  (Contract_Edits[BaseFlag]=1)*
  (TEXT(Contract_Edits[ParentAnchor],"0")=TEXT(Contract_Edits[[#This Row],[ParentAnchor]],"0"))*
  (VALUE(TEXT(Contract_Edits[Index],"0"))&lt;VALUE(TEXT(Contract_Edits[[#This Row],[Index]],"0")))
)</f>
        <v>1</v>
      </c>
      <c r="AO76" s="35"/>
      <c r="AP76" s="35" t="str">
        <f ca="1">IFERROR(+IF(AP$24=#REF!,Milestone_Marker,IF(AND(AP$24&gt;#REF!,AP$24&lt;#REF!+#REF!),#REF!,"")),"")</f>
        <v/>
      </c>
      <c r="AQ76" s="35" t="str">
        <f ca="1">IFERROR(+IF(AQ$24=#REF!,Milestone_Marker,IF(AND(AQ$24&gt;#REF!,AQ$24&lt;#REF!+#REF!),#REF!,"")),"")</f>
        <v/>
      </c>
      <c r="AR76" s="35" t="str">
        <f ca="1">IFERROR(+IF(AR$24=#REF!,Milestone_Marker,IF(AND(AR$24&gt;#REF!,AR$24&lt;#REF!+#REF!),#REF!,"")),"")</f>
        <v/>
      </c>
      <c r="AS76" s="35" t="str">
        <f ca="1">IFERROR(+IF(AS$24=#REF!,Milestone_Marker,IF(AND(AS$24&gt;#REF!,AS$24&lt;#REF!+#REF!),#REF!,"")),"")</f>
        <v/>
      </c>
      <c r="AT76" s="35" t="str">
        <f ca="1">IFERROR(+IF(AT$24=#REF!,Milestone_Marker,IF(AND(AT$24&gt;#REF!,AT$24&lt;#REF!+#REF!),#REF!,"")),"")</f>
        <v/>
      </c>
      <c r="AU76" s="35" t="str">
        <f ca="1">IFERROR(+IF(AU$24=#REF!,Milestone_Marker,IF(AND(AU$24&gt;#REF!,AU$24&lt;#REF!+#REF!),#REF!,"")),"")</f>
        <v/>
      </c>
      <c r="AV76" s="35" t="str">
        <f ca="1">IFERROR(+IF(AV$24=#REF!,Milestone_Marker,IF(AND(AV$24&gt;#REF!,AV$24&lt;#REF!+#REF!),#REF!,"")),"")</f>
        <v/>
      </c>
      <c r="AW76" s="35" t="str">
        <f ca="1">IFERROR(+IF(AW$24=#REF!,Milestone_Marker,IF(AND(AW$24&gt;#REF!,AW$24&lt;#REF!+#REF!),#REF!,"")),"")</f>
        <v/>
      </c>
      <c r="AX76" s="35" t="str">
        <f ca="1">IFERROR(+IF(AX$24=#REF!,Milestone_Marker,IF(AND(AX$24&gt;#REF!,AX$24&lt;#REF!+#REF!),#REF!,"")),"")</f>
        <v/>
      </c>
      <c r="AY76" s="35" t="str">
        <f ca="1">IFERROR(+IF(AY$24=#REF!,Milestone_Marker,IF(AND(AY$24&gt;#REF!,AY$24&lt;#REF!+#REF!),#REF!,"")),"")</f>
        <v/>
      </c>
      <c r="AZ76" s="35" t="str">
        <f ca="1">IFERROR(+IF(AZ$24=#REF!,Milestone_Marker,IF(AND(AZ$24&gt;#REF!,AZ$24&lt;#REF!+#REF!),#REF!,"")),"")</f>
        <v/>
      </c>
      <c r="BA76" s="35" t="str">
        <f ca="1">IFERROR(+IF(BA$24=#REF!,Milestone_Marker,IF(AND(BA$24&gt;#REF!,BA$24&lt;#REF!+#REF!),#REF!,"")),"")</f>
        <v/>
      </c>
      <c r="BB76" s="35" t="str">
        <f ca="1">IFERROR(+IF(BB$24=#REF!,Milestone_Marker,IF(AND(BB$24&gt;#REF!,BB$24&lt;#REF!+#REF!),#REF!,"")),"")</f>
        <v/>
      </c>
      <c r="BC76" s="35" t="str">
        <f ca="1">IFERROR(+IF(BC$24=#REF!,Milestone_Marker,IF(AND(BC$24&gt;#REF!,BC$24&lt;#REF!+#REF!),#REF!,"")),"")</f>
        <v/>
      </c>
      <c r="BD76" s="35" t="str">
        <f ca="1">IFERROR(+IF(BD$24=#REF!,Milestone_Marker,IF(AND(BD$24&gt;#REF!,BD$24&lt;#REF!+#REF!),#REF!,"")),"")</f>
        <v/>
      </c>
      <c r="BE76" s="35" t="str">
        <f ca="1">IFERROR(+IF(BE$24=#REF!,Milestone_Marker,IF(AND(BE$24&gt;#REF!,BE$24&lt;#REF!+#REF!),#REF!,"")),"")</f>
        <v/>
      </c>
      <c r="BF76" s="35" t="str">
        <f ca="1">IFERROR(+IF(BF$24=#REF!,Milestone_Marker,IF(AND(BF$24&gt;#REF!,BF$24&lt;#REF!+#REF!),#REF!,"")),"")</f>
        <v/>
      </c>
      <c r="BG76" s="35" t="str">
        <f ca="1">IFERROR(+IF(BG$24=#REF!,Milestone_Marker,IF(AND(BG$24&gt;#REF!,BG$24&lt;#REF!+#REF!),#REF!,"")),"")</f>
        <v/>
      </c>
      <c r="BH76" s="35" t="str">
        <f ca="1">IFERROR(+IF(BH$24=#REF!,Milestone_Marker,IF(AND(BH$24&gt;#REF!,BH$24&lt;#REF!+#REF!),#REF!,"")),"")</f>
        <v/>
      </c>
      <c r="BI76" s="35" t="str">
        <f ca="1">IFERROR(+IF(BI$24=#REF!,Milestone_Marker,IF(AND(BI$24&gt;#REF!,BI$24&lt;#REF!+#REF!),#REF!,"")),"")</f>
        <v/>
      </c>
      <c r="BJ76" s="35" t="str">
        <f ca="1">IFERROR(+IF(BJ$24=#REF!,Milestone_Marker,IF(AND(BJ$24&gt;#REF!,BJ$24&lt;#REF!+#REF!),#REF!,"")),"")</f>
        <v/>
      </c>
      <c r="BK76" s="35" t="str">
        <f ca="1">IFERROR(+IF(BK$24=#REF!,Milestone_Marker,IF(AND(BK$24&gt;#REF!,BK$24&lt;#REF!+#REF!),#REF!,"")),"")</f>
        <v/>
      </c>
      <c r="BL76" s="35" t="str">
        <f ca="1">IFERROR(+IF(BL$24=#REF!,Milestone_Marker,IF(AND(BL$24&gt;#REF!,BL$24&lt;#REF!+#REF!),#REF!,"")),"")</f>
        <v/>
      </c>
      <c r="BM76" s="35" t="str">
        <f ca="1">IFERROR(+IF(BM$24=#REF!,Milestone_Marker,IF(AND(BM$24&gt;#REF!,BM$24&lt;#REF!+#REF!),#REF!,"")),"")</f>
        <v/>
      </c>
      <c r="BN76" s="35" t="str">
        <f ca="1">IFERROR(+IF(BN$24=#REF!,Milestone_Marker,IF(AND(BN$24&gt;#REF!,BN$24&lt;#REF!+#REF!),#REF!,"")),"")</f>
        <v/>
      </c>
      <c r="BO76" s="35" t="str">
        <f ca="1">IFERROR(+IF(BO$24=#REF!,Milestone_Marker,IF(AND(BO$24&gt;#REF!,BO$24&lt;#REF!+#REF!),#REF!,"")),"")</f>
        <v/>
      </c>
      <c r="BP76" s="35" t="str">
        <f ca="1">IFERROR(+IF(BP$24=#REF!,Milestone_Marker,IF(AND(BP$24&gt;#REF!,BP$24&lt;#REF!+#REF!),#REF!,"")),"")</f>
        <v/>
      </c>
      <c r="BQ76" s="35" t="str">
        <f ca="1">IFERROR(+IF(BQ$24=#REF!,Milestone_Marker,IF(AND(BQ$24&gt;#REF!,BQ$24&lt;#REF!+#REF!),#REF!,"")),"")</f>
        <v/>
      </c>
      <c r="BR76" s="35" t="str">
        <f ca="1">IFERROR(+IF(BR$24=#REF!,Milestone_Marker,IF(AND(BR$24&gt;#REF!,BR$24&lt;#REF!+#REF!),#REF!,"")),"")</f>
        <v/>
      </c>
      <c r="BS76" s="35" t="str">
        <f ca="1">IFERROR(+IF(BS$24=#REF!,Milestone_Marker,IF(AND(BS$24&gt;#REF!,BS$24&lt;#REF!+#REF!),#REF!,"")),"")</f>
        <v/>
      </c>
      <c r="BT76" s="35" t="str">
        <f ca="1">IFERROR(+IF(BT$24=#REF!,Milestone_Marker,IF(AND(BT$24&gt;#REF!,BT$24&lt;#REF!+#REF!),#REF!,"")),"")</f>
        <v/>
      </c>
      <c r="BU76" s="35" t="str">
        <f ca="1">IFERROR(+IF(BU$24=#REF!,Milestone_Marker,IF(AND(BU$24&gt;#REF!,BU$24&lt;#REF!+#REF!),#REF!,"")),"")</f>
        <v/>
      </c>
      <c r="BV76" s="35" t="str">
        <f ca="1">IFERROR(+IF(BV$24=#REF!,Milestone_Marker,IF(AND(BV$24&gt;#REF!,BV$24&lt;#REF!+#REF!),#REF!,"")),"")</f>
        <v/>
      </c>
      <c r="BW76" s="35" t="str">
        <f ca="1">IFERROR(+IF(BW$24=#REF!,Milestone_Marker,IF(AND(BW$24&gt;#REF!,BW$24&lt;#REF!+#REF!),#REF!,"")),"")</f>
        <v/>
      </c>
      <c r="BX76" s="35" t="str">
        <f ca="1">IFERROR(+IF(BX$24=#REF!,Milestone_Marker,IF(AND(BX$24&gt;#REF!,BX$24&lt;#REF!+#REF!),#REF!,"")),"")</f>
        <v/>
      </c>
      <c r="BY76" s="35" t="str">
        <f ca="1">IFERROR(+IF(BY$24=#REF!,Milestone_Marker,IF(AND(BY$24&gt;#REF!,BY$24&lt;#REF!+#REF!),#REF!,"")),"")</f>
        <v/>
      </c>
      <c r="BZ76" s="35" t="str">
        <f ca="1">IFERROR(+IF(BZ$24=#REF!,Milestone_Marker,IF(AND(BZ$24&gt;#REF!,BZ$24&lt;#REF!+#REF!),#REF!,"")),"")</f>
        <v/>
      </c>
      <c r="CA76" s="35" t="str">
        <f ca="1">IFERROR(+IF(CA$24=#REF!,Milestone_Marker,IF(AND(CA$24&gt;#REF!,CA$24&lt;#REF!+#REF!),#REF!,"")),"")</f>
        <v/>
      </c>
      <c r="CB76" s="35" t="str">
        <f ca="1">IFERROR(+IF(CB$24=#REF!,Milestone_Marker,IF(AND(CB$24&gt;#REF!,CB$24&lt;#REF!+#REF!),#REF!,"")),"")</f>
        <v/>
      </c>
      <c r="CC76" s="35" t="str">
        <f ca="1">IFERROR(+IF(CC$24=#REF!,Milestone_Marker,IF(AND(CC$24&gt;#REF!,CC$24&lt;#REF!+#REF!),#REF!,"")),"")</f>
        <v/>
      </c>
      <c r="CD76" s="35" t="str">
        <f ca="1">IFERROR(+IF(CD$24=#REF!,Milestone_Marker,IF(AND(CD$24&gt;#REF!,CD$24&lt;#REF!+#REF!),#REF!,"")),"")</f>
        <v/>
      </c>
      <c r="CE76" s="35" t="str">
        <f ca="1">IFERROR(+IF(CE$24=#REF!,Milestone_Marker,IF(AND(CE$24&gt;#REF!,CE$24&lt;#REF!+#REF!),#REF!,"")),"")</f>
        <v/>
      </c>
      <c r="CF76" s="35" t="str">
        <f ca="1">IFERROR(+IF(CF$24=#REF!,Milestone_Marker,IF(AND(CF$24&gt;#REF!,CF$24&lt;#REF!+#REF!),#REF!,"")),"")</f>
        <v/>
      </c>
      <c r="CG76" s="35" t="str">
        <f ca="1">IFERROR(+IF(CG$24=#REF!,Milestone_Marker,IF(AND(CG$24&gt;#REF!,CG$24&lt;#REF!+#REF!),#REF!,"")),"")</f>
        <v/>
      </c>
      <c r="CH76" s="35" t="str">
        <f ca="1">IFERROR(+IF(CH$24=#REF!,Milestone_Marker,IF(AND(CH$24&gt;#REF!,CH$24&lt;#REF!+#REF!),#REF!,"")),"")</f>
        <v/>
      </c>
      <c r="CI76" s="35" t="str">
        <f ca="1">IFERROR(+IF(CI$24=#REF!,Milestone_Marker,IF(AND(CI$24&gt;#REF!,CI$24&lt;#REF!+#REF!),#REF!,"")),"")</f>
        <v/>
      </c>
      <c r="CJ76" s="35" t="str">
        <f ca="1">IFERROR(+IF(CJ$24=#REF!,Milestone_Marker,IF(AND(CJ$24&gt;#REF!,CJ$24&lt;#REF!+#REF!),#REF!,"")),"")</f>
        <v/>
      </c>
      <c r="CK76" s="35" t="str">
        <f ca="1">IFERROR(+IF(CK$24=#REF!,Milestone_Marker,IF(AND(CK$24&gt;#REF!,CK$24&lt;#REF!+#REF!),#REF!,"")),"")</f>
        <v/>
      </c>
      <c r="CL76" s="35" t="str">
        <f ca="1">IFERROR(+IF(CL$24=#REF!,Milestone_Marker,IF(AND(CL$24&gt;#REF!,CL$24&lt;#REF!+#REF!),#REF!,"")),"")</f>
        <v/>
      </c>
      <c r="CM76" s="35" t="str">
        <f ca="1">IFERROR(+IF(CM$24=#REF!,Milestone_Marker,IF(AND(CM$24&gt;#REF!,CM$24&lt;#REF!+#REF!),#REF!,"")),"")</f>
        <v/>
      </c>
      <c r="CN76" s="35" t="str">
        <f ca="1">IFERROR(+IF(CN$24=#REF!,Milestone_Marker,IF(AND(CN$24&gt;#REF!,CN$24&lt;#REF!+#REF!),#REF!,"")),"")</f>
        <v/>
      </c>
      <c r="CO76" s="35" t="str">
        <f ca="1">IFERROR(+IF(CO$24=#REF!,Milestone_Marker,IF(AND(CO$24&gt;#REF!,CO$24&lt;#REF!+#REF!),#REF!,"")),"")</f>
        <v/>
      </c>
      <c r="CP76" s="35" t="str">
        <f ca="1">IFERROR(+IF(CP$24=#REF!,Milestone_Marker,IF(AND(CP$24&gt;#REF!,CP$24&lt;#REF!+#REF!),#REF!,"")),"")</f>
        <v/>
      </c>
      <c r="CQ76" s="35" t="str">
        <f ca="1">IFERROR(+IF(CQ$24=#REF!,Milestone_Marker,IF(AND(CQ$24&gt;#REF!,CQ$24&lt;#REF!+#REF!),#REF!,"")),"")</f>
        <v/>
      </c>
      <c r="CR76" s="35" t="str">
        <f ca="1">IFERROR(+IF(CR$24=#REF!,Milestone_Marker,IF(AND(CR$24&gt;#REF!,CR$24&lt;#REF!+#REF!),#REF!,"")),"")</f>
        <v/>
      </c>
      <c r="CS76" s="35" t="str">
        <f ca="1">IFERROR(+IF(CS$24=#REF!,Milestone_Marker,IF(AND(CS$24&gt;#REF!,CS$24&lt;#REF!+#REF!),#REF!,"")),"")</f>
        <v/>
      </c>
      <c r="CT76" s="35" t="str">
        <f ca="1">IFERROR(+IF(CT$24=#REF!,Milestone_Marker,IF(AND(CT$24&gt;#REF!,CT$24&lt;#REF!+#REF!),#REF!,"")),"")</f>
        <v/>
      </c>
      <c r="CU76" s="35" t="str">
        <f ca="1">IFERROR(+IF(CU$24=#REF!,Milestone_Marker,IF(AND(CU$24&gt;#REF!,CU$24&lt;#REF!+#REF!),#REF!,"")),"")</f>
        <v/>
      </c>
      <c r="CV76" s="35" t="str">
        <f ca="1">IFERROR(+IF(CV$24=#REF!,Milestone_Marker,IF(AND(CV$24&gt;#REF!,CV$24&lt;#REF!+#REF!),#REF!,"")),"")</f>
        <v/>
      </c>
      <c r="CW76" s="35" t="str">
        <f ca="1">IFERROR(+IF(CW$24=#REF!,Milestone_Marker,IF(AND(CW$24&gt;#REF!,CW$24&lt;#REF!+#REF!),#REF!,"")),"")</f>
        <v/>
      </c>
      <c r="CX76" s="35" t="str">
        <f ca="1">IFERROR(+IF(CX$24=#REF!,Milestone_Marker,IF(AND(CX$24&gt;#REF!,CX$24&lt;#REF!+#REF!),#REF!,"")),"")</f>
        <v/>
      </c>
      <c r="CY76" s="35" t="str">
        <f ca="1">IFERROR(+IF(CY$24=#REF!,Milestone_Marker,IF(AND(CY$24&gt;#REF!,CY$24&lt;#REF!+#REF!),#REF!,"")),"")</f>
        <v/>
      </c>
      <c r="CZ76" s="35" t="str">
        <f ca="1">IFERROR(+IF(CZ$24=#REF!,Milestone_Marker,IF(AND(CZ$24&gt;#REF!,CZ$24&lt;#REF!+#REF!),#REF!,"")),"")</f>
        <v/>
      </c>
      <c r="DA76" s="35" t="str">
        <f ca="1">IFERROR(+IF(DA$24=#REF!,Milestone_Marker,IF(AND(DA$24&gt;#REF!,DA$24&lt;#REF!+#REF!),#REF!,"")),"")</f>
        <v/>
      </c>
      <c r="DB76" s="35" t="str">
        <f ca="1">IFERROR(+IF(DB$24=#REF!,Milestone_Marker,IF(AND(DB$24&gt;#REF!,DB$24&lt;#REF!+#REF!),#REF!,"")),"")</f>
        <v/>
      </c>
      <c r="DC76" s="35" t="str">
        <f ca="1">IFERROR(+IF(DC$24=#REF!,Milestone_Marker,IF(AND(DC$24&gt;#REF!,DC$24&lt;#REF!+#REF!),#REF!,"")),"")</f>
        <v/>
      </c>
      <c r="DD76" s="35" t="str">
        <f ca="1">IFERROR(+IF(DD$24=#REF!,Milestone_Marker,IF(AND(DD$24&gt;#REF!,DD$24&lt;#REF!+#REF!),#REF!,"")),"")</f>
        <v/>
      </c>
      <c r="DE76" s="35" t="str">
        <f ca="1">IFERROR(+IF(DE$24=#REF!,Milestone_Marker,IF(AND(DE$24&gt;#REF!,DE$24&lt;#REF!+#REF!),#REF!,"")),"")</f>
        <v/>
      </c>
      <c r="DF76" s="35" t="str">
        <f ca="1">IFERROR(+IF(DD$24=#REF!,Milestone_Marker,IF(AND(DD$24&gt;#REF!,DD$24&lt;=#REF!+#REF!),#REF!,"")),"")</f>
        <v/>
      </c>
      <c r="DG76" s="35" t="str">
        <f ca="1">IFERROR(+IF(DE$24=#REF!,Milestone_Marker,IF(AND(DE$24&gt;#REF!,DE$24&lt;=#REF!+#REF!),#REF!,"")),"")</f>
        <v/>
      </c>
      <c r="DH76" s="35"/>
      <c r="DI76" s="35"/>
      <c r="DJ76" s="35"/>
      <c r="DK76" s="35"/>
      <c r="DL76" s="35"/>
      <c r="DM76" s="35"/>
      <c r="DN76" s="35"/>
      <c r="DO76" s="35"/>
      <c r="DP76" s="35"/>
      <c r="DQ76" s="35"/>
      <c r="DR76" s="35"/>
      <c r="DS76" s="35"/>
      <c r="DT76" s="35"/>
      <c r="DU76" s="35"/>
      <c r="DV76" s="35"/>
      <c r="DW76" s="35"/>
      <c r="DX76" s="35"/>
      <c r="DY76" s="35"/>
      <c r="DZ76" s="35"/>
      <c r="EA76" s="35"/>
      <c r="EB76" s="35"/>
      <c r="EC76" s="35"/>
      <c r="ED76" s="35"/>
      <c r="EE76" s="35"/>
    </row>
    <row r="77" spans="1:135" ht="15">
      <c r="A77" t="s">
        <v>747</v>
      </c>
      <c r="B77" t="s">
        <v>744</v>
      </c>
      <c r="C77" t="s">
        <v>756</v>
      </c>
      <c r="D77" s="458" t="s">
        <v>568</v>
      </c>
      <c r="E77" s="458">
        <v>0</v>
      </c>
      <c r="F77"/>
      <c r="G77"/>
      <c r="H77">
        <v>155</v>
      </c>
      <c r="I77"/>
      <c r="J77">
        <v>157</v>
      </c>
      <c r="K77" s="107"/>
      <c r="L77" s="463">
        <v>157</v>
      </c>
      <c r="M77" s="490"/>
      <c r="N77" s="160">
        <v>0</v>
      </c>
      <c r="O77" s="546" cm="1">
        <f t="array" ref="O7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77" s="567"/>
      <c r="Q77" s="567"/>
      <c r="R77" s="499"/>
      <c r="S77" s="463" cm="1">
        <f t="array" ref="S7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77" s="34">
        <v>1</v>
      </c>
      <c r="U77" s="490"/>
      <c r="V7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v>
      </c>
      <c r="W77" s="557"/>
      <c r="X77" s="545"/>
      <c r="Y77" s="548"/>
      <c r="Z77" s="535" t="s">
        <v>458</v>
      </c>
      <c r="AA77" s="544"/>
      <c r="AB77" cm="1">
        <f t="array" ref="AB77">ROW()-ROW(Contract_Edits[#Headers])</f>
        <v>53</v>
      </c>
      <c r="AC77">
        <f>IF(Contract_Edits[[#This Row],[RowPos]]&gt;1, Contract_Edits[[#This Row],[RowPos]]-1, 0)</f>
        <v>52</v>
      </c>
      <c r="AD77" s="35">
        <f>IF(N(Contract_Edits[[#This Row],[Dep]])=0, N(Contract_Edits[[#This Row],[Index]]), N(Contract_Edits[[#This Row],[Dep]]))</f>
        <v>155</v>
      </c>
      <c r="AE77" s="35" cm="1">
        <f t="array" ref="AE77">IF(OR(Contract_Edits[[#This Row],[Dep]]=0, TRIM(Contract_Edits[[#This Row],[Dep]])=""),
   0,
   IFERROR(
      _xlfn.XLOOKUP(1, (Contract_Edits[Dep]=Contract_Edits[[#This Row],[Dep]])*(Contract_Edits[RowPos]&lt;Contract_Edits[[#This Row],[RowPos]]), Contract_Edits[RowPos], , 0, -1),
      0
   )
)</f>
        <v>48</v>
      </c>
      <c r="AF77" s="35">
        <f>IF(OR(Contract_Edits[[#This Row],[Dep]]=0,Contract_Edits[[#This Row],[Dep]]=""),0,
   COUNTIFS(Contract_Edits[Dep],Contract_Edits[[#This Row],[Dep]],Contract_Edits[RowPos],"&lt;="&amp;Contract_Edits[[#This Row],[RowPos]],Contract_Edits[Approve],"Yes")
)</f>
        <v>16</v>
      </c>
      <c r="AG77" s="517">
        <f>--(
  ISNUMBER(SEARCH("BASE PARENT", UPPER(CLEAN(TRIM(_xlfn.XLOOKUP(TEXT(Contract_Edits[[#This Row],[Index]],"0"), baseIdxTxt, baseCost, "")))))) +
  ISNUMBER(SEARCH("DEPENDENCY GROUP", UPPER(CLEAN(TRIM(_xlfn.XLOOKUP(TEXT(Contract_Edits[[#This Row],[Index]],"0"), baseIdxTxt, baseCost, ""))))))
)</f>
        <v>1</v>
      </c>
      <c r="AH77" s="517" cm="1">
        <f t="array" ref="AH77">IF(Contract_Edits[[#This Row],[BaseFlag]]=1,
   10*BaseDepthL(TEXT(Contract_Edits[[#This Row],[Index]],"0"),500,editsIdxTxt,editsParentKeyTxt,baseIdxTxt,baseCost)-5,
   ""
)</f>
        <v>75</v>
      </c>
      <c r="AI77" s="517" cm="1">
        <f t="array" ref="AI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77" s="517" t="str">
        <f>IF(Contract_Edits[[#This Row],[Dep]]=0,"Root",
   IF(ISNUMBER(MATCH(Contract_Edits[[#This Row],[Dep]],Contract_Edits[Index],0)),"OK","Missing")
)</f>
        <v>OK</v>
      </c>
      <c r="AK77" s="517" t="str">
        <f>IF(AND(Contract_Edits[[#This Row],[Dep]]&lt;&gt;0,
        ISNUMBER(MATCH(Contract_Edits[[#This Row],[Dep]], Contract_Edits[Index], 0)),
        INDEX(Contract_Edits[Dep], MATCH(Contract_Edits[[#This Row],[Dep]], Contract_Edits[Index], 0))=Contract_Edits[[#This Row],[Index]]),
   "2-cycle","")</f>
        <v/>
      </c>
      <c r="AL77" s="517" cm="1">
        <f t="array" ref="AL77">IF(Contract_Edits[[#This Row],[BaseFlag]]&lt;&gt;1,0,
   IF(TEXT(Contract_Edits[[#This Row],[Dep]],"0")=TEXT(Contract_Edits[[#This Row],[Index]],"0"),
      0,
      MAX(0, SUMPRODUCT(--(Contract_Edits[BaseFlag]=1),
                        --(TEXT(Contract_Edits[Dep],"0")=TEXT(Contract_Edits[[#This Row],[Dep]],"0"))) - 1)
   )
)</f>
        <v>3</v>
      </c>
      <c r="AM77" s="517" t="str" cm="1">
        <f t="array" ref="AM77">IF(Contract_Edits[[#This Row],[BaseFlag]]=1,
   TEXT(Contract_Edits[[#This Row],[Index]],"0"),
   NearestBaseL(TEXT(Contract_Edits[[#This Row],[ParentKey]],"0"),500,editsIdxTxt,editsParentKeyTxt,baseIdxTxt,baseCost)
)</f>
        <v>157</v>
      </c>
      <c r="AN77" s="517" cm="1">
        <f t="array" ref="AN77">1+SUMPRODUCT(
  (Contract_Edits[BaseFlag]=1)*
  (TEXT(Contract_Edits[ParentAnchor],"0")=TEXT(Contract_Edits[[#This Row],[ParentAnchor]],"0"))*
  (VALUE(TEXT(Contract_Edits[Index],"0"))&lt;VALUE(TEXT(Contract_Edits[[#This Row],[Index]],"0")))
)</f>
        <v>2</v>
      </c>
      <c r="AO77" s="35"/>
      <c r="AP77" s="35" t="str">
        <f ca="1">IFERROR(+IF(AP$24=#REF!,Milestone_Marker,IF(AND(AP$24&gt;#REF!,AP$24&lt;#REF!+#REF!),#REF!,"")),"")</f>
        <v/>
      </c>
      <c r="AQ77" s="35" t="str">
        <f ca="1">IFERROR(+IF(AQ$24=#REF!,Milestone_Marker,IF(AND(AQ$24&gt;#REF!,AQ$24&lt;#REF!+#REF!),#REF!,"")),"")</f>
        <v/>
      </c>
      <c r="AR77" s="35" t="str">
        <f ca="1">IFERROR(+IF(AR$24=#REF!,Milestone_Marker,IF(AND(AR$24&gt;#REF!,AR$24&lt;#REF!+#REF!),#REF!,"")),"")</f>
        <v/>
      </c>
      <c r="AS77" s="35" t="str">
        <f ca="1">IFERROR(+IF(AS$24=#REF!,Milestone_Marker,IF(AND(AS$24&gt;#REF!,AS$24&lt;#REF!+#REF!),#REF!,"")),"")</f>
        <v/>
      </c>
      <c r="AT77" s="35" t="str">
        <f ca="1">IFERROR(+IF(AT$24=#REF!,Milestone_Marker,IF(AND(AT$24&gt;#REF!,AT$24&lt;#REF!+#REF!),#REF!,"")),"")</f>
        <v/>
      </c>
      <c r="AU77" s="35" t="str">
        <f ca="1">IFERROR(+IF(AU$24=#REF!,Milestone_Marker,IF(AND(AU$24&gt;#REF!,AU$24&lt;#REF!+#REF!),#REF!,"")),"")</f>
        <v/>
      </c>
      <c r="AV77" s="35" t="str">
        <f ca="1">IFERROR(+IF(AV$24=#REF!,Milestone_Marker,IF(AND(AV$24&gt;#REF!,AV$24&lt;#REF!+#REF!),#REF!,"")),"")</f>
        <v/>
      </c>
      <c r="AW77" s="35" t="str">
        <f ca="1">IFERROR(+IF(AW$24=#REF!,Milestone_Marker,IF(AND(AW$24&gt;#REF!,AW$24&lt;#REF!+#REF!),#REF!,"")),"")</f>
        <v/>
      </c>
      <c r="AX77" s="35" t="str">
        <f ca="1">IFERROR(+IF(AX$24=#REF!,Milestone_Marker,IF(AND(AX$24&gt;#REF!,AX$24&lt;#REF!+#REF!),#REF!,"")),"")</f>
        <v/>
      </c>
      <c r="AY77" s="35" t="str">
        <f ca="1">IFERROR(+IF(AY$24=#REF!,Milestone_Marker,IF(AND(AY$24&gt;#REF!,AY$24&lt;#REF!+#REF!),#REF!,"")),"")</f>
        <v/>
      </c>
      <c r="AZ77" s="35" t="str">
        <f ca="1">IFERROR(+IF(AZ$24=#REF!,Milestone_Marker,IF(AND(AZ$24&gt;#REF!,AZ$24&lt;#REF!+#REF!),#REF!,"")),"")</f>
        <v/>
      </c>
      <c r="BA77" s="35" t="str">
        <f ca="1">IFERROR(+IF(BA$24=#REF!,Milestone_Marker,IF(AND(BA$24&gt;#REF!,BA$24&lt;#REF!+#REF!),#REF!,"")),"")</f>
        <v/>
      </c>
      <c r="BB77" s="35" t="str">
        <f ca="1">IFERROR(+IF(BB$24=#REF!,Milestone_Marker,IF(AND(BB$24&gt;#REF!,BB$24&lt;#REF!+#REF!),#REF!,"")),"")</f>
        <v/>
      </c>
      <c r="BC77" s="35" t="str">
        <f ca="1">IFERROR(+IF(BC$24=#REF!,Milestone_Marker,IF(AND(BC$24&gt;#REF!,BC$24&lt;#REF!+#REF!),#REF!,"")),"")</f>
        <v/>
      </c>
      <c r="BD77" s="35" t="str">
        <f ca="1">IFERROR(+IF(BD$24=#REF!,Milestone_Marker,IF(AND(BD$24&gt;#REF!,BD$24&lt;#REF!+#REF!),#REF!,"")),"")</f>
        <v/>
      </c>
      <c r="BE77" s="35" t="str">
        <f ca="1">IFERROR(+IF(BE$24=#REF!,Milestone_Marker,IF(AND(BE$24&gt;#REF!,BE$24&lt;#REF!+#REF!),#REF!,"")),"")</f>
        <v/>
      </c>
      <c r="BF77" s="35" t="str">
        <f ca="1">IFERROR(+IF(BF$24=#REF!,Milestone_Marker,IF(AND(BF$24&gt;#REF!,BF$24&lt;#REF!+#REF!),#REF!,"")),"")</f>
        <v/>
      </c>
      <c r="BG77" s="35" t="str">
        <f ca="1">IFERROR(+IF(BG$24=#REF!,Milestone_Marker,IF(AND(BG$24&gt;#REF!,BG$24&lt;#REF!+#REF!),#REF!,"")),"")</f>
        <v/>
      </c>
      <c r="BH77" s="35" t="str">
        <f ca="1">IFERROR(+IF(BH$24=#REF!,Milestone_Marker,IF(AND(BH$24&gt;#REF!,BH$24&lt;#REF!+#REF!),#REF!,"")),"")</f>
        <v/>
      </c>
      <c r="BI77" s="35" t="str">
        <f ca="1">IFERROR(+IF(BI$24=#REF!,Milestone_Marker,IF(AND(BI$24&gt;#REF!,BI$24&lt;#REF!+#REF!),#REF!,"")),"")</f>
        <v/>
      </c>
      <c r="BJ77" s="35" t="str">
        <f ca="1">IFERROR(+IF(BJ$24=#REF!,Milestone_Marker,IF(AND(BJ$24&gt;#REF!,BJ$24&lt;#REF!+#REF!),#REF!,"")),"")</f>
        <v/>
      </c>
      <c r="BK77" s="35" t="str">
        <f ca="1">IFERROR(+IF(BK$24=#REF!,Milestone_Marker,IF(AND(BK$24&gt;#REF!,BK$24&lt;#REF!+#REF!),#REF!,"")),"")</f>
        <v/>
      </c>
      <c r="BL77" s="35" t="str">
        <f ca="1">IFERROR(+IF(BL$24=#REF!,Milestone_Marker,IF(AND(BL$24&gt;#REF!,BL$24&lt;#REF!+#REF!),#REF!,"")),"")</f>
        <v/>
      </c>
      <c r="BM77" s="35" t="str">
        <f ca="1">IFERROR(+IF(BM$24=#REF!,Milestone_Marker,IF(AND(BM$24&gt;#REF!,BM$24&lt;#REF!+#REF!),#REF!,"")),"")</f>
        <v/>
      </c>
      <c r="BN77" s="35" t="str">
        <f ca="1">IFERROR(+IF(BN$24=#REF!,Milestone_Marker,IF(AND(BN$24&gt;#REF!,BN$24&lt;#REF!+#REF!),#REF!,"")),"")</f>
        <v/>
      </c>
      <c r="BO77" s="35" t="str">
        <f ca="1">IFERROR(+IF(BO$24=#REF!,Milestone_Marker,IF(AND(BO$24&gt;#REF!,BO$24&lt;#REF!+#REF!),#REF!,"")),"")</f>
        <v/>
      </c>
      <c r="BP77" s="35" t="str">
        <f ca="1">IFERROR(+IF(BP$24=#REF!,Milestone_Marker,IF(AND(BP$24&gt;#REF!,BP$24&lt;#REF!+#REF!),#REF!,"")),"")</f>
        <v/>
      </c>
      <c r="BQ77" s="35" t="str">
        <f ca="1">IFERROR(+IF(BQ$24=#REF!,Milestone_Marker,IF(AND(BQ$24&gt;#REF!,BQ$24&lt;#REF!+#REF!),#REF!,"")),"")</f>
        <v/>
      </c>
      <c r="BR77" s="35" t="str">
        <f ca="1">IFERROR(+IF(BR$24=#REF!,Milestone_Marker,IF(AND(BR$24&gt;#REF!,BR$24&lt;#REF!+#REF!),#REF!,"")),"")</f>
        <v/>
      </c>
      <c r="BS77" s="35" t="str">
        <f ca="1">IFERROR(+IF(BS$24=#REF!,Milestone_Marker,IF(AND(BS$24&gt;#REF!,BS$24&lt;#REF!+#REF!),#REF!,"")),"")</f>
        <v/>
      </c>
      <c r="BT77" s="35" t="str">
        <f ca="1">IFERROR(+IF(BT$24=#REF!,Milestone_Marker,IF(AND(BT$24&gt;#REF!,BT$24&lt;#REF!+#REF!),#REF!,"")),"")</f>
        <v/>
      </c>
      <c r="BU77" s="35" t="str">
        <f ca="1">IFERROR(+IF(BU$24=#REF!,Milestone_Marker,IF(AND(BU$24&gt;#REF!,BU$24&lt;#REF!+#REF!),#REF!,"")),"")</f>
        <v/>
      </c>
      <c r="BV77" s="35" t="str">
        <f ca="1">IFERROR(+IF(BV$24=#REF!,Milestone_Marker,IF(AND(BV$24&gt;#REF!,BV$24&lt;#REF!+#REF!),#REF!,"")),"")</f>
        <v/>
      </c>
      <c r="BW77" s="35" t="str">
        <f ca="1">IFERROR(+IF(BW$24=#REF!,Milestone_Marker,IF(AND(BW$24&gt;#REF!,BW$24&lt;#REF!+#REF!),#REF!,"")),"")</f>
        <v/>
      </c>
      <c r="BX77" s="35" t="str">
        <f ca="1">IFERROR(+IF(BX$24=#REF!,Milestone_Marker,IF(AND(BX$24&gt;#REF!,BX$24&lt;#REF!+#REF!),#REF!,"")),"")</f>
        <v/>
      </c>
      <c r="BY77" s="35" t="str">
        <f ca="1">IFERROR(+IF(BY$24=#REF!,Milestone_Marker,IF(AND(BY$24&gt;#REF!,BY$24&lt;#REF!+#REF!),#REF!,"")),"")</f>
        <v/>
      </c>
      <c r="BZ77" s="35" t="str">
        <f ca="1">IFERROR(+IF(BZ$24=#REF!,Milestone_Marker,IF(AND(BZ$24&gt;#REF!,BZ$24&lt;#REF!+#REF!),#REF!,"")),"")</f>
        <v/>
      </c>
      <c r="CA77" s="35" t="str">
        <f ca="1">IFERROR(+IF(CA$24=#REF!,Milestone_Marker,IF(AND(CA$24&gt;#REF!,CA$24&lt;#REF!+#REF!),#REF!,"")),"")</f>
        <v/>
      </c>
      <c r="CB77" s="35" t="str">
        <f ca="1">IFERROR(+IF(CB$24=#REF!,Milestone_Marker,IF(AND(CB$24&gt;#REF!,CB$24&lt;#REF!+#REF!),#REF!,"")),"")</f>
        <v/>
      </c>
      <c r="CC77" s="35" t="str">
        <f ca="1">IFERROR(+IF(CC$24=#REF!,Milestone_Marker,IF(AND(CC$24&gt;#REF!,CC$24&lt;#REF!+#REF!),#REF!,"")),"")</f>
        <v/>
      </c>
      <c r="CD77" s="35" t="str">
        <f ca="1">IFERROR(+IF(CD$24=#REF!,Milestone_Marker,IF(AND(CD$24&gt;#REF!,CD$24&lt;#REF!+#REF!),#REF!,"")),"")</f>
        <v/>
      </c>
      <c r="CE77" s="35" t="str">
        <f ca="1">IFERROR(+IF(CE$24=#REF!,Milestone_Marker,IF(AND(CE$24&gt;#REF!,CE$24&lt;#REF!+#REF!),#REF!,"")),"")</f>
        <v/>
      </c>
      <c r="CF77" s="35" t="str">
        <f ca="1">IFERROR(+IF(CF$24=#REF!,Milestone_Marker,IF(AND(CF$24&gt;#REF!,CF$24&lt;#REF!+#REF!),#REF!,"")),"")</f>
        <v/>
      </c>
      <c r="CG77" s="35" t="str">
        <f ca="1">IFERROR(+IF(CG$24=#REF!,Milestone_Marker,IF(AND(CG$24&gt;#REF!,CG$24&lt;#REF!+#REF!),#REF!,"")),"")</f>
        <v/>
      </c>
      <c r="CH77" s="35" t="str">
        <f ca="1">IFERROR(+IF(CH$24=#REF!,Milestone_Marker,IF(AND(CH$24&gt;#REF!,CH$24&lt;#REF!+#REF!),#REF!,"")),"")</f>
        <v/>
      </c>
      <c r="CI77" s="35" t="str">
        <f ca="1">IFERROR(+IF(CI$24=#REF!,Milestone_Marker,IF(AND(CI$24&gt;#REF!,CI$24&lt;#REF!+#REF!),#REF!,"")),"")</f>
        <v/>
      </c>
      <c r="CJ77" s="35" t="str">
        <f ca="1">IFERROR(+IF(CJ$24=#REF!,Milestone_Marker,IF(AND(CJ$24&gt;#REF!,CJ$24&lt;#REF!+#REF!),#REF!,"")),"")</f>
        <v/>
      </c>
      <c r="CK77" s="35" t="str">
        <f ca="1">IFERROR(+IF(CK$24=#REF!,Milestone_Marker,IF(AND(CK$24&gt;#REF!,CK$24&lt;#REF!+#REF!),#REF!,"")),"")</f>
        <v/>
      </c>
      <c r="CL77" s="35" t="str">
        <f ca="1">IFERROR(+IF(CL$24=#REF!,Milestone_Marker,IF(AND(CL$24&gt;#REF!,CL$24&lt;#REF!+#REF!),#REF!,"")),"")</f>
        <v/>
      </c>
      <c r="CM77" s="35" t="str">
        <f ca="1">IFERROR(+IF(CM$24=#REF!,Milestone_Marker,IF(AND(CM$24&gt;#REF!,CM$24&lt;#REF!+#REF!),#REF!,"")),"")</f>
        <v/>
      </c>
      <c r="CN77" s="35" t="str">
        <f ca="1">IFERROR(+IF(CN$24=#REF!,Milestone_Marker,IF(AND(CN$24&gt;#REF!,CN$24&lt;#REF!+#REF!),#REF!,"")),"")</f>
        <v/>
      </c>
      <c r="CO77" s="35" t="str">
        <f ca="1">IFERROR(+IF(CO$24=#REF!,Milestone_Marker,IF(AND(CO$24&gt;#REF!,CO$24&lt;#REF!+#REF!),#REF!,"")),"")</f>
        <v/>
      </c>
      <c r="CP77" s="35" t="str">
        <f ca="1">IFERROR(+IF(CP$24=#REF!,Milestone_Marker,IF(AND(CP$24&gt;#REF!,CP$24&lt;#REF!+#REF!),#REF!,"")),"")</f>
        <v/>
      </c>
      <c r="CQ77" s="35" t="str">
        <f ca="1">IFERROR(+IF(CQ$24=#REF!,Milestone_Marker,IF(AND(CQ$24&gt;#REF!,CQ$24&lt;#REF!+#REF!),#REF!,"")),"")</f>
        <v/>
      </c>
      <c r="CR77" s="35" t="str">
        <f ca="1">IFERROR(+IF(CR$24=#REF!,Milestone_Marker,IF(AND(CR$24&gt;#REF!,CR$24&lt;#REF!+#REF!),#REF!,"")),"")</f>
        <v/>
      </c>
      <c r="CS77" s="35" t="str">
        <f ca="1">IFERROR(+IF(CS$24=#REF!,Milestone_Marker,IF(AND(CS$24&gt;#REF!,CS$24&lt;#REF!+#REF!),#REF!,"")),"")</f>
        <v/>
      </c>
      <c r="CT77" s="35" t="str">
        <f ca="1">IFERROR(+IF(CT$24=#REF!,Milestone_Marker,IF(AND(CT$24&gt;#REF!,CT$24&lt;#REF!+#REF!),#REF!,"")),"")</f>
        <v/>
      </c>
      <c r="CU77" s="35" t="str">
        <f ca="1">IFERROR(+IF(CU$24=#REF!,Milestone_Marker,IF(AND(CU$24&gt;#REF!,CU$24&lt;#REF!+#REF!),#REF!,"")),"")</f>
        <v/>
      </c>
      <c r="CV77" s="35" t="str">
        <f ca="1">IFERROR(+IF(CV$24=#REF!,Milestone_Marker,IF(AND(CV$24&gt;#REF!,CV$24&lt;#REF!+#REF!),#REF!,"")),"")</f>
        <v/>
      </c>
      <c r="CW77" s="35" t="str">
        <f ca="1">IFERROR(+IF(CW$24=#REF!,Milestone_Marker,IF(AND(CW$24&gt;#REF!,CW$24&lt;#REF!+#REF!),#REF!,"")),"")</f>
        <v/>
      </c>
      <c r="CX77" s="35" t="str">
        <f ca="1">IFERROR(+IF(CX$24=#REF!,Milestone_Marker,IF(AND(CX$24&gt;#REF!,CX$24&lt;#REF!+#REF!),#REF!,"")),"")</f>
        <v/>
      </c>
      <c r="CY77" s="35" t="str">
        <f ca="1">IFERROR(+IF(CY$24=#REF!,Milestone_Marker,IF(AND(CY$24&gt;#REF!,CY$24&lt;#REF!+#REF!),#REF!,"")),"")</f>
        <v/>
      </c>
      <c r="CZ77" s="35" t="str">
        <f ca="1">IFERROR(+IF(CZ$24=#REF!,Milestone_Marker,IF(AND(CZ$24&gt;#REF!,CZ$24&lt;#REF!+#REF!),#REF!,"")),"")</f>
        <v/>
      </c>
      <c r="DA77" s="35" t="str">
        <f ca="1">IFERROR(+IF(DA$24=#REF!,Milestone_Marker,IF(AND(DA$24&gt;#REF!,DA$24&lt;#REF!+#REF!),#REF!,"")),"")</f>
        <v/>
      </c>
      <c r="DB77" s="35" t="str">
        <f ca="1">IFERROR(+IF(DB$24=#REF!,Milestone_Marker,IF(AND(DB$24&gt;#REF!,DB$24&lt;#REF!+#REF!),#REF!,"")),"")</f>
        <v/>
      </c>
      <c r="DC77" s="35" t="str">
        <f ca="1">IFERROR(+IF(DC$24=#REF!,Milestone_Marker,IF(AND(DC$24&gt;#REF!,DC$24&lt;#REF!+#REF!),#REF!,"")),"")</f>
        <v/>
      </c>
      <c r="DD77" s="35" t="str">
        <f ca="1">IFERROR(+IF(DD$24=#REF!,Milestone_Marker,IF(AND(DD$24&gt;#REF!,DD$24&lt;#REF!+#REF!),#REF!,"")),"")</f>
        <v/>
      </c>
      <c r="DE77" s="35" t="str">
        <f ca="1">IFERROR(+IF(DE$24=#REF!,Milestone_Marker,IF(AND(DE$24&gt;#REF!,DE$24&lt;#REF!+#REF!),#REF!,"")),"")</f>
        <v/>
      </c>
      <c r="DF77" s="35" t="str">
        <f ca="1">IFERROR(+IF(DD$24=#REF!,Milestone_Marker,IF(AND(DD$24&gt;#REF!,DD$24&lt;=#REF!+#REF!),#REF!,"")),"")</f>
        <v/>
      </c>
      <c r="DG77" s="35" t="str">
        <f ca="1">IFERROR(+IF(DE$24=#REF!,Milestone_Marker,IF(AND(DE$24&gt;#REF!,DE$24&lt;=#REF!+#REF!),#REF!,"")),"")</f>
        <v/>
      </c>
      <c r="DH77" s="35"/>
      <c r="DI77" s="35"/>
      <c r="DJ77" s="35"/>
      <c r="DK77" s="35"/>
      <c r="DL77" s="35"/>
      <c r="DM77" s="35"/>
      <c r="DN77" s="35"/>
      <c r="DO77" s="35"/>
      <c r="DP77" s="35"/>
      <c r="DQ77" s="35"/>
      <c r="DR77" s="35"/>
      <c r="DS77" s="35"/>
      <c r="DT77" s="35"/>
      <c r="DU77" s="35"/>
      <c r="DV77" s="35"/>
      <c r="DW77" s="35"/>
      <c r="DX77" s="35"/>
      <c r="DY77" s="35"/>
      <c r="DZ77" s="35"/>
      <c r="EA77" s="35"/>
      <c r="EB77" s="35"/>
      <c r="EC77" s="35"/>
      <c r="ED77" s="35"/>
      <c r="EE77" s="35"/>
    </row>
    <row r="78" spans="1:135" ht="15">
      <c r="A78" t="s">
        <v>519</v>
      </c>
      <c r="B78" t="s">
        <v>639</v>
      </c>
      <c r="C78" t="s">
        <v>591</v>
      </c>
      <c r="D78" s="458" t="s">
        <v>653</v>
      </c>
      <c r="E78" s="458">
        <v>1</v>
      </c>
      <c r="F78">
        <v>6090</v>
      </c>
      <c r="G78">
        <v>6090</v>
      </c>
      <c r="H78">
        <v>157</v>
      </c>
      <c r="I78"/>
      <c r="J78">
        <v>81</v>
      </c>
      <c r="K78" s="107"/>
      <c r="L78" s="463">
        <v>81</v>
      </c>
      <c r="M78" s="176">
        <v>2</v>
      </c>
      <c r="N78" s="160">
        <v>0</v>
      </c>
      <c r="O78" s="546" cm="1">
        <f t="array" ref="O7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78" s="566" t="s">
        <v>797</v>
      </c>
      <c r="Q78" s="566">
        <v>0</v>
      </c>
      <c r="R78" s="22"/>
      <c r="S78" s="463" cm="1">
        <f t="array" ref="S7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78">
        <v>1</v>
      </c>
      <c r="U78" s="176"/>
      <c r="V7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75.020099999999999</v>
      </c>
      <c r="W78" s="497"/>
      <c r="X78" s="176" t="s">
        <v>852</v>
      </c>
      <c r="Y78" s="547" t="s">
        <v>870</v>
      </c>
      <c r="Z78" s="160" t="s">
        <v>458</v>
      </c>
      <c r="AA78" s="563">
        <v>102000</v>
      </c>
      <c r="AB78" cm="1">
        <f t="array" ref="AB78">ROW()-ROW(Contract_Edits[#Headers])</f>
        <v>54</v>
      </c>
      <c r="AC78">
        <f>IF(Contract_Edits[[#This Row],[RowPos]]&gt;1, Contract_Edits[[#This Row],[RowPos]]-1, 0)</f>
        <v>53</v>
      </c>
      <c r="AD78" s="35">
        <f>IF(N(Contract_Edits[[#This Row],[Dep]])=0, N(Contract_Edits[[#This Row],[Index]]), N(Contract_Edits[[#This Row],[Dep]]))</f>
        <v>157</v>
      </c>
      <c r="AE78" s="35" cm="1">
        <f t="array" ref="AE78">IF(OR(Contract_Edits[[#This Row],[Dep]]=0, TRIM(Contract_Edits[[#This Row],[Dep]])=""),
   0,
   IFERROR(
      _xlfn.XLOOKUP(1, (Contract_Edits[Dep]=Contract_Edits[[#This Row],[Dep]])*(Contract_Edits[RowPos]&lt;Contract_Edits[[#This Row],[RowPos]]), Contract_Edits[RowPos], , 0, -1),
      0
   )
)</f>
        <v>0</v>
      </c>
      <c r="AF78" s="35">
        <f>IF(OR(Contract_Edits[[#This Row],[Dep]]=0,Contract_Edits[[#This Row],[Dep]]=""),0,
   COUNTIFS(Contract_Edits[Dep],Contract_Edits[[#This Row],[Dep]],Contract_Edits[RowPos],"&lt;="&amp;Contract_Edits[[#This Row],[RowPos]],Contract_Edits[Approve],"Yes")
)</f>
        <v>1</v>
      </c>
      <c r="AG78" s="517">
        <f>--(
  ISNUMBER(SEARCH("BASE PARENT", UPPER(CLEAN(TRIM(_xlfn.XLOOKUP(TEXT(Contract_Edits[[#This Row],[Index]],"0"), baseIdxTxt, baseCost, "")))))) +
  ISNUMBER(SEARCH("DEPENDENCY GROUP", UPPER(CLEAN(TRIM(_xlfn.XLOOKUP(TEXT(Contract_Edits[[#This Row],[Index]],"0"), baseIdxTxt, baseCost, ""))))))
)</f>
        <v>0</v>
      </c>
      <c r="AH78" s="517" t="str" cm="1">
        <f t="array" ref="AH78">IF(Contract_Edits[[#This Row],[BaseFlag]]=1,
   10*BaseDepthL(TEXT(Contract_Edits[[#This Row],[Index]],"0"),500,editsIdxTxt,editsParentKeyTxt,baseIdxTxt,baseCost)-5,
   ""
)</f>
        <v/>
      </c>
      <c r="AI78" s="517" cm="1">
        <f t="array" ref="AI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78" s="517" t="str">
        <f>IF(Contract_Edits[[#This Row],[Dep]]=0,"Root",
   IF(ISNUMBER(MATCH(Contract_Edits[[#This Row],[Dep]],Contract_Edits[Index],0)),"OK","Missing")
)</f>
        <v>OK</v>
      </c>
      <c r="AK78" s="517" t="str">
        <f>IF(AND(Contract_Edits[[#This Row],[Dep]]&lt;&gt;0,
        ISNUMBER(MATCH(Contract_Edits[[#This Row],[Dep]], Contract_Edits[Index], 0)),
        INDEX(Contract_Edits[Dep], MATCH(Contract_Edits[[#This Row],[Dep]], Contract_Edits[Index], 0))=Contract_Edits[[#This Row],[Index]]),
   "2-cycle","")</f>
        <v/>
      </c>
      <c r="AL78" s="517" cm="1">
        <f t="array" ref="AL78">IF(Contract_Edits[[#This Row],[BaseFlag]]&lt;&gt;1,0,
   IF(TEXT(Contract_Edits[[#This Row],[Dep]],"0")=TEXT(Contract_Edits[[#This Row],[Index]],"0"),
      0,
      MAX(0, SUMPRODUCT(--(Contract_Edits[BaseFlag]=1),
                        --(TEXT(Contract_Edits[Dep],"0")=TEXT(Contract_Edits[[#This Row],[Dep]],"0"))) - 1)
   )
)</f>
        <v>0</v>
      </c>
      <c r="AM78" s="517" t="str" cm="1">
        <f t="array" ref="AM78">IF(Contract_Edits[[#This Row],[BaseFlag]]=1,
   TEXT(Contract_Edits[[#This Row],[Index]],"0"),
   NearestBaseL(TEXT(Contract_Edits[[#This Row],[ParentKey]],"0"),500,editsIdxTxt,editsParentKeyTxt,baseIdxTxt,baseCost)
)</f>
        <v>157</v>
      </c>
      <c r="AN78" s="517" cm="1">
        <f t="array" ref="AN78">1+SUMPRODUCT(
  (Contract_Edits[BaseFlag]=1)*
  (TEXT(Contract_Edits[ParentAnchor],"0")=TEXT(Contract_Edits[[#This Row],[ParentAnchor]],"0"))*
  (VALUE(TEXT(Contract_Edits[Index],"0"))&lt;VALUE(TEXT(Contract_Edits[[#This Row],[Index]],"0")))
)</f>
        <v>1</v>
      </c>
      <c r="AO78" s="35"/>
      <c r="AP78" s="35" t="str">
        <f ca="1">IFERROR(+IF(AP$24=#REF!,Milestone_Marker,IF(AND(AP$24&gt;#REF!,AP$24&lt;#REF!+#REF!),#REF!,"")),"")</f>
        <v/>
      </c>
      <c r="AQ78" s="35" t="str">
        <f ca="1">IFERROR(+IF(AQ$24=#REF!,Milestone_Marker,IF(AND(AQ$24&gt;#REF!,AQ$24&lt;#REF!+#REF!),#REF!,"")),"")</f>
        <v/>
      </c>
      <c r="AR78" s="35" t="str">
        <f ca="1">IFERROR(+IF(AR$24=#REF!,Milestone_Marker,IF(AND(AR$24&gt;#REF!,AR$24&lt;#REF!+#REF!),#REF!,"")),"")</f>
        <v/>
      </c>
      <c r="AS78" s="35" t="str">
        <f ca="1">IFERROR(+IF(AS$24=#REF!,Milestone_Marker,IF(AND(AS$24&gt;#REF!,AS$24&lt;#REF!+#REF!),#REF!,"")),"")</f>
        <v/>
      </c>
      <c r="AT78" s="35" t="str">
        <f ca="1">IFERROR(+IF(AT$24=#REF!,Milestone_Marker,IF(AND(AT$24&gt;#REF!,AT$24&lt;#REF!+#REF!),#REF!,"")),"")</f>
        <v/>
      </c>
      <c r="AU78" s="35" t="str">
        <f ca="1">IFERROR(+IF(AU$24=#REF!,Milestone_Marker,IF(AND(AU$24&gt;#REF!,AU$24&lt;#REF!+#REF!),#REF!,"")),"")</f>
        <v/>
      </c>
      <c r="AV78" s="35" t="str">
        <f ca="1">IFERROR(+IF(AV$24=#REF!,Milestone_Marker,IF(AND(AV$24&gt;#REF!,AV$24&lt;#REF!+#REF!),#REF!,"")),"")</f>
        <v/>
      </c>
      <c r="AW78" s="35" t="str">
        <f ca="1">IFERROR(+IF(AW$24=#REF!,Milestone_Marker,IF(AND(AW$24&gt;#REF!,AW$24&lt;#REF!+#REF!),#REF!,"")),"")</f>
        <v/>
      </c>
      <c r="AX78" s="35" t="str">
        <f ca="1">IFERROR(+IF(AX$24=#REF!,Milestone_Marker,IF(AND(AX$24&gt;#REF!,AX$24&lt;#REF!+#REF!),#REF!,"")),"")</f>
        <v/>
      </c>
      <c r="AY78" s="35" t="str">
        <f ca="1">IFERROR(+IF(AY$24=#REF!,Milestone_Marker,IF(AND(AY$24&gt;#REF!,AY$24&lt;#REF!+#REF!),#REF!,"")),"")</f>
        <v/>
      </c>
      <c r="AZ78" s="35" t="str">
        <f ca="1">IFERROR(+IF(AZ$24=#REF!,Milestone_Marker,IF(AND(AZ$24&gt;#REF!,AZ$24&lt;#REF!+#REF!),#REF!,"")),"")</f>
        <v/>
      </c>
      <c r="BA78" s="35" t="str">
        <f ca="1">IFERROR(+IF(BA$24=#REF!,Milestone_Marker,IF(AND(BA$24&gt;#REF!,BA$24&lt;#REF!+#REF!),#REF!,"")),"")</f>
        <v/>
      </c>
      <c r="BB78" s="35" t="str">
        <f ca="1">IFERROR(+IF(BB$24=#REF!,Milestone_Marker,IF(AND(BB$24&gt;#REF!,BB$24&lt;#REF!+#REF!),#REF!,"")),"")</f>
        <v/>
      </c>
      <c r="BC78" s="35" t="str">
        <f ca="1">IFERROR(+IF(BC$24=#REF!,Milestone_Marker,IF(AND(BC$24&gt;#REF!,BC$24&lt;#REF!+#REF!),#REF!,"")),"")</f>
        <v/>
      </c>
      <c r="BD78" s="35" t="str">
        <f ca="1">IFERROR(+IF(BD$24=#REF!,Milestone_Marker,IF(AND(BD$24&gt;#REF!,BD$24&lt;#REF!+#REF!),#REF!,"")),"")</f>
        <v/>
      </c>
      <c r="BE78" s="35" t="str">
        <f ca="1">IFERROR(+IF(BE$24=#REF!,Milestone_Marker,IF(AND(BE$24&gt;#REF!,BE$24&lt;#REF!+#REF!),#REF!,"")),"")</f>
        <v/>
      </c>
      <c r="BF78" s="35" t="str">
        <f ca="1">IFERROR(+IF(BF$24=#REF!,Milestone_Marker,IF(AND(BF$24&gt;#REF!,BF$24&lt;#REF!+#REF!),#REF!,"")),"")</f>
        <v/>
      </c>
      <c r="BG78" s="35" t="str">
        <f ca="1">IFERROR(+IF(BG$24=#REF!,Milestone_Marker,IF(AND(BG$24&gt;#REF!,BG$24&lt;#REF!+#REF!),#REF!,"")),"")</f>
        <v/>
      </c>
      <c r="BH78" s="35" t="str">
        <f ca="1">IFERROR(+IF(BH$24=#REF!,Milestone_Marker,IF(AND(BH$24&gt;#REF!,BH$24&lt;#REF!+#REF!),#REF!,"")),"")</f>
        <v/>
      </c>
      <c r="BI78" s="35" t="str">
        <f ca="1">IFERROR(+IF(BI$24=#REF!,Milestone_Marker,IF(AND(BI$24&gt;#REF!,BI$24&lt;#REF!+#REF!),#REF!,"")),"")</f>
        <v/>
      </c>
      <c r="BJ78" s="35" t="str">
        <f ca="1">IFERROR(+IF(BJ$24=#REF!,Milestone_Marker,IF(AND(BJ$24&gt;#REF!,BJ$24&lt;#REF!+#REF!),#REF!,"")),"")</f>
        <v/>
      </c>
      <c r="BK78" s="35" t="str">
        <f ca="1">IFERROR(+IF(BK$24=#REF!,Milestone_Marker,IF(AND(BK$24&gt;#REF!,BK$24&lt;#REF!+#REF!),#REF!,"")),"")</f>
        <v/>
      </c>
      <c r="BL78" s="35" t="str">
        <f ca="1">IFERROR(+IF(BL$24=#REF!,Milestone_Marker,IF(AND(BL$24&gt;#REF!,BL$24&lt;#REF!+#REF!),#REF!,"")),"")</f>
        <v/>
      </c>
      <c r="BM78" s="35" t="str">
        <f ca="1">IFERROR(+IF(BM$24=#REF!,Milestone_Marker,IF(AND(BM$24&gt;#REF!,BM$24&lt;#REF!+#REF!),#REF!,"")),"")</f>
        <v/>
      </c>
      <c r="BN78" s="35" t="str">
        <f ca="1">IFERROR(+IF(BN$24=#REF!,Milestone_Marker,IF(AND(BN$24&gt;#REF!,BN$24&lt;#REF!+#REF!),#REF!,"")),"")</f>
        <v/>
      </c>
      <c r="BO78" s="35" t="str">
        <f ca="1">IFERROR(+IF(BO$24=#REF!,Milestone_Marker,IF(AND(BO$24&gt;#REF!,BO$24&lt;#REF!+#REF!),#REF!,"")),"")</f>
        <v/>
      </c>
      <c r="BP78" s="35" t="str">
        <f ca="1">IFERROR(+IF(BP$24=#REF!,Milestone_Marker,IF(AND(BP$24&gt;#REF!,BP$24&lt;#REF!+#REF!),#REF!,"")),"")</f>
        <v/>
      </c>
      <c r="BQ78" s="35" t="str">
        <f ca="1">IFERROR(+IF(BQ$24=#REF!,Milestone_Marker,IF(AND(BQ$24&gt;#REF!,BQ$24&lt;#REF!+#REF!),#REF!,"")),"")</f>
        <v/>
      </c>
      <c r="BR78" s="35" t="str">
        <f ca="1">IFERROR(+IF(BR$24=#REF!,Milestone_Marker,IF(AND(BR$24&gt;#REF!,BR$24&lt;#REF!+#REF!),#REF!,"")),"")</f>
        <v/>
      </c>
      <c r="BS78" s="35" t="str">
        <f ca="1">IFERROR(+IF(BS$24=#REF!,Milestone_Marker,IF(AND(BS$24&gt;#REF!,BS$24&lt;#REF!+#REF!),#REF!,"")),"")</f>
        <v/>
      </c>
      <c r="BT78" s="35" t="str">
        <f ca="1">IFERROR(+IF(BT$24=#REF!,Milestone_Marker,IF(AND(BT$24&gt;#REF!,BT$24&lt;#REF!+#REF!),#REF!,"")),"")</f>
        <v/>
      </c>
      <c r="BU78" s="35" t="str">
        <f ca="1">IFERROR(+IF(BU$24=#REF!,Milestone_Marker,IF(AND(BU$24&gt;#REF!,BU$24&lt;#REF!+#REF!),#REF!,"")),"")</f>
        <v/>
      </c>
      <c r="BV78" s="35" t="str">
        <f ca="1">IFERROR(+IF(BV$24=#REF!,Milestone_Marker,IF(AND(BV$24&gt;#REF!,BV$24&lt;#REF!+#REF!),#REF!,"")),"")</f>
        <v/>
      </c>
      <c r="BW78" s="35" t="str">
        <f ca="1">IFERROR(+IF(BW$24=#REF!,Milestone_Marker,IF(AND(BW$24&gt;#REF!,BW$24&lt;#REF!+#REF!),#REF!,"")),"")</f>
        <v/>
      </c>
      <c r="BX78" s="35" t="str">
        <f ca="1">IFERROR(+IF(BX$24=#REF!,Milestone_Marker,IF(AND(BX$24&gt;#REF!,BX$24&lt;#REF!+#REF!),#REF!,"")),"")</f>
        <v/>
      </c>
      <c r="BY78" s="35" t="str">
        <f ca="1">IFERROR(+IF(BY$24=#REF!,Milestone_Marker,IF(AND(BY$24&gt;#REF!,BY$24&lt;#REF!+#REF!),#REF!,"")),"")</f>
        <v/>
      </c>
      <c r="BZ78" s="35" t="str">
        <f ca="1">IFERROR(+IF(BZ$24=#REF!,Milestone_Marker,IF(AND(BZ$24&gt;#REF!,BZ$24&lt;#REF!+#REF!),#REF!,"")),"")</f>
        <v/>
      </c>
      <c r="CA78" s="35" t="str">
        <f ca="1">IFERROR(+IF(CA$24=#REF!,Milestone_Marker,IF(AND(CA$24&gt;#REF!,CA$24&lt;#REF!+#REF!),#REF!,"")),"")</f>
        <v/>
      </c>
      <c r="CB78" s="35" t="str">
        <f ca="1">IFERROR(+IF(CB$24=#REF!,Milestone_Marker,IF(AND(CB$24&gt;#REF!,CB$24&lt;#REF!+#REF!),#REF!,"")),"")</f>
        <v/>
      </c>
      <c r="CC78" s="35" t="str">
        <f ca="1">IFERROR(+IF(CC$24=#REF!,Milestone_Marker,IF(AND(CC$24&gt;#REF!,CC$24&lt;#REF!+#REF!),#REF!,"")),"")</f>
        <v/>
      </c>
      <c r="CD78" s="35" t="str">
        <f ca="1">IFERROR(+IF(CD$24=#REF!,Milestone_Marker,IF(AND(CD$24&gt;#REF!,CD$24&lt;#REF!+#REF!),#REF!,"")),"")</f>
        <v/>
      </c>
      <c r="CE78" s="35" t="str">
        <f ca="1">IFERROR(+IF(CE$24=#REF!,Milestone_Marker,IF(AND(CE$24&gt;#REF!,CE$24&lt;#REF!+#REF!),#REF!,"")),"")</f>
        <v/>
      </c>
      <c r="CF78" s="35" t="str">
        <f ca="1">IFERROR(+IF(CF$24=#REF!,Milestone_Marker,IF(AND(CF$24&gt;#REF!,CF$24&lt;#REF!+#REF!),#REF!,"")),"")</f>
        <v/>
      </c>
      <c r="CG78" s="35" t="str">
        <f ca="1">IFERROR(+IF(CG$24=#REF!,Milestone_Marker,IF(AND(CG$24&gt;#REF!,CG$24&lt;#REF!+#REF!),#REF!,"")),"")</f>
        <v/>
      </c>
      <c r="CH78" s="35" t="str">
        <f ca="1">IFERROR(+IF(CH$24=#REF!,Milestone_Marker,IF(AND(CH$24&gt;#REF!,CH$24&lt;#REF!+#REF!),#REF!,"")),"")</f>
        <v/>
      </c>
      <c r="CI78" s="35" t="str">
        <f ca="1">IFERROR(+IF(CI$24=#REF!,Milestone_Marker,IF(AND(CI$24&gt;#REF!,CI$24&lt;#REF!+#REF!),#REF!,"")),"")</f>
        <v/>
      </c>
      <c r="CJ78" s="35" t="str">
        <f ca="1">IFERROR(+IF(CJ$24=#REF!,Milestone_Marker,IF(AND(CJ$24&gt;#REF!,CJ$24&lt;#REF!+#REF!),#REF!,"")),"")</f>
        <v/>
      </c>
      <c r="CK78" s="35" t="str">
        <f ca="1">IFERROR(+IF(CK$24=#REF!,Milestone_Marker,IF(AND(CK$24&gt;#REF!,CK$24&lt;#REF!+#REF!),#REF!,"")),"")</f>
        <v/>
      </c>
      <c r="CL78" s="35" t="str">
        <f ca="1">IFERROR(+IF(CL$24=#REF!,Milestone_Marker,IF(AND(CL$24&gt;#REF!,CL$24&lt;#REF!+#REF!),#REF!,"")),"")</f>
        <v/>
      </c>
      <c r="CM78" s="35" t="str">
        <f ca="1">IFERROR(+IF(CM$24=#REF!,Milestone_Marker,IF(AND(CM$24&gt;#REF!,CM$24&lt;#REF!+#REF!),#REF!,"")),"")</f>
        <v/>
      </c>
      <c r="CN78" s="35" t="str">
        <f ca="1">IFERROR(+IF(CN$24=#REF!,Milestone_Marker,IF(AND(CN$24&gt;#REF!,CN$24&lt;#REF!+#REF!),#REF!,"")),"")</f>
        <v/>
      </c>
      <c r="CO78" s="35" t="str">
        <f ca="1">IFERROR(+IF(CO$24=#REF!,Milestone_Marker,IF(AND(CO$24&gt;#REF!,CO$24&lt;#REF!+#REF!),#REF!,"")),"")</f>
        <v/>
      </c>
      <c r="CP78" s="35" t="str">
        <f ca="1">IFERROR(+IF(CP$24=#REF!,Milestone_Marker,IF(AND(CP$24&gt;#REF!,CP$24&lt;#REF!+#REF!),#REF!,"")),"")</f>
        <v/>
      </c>
      <c r="CQ78" s="35" t="str">
        <f ca="1">IFERROR(+IF(CQ$24=#REF!,Milestone_Marker,IF(AND(CQ$24&gt;#REF!,CQ$24&lt;#REF!+#REF!),#REF!,"")),"")</f>
        <v/>
      </c>
      <c r="CR78" s="35" t="str">
        <f ca="1">IFERROR(+IF(CR$24=#REF!,Milestone_Marker,IF(AND(CR$24&gt;#REF!,CR$24&lt;#REF!+#REF!),#REF!,"")),"")</f>
        <v/>
      </c>
      <c r="CS78" s="35" t="str">
        <f ca="1">IFERROR(+IF(CS$24=#REF!,Milestone_Marker,IF(AND(CS$24&gt;#REF!,CS$24&lt;#REF!+#REF!),#REF!,"")),"")</f>
        <v/>
      </c>
      <c r="CT78" s="35" t="str">
        <f ca="1">IFERROR(+IF(CT$24=#REF!,Milestone_Marker,IF(AND(CT$24&gt;#REF!,CT$24&lt;#REF!+#REF!),#REF!,"")),"")</f>
        <v/>
      </c>
      <c r="CU78" s="35" t="str">
        <f ca="1">IFERROR(+IF(CU$24=#REF!,Milestone_Marker,IF(AND(CU$24&gt;#REF!,CU$24&lt;#REF!+#REF!),#REF!,"")),"")</f>
        <v/>
      </c>
      <c r="CV78" s="35" t="str">
        <f ca="1">IFERROR(+IF(CV$24=#REF!,Milestone_Marker,IF(AND(CV$24&gt;#REF!,CV$24&lt;#REF!+#REF!),#REF!,"")),"")</f>
        <v/>
      </c>
      <c r="CW78" s="35" t="str">
        <f ca="1">IFERROR(+IF(CW$24=#REF!,Milestone_Marker,IF(AND(CW$24&gt;#REF!,CW$24&lt;#REF!+#REF!),#REF!,"")),"")</f>
        <v/>
      </c>
      <c r="CX78" s="35" t="str">
        <f ca="1">IFERROR(+IF(CX$24=#REF!,Milestone_Marker,IF(AND(CX$24&gt;#REF!,CX$24&lt;#REF!+#REF!),#REF!,"")),"")</f>
        <v/>
      </c>
      <c r="CY78" s="35" t="str">
        <f ca="1">IFERROR(+IF(CY$24=#REF!,Milestone_Marker,IF(AND(CY$24&gt;#REF!,CY$24&lt;#REF!+#REF!),#REF!,"")),"")</f>
        <v/>
      </c>
      <c r="CZ78" s="35" t="str">
        <f ca="1">IFERROR(+IF(CZ$24=#REF!,Milestone_Marker,IF(AND(CZ$24&gt;#REF!,CZ$24&lt;#REF!+#REF!),#REF!,"")),"")</f>
        <v/>
      </c>
      <c r="DA78" s="35" t="str">
        <f ca="1">IFERROR(+IF(DA$24=#REF!,Milestone_Marker,IF(AND(DA$24&gt;#REF!,DA$24&lt;#REF!+#REF!),#REF!,"")),"")</f>
        <v/>
      </c>
      <c r="DB78" s="35" t="str">
        <f ca="1">IFERROR(+IF(DB$24=#REF!,Milestone_Marker,IF(AND(DB$24&gt;#REF!,DB$24&lt;#REF!+#REF!),#REF!,"")),"")</f>
        <v/>
      </c>
      <c r="DC78" s="35" t="str">
        <f ca="1">IFERROR(+IF(DC$24=#REF!,Milestone_Marker,IF(AND(DC$24&gt;#REF!,DC$24&lt;#REF!+#REF!),#REF!,"")),"")</f>
        <v/>
      </c>
      <c r="DD78" s="35" t="str">
        <f ca="1">IFERROR(+IF(DD$24=#REF!,Milestone_Marker,IF(AND(DD$24&gt;#REF!,DD$24&lt;#REF!+#REF!),#REF!,"")),"")</f>
        <v/>
      </c>
      <c r="DE78" s="35" t="str">
        <f ca="1">IFERROR(+IF(DE$24=#REF!,Milestone_Marker,IF(AND(DE$24&gt;#REF!,DE$24&lt;#REF!+#REF!),#REF!,"")),"")</f>
        <v/>
      </c>
      <c r="DF78" s="35" t="str">
        <f ca="1">IFERROR(+IF(DD$24=#REF!,Milestone_Marker,IF(AND(DD$24&gt;#REF!,DD$24&lt;=#REF!+#REF!),#REF!,"")),"")</f>
        <v/>
      </c>
      <c r="DG78" s="35" t="str">
        <f ca="1">IFERROR(+IF(DE$24=#REF!,Milestone_Marker,IF(AND(DE$24&gt;#REF!,DE$24&lt;=#REF!+#REF!),#REF!,"")),"")</f>
        <v/>
      </c>
      <c r="DH78" s="35"/>
      <c r="DI78" s="35"/>
      <c r="DJ78" s="35"/>
      <c r="DK78" s="35"/>
      <c r="DL78" s="35"/>
      <c r="DM78" s="35"/>
      <c r="DN78" s="35"/>
      <c r="DO78" s="35"/>
      <c r="DP78" s="35"/>
      <c r="DQ78" s="35"/>
      <c r="DR78" s="35"/>
      <c r="DS78" s="35"/>
      <c r="DT78" s="35"/>
      <c r="DU78" s="35"/>
      <c r="DV78" s="35"/>
      <c r="DW78" s="35"/>
      <c r="DX78" s="35"/>
      <c r="DY78" s="35"/>
      <c r="DZ78" s="35"/>
      <c r="EA78" s="35"/>
      <c r="EB78" s="35"/>
      <c r="EC78" s="35"/>
      <c r="ED78" s="35"/>
      <c r="EE78" s="35"/>
    </row>
    <row r="79" spans="1:135" ht="30">
      <c r="A79" t="s">
        <v>519</v>
      </c>
      <c r="B79" t="s">
        <v>521</v>
      </c>
      <c r="C79" t="s">
        <v>591</v>
      </c>
      <c r="D79" s="458" t="s">
        <v>693</v>
      </c>
      <c r="E79" s="458">
        <v>1</v>
      </c>
      <c r="F79">
        <v>4930</v>
      </c>
      <c r="G79">
        <v>4930</v>
      </c>
      <c r="H79">
        <v>157</v>
      </c>
      <c r="I79"/>
      <c r="J79">
        <v>110</v>
      </c>
      <c r="K79" s="107"/>
      <c r="L79" s="463">
        <v>110</v>
      </c>
      <c r="M79" s="176">
        <v>1</v>
      </c>
      <c r="N79" s="160">
        <v>0</v>
      </c>
      <c r="O79" s="546" cm="1">
        <f t="array" ref="O7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45996</v>
      </c>
      <c r="P79" s="566" t="s">
        <v>797</v>
      </c>
      <c r="Q79" s="566">
        <v>0</v>
      </c>
      <c r="R79" s="22"/>
      <c r="S79" s="463" cm="1">
        <f t="array" ref="S7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79">
        <v>1</v>
      </c>
      <c r="U79" s="176"/>
      <c r="V7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75.020200000000003</v>
      </c>
      <c r="W79" s="497"/>
      <c r="X79" s="176" t="s">
        <v>852</v>
      </c>
      <c r="Y79" s="547" t="s">
        <v>870</v>
      </c>
      <c r="Z79" s="160" t="s">
        <v>458</v>
      </c>
      <c r="AA79" s="563">
        <v>102000</v>
      </c>
      <c r="AB79" cm="1">
        <f t="array" ref="AB79">ROW()-ROW(Contract_Edits[#Headers])</f>
        <v>55</v>
      </c>
      <c r="AC79">
        <f>IF(Contract_Edits[[#This Row],[RowPos]]&gt;1, Contract_Edits[[#This Row],[RowPos]]-1, 0)</f>
        <v>54</v>
      </c>
      <c r="AD79" s="35">
        <f>IF(N(Contract_Edits[[#This Row],[Dep]])=0, N(Contract_Edits[[#This Row],[Index]]), N(Contract_Edits[[#This Row],[Dep]]))</f>
        <v>157</v>
      </c>
      <c r="AE79" s="35" cm="1">
        <f t="array" ref="AE79">IF(OR(Contract_Edits[[#This Row],[Dep]]=0, TRIM(Contract_Edits[[#This Row],[Dep]])=""),
   0,
   IFERROR(
      _xlfn.XLOOKUP(1, (Contract_Edits[Dep]=Contract_Edits[[#This Row],[Dep]])*(Contract_Edits[RowPos]&lt;Contract_Edits[[#This Row],[RowPos]]), Contract_Edits[RowPos], , 0, -1),
      0
   )
)</f>
        <v>54</v>
      </c>
      <c r="AF79" s="35">
        <f>IF(OR(Contract_Edits[[#This Row],[Dep]]=0,Contract_Edits[[#This Row],[Dep]]=""),0,
   COUNTIFS(Contract_Edits[Dep],Contract_Edits[[#This Row],[Dep]],Contract_Edits[RowPos],"&lt;="&amp;Contract_Edits[[#This Row],[RowPos]],Contract_Edits[Approve],"Yes")
)</f>
        <v>2</v>
      </c>
      <c r="AG79" s="517">
        <f>--(
  ISNUMBER(SEARCH("BASE PARENT", UPPER(CLEAN(TRIM(_xlfn.XLOOKUP(TEXT(Contract_Edits[[#This Row],[Index]],"0"), baseIdxTxt, baseCost, "")))))) +
  ISNUMBER(SEARCH("DEPENDENCY GROUP", UPPER(CLEAN(TRIM(_xlfn.XLOOKUP(TEXT(Contract_Edits[[#This Row],[Index]],"0"), baseIdxTxt, baseCost, ""))))))
)</f>
        <v>0</v>
      </c>
      <c r="AH79" s="517" t="str" cm="1">
        <f t="array" ref="AH79">IF(Contract_Edits[[#This Row],[BaseFlag]]=1,
   10*BaseDepthL(TEXT(Contract_Edits[[#This Row],[Index]],"0"),500,editsIdxTxt,editsParentKeyTxt,baseIdxTxt,baseCost)-5,
   ""
)</f>
        <v/>
      </c>
      <c r="AI79" s="517" cm="1">
        <f t="array" ref="AI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79" s="517" t="str">
        <f>IF(Contract_Edits[[#This Row],[Dep]]=0,"Root",
   IF(ISNUMBER(MATCH(Contract_Edits[[#This Row],[Dep]],Contract_Edits[Index],0)),"OK","Missing")
)</f>
        <v>OK</v>
      </c>
      <c r="AK79" s="517" t="str">
        <f>IF(AND(Contract_Edits[[#This Row],[Dep]]&lt;&gt;0,
        ISNUMBER(MATCH(Contract_Edits[[#This Row],[Dep]], Contract_Edits[Index], 0)),
        INDEX(Contract_Edits[Dep], MATCH(Contract_Edits[[#This Row],[Dep]], Contract_Edits[Index], 0))=Contract_Edits[[#This Row],[Index]]),
   "2-cycle","")</f>
        <v/>
      </c>
      <c r="AL79" s="517" cm="1">
        <f t="array" ref="AL79">IF(Contract_Edits[[#This Row],[BaseFlag]]&lt;&gt;1,0,
   IF(TEXT(Contract_Edits[[#This Row],[Dep]],"0")=TEXT(Contract_Edits[[#This Row],[Index]],"0"),
      0,
      MAX(0, SUMPRODUCT(--(Contract_Edits[BaseFlag]=1),
                        --(TEXT(Contract_Edits[Dep],"0")=TEXT(Contract_Edits[[#This Row],[Dep]],"0"))) - 1)
   )
)</f>
        <v>0</v>
      </c>
      <c r="AM79" s="517" t="str" cm="1">
        <f t="array" ref="AM79">IF(Contract_Edits[[#This Row],[BaseFlag]]=1,
   TEXT(Contract_Edits[[#This Row],[Index]],"0"),
   NearestBaseL(TEXT(Contract_Edits[[#This Row],[ParentKey]],"0"),500,editsIdxTxt,editsParentKeyTxt,baseIdxTxt,baseCost)
)</f>
        <v>157</v>
      </c>
      <c r="AN79" s="517" cm="1">
        <f t="array" ref="AN79">1+SUMPRODUCT(
  (Contract_Edits[BaseFlag]=1)*
  (TEXT(Contract_Edits[ParentAnchor],"0")=TEXT(Contract_Edits[[#This Row],[ParentAnchor]],"0"))*
  (VALUE(TEXT(Contract_Edits[Index],"0"))&lt;VALUE(TEXT(Contract_Edits[[#This Row],[Index]],"0")))
)</f>
        <v>1</v>
      </c>
      <c r="AO79" s="35"/>
      <c r="AP79" s="35" t="str">
        <f ca="1">IFERROR(+IF(AP$24=#REF!,Milestone_Marker,IF(AND(AP$24&gt;#REF!,AP$24&lt;#REF!+#REF!),#REF!,"")),"")</f>
        <v/>
      </c>
      <c r="AQ79" s="35" t="str">
        <f ca="1">IFERROR(+IF(AQ$24=#REF!,Milestone_Marker,IF(AND(AQ$24&gt;#REF!,AQ$24&lt;#REF!+#REF!),#REF!,"")),"")</f>
        <v/>
      </c>
      <c r="AR79" s="35" t="str">
        <f ca="1">IFERROR(+IF(AR$24=#REF!,Milestone_Marker,IF(AND(AR$24&gt;#REF!,AR$24&lt;#REF!+#REF!),#REF!,"")),"")</f>
        <v/>
      </c>
      <c r="AS79" s="35" t="str">
        <f ca="1">IFERROR(+IF(AS$24=#REF!,Milestone_Marker,IF(AND(AS$24&gt;#REF!,AS$24&lt;#REF!+#REF!),#REF!,"")),"")</f>
        <v/>
      </c>
      <c r="AT79" s="35" t="str">
        <f ca="1">IFERROR(+IF(AT$24=#REF!,Milestone_Marker,IF(AND(AT$24&gt;#REF!,AT$24&lt;#REF!+#REF!),#REF!,"")),"")</f>
        <v/>
      </c>
      <c r="AU79" s="35" t="str">
        <f ca="1">IFERROR(+IF(AU$24=#REF!,Milestone_Marker,IF(AND(AU$24&gt;#REF!,AU$24&lt;#REF!+#REF!),#REF!,"")),"")</f>
        <v/>
      </c>
      <c r="AV79" s="35" t="str">
        <f ca="1">IFERROR(+IF(AV$24=#REF!,Milestone_Marker,IF(AND(AV$24&gt;#REF!,AV$24&lt;#REF!+#REF!),#REF!,"")),"")</f>
        <v/>
      </c>
      <c r="AW79" s="35" t="str">
        <f ca="1">IFERROR(+IF(AW$24=#REF!,Milestone_Marker,IF(AND(AW$24&gt;#REF!,AW$24&lt;#REF!+#REF!),#REF!,"")),"")</f>
        <v/>
      </c>
      <c r="AX79" s="35" t="str">
        <f ca="1">IFERROR(+IF(AX$24=#REF!,Milestone_Marker,IF(AND(AX$24&gt;#REF!,AX$24&lt;#REF!+#REF!),#REF!,"")),"")</f>
        <v/>
      </c>
      <c r="AY79" s="35" t="str">
        <f ca="1">IFERROR(+IF(AY$24=#REF!,Milestone_Marker,IF(AND(AY$24&gt;#REF!,AY$24&lt;#REF!+#REF!),#REF!,"")),"")</f>
        <v/>
      </c>
      <c r="AZ79" s="35" t="str">
        <f ca="1">IFERROR(+IF(AZ$24=#REF!,Milestone_Marker,IF(AND(AZ$24&gt;#REF!,AZ$24&lt;#REF!+#REF!),#REF!,"")),"")</f>
        <v/>
      </c>
      <c r="BA79" s="35" t="str">
        <f ca="1">IFERROR(+IF(BA$24=#REF!,Milestone_Marker,IF(AND(BA$24&gt;#REF!,BA$24&lt;#REF!+#REF!),#REF!,"")),"")</f>
        <v/>
      </c>
      <c r="BB79" s="35" t="str">
        <f ca="1">IFERROR(+IF(BB$24=#REF!,Milestone_Marker,IF(AND(BB$24&gt;#REF!,BB$24&lt;#REF!+#REF!),#REF!,"")),"")</f>
        <v/>
      </c>
      <c r="BC79" s="35" t="str">
        <f ca="1">IFERROR(+IF(BC$24=#REF!,Milestone_Marker,IF(AND(BC$24&gt;#REF!,BC$24&lt;#REF!+#REF!),#REF!,"")),"")</f>
        <v/>
      </c>
      <c r="BD79" s="35" t="str">
        <f ca="1">IFERROR(+IF(BD$24=#REF!,Milestone_Marker,IF(AND(BD$24&gt;#REF!,BD$24&lt;#REF!+#REF!),#REF!,"")),"")</f>
        <v/>
      </c>
      <c r="BE79" s="35" t="str">
        <f ca="1">IFERROR(+IF(BE$24=#REF!,Milestone_Marker,IF(AND(BE$24&gt;#REF!,BE$24&lt;#REF!+#REF!),#REF!,"")),"")</f>
        <v/>
      </c>
      <c r="BF79" s="35" t="str">
        <f ca="1">IFERROR(+IF(BF$24=#REF!,Milestone_Marker,IF(AND(BF$24&gt;#REF!,BF$24&lt;#REF!+#REF!),#REF!,"")),"")</f>
        <v/>
      </c>
      <c r="BG79" s="35" t="str">
        <f ca="1">IFERROR(+IF(BG$24=#REF!,Milestone_Marker,IF(AND(BG$24&gt;#REF!,BG$24&lt;#REF!+#REF!),#REF!,"")),"")</f>
        <v/>
      </c>
      <c r="BH79" s="35" t="str">
        <f ca="1">IFERROR(+IF(BH$24=#REF!,Milestone_Marker,IF(AND(BH$24&gt;#REF!,BH$24&lt;#REF!+#REF!),#REF!,"")),"")</f>
        <v/>
      </c>
      <c r="BI79" s="35" t="str">
        <f ca="1">IFERROR(+IF(BI$24=#REF!,Milestone_Marker,IF(AND(BI$24&gt;#REF!,BI$24&lt;#REF!+#REF!),#REF!,"")),"")</f>
        <v/>
      </c>
      <c r="BJ79" s="35" t="str">
        <f ca="1">IFERROR(+IF(BJ$24=#REF!,Milestone_Marker,IF(AND(BJ$24&gt;#REF!,BJ$24&lt;#REF!+#REF!),#REF!,"")),"")</f>
        <v/>
      </c>
      <c r="BK79" s="35" t="str">
        <f ca="1">IFERROR(+IF(BK$24=#REF!,Milestone_Marker,IF(AND(BK$24&gt;#REF!,BK$24&lt;#REF!+#REF!),#REF!,"")),"")</f>
        <v/>
      </c>
      <c r="BL79" s="35" t="str">
        <f ca="1">IFERROR(+IF(BL$24=#REF!,Milestone_Marker,IF(AND(BL$24&gt;#REF!,BL$24&lt;#REF!+#REF!),#REF!,"")),"")</f>
        <v/>
      </c>
      <c r="BM79" s="35" t="str">
        <f ca="1">IFERROR(+IF(BM$24=#REF!,Milestone_Marker,IF(AND(BM$24&gt;#REF!,BM$24&lt;#REF!+#REF!),#REF!,"")),"")</f>
        <v/>
      </c>
      <c r="BN79" s="35" t="str">
        <f ca="1">IFERROR(+IF(BN$24=#REF!,Milestone_Marker,IF(AND(BN$24&gt;#REF!,BN$24&lt;#REF!+#REF!),#REF!,"")),"")</f>
        <v/>
      </c>
      <c r="BO79" s="35" t="str">
        <f ca="1">IFERROR(+IF(BO$24=#REF!,Milestone_Marker,IF(AND(BO$24&gt;#REF!,BO$24&lt;#REF!+#REF!),#REF!,"")),"")</f>
        <v/>
      </c>
      <c r="BP79" s="35" t="str">
        <f ca="1">IFERROR(+IF(BP$24=#REF!,Milestone_Marker,IF(AND(BP$24&gt;#REF!,BP$24&lt;#REF!+#REF!),#REF!,"")),"")</f>
        <v/>
      </c>
      <c r="BQ79" s="35" t="str">
        <f ca="1">IFERROR(+IF(BQ$24=#REF!,Milestone_Marker,IF(AND(BQ$24&gt;#REF!,BQ$24&lt;#REF!+#REF!),#REF!,"")),"")</f>
        <v/>
      </c>
      <c r="BR79" s="35" t="str">
        <f ca="1">IFERROR(+IF(BR$24=#REF!,Milestone_Marker,IF(AND(BR$24&gt;#REF!,BR$24&lt;#REF!+#REF!),#REF!,"")),"")</f>
        <v/>
      </c>
      <c r="BS79" s="35" t="str">
        <f ca="1">IFERROR(+IF(BS$24=#REF!,Milestone_Marker,IF(AND(BS$24&gt;#REF!,BS$24&lt;#REF!+#REF!),#REF!,"")),"")</f>
        <v/>
      </c>
      <c r="BT79" s="35" t="str">
        <f ca="1">IFERROR(+IF(BT$24=#REF!,Milestone_Marker,IF(AND(BT$24&gt;#REF!,BT$24&lt;#REF!+#REF!),#REF!,"")),"")</f>
        <v/>
      </c>
      <c r="BU79" s="35" t="str">
        <f ca="1">IFERROR(+IF(BU$24=#REF!,Milestone_Marker,IF(AND(BU$24&gt;#REF!,BU$24&lt;#REF!+#REF!),#REF!,"")),"")</f>
        <v/>
      </c>
      <c r="BV79" s="35" t="str">
        <f ca="1">IFERROR(+IF(BV$24=#REF!,Milestone_Marker,IF(AND(BV$24&gt;#REF!,BV$24&lt;#REF!+#REF!),#REF!,"")),"")</f>
        <v/>
      </c>
      <c r="BW79" s="35" t="str">
        <f ca="1">IFERROR(+IF(BW$24=#REF!,Milestone_Marker,IF(AND(BW$24&gt;#REF!,BW$24&lt;#REF!+#REF!),#REF!,"")),"")</f>
        <v/>
      </c>
      <c r="BX79" s="35" t="str">
        <f ca="1">IFERROR(+IF(BX$24=#REF!,Milestone_Marker,IF(AND(BX$24&gt;#REF!,BX$24&lt;#REF!+#REF!),#REF!,"")),"")</f>
        <v/>
      </c>
      <c r="BY79" s="35" t="str">
        <f ca="1">IFERROR(+IF(BY$24=#REF!,Milestone_Marker,IF(AND(BY$24&gt;#REF!,BY$24&lt;#REF!+#REF!),#REF!,"")),"")</f>
        <v/>
      </c>
      <c r="BZ79" s="35" t="str">
        <f ca="1">IFERROR(+IF(BZ$24=#REF!,Milestone_Marker,IF(AND(BZ$24&gt;#REF!,BZ$24&lt;#REF!+#REF!),#REF!,"")),"")</f>
        <v/>
      </c>
      <c r="CA79" s="35" t="str">
        <f ca="1">IFERROR(+IF(CA$24=#REF!,Milestone_Marker,IF(AND(CA$24&gt;#REF!,CA$24&lt;#REF!+#REF!),#REF!,"")),"")</f>
        <v/>
      </c>
      <c r="CB79" s="35" t="str">
        <f ca="1">IFERROR(+IF(CB$24=#REF!,Milestone_Marker,IF(AND(CB$24&gt;#REF!,CB$24&lt;#REF!+#REF!),#REF!,"")),"")</f>
        <v/>
      </c>
      <c r="CC79" s="35" t="str">
        <f ca="1">IFERROR(+IF(CC$24=#REF!,Milestone_Marker,IF(AND(CC$24&gt;#REF!,CC$24&lt;#REF!+#REF!),#REF!,"")),"")</f>
        <v/>
      </c>
      <c r="CD79" s="35" t="str">
        <f ca="1">IFERROR(+IF(CD$24=#REF!,Milestone_Marker,IF(AND(CD$24&gt;#REF!,CD$24&lt;#REF!+#REF!),#REF!,"")),"")</f>
        <v/>
      </c>
      <c r="CE79" s="35" t="str">
        <f ca="1">IFERROR(+IF(CE$24=#REF!,Milestone_Marker,IF(AND(CE$24&gt;#REF!,CE$24&lt;#REF!+#REF!),#REF!,"")),"")</f>
        <v/>
      </c>
      <c r="CF79" s="35" t="str">
        <f ca="1">IFERROR(+IF(CF$24=#REF!,Milestone_Marker,IF(AND(CF$24&gt;#REF!,CF$24&lt;#REF!+#REF!),#REF!,"")),"")</f>
        <v/>
      </c>
      <c r="CG79" s="35" t="str">
        <f ca="1">IFERROR(+IF(CG$24=#REF!,Milestone_Marker,IF(AND(CG$24&gt;#REF!,CG$24&lt;#REF!+#REF!),#REF!,"")),"")</f>
        <v/>
      </c>
      <c r="CH79" s="35" t="str">
        <f ca="1">IFERROR(+IF(CH$24=#REF!,Milestone_Marker,IF(AND(CH$24&gt;#REF!,CH$24&lt;#REF!+#REF!),#REF!,"")),"")</f>
        <v/>
      </c>
      <c r="CI79" s="35" t="str">
        <f ca="1">IFERROR(+IF(CI$24=#REF!,Milestone_Marker,IF(AND(CI$24&gt;#REF!,CI$24&lt;#REF!+#REF!),#REF!,"")),"")</f>
        <v/>
      </c>
      <c r="CJ79" s="35" t="str">
        <f ca="1">IFERROR(+IF(CJ$24=#REF!,Milestone_Marker,IF(AND(CJ$24&gt;#REF!,CJ$24&lt;#REF!+#REF!),#REF!,"")),"")</f>
        <v/>
      </c>
      <c r="CK79" s="35" t="str">
        <f ca="1">IFERROR(+IF(CK$24=#REF!,Milestone_Marker,IF(AND(CK$24&gt;#REF!,CK$24&lt;#REF!+#REF!),#REF!,"")),"")</f>
        <v/>
      </c>
      <c r="CL79" s="35" t="str">
        <f ca="1">IFERROR(+IF(CL$24=#REF!,Milestone_Marker,IF(AND(CL$24&gt;#REF!,CL$24&lt;#REF!+#REF!),#REF!,"")),"")</f>
        <v/>
      </c>
      <c r="CM79" s="35" t="str">
        <f ca="1">IFERROR(+IF(CM$24=#REF!,Milestone_Marker,IF(AND(CM$24&gt;#REF!,CM$24&lt;#REF!+#REF!),#REF!,"")),"")</f>
        <v/>
      </c>
      <c r="CN79" s="35" t="str">
        <f ca="1">IFERROR(+IF(CN$24=#REF!,Milestone_Marker,IF(AND(CN$24&gt;#REF!,CN$24&lt;#REF!+#REF!),#REF!,"")),"")</f>
        <v/>
      </c>
      <c r="CO79" s="35" t="str">
        <f ca="1">IFERROR(+IF(CO$24=#REF!,Milestone_Marker,IF(AND(CO$24&gt;#REF!,CO$24&lt;#REF!+#REF!),#REF!,"")),"")</f>
        <v/>
      </c>
      <c r="CP79" s="35" t="str">
        <f ca="1">IFERROR(+IF(CP$24=#REF!,Milestone_Marker,IF(AND(CP$24&gt;#REF!,CP$24&lt;#REF!+#REF!),#REF!,"")),"")</f>
        <v/>
      </c>
      <c r="CQ79" s="35" t="str">
        <f ca="1">IFERROR(+IF(CQ$24=#REF!,Milestone_Marker,IF(AND(CQ$24&gt;#REF!,CQ$24&lt;#REF!+#REF!),#REF!,"")),"")</f>
        <v/>
      </c>
      <c r="CR79" s="35" t="str">
        <f ca="1">IFERROR(+IF(CR$24=#REF!,Milestone_Marker,IF(AND(CR$24&gt;#REF!,CR$24&lt;#REF!+#REF!),#REF!,"")),"")</f>
        <v/>
      </c>
      <c r="CS79" s="35" t="str">
        <f ca="1">IFERROR(+IF(CS$24=#REF!,Milestone_Marker,IF(AND(CS$24&gt;#REF!,CS$24&lt;#REF!+#REF!),#REF!,"")),"")</f>
        <v/>
      </c>
      <c r="CT79" s="35" t="str">
        <f ca="1">IFERROR(+IF(CT$24=#REF!,Milestone_Marker,IF(AND(CT$24&gt;#REF!,CT$24&lt;#REF!+#REF!),#REF!,"")),"")</f>
        <v/>
      </c>
      <c r="CU79" s="35" t="str">
        <f ca="1">IFERROR(+IF(CU$24=#REF!,Milestone_Marker,IF(AND(CU$24&gt;#REF!,CU$24&lt;#REF!+#REF!),#REF!,"")),"")</f>
        <v/>
      </c>
      <c r="CV79" s="35" t="str">
        <f ca="1">IFERROR(+IF(CV$24=#REF!,Milestone_Marker,IF(AND(CV$24&gt;#REF!,CV$24&lt;#REF!+#REF!),#REF!,"")),"")</f>
        <v/>
      </c>
      <c r="CW79" s="35" t="str">
        <f ca="1">IFERROR(+IF(CW$24=#REF!,Milestone_Marker,IF(AND(CW$24&gt;#REF!,CW$24&lt;#REF!+#REF!),#REF!,"")),"")</f>
        <v/>
      </c>
      <c r="CX79" s="35" t="str">
        <f ca="1">IFERROR(+IF(CX$24=#REF!,Milestone_Marker,IF(AND(CX$24&gt;#REF!,CX$24&lt;#REF!+#REF!),#REF!,"")),"")</f>
        <v/>
      </c>
      <c r="CY79" s="35" t="str">
        <f ca="1">IFERROR(+IF(CY$24=#REF!,Milestone_Marker,IF(AND(CY$24&gt;#REF!,CY$24&lt;#REF!+#REF!),#REF!,"")),"")</f>
        <v/>
      </c>
      <c r="CZ79" s="35" t="str">
        <f ca="1">IFERROR(+IF(CZ$24=#REF!,Milestone_Marker,IF(AND(CZ$24&gt;#REF!,CZ$24&lt;#REF!+#REF!),#REF!,"")),"")</f>
        <v/>
      </c>
      <c r="DA79" s="35" t="str">
        <f ca="1">IFERROR(+IF(DA$24=#REF!,Milestone_Marker,IF(AND(DA$24&gt;#REF!,DA$24&lt;#REF!+#REF!),#REF!,"")),"")</f>
        <v/>
      </c>
      <c r="DB79" s="35" t="str">
        <f ca="1">IFERROR(+IF(DB$24=#REF!,Milestone_Marker,IF(AND(DB$24&gt;#REF!,DB$24&lt;#REF!+#REF!),#REF!,"")),"")</f>
        <v/>
      </c>
      <c r="DC79" s="35" t="str">
        <f ca="1">IFERROR(+IF(DC$24=#REF!,Milestone_Marker,IF(AND(DC$24&gt;#REF!,DC$24&lt;#REF!+#REF!),#REF!,"")),"")</f>
        <v/>
      </c>
      <c r="DD79" s="35" t="str">
        <f ca="1">IFERROR(+IF(DD$24=#REF!,Milestone_Marker,IF(AND(DD$24&gt;#REF!,DD$24&lt;#REF!+#REF!),#REF!,"")),"")</f>
        <v/>
      </c>
      <c r="DE79" s="35" t="str">
        <f ca="1">IFERROR(+IF(DE$24=#REF!,Milestone_Marker,IF(AND(DE$24&gt;#REF!,DE$24&lt;#REF!+#REF!),#REF!,"")),"")</f>
        <v/>
      </c>
      <c r="DF79" s="35" t="str">
        <f ca="1">IFERROR(+IF(DD$24=#REF!,Milestone_Marker,IF(AND(DD$24&gt;#REF!,DD$24&lt;=#REF!+#REF!),#REF!,"")),"")</f>
        <v/>
      </c>
      <c r="DG79" s="35" t="str">
        <f ca="1">IFERROR(+IF(DE$24=#REF!,Milestone_Marker,IF(AND(DE$24&gt;#REF!,DE$24&lt;=#REF!+#REF!),#REF!,"")),"")</f>
        <v/>
      </c>
    </row>
    <row r="80" spans="1:135" ht="30">
      <c r="A80" t="s">
        <v>519</v>
      </c>
      <c r="B80" t="s">
        <v>608</v>
      </c>
      <c r="C80" t="s">
        <v>591</v>
      </c>
      <c r="D80" s="458" t="s">
        <v>619</v>
      </c>
      <c r="E80" s="458">
        <v>1</v>
      </c>
      <c r="F80">
        <v>7540</v>
      </c>
      <c r="G80">
        <v>7540</v>
      </c>
      <c r="H80">
        <v>157</v>
      </c>
      <c r="I80"/>
      <c r="J80">
        <v>56</v>
      </c>
      <c r="K80" s="107"/>
      <c r="L80" s="463">
        <v>56</v>
      </c>
      <c r="M80" s="176">
        <v>1</v>
      </c>
      <c r="N80" s="160">
        <v>0</v>
      </c>
      <c r="O80" s="546" cm="1">
        <f t="array" ref="O8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45999</v>
      </c>
      <c r="P80" s="566" t="s">
        <v>797</v>
      </c>
      <c r="Q80" s="566">
        <v>0</v>
      </c>
      <c r="R80" s="22"/>
      <c r="S80" s="463" cm="1">
        <f t="array" ref="S8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80">
        <v>1</v>
      </c>
      <c r="U80" s="176"/>
      <c r="V8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75.020299999999992</v>
      </c>
      <c r="W80" s="497"/>
      <c r="X80" s="176" t="s">
        <v>852</v>
      </c>
      <c r="Y80" s="547" t="s">
        <v>870</v>
      </c>
      <c r="Z80" s="160" t="s">
        <v>458</v>
      </c>
      <c r="AA80" s="563">
        <v>102000</v>
      </c>
      <c r="AB80" cm="1">
        <f t="array" ref="AB80">ROW()-ROW(Contract_Edits[#Headers])</f>
        <v>56</v>
      </c>
      <c r="AC80">
        <f>IF(Contract_Edits[[#This Row],[RowPos]]&gt;1, Contract_Edits[[#This Row],[RowPos]]-1, 0)</f>
        <v>55</v>
      </c>
      <c r="AD80" s="35">
        <f>IF(N(Contract_Edits[[#This Row],[Dep]])=0, N(Contract_Edits[[#This Row],[Index]]), N(Contract_Edits[[#This Row],[Dep]]))</f>
        <v>157</v>
      </c>
      <c r="AE80" s="35" cm="1">
        <f t="array" ref="AE80">IF(OR(Contract_Edits[[#This Row],[Dep]]=0, TRIM(Contract_Edits[[#This Row],[Dep]])=""),
   0,
   IFERROR(
      _xlfn.XLOOKUP(1, (Contract_Edits[Dep]=Contract_Edits[[#This Row],[Dep]])*(Contract_Edits[RowPos]&lt;Contract_Edits[[#This Row],[RowPos]]), Contract_Edits[RowPos], , 0, -1),
      0
   )
)</f>
        <v>55</v>
      </c>
      <c r="AF80" s="35">
        <f>IF(OR(Contract_Edits[[#This Row],[Dep]]=0,Contract_Edits[[#This Row],[Dep]]=""),0,
   COUNTIFS(Contract_Edits[Dep],Contract_Edits[[#This Row],[Dep]],Contract_Edits[RowPos],"&lt;="&amp;Contract_Edits[[#This Row],[RowPos]],Contract_Edits[Approve],"Yes")
)</f>
        <v>3</v>
      </c>
      <c r="AG80" s="517">
        <f>--(
  ISNUMBER(SEARCH("BASE PARENT", UPPER(CLEAN(TRIM(_xlfn.XLOOKUP(TEXT(Contract_Edits[[#This Row],[Index]],"0"), baseIdxTxt, baseCost, "")))))) +
  ISNUMBER(SEARCH("DEPENDENCY GROUP", UPPER(CLEAN(TRIM(_xlfn.XLOOKUP(TEXT(Contract_Edits[[#This Row],[Index]],"0"), baseIdxTxt, baseCost, ""))))))
)</f>
        <v>0</v>
      </c>
      <c r="AH80" s="517" t="str" cm="1">
        <f t="array" ref="AH80">IF(Contract_Edits[[#This Row],[BaseFlag]]=1,
   10*BaseDepthL(TEXT(Contract_Edits[[#This Row],[Index]],"0"),500,editsIdxTxt,editsParentKeyTxt,baseIdxTxt,baseCost)-5,
   ""
)</f>
        <v/>
      </c>
      <c r="AI80" s="517" cm="1">
        <f t="array" ref="AI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0" s="517" t="str">
        <f>IF(Contract_Edits[[#This Row],[Dep]]=0,"Root",
   IF(ISNUMBER(MATCH(Contract_Edits[[#This Row],[Dep]],Contract_Edits[Index],0)),"OK","Missing")
)</f>
        <v>OK</v>
      </c>
      <c r="AK80" s="517" t="str">
        <f>IF(AND(Contract_Edits[[#This Row],[Dep]]&lt;&gt;0,
        ISNUMBER(MATCH(Contract_Edits[[#This Row],[Dep]], Contract_Edits[Index], 0)),
        INDEX(Contract_Edits[Dep], MATCH(Contract_Edits[[#This Row],[Dep]], Contract_Edits[Index], 0))=Contract_Edits[[#This Row],[Index]]),
   "2-cycle","")</f>
        <v/>
      </c>
      <c r="AL80" s="517" cm="1">
        <f t="array" ref="AL80">IF(Contract_Edits[[#This Row],[BaseFlag]]&lt;&gt;1,0,
   IF(TEXT(Contract_Edits[[#This Row],[Dep]],"0")=TEXT(Contract_Edits[[#This Row],[Index]],"0"),
      0,
      MAX(0, SUMPRODUCT(--(Contract_Edits[BaseFlag]=1),
                        --(TEXT(Contract_Edits[Dep],"0")=TEXT(Contract_Edits[[#This Row],[Dep]],"0"))) - 1)
   )
)</f>
        <v>0</v>
      </c>
      <c r="AM80" s="517" t="str" cm="1">
        <f t="array" ref="AM80">IF(Contract_Edits[[#This Row],[BaseFlag]]=1,
   TEXT(Contract_Edits[[#This Row],[Index]],"0"),
   NearestBaseL(TEXT(Contract_Edits[[#This Row],[ParentKey]],"0"),500,editsIdxTxt,editsParentKeyTxt,baseIdxTxt,baseCost)
)</f>
        <v>157</v>
      </c>
      <c r="AN80" s="517" cm="1">
        <f t="array" ref="AN80">1+SUMPRODUCT(
  (Contract_Edits[BaseFlag]=1)*
  (TEXT(Contract_Edits[ParentAnchor],"0")=TEXT(Contract_Edits[[#This Row],[ParentAnchor]],"0"))*
  (VALUE(TEXT(Contract_Edits[Index],"0"))&lt;VALUE(TEXT(Contract_Edits[[#This Row],[Index]],"0")))
)</f>
        <v>1</v>
      </c>
      <c r="AO80" s="35"/>
      <c r="AP80" s="35" t="str">
        <f ca="1">IFERROR(+IF(AP$24=#REF!,Milestone_Marker,IF(AND(AP$24&gt;#REF!,AP$24&lt;#REF!+#REF!),#REF!,"")),"")</f>
        <v/>
      </c>
      <c r="AQ80" s="35" t="str">
        <f ca="1">IFERROR(+IF(AQ$24=#REF!,Milestone_Marker,IF(AND(AQ$24&gt;#REF!,AQ$24&lt;#REF!+#REF!),#REF!,"")),"")</f>
        <v/>
      </c>
      <c r="AR80" s="35" t="str">
        <f ca="1">IFERROR(+IF(AS$24=#REF!,Milestone_Marker,IF(AND(AS$24&gt;#REF!,AS$24&lt;=#REF!+#REF!),#REF!,"")),"")</f>
        <v/>
      </c>
      <c r="AS80" s="35" t="str">
        <f ca="1">IFERROR(+IF(AT$24=#REF!,Milestone_Marker,IF(AND(AT$24&gt;#REF!,AT$24&lt;=#REF!+#REF!),#REF!,"")),"")</f>
        <v/>
      </c>
      <c r="AT80" s="35" t="str">
        <f ca="1">IFERROR(+IF(AU$24=#REF!,Milestone_Marker,IF(AND(AU$24&gt;#REF!,AU$24&lt;=#REF!+#REF!),#REF!,"")),"")</f>
        <v/>
      </c>
      <c r="AU80" s="35" t="str">
        <f ca="1">IFERROR(+IF(AV$24=#REF!,Milestone_Marker,IF(AND(AV$24&gt;#REF!,AV$24&lt;=#REF!+#REF!),#REF!,"")),"")</f>
        <v/>
      </c>
      <c r="AV80" s="35" t="str">
        <f ca="1">IFERROR(+IF(AW$24=#REF!,Milestone_Marker,IF(AND(AW$24&gt;#REF!,AW$24&lt;=#REF!+#REF!),#REF!,"")),"")</f>
        <v/>
      </c>
      <c r="AW80" s="35" t="str">
        <f ca="1">IFERROR(+IF(AX$24=#REF!,Milestone_Marker,IF(AND(AX$24&gt;#REF!,AX$24&lt;=#REF!+#REF!),#REF!,"")),"")</f>
        <v/>
      </c>
      <c r="AX80" s="35" t="str">
        <f ca="1">IFERROR(+IF(AY$24=#REF!,Milestone_Marker,IF(AND(AY$24&gt;#REF!,AY$24&lt;=#REF!+#REF!),#REF!,"")),"")</f>
        <v/>
      </c>
      <c r="AY80" s="35" t="str">
        <f ca="1">IFERROR(+IF(AZ$24=#REF!,Milestone_Marker,IF(AND(AZ$24&gt;#REF!,AZ$24&lt;=#REF!+#REF!),#REF!,"")),"")</f>
        <v/>
      </c>
      <c r="AZ80" s="35" t="str">
        <f ca="1">IFERROR(+IF(BA$24=#REF!,Milestone_Marker,IF(AND(BA$24&gt;#REF!,BA$24&lt;=#REF!+#REF!),#REF!,"")),"")</f>
        <v/>
      </c>
      <c r="BA80" s="35" t="str">
        <f ca="1">IFERROR(+IF(BB$24=#REF!,Milestone_Marker,IF(AND(BB$24&gt;#REF!,BB$24&lt;=#REF!+#REF!),#REF!,"")),"")</f>
        <v/>
      </c>
      <c r="BB80" s="35" t="str">
        <f ca="1">IFERROR(+IF(BC$24=#REF!,Milestone_Marker,IF(AND(BC$24&gt;#REF!,BC$24&lt;=#REF!+#REF!),#REF!,"")),"")</f>
        <v/>
      </c>
      <c r="BC80" s="35" t="str">
        <f ca="1">IFERROR(+IF(BD$24=#REF!,Milestone_Marker,IF(AND(BD$24&gt;#REF!,BD$24&lt;=#REF!+#REF!),#REF!,"")),"")</f>
        <v/>
      </c>
      <c r="BD80" s="35" t="str">
        <f ca="1">IFERROR(+IF(BE$24=#REF!,Milestone_Marker,IF(AND(BE$24&gt;#REF!,BE$24&lt;=#REF!+#REF!),#REF!,"")),"")</f>
        <v/>
      </c>
      <c r="BE80" s="35" t="str">
        <f ca="1">IFERROR(+IF(BF$24=#REF!,Milestone_Marker,IF(AND(BF$24&gt;#REF!,BF$24&lt;=#REF!+#REF!),#REF!,"")),"")</f>
        <v/>
      </c>
      <c r="BF80" s="35" t="str">
        <f ca="1">IFERROR(+IF(BG$24=#REF!,Milestone_Marker,IF(AND(BG$24&gt;#REF!,BG$24&lt;=#REF!+#REF!),#REF!,"")),"")</f>
        <v/>
      </c>
      <c r="BG80" s="35" t="str">
        <f ca="1">IFERROR(+IF(BH$24=#REF!,Milestone_Marker,IF(AND(BH$24&gt;#REF!,BH$24&lt;=#REF!+#REF!),#REF!,"")),"")</f>
        <v/>
      </c>
      <c r="BH80" s="35" t="str">
        <f ca="1">IFERROR(+IF(BI$24=#REF!,Milestone_Marker,IF(AND(BI$24&gt;#REF!,BI$24&lt;=#REF!+#REF!),#REF!,"")),"")</f>
        <v/>
      </c>
      <c r="BI80" s="35" t="str">
        <f ca="1">IFERROR(+IF(BJ$24=#REF!,Milestone_Marker,IF(AND(BJ$24&gt;#REF!,BJ$24&lt;=#REF!+#REF!),#REF!,"")),"")</f>
        <v/>
      </c>
      <c r="BJ80" s="35" t="str">
        <f ca="1">IFERROR(+IF(BK$24=#REF!,Milestone_Marker,IF(AND(BK$24&gt;#REF!,BK$24&lt;=#REF!+#REF!),#REF!,"")),"")</f>
        <v/>
      </c>
      <c r="BK80" s="35" t="str">
        <f ca="1">IFERROR(+IF(BL$24=#REF!,Milestone_Marker,IF(AND(BL$24&gt;#REF!,BL$24&lt;=#REF!+#REF!),#REF!,"")),"")</f>
        <v/>
      </c>
      <c r="BL80" s="35" t="str">
        <f ca="1">IFERROR(+IF(BM$24=#REF!,Milestone_Marker,IF(AND(BM$24&gt;#REF!,BM$24&lt;=#REF!+#REF!),#REF!,"")),"")</f>
        <v/>
      </c>
      <c r="BM80" s="35" t="str">
        <f ca="1">IFERROR(+IF(BN$24=#REF!,Milestone_Marker,IF(AND(BN$24&gt;#REF!,BN$24&lt;=#REF!+#REF!),#REF!,"")),"")</f>
        <v/>
      </c>
      <c r="BN80" s="35" t="str">
        <f ca="1">IFERROR(+IF(BO$24=#REF!,Milestone_Marker,IF(AND(BO$24&gt;#REF!,BO$24&lt;=#REF!+#REF!),#REF!,"")),"")</f>
        <v/>
      </c>
      <c r="BO80" s="35" t="str">
        <f ca="1">IFERROR(+IF(BP$24=#REF!,Milestone_Marker,IF(AND(BP$24&gt;#REF!,BP$24&lt;=#REF!+#REF!),#REF!,"")),"")</f>
        <v/>
      </c>
      <c r="BP80" s="35" t="str">
        <f ca="1">IFERROR(+IF(BQ$24=#REF!,Milestone_Marker,IF(AND(BQ$24&gt;#REF!,BQ$24&lt;=#REF!+#REF!),#REF!,"")),"")</f>
        <v/>
      </c>
      <c r="BQ80" s="35" t="str">
        <f ca="1">IFERROR(+IF(BR$24=#REF!,Milestone_Marker,IF(AND(BR$24&gt;#REF!,BR$24&lt;=#REF!+#REF!),#REF!,"")),"")</f>
        <v/>
      </c>
      <c r="BR80" s="35" t="str">
        <f ca="1">IFERROR(+IF(BS$24=#REF!,Milestone_Marker,IF(AND(BS$24&gt;#REF!,BS$24&lt;=#REF!+#REF!),#REF!,"")),"")</f>
        <v/>
      </c>
      <c r="BS80" s="35" t="str">
        <f ca="1">IFERROR(+IF(BT$24=#REF!,Milestone_Marker,IF(AND(BT$24&gt;#REF!,BT$24&lt;=#REF!+#REF!),#REF!,"")),"")</f>
        <v/>
      </c>
      <c r="BT80" s="35" t="str">
        <f ca="1">IFERROR(+IF(BU$24=#REF!,Milestone_Marker,IF(AND(BU$24&gt;#REF!,BU$24&lt;=#REF!+#REF!),#REF!,"")),"")</f>
        <v/>
      </c>
      <c r="BU80" s="35" t="str">
        <f ca="1">IFERROR(+IF(BV$24=#REF!,Milestone_Marker,IF(AND(BV$24&gt;#REF!,BV$24&lt;=#REF!+#REF!),#REF!,"")),"")</f>
        <v/>
      </c>
      <c r="BV80" s="35" t="str">
        <f ca="1">IFERROR(+IF(BW$24=#REF!,Milestone_Marker,IF(AND(BW$24&gt;#REF!,BW$24&lt;=#REF!+#REF!),#REF!,"")),"")</f>
        <v/>
      </c>
      <c r="BW80" s="35" t="str">
        <f ca="1">IFERROR(+IF(BX$24=#REF!,Milestone_Marker,IF(AND(BX$24&gt;#REF!,BX$24&lt;=#REF!+#REF!),#REF!,"")),"")</f>
        <v/>
      </c>
      <c r="BX80" s="35" t="str">
        <f ca="1">IFERROR(+IF(BY$24=#REF!,Milestone_Marker,IF(AND(BY$24&gt;#REF!,BY$24&lt;=#REF!+#REF!),#REF!,"")),"")</f>
        <v/>
      </c>
      <c r="BY80" s="35" t="str">
        <f ca="1">IFERROR(+IF(BZ$24=#REF!,Milestone_Marker,IF(AND(BZ$24&gt;#REF!,BZ$24&lt;=#REF!+#REF!),#REF!,"")),"")</f>
        <v/>
      </c>
      <c r="BZ80" s="35" t="str">
        <f ca="1">IFERROR(+IF(CA$24=#REF!,Milestone_Marker,IF(AND(CA$24&gt;#REF!,CA$24&lt;=#REF!+#REF!),#REF!,"")),"")</f>
        <v/>
      </c>
      <c r="CA80" s="35" t="str">
        <f ca="1">IFERROR(+IF(CB$24=#REF!,Milestone_Marker,IF(AND(CB$24&gt;#REF!,CB$24&lt;=#REF!+#REF!),#REF!,"")),"")</f>
        <v/>
      </c>
      <c r="CB80" s="35" t="str">
        <f ca="1">IFERROR(+IF(CC$24=#REF!,Milestone_Marker,IF(AND(CC$24&gt;#REF!,CC$24&lt;=#REF!+#REF!),#REF!,"")),"")</f>
        <v/>
      </c>
      <c r="CC80" s="35" t="str">
        <f ca="1">IFERROR(+IF(CD$24=#REF!,Milestone_Marker,IF(AND(CD$24&gt;#REF!,CD$24&lt;=#REF!+#REF!),#REF!,"")),"")</f>
        <v/>
      </c>
      <c r="CD80" s="35" t="str">
        <f ca="1">IFERROR(+IF(CE$24=#REF!,Milestone_Marker,IF(AND(CE$24&gt;#REF!,CE$24&lt;=#REF!+#REF!),#REF!,"")),"")</f>
        <v/>
      </c>
      <c r="CE80" s="35" t="str">
        <f ca="1">IFERROR(+IF(CF$24=#REF!,Milestone_Marker,IF(AND(CF$24&gt;#REF!,CF$24&lt;=#REF!+#REF!),#REF!,"")),"")</f>
        <v/>
      </c>
      <c r="CF80" s="35" t="str">
        <f ca="1">IFERROR(+IF(CG$24=#REF!,Milestone_Marker,IF(AND(CG$24&gt;#REF!,CG$24&lt;=#REF!+#REF!),#REF!,"")),"")</f>
        <v/>
      </c>
      <c r="CG80" s="35" t="str">
        <f ca="1">IFERROR(+IF(CH$24=#REF!,Milestone_Marker,IF(AND(CH$24&gt;#REF!,CH$24&lt;=#REF!+#REF!),#REF!,"")),"")</f>
        <v/>
      </c>
      <c r="CH80" s="35" t="str">
        <f ca="1">IFERROR(+IF(CI$24=#REF!,Milestone_Marker,IF(AND(CI$24&gt;#REF!,CI$24&lt;=#REF!+#REF!),#REF!,"")),"")</f>
        <v/>
      </c>
      <c r="CI80" s="35" t="str">
        <f ca="1">IFERROR(+IF(CJ$24=#REF!,Milestone_Marker,IF(AND(CJ$24&gt;#REF!,CJ$24&lt;=#REF!+#REF!),#REF!,"")),"")</f>
        <v/>
      </c>
      <c r="CJ80" s="35" t="str">
        <f ca="1">IFERROR(+IF(CK$24=#REF!,Milestone_Marker,IF(AND(CK$24&gt;#REF!,CK$24&lt;=#REF!+#REF!),#REF!,"")),"")</f>
        <v/>
      </c>
      <c r="CK80" s="35" t="str">
        <f ca="1">IFERROR(+IF(CL$24=#REF!,Milestone_Marker,IF(AND(CL$24&gt;#REF!,CL$24&lt;=#REF!+#REF!),#REF!,"")),"")</f>
        <v/>
      </c>
      <c r="CL80" s="35" t="str">
        <f ca="1">IFERROR(+IF(CM$24=#REF!,Milestone_Marker,IF(AND(CM$24&gt;#REF!,CM$24&lt;=#REF!+#REF!),#REF!,"")),"")</f>
        <v/>
      </c>
      <c r="CM80" s="35" t="str">
        <f ca="1">IFERROR(+IF(CN$24=#REF!,Milestone_Marker,IF(AND(CN$24&gt;#REF!,CN$24&lt;=#REF!+#REF!),#REF!,"")),"")</f>
        <v/>
      </c>
      <c r="CN80" s="35" t="str">
        <f ca="1">IFERROR(+IF(CO$24=#REF!,Milestone_Marker,IF(AND(CO$24&gt;#REF!,CO$24&lt;=#REF!+#REF!),#REF!,"")),"")</f>
        <v/>
      </c>
      <c r="CO80" s="35" t="str">
        <f ca="1">IFERROR(+IF(CP$24=#REF!,Milestone_Marker,IF(AND(CP$24&gt;#REF!,CP$24&lt;=#REF!+#REF!),#REF!,"")),"")</f>
        <v/>
      </c>
      <c r="CP80" s="35" t="str">
        <f ca="1">IFERROR(+IF(CQ$24=#REF!,Milestone_Marker,IF(AND(CQ$24&gt;#REF!,CQ$24&lt;=#REF!+#REF!),#REF!,"")),"")</f>
        <v/>
      </c>
      <c r="CQ80" s="35" t="str">
        <f ca="1">IFERROR(+IF(CR$24=#REF!,Milestone_Marker,IF(AND(CR$24&gt;#REF!,CR$24&lt;=#REF!+#REF!),#REF!,"")),"")</f>
        <v/>
      </c>
      <c r="CR80" s="35" t="str">
        <f ca="1">IFERROR(+IF(CS$24=#REF!,Milestone_Marker,IF(AND(CS$24&gt;#REF!,CS$24&lt;=#REF!+#REF!),#REF!,"")),"")</f>
        <v/>
      </c>
      <c r="CS80" s="35" t="str">
        <f ca="1">IFERROR(+IF(CT$24=#REF!,Milestone_Marker,IF(AND(CT$24&gt;#REF!,CT$24&lt;=#REF!+#REF!),#REF!,"")),"")</f>
        <v/>
      </c>
      <c r="CT80" s="35" t="str">
        <f ca="1">IFERROR(+IF(CU$24=#REF!,Milestone_Marker,IF(AND(CU$24&gt;#REF!,CU$24&lt;=#REF!+#REF!),#REF!,"")),"")</f>
        <v/>
      </c>
      <c r="CU80" s="35" t="str">
        <f ca="1">IFERROR(+IF(CV$24=#REF!,Milestone_Marker,IF(AND(CV$24&gt;#REF!,CV$24&lt;=#REF!+#REF!),#REF!,"")),"")</f>
        <v/>
      </c>
      <c r="CV80" s="35" t="str">
        <f ca="1">IFERROR(+IF(CW$24=#REF!,Milestone_Marker,IF(AND(CW$24&gt;#REF!,CW$24&lt;=#REF!+#REF!),#REF!,"")),"")</f>
        <v/>
      </c>
      <c r="CW80" s="35" t="str">
        <f ca="1">IFERROR(+IF(CX$24=#REF!,Milestone_Marker,IF(AND(CX$24&gt;#REF!,CX$24&lt;=#REF!+#REF!),#REF!,"")),"")</f>
        <v/>
      </c>
      <c r="CX80" s="35" t="str">
        <f ca="1">IFERROR(+IF(CY$24=#REF!,Milestone_Marker,IF(AND(CY$24&gt;#REF!,CY$24&lt;=#REF!+#REF!),#REF!,"")),"")</f>
        <v/>
      </c>
      <c r="CY80" s="35" t="str">
        <f ca="1">IFERROR(+IF(CZ$24=#REF!,Milestone_Marker,IF(AND(CZ$24&gt;#REF!,CZ$24&lt;=#REF!+#REF!),#REF!,"")),"")</f>
        <v/>
      </c>
      <c r="CZ80" s="35" t="str">
        <f ca="1">IFERROR(+IF(DA$24=#REF!,Milestone_Marker,IF(AND(DA$24&gt;#REF!,DA$24&lt;=#REF!+#REF!),#REF!,"")),"")</f>
        <v/>
      </c>
      <c r="DA80" s="35" t="str">
        <f ca="1">IFERROR(+IF(DB$24=#REF!,Milestone_Marker,IF(AND(DB$24&gt;#REF!,DB$24&lt;=#REF!+#REF!),#REF!,"")),"")</f>
        <v/>
      </c>
      <c r="DB80" s="35" t="str">
        <f ca="1">IFERROR(+IF(DC$24=#REF!,Milestone_Marker,IF(AND(DC$24&gt;#REF!,DC$24&lt;=#REF!+#REF!),#REF!,"")),"")</f>
        <v/>
      </c>
      <c r="DC80" s="35" t="str">
        <f ca="1">IFERROR(+IF(DD$24=#REF!,Milestone_Marker,IF(AND(DD$24&gt;#REF!,DD$24&lt;=#REF!+#REF!),#REF!,"")),"")</f>
        <v/>
      </c>
      <c r="DD80" s="35" t="str">
        <f ca="1">IFERROR(+IF(DE$24=#REF!,Milestone_Marker,IF(AND(DE$24&gt;#REF!,DE$24&lt;=#REF!+#REF!),#REF!,"")),"")</f>
        <v/>
      </c>
    </row>
    <row r="81" spans="1:108" ht="15">
      <c r="A81" t="s">
        <v>519</v>
      </c>
      <c r="B81" t="s">
        <v>555</v>
      </c>
      <c r="C81" t="s">
        <v>568</v>
      </c>
      <c r="D81" s="458" t="s">
        <v>569</v>
      </c>
      <c r="E81" s="458">
        <v>1</v>
      </c>
      <c r="F81">
        <v>507.5</v>
      </c>
      <c r="G81">
        <v>507.5</v>
      </c>
      <c r="H81">
        <v>157</v>
      </c>
      <c r="I81"/>
      <c r="J81">
        <v>26</v>
      </c>
      <c r="K81" s="107"/>
      <c r="L81" s="463">
        <v>26</v>
      </c>
      <c r="M81" s="176">
        <v>0</v>
      </c>
      <c r="N81" s="160">
        <v>0</v>
      </c>
      <c r="O81" s="546" cm="1">
        <f t="array" ref="O8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46000</v>
      </c>
      <c r="P81" s="566" t="s">
        <v>797</v>
      </c>
      <c r="Q81" s="566">
        <v>0</v>
      </c>
      <c r="R81" s="22"/>
      <c r="S81" s="463" cm="1">
        <f t="array" ref="S8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81">
        <v>1</v>
      </c>
      <c r="U81" s="176"/>
      <c r="V8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75.020399999999995</v>
      </c>
      <c r="W81" s="497"/>
      <c r="X81" s="176" t="s">
        <v>871</v>
      </c>
      <c r="Y81" s="547" t="s">
        <v>870</v>
      </c>
      <c r="Z81" s="160" t="s">
        <v>458</v>
      </c>
      <c r="AA81" s="563">
        <v>102000</v>
      </c>
      <c r="AB81" cm="1">
        <f t="array" ref="AB81">ROW()-ROW(Contract_Edits[#Headers])</f>
        <v>57</v>
      </c>
      <c r="AC81">
        <f>IF(Contract_Edits[[#This Row],[RowPos]]&gt;1, Contract_Edits[[#This Row],[RowPos]]-1, 0)</f>
        <v>56</v>
      </c>
      <c r="AD81" s="35">
        <f>IF(N(Contract_Edits[[#This Row],[Dep]])=0, N(Contract_Edits[[#This Row],[Index]]), N(Contract_Edits[[#This Row],[Dep]]))</f>
        <v>157</v>
      </c>
      <c r="AE81" s="35" cm="1">
        <f t="array" ref="AE81">IF(OR(Contract_Edits[[#This Row],[Dep]]=0, TRIM(Contract_Edits[[#This Row],[Dep]])=""),
   0,
   IFERROR(
      _xlfn.XLOOKUP(1, (Contract_Edits[Dep]=Contract_Edits[[#This Row],[Dep]])*(Contract_Edits[RowPos]&lt;Contract_Edits[[#This Row],[RowPos]]), Contract_Edits[RowPos], , 0, -1),
      0
   )
)</f>
        <v>56</v>
      </c>
      <c r="AF81" s="35">
        <f>IF(OR(Contract_Edits[[#This Row],[Dep]]=0,Contract_Edits[[#This Row],[Dep]]=""),0,
   COUNTIFS(Contract_Edits[Dep],Contract_Edits[[#This Row],[Dep]],Contract_Edits[RowPos],"&lt;="&amp;Contract_Edits[[#This Row],[RowPos]],Contract_Edits[Approve],"Yes")
)</f>
        <v>4</v>
      </c>
      <c r="AG81" s="517">
        <f>--(
  ISNUMBER(SEARCH("BASE PARENT", UPPER(CLEAN(TRIM(_xlfn.XLOOKUP(TEXT(Contract_Edits[[#This Row],[Index]],"0"), baseIdxTxt, baseCost, "")))))) +
  ISNUMBER(SEARCH("DEPENDENCY GROUP", UPPER(CLEAN(TRIM(_xlfn.XLOOKUP(TEXT(Contract_Edits[[#This Row],[Index]],"0"), baseIdxTxt, baseCost, ""))))))
)</f>
        <v>0</v>
      </c>
      <c r="AH81" s="517" t="str" cm="1">
        <f t="array" ref="AH81">IF(Contract_Edits[[#This Row],[BaseFlag]]=1,
   10*BaseDepthL(TEXT(Contract_Edits[[#This Row],[Index]],"0"),500,editsIdxTxt,editsParentKeyTxt,baseIdxTxt,baseCost)-5,
   ""
)</f>
        <v/>
      </c>
      <c r="AI81" s="517" cm="1">
        <f t="array" ref="AI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1" s="517" t="str">
        <f>IF(Contract_Edits[[#This Row],[Dep]]=0,"Root",
   IF(ISNUMBER(MATCH(Contract_Edits[[#This Row],[Dep]],Contract_Edits[Index],0)),"OK","Missing")
)</f>
        <v>OK</v>
      </c>
      <c r="AK81" s="517" t="str">
        <f>IF(AND(Contract_Edits[[#This Row],[Dep]]&lt;&gt;0,
        ISNUMBER(MATCH(Contract_Edits[[#This Row],[Dep]], Contract_Edits[Index], 0)),
        INDEX(Contract_Edits[Dep], MATCH(Contract_Edits[[#This Row],[Dep]], Contract_Edits[Index], 0))=Contract_Edits[[#This Row],[Index]]),
   "2-cycle","")</f>
        <v/>
      </c>
      <c r="AL81" s="517" cm="1">
        <f t="array" ref="AL81">IF(Contract_Edits[[#This Row],[BaseFlag]]&lt;&gt;1,0,
   IF(TEXT(Contract_Edits[[#This Row],[Dep]],"0")=TEXT(Contract_Edits[[#This Row],[Index]],"0"),
      0,
      MAX(0, SUMPRODUCT(--(Contract_Edits[BaseFlag]=1),
                        --(TEXT(Contract_Edits[Dep],"0")=TEXT(Contract_Edits[[#This Row],[Dep]],"0"))) - 1)
   )
)</f>
        <v>0</v>
      </c>
      <c r="AM81" s="517" t="str" cm="1">
        <f t="array" ref="AM81">IF(Contract_Edits[[#This Row],[BaseFlag]]=1,
   TEXT(Contract_Edits[[#This Row],[Index]],"0"),
   NearestBaseL(TEXT(Contract_Edits[[#This Row],[ParentKey]],"0"),500,editsIdxTxt,editsParentKeyTxt,baseIdxTxt,baseCost)
)</f>
        <v>157</v>
      </c>
      <c r="AN81" s="517" cm="1">
        <f t="array" ref="AN81">1+SUMPRODUCT(
  (Contract_Edits[BaseFlag]=1)*
  (TEXT(Contract_Edits[ParentAnchor],"0")=TEXT(Contract_Edits[[#This Row],[ParentAnchor]],"0"))*
  (VALUE(TEXT(Contract_Edits[Index],"0"))&lt;VALUE(TEXT(Contract_Edits[[#This Row],[Index]],"0")))
)</f>
        <v>1</v>
      </c>
      <c r="AO81" s="35"/>
      <c r="AP81" s="35" t="str">
        <f ca="1">IFERROR(+IF(AP$24=#REF!,Milestone_Marker,IF(AND(AP$24&gt;#REF!,AP$24&lt;#REF!+#REF!),#REF!,"")),"")</f>
        <v/>
      </c>
      <c r="AQ81" s="35" t="str">
        <f ca="1">IFERROR(+IF(AQ$24=#REF!,Milestone_Marker,IF(AND(AQ$24&gt;#REF!,AQ$24&lt;#REF!+#REF!),#REF!,"")),"")</f>
        <v/>
      </c>
      <c r="AR81" s="35" t="str">
        <f ca="1">IFERROR(+IF(AS$24=#REF!,Milestone_Marker,IF(AND(AS$24&gt;#REF!,AS$24&lt;=#REF!+#REF!),#REF!,"")),"")</f>
        <v/>
      </c>
      <c r="AS81" s="35" t="str">
        <f ca="1">IFERROR(+IF(AT$24=#REF!,Milestone_Marker,IF(AND(AT$24&gt;#REF!,AT$24&lt;=#REF!+#REF!),#REF!,"")),"")</f>
        <v/>
      </c>
      <c r="AT81" s="35" t="str">
        <f ca="1">IFERROR(+IF(AU$24=#REF!,Milestone_Marker,IF(AND(AU$24&gt;#REF!,AU$24&lt;=#REF!+#REF!),#REF!,"")),"")</f>
        <v/>
      </c>
      <c r="AU81" s="35" t="str">
        <f ca="1">IFERROR(+IF(AV$24=#REF!,Milestone_Marker,IF(AND(AV$24&gt;#REF!,AV$24&lt;=#REF!+#REF!),#REF!,"")),"")</f>
        <v/>
      </c>
      <c r="AV81" s="35" t="str">
        <f ca="1">IFERROR(+IF(AW$24=#REF!,Milestone_Marker,IF(AND(AW$24&gt;#REF!,AW$24&lt;=#REF!+#REF!),#REF!,"")),"")</f>
        <v/>
      </c>
      <c r="AW81" s="35" t="str">
        <f ca="1">IFERROR(+IF(AX$24=#REF!,Milestone_Marker,IF(AND(AX$24&gt;#REF!,AX$24&lt;=#REF!+#REF!),#REF!,"")),"")</f>
        <v/>
      </c>
      <c r="AX81" s="35" t="str">
        <f ca="1">IFERROR(+IF(AY$24=#REF!,Milestone_Marker,IF(AND(AY$24&gt;#REF!,AY$24&lt;=#REF!+#REF!),#REF!,"")),"")</f>
        <v/>
      </c>
      <c r="AY81" s="35" t="str">
        <f ca="1">IFERROR(+IF(AZ$24=#REF!,Milestone_Marker,IF(AND(AZ$24&gt;#REF!,AZ$24&lt;=#REF!+#REF!),#REF!,"")),"")</f>
        <v/>
      </c>
      <c r="AZ81" s="35" t="str">
        <f ca="1">IFERROR(+IF(BA$24=#REF!,Milestone_Marker,IF(AND(BA$24&gt;#REF!,BA$24&lt;=#REF!+#REF!),#REF!,"")),"")</f>
        <v/>
      </c>
      <c r="BA81" s="35" t="str">
        <f ca="1">IFERROR(+IF(BB$24=#REF!,Milestone_Marker,IF(AND(BB$24&gt;#REF!,BB$24&lt;=#REF!+#REF!),#REF!,"")),"")</f>
        <v/>
      </c>
      <c r="BB81" s="35" t="str">
        <f ca="1">IFERROR(+IF(BC$24=#REF!,Milestone_Marker,IF(AND(BC$24&gt;#REF!,BC$24&lt;=#REF!+#REF!),#REF!,"")),"")</f>
        <v/>
      </c>
      <c r="BC81" s="35" t="str">
        <f ca="1">IFERROR(+IF(BD$24=#REF!,Milestone_Marker,IF(AND(BD$24&gt;#REF!,BD$24&lt;=#REF!+#REF!),#REF!,"")),"")</f>
        <v/>
      </c>
      <c r="BD81" s="35" t="str">
        <f ca="1">IFERROR(+IF(BE$24=#REF!,Milestone_Marker,IF(AND(BE$24&gt;#REF!,BE$24&lt;=#REF!+#REF!),#REF!,"")),"")</f>
        <v/>
      </c>
      <c r="BE81" s="35" t="str">
        <f ca="1">IFERROR(+IF(BF$24=#REF!,Milestone_Marker,IF(AND(BF$24&gt;#REF!,BF$24&lt;=#REF!+#REF!),#REF!,"")),"")</f>
        <v/>
      </c>
      <c r="BF81" s="35" t="str">
        <f ca="1">IFERROR(+IF(BG$24=#REF!,Milestone_Marker,IF(AND(BG$24&gt;#REF!,BG$24&lt;=#REF!+#REF!),#REF!,"")),"")</f>
        <v/>
      </c>
      <c r="BG81" s="35" t="str">
        <f ca="1">IFERROR(+IF(BH$24=#REF!,Milestone_Marker,IF(AND(BH$24&gt;#REF!,BH$24&lt;=#REF!+#REF!),#REF!,"")),"")</f>
        <v/>
      </c>
      <c r="BH81" s="35" t="str">
        <f ca="1">IFERROR(+IF(BI$24=#REF!,Milestone_Marker,IF(AND(BI$24&gt;#REF!,BI$24&lt;=#REF!+#REF!),#REF!,"")),"")</f>
        <v/>
      </c>
      <c r="BI81" s="35" t="str">
        <f ca="1">IFERROR(+IF(BJ$24=#REF!,Milestone_Marker,IF(AND(BJ$24&gt;#REF!,BJ$24&lt;=#REF!+#REF!),#REF!,"")),"")</f>
        <v/>
      </c>
      <c r="BJ81" s="35" t="str">
        <f ca="1">IFERROR(+IF(BK$24=#REF!,Milestone_Marker,IF(AND(BK$24&gt;#REF!,BK$24&lt;=#REF!+#REF!),#REF!,"")),"")</f>
        <v/>
      </c>
      <c r="BK81" s="35" t="str">
        <f ca="1">IFERROR(+IF(BL$24=#REF!,Milestone_Marker,IF(AND(BL$24&gt;#REF!,BL$24&lt;=#REF!+#REF!),#REF!,"")),"")</f>
        <v/>
      </c>
      <c r="BL81" s="35" t="str">
        <f ca="1">IFERROR(+IF(BM$24=#REF!,Milestone_Marker,IF(AND(BM$24&gt;#REF!,BM$24&lt;=#REF!+#REF!),#REF!,"")),"")</f>
        <v/>
      </c>
      <c r="BM81" s="35" t="str">
        <f ca="1">IFERROR(+IF(BN$24=#REF!,Milestone_Marker,IF(AND(BN$24&gt;#REF!,BN$24&lt;=#REF!+#REF!),#REF!,"")),"")</f>
        <v/>
      </c>
      <c r="BN81" s="35" t="str">
        <f ca="1">IFERROR(+IF(BO$24=#REF!,Milestone_Marker,IF(AND(BO$24&gt;#REF!,BO$24&lt;=#REF!+#REF!),#REF!,"")),"")</f>
        <v/>
      </c>
      <c r="BO81" s="35" t="str">
        <f ca="1">IFERROR(+IF(BP$24=#REF!,Milestone_Marker,IF(AND(BP$24&gt;#REF!,BP$24&lt;=#REF!+#REF!),#REF!,"")),"")</f>
        <v/>
      </c>
      <c r="BP81" s="35" t="str">
        <f ca="1">IFERROR(+IF(BQ$24=#REF!,Milestone_Marker,IF(AND(BQ$24&gt;#REF!,BQ$24&lt;=#REF!+#REF!),#REF!,"")),"")</f>
        <v/>
      </c>
      <c r="BQ81" s="35" t="str">
        <f ca="1">IFERROR(+IF(BR$24=#REF!,Milestone_Marker,IF(AND(BR$24&gt;#REF!,BR$24&lt;=#REF!+#REF!),#REF!,"")),"")</f>
        <v/>
      </c>
      <c r="BR81" s="35" t="str">
        <f ca="1">IFERROR(+IF(BS$24=#REF!,Milestone_Marker,IF(AND(BS$24&gt;#REF!,BS$24&lt;=#REF!+#REF!),#REF!,"")),"")</f>
        <v/>
      </c>
      <c r="BS81" s="35" t="str">
        <f ca="1">IFERROR(+IF(BT$24=#REF!,Milestone_Marker,IF(AND(BT$24&gt;#REF!,BT$24&lt;=#REF!+#REF!),#REF!,"")),"")</f>
        <v/>
      </c>
      <c r="BT81" s="35" t="str">
        <f ca="1">IFERROR(+IF(BU$24=#REF!,Milestone_Marker,IF(AND(BU$24&gt;#REF!,BU$24&lt;=#REF!+#REF!),#REF!,"")),"")</f>
        <v/>
      </c>
      <c r="BU81" s="35" t="str">
        <f ca="1">IFERROR(+IF(BV$24=#REF!,Milestone_Marker,IF(AND(BV$24&gt;#REF!,BV$24&lt;=#REF!+#REF!),#REF!,"")),"")</f>
        <v/>
      </c>
      <c r="BV81" s="35" t="str">
        <f ca="1">IFERROR(+IF(BW$24=#REF!,Milestone_Marker,IF(AND(BW$24&gt;#REF!,BW$24&lt;=#REF!+#REF!),#REF!,"")),"")</f>
        <v/>
      </c>
      <c r="BW81" s="35" t="str">
        <f ca="1">IFERROR(+IF(BX$24=#REF!,Milestone_Marker,IF(AND(BX$24&gt;#REF!,BX$24&lt;=#REF!+#REF!),#REF!,"")),"")</f>
        <v/>
      </c>
      <c r="BX81" s="35" t="str">
        <f ca="1">IFERROR(+IF(BY$24=#REF!,Milestone_Marker,IF(AND(BY$24&gt;#REF!,BY$24&lt;=#REF!+#REF!),#REF!,"")),"")</f>
        <v/>
      </c>
      <c r="BY81" s="35" t="str">
        <f ca="1">IFERROR(+IF(BZ$24=#REF!,Milestone_Marker,IF(AND(BZ$24&gt;#REF!,BZ$24&lt;=#REF!+#REF!),#REF!,"")),"")</f>
        <v/>
      </c>
      <c r="BZ81" s="35" t="str">
        <f ca="1">IFERROR(+IF(CA$24=#REF!,Milestone_Marker,IF(AND(CA$24&gt;#REF!,CA$24&lt;=#REF!+#REF!),#REF!,"")),"")</f>
        <v/>
      </c>
      <c r="CA81" s="35" t="str">
        <f ca="1">IFERROR(+IF(CB$24=#REF!,Milestone_Marker,IF(AND(CB$24&gt;#REF!,CB$24&lt;=#REF!+#REF!),#REF!,"")),"")</f>
        <v/>
      </c>
      <c r="CB81" s="35" t="str">
        <f ca="1">IFERROR(+IF(CC$24=#REF!,Milestone_Marker,IF(AND(CC$24&gt;#REF!,CC$24&lt;=#REF!+#REF!),#REF!,"")),"")</f>
        <v/>
      </c>
      <c r="CC81" s="35" t="str">
        <f ca="1">IFERROR(+IF(CD$24=#REF!,Milestone_Marker,IF(AND(CD$24&gt;#REF!,CD$24&lt;=#REF!+#REF!),#REF!,"")),"")</f>
        <v/>
      </c>
      <c r="CD81" s="35" t="str">
        <f ca="1">IFERROR(+IF(CE$24=#REF!,Milestone_Marker,IF(AND(CE$24&gt;#REF!,CE$24&lt;=#REF!+#REF!),#REF!,"")),"")</f>
        <v/>
      </c>
      <c r="CE81" s="35" t="str">
        <f ca="1">IFERROR(+IF(CF$24=#REF!,Milestone_Marker,IF(AND(CF$24&gt;#REF!,CF$24&lt;=#REF!+#REF!),#REF!,"")),"")</f>
        <v/>
      </c>
      <c r="CF81" s="35" t="str">
        <f ca="1">IFERROR(+IF(CG$24=#REF!,Milestone_Marker,IF(AND(CG$24&gt;#REF!,CG$24&lt;=#REF!+#REF!),#REF!,"")),"")</f>
        <v/>
      </c>
      <c r="CG81" s="35" t="str">
        <f ca="1">IFERROR(+IF(CH$24=#REF!,Milestone_Marker,IF(AND(CH$24&gt;#REF!,CH$24&lt;=#REF!+#REF!),#REF!,"")),"")</f>
        <v/>
      </c>
      <c r="CH81" s="35" t="str">
        <f ca="1">IFERROR(+IF(CI$24=#REF!,Milestone_Marker,IF(AND(CI$24&gt;#REF!,CI$24&lt;=#REF!+#REF!),#REF!,"")),"")</f>
        <v/>
      </c>
      <c r="CI81" s="35" t="str">
        <f ca="1">IFERROR(+IF(CJ$24=#REF!,Milestone_Marker,IF(AND(CJ$24&gt;#REF!,CJ$24&lt;=#REF!+#REF!),#REF!,"")),"")</f>
        <v/>
      </c>
      <c r="CJ81" s="35" t="str">
        <f ca="1">IFERROR(+IF(CK$24=#REF!,Milestone_Marker,IF(AND(CK$24&gt;#REF!,CK$24&lt;=#REF!+#REF!),#REF!,"")),"")</f>
        <v/>
      </c>
      <c r="CK81" s="35" t="str">
        <f ca="1">IFERROR(+IF(CL$24=#REF!,Milestone_Marker,IF(AND(CL$24&gt;#REF!,CL$24&lt;=#REF!+#REF!),#REF!,"")),"")</f>
        <v/>
      </c>
      <c r="CL81" s="35" t="str">
        <f ca="1">IFERROR(+IF(CM$24=#REF!,Milestone_Marker,IF(AND(CM$24&gt;#REF!,CM$24&lt;=#REF!+#REF!),#REF!,"")),"")</f>
        <v/>
      </c>
      <c r="CM81" s="35" t="str">
        <f ca="1">IFERROR(+IF(CN$24=#REF!,Milestone_Marker,IF(AND(CN$24&gt;#REF!,CN$24&lt;=#REF!+#REF!),#REF!,"")),"")</f>
        <v/>
      </c>
      <c r="CN81" s="35" t="str">
        <f ca="1">IFERROR(+IF(CO$24=#REF!,Milestone_Marker,IF(AND(CO$24&gt;#REF!,CO$24&lt;=#REF!+#REF!),#REF!,"")),"")</f>
        <v/>
      </c>
      <c r="CO81" s="35" t="str">
        <f ca="1">IFERROR(+IF(CP$24=#REF!,Milestone_Marker,IF(AND(CP$24&gt;#REF!,CP$24&lt;=#REF!+#REF!),#REF!,"")),"")</f>
        <v/>
      </c>
      <c r="CP81" s="35" t="str">
        <f ca="1">IFERROR(+IF(CQ$24=#REF!,Milestone_Marker,IF(AND(CQ$24&gt;#REF!,CQ$24&lt;=#REF!+#REF!),#REF!,"")),"")</f>
        <v/>
      </c>
      <c r="CQ81" s="35" t="str">
        <f ca="1">IFERROR(+IF(CR$24=#REF!,Milestone_Marker,IF(AND(CR$24&gt;#REF!,CR$24&lt;=#REF!+#REF!),#REF!,"")),"")</f>
        <v/>
      </c>
      <c r="CR81" s="35" t="str">
        <f ca="1">IFERROR(+IF(CS$24=#REF!,Milestone_Marker,IF(AND(CS$24&gt;#REF!,CS$24&lt;=#REF!+#REF!),#REF!,"")),"")</f>
        <v/>
      </c>
      <c r="CS81" s="35" t="str">
        <f ca="1">IFERROR(+IF(CT$24=#REF!,Milestone_Marker,IF(AND(CT$24&gt;#REF!,CT$24&lt;=#REF!+#REF!),#REF!,"")),"")</f>
        <v/>
      </c>
      <c r="CT81" s="35" t="str">
        <f ca="1">IFERROR(+IF(CU$24=#REF!,Milestone_Marker,IF(AND(CU$24&gt;#REF!,CU$24&lt;=#REF!+#REF!),#REF!,"")),"")</f>
        <v/>
      </c>
      <c r="CU81" s="35" t="str">
        <f ca="1">IFERROR(+IF(CV$24=#REF!,Milestone_Marker,IF(AND(CV$24&gt;#REF!,CV$24&lt;=#REF!+#REF!),#REF!,"")),"")</f>
        <v/>
      </c>
      <c r="CV81" s="35" t="str">
        <f ca="1">IFERROR(+IF(CW$24=#REF!,Milestone_Marker,IF(AND(CW$24&gt;#REF!,CW$24&lt;=#REF!+#REF!),#REF!,"")),"")</f>
        <v/>
      </c>
      <c r="CW81" s="35" t="str">
        <f ca="1">IFERROR(+IF(CX$24=#REF!,Milestone_Marker,IF(AND(CX$24&gt;#REF!,CX$24&lt;=#REF!+#REF!),#REF!,"")),"")</f>
        <v/>
      </c>
      <c r="CX81" s="35" t="str">
        <f ca="1">IFERROR(+IF(CY$24=#REF!,Milestone_Marker,IF(AND(CY$24&gt;#REF!,CY$24&lt;=#REF!+#REF!),#REF!,"")),"")</f>
        <v/>
      </c>
      <c r="CY81" s="35" t="str">
        <f ca="1">IFERROR(+IF(CZ$24=#REF!,Milestone_Marker,IF(AND(CZ$24&gt;#REF!,CZ$24&lt;=#REF!+#REF!),#REF!,"")),"")</f>
        <v/>
      </c>
      <c r="CZ81" s="35" t="str">
        <f ca="1">IFERROR(+IF(DA$24=#REF!,Milestone_Marker,IF(AND(DA$24&gt;#REF!,DA$24&lt;=#REF!+#REF!),#REF!,"")),"")</f>
        <v/>
      </c>
      <c r="DA81" s="35" t="str">
        <f ca="1">IFERROR(+IF(DB$24=#REF!,Milestone_Marker,IF(AND(DB$24&gt;#REF!,DB$24&lt;=#REF!+#REF!),#REF!,"")),"")</f>
        <v/>
      </c>
      <c r="DB81" s="35" t="str">
        <f ca="1">IFERROR(+IF(DC$24=#REF!,Milestone_Marker,IF(AND(DC$24&gt;#REF!,DC$24&lt;=#REF!+#REF!),#REF!,"")),"")</f>
        <v/>
      </c>
      <c r="DC81" s="35" t="str">
        <f ca="1">IFERROR(+IF(DD$24=#REF!,Milestone_Marker,IF(AND(DD$24&gt;#REF!,DD$24&lt;=#REF!+#REF!),#REF!,"")),"")</f>
        <v/>
      </c>
      <c r="DD81" s="35" t="str">
        <f ca="1">IFERROR(+IF(DE$24=#REF!,Milestone_Marker,IF(AND(DE$24&gt;#REF!,DE$24&lt;=#REF!+#REF!),#REF!,"")),"")</f>
        <v/>
      </c>
    </row>
    <row r="82" spans="1:108" ht="30">
      <c r="A82" t="s">
        <v>519</v>
      </c>
      <c r="B82" t="s">
        <v>587</v>
      </c>
      <c r="C82" t="s">
        <v>591</v>
      </c>
      <c r="D82" s="458" t="s">
        <v>592</v>
      </c>
      <c r="E82" s="458">
        <v>1</v>
      </c>
      <c r="F82">
        <v>3625</v>
      </c>
      <c r="G82">
        <v>3625</v>
      </c>
      <c r="H82">
        <v>157</v>
      </c>
      <c r="I82"/>
      <c r="J82">
        <v>39</v>
      </c>
      <c r="K82" s="107"/>
      <c r="L82" s="463">
        <v>39</v>
      </c>
      <c r="M82" s="176">
        <v>1</v>
      </c>
      <c r="N82" s="160">
        <v>0</v>
      </c>
      <c r="O82" s="546" cm="1">
        <f t="array" ref="O8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46000</v>
      </c>
      <c r="P82" s="566" t="s">
        <v>797</v>
      </c>
      <c r="Q82" s="566">
        <v>0</v>
      </c>
      <c r="R82" s="22"/>
      <c r="S82" s="463" cm="1">
        <f t="array" ref="S8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82">
        <v>1</v>
      </c>
      <c r="U82" s="176"/>
      <c r="V8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75.020499999999998</v>
      </c>
      <c r="W82" s="497"/>
      <c r="X82" s="176" t="s">
        <v>852</v>
      </c>
      <c r="Y82" s="547" t="s">
        <v>870</v>
      </c>
      <c r="Z82" s="160" t="s">
        <v>458</v>
      </c>
      <c r="AA82" s="563">
        <v>102000</v>
      </c>
      <c r="AB82" cm="1">
        <f t="array" ref="AB82">ROW()-ROW(Contract_Edits[#Headers])</f>
        <v>58</v>
      </c>
      <c r="AC82">
        <f>IF(Contract_Edits[[#This Row],[RowPos]]&gt;1, Contract_Edits[[#This Row],[RowPos]]-1, 0)</f>
        <v>57</v>
      </c>
      <c r="AD82" s="35">
        <f>IF(N(Contract_Edits[[#This Row],[Dep]])=0, N(Contract_Edits[[#This Row],[Index]]), N(Contract_Edits[[#This Row],[Dep]]))</f>
        <v>157</v>
      </c>
      <c r="AE82" s="35">
        <f>IF(Contract_Edits[[#This Row],[BaseFlag]]=1,"",Contract_Edits[[#This Row],[SiblingRank]]-1)</f>
        <v>4</v>
      </c>
      <c r="AF82" s="35">
        <f>IF(OR(Contract_Edits[[#This Row],[Dep]]=0,Contract_Edits[[#This Row],[Dep]]=""),0,
   COUNTIFS(Contract_Edits[Dep],Contract_Edits[[#This Row],[Dep]],Contract_Edits[RowPos],"&lt;="&amp;Contract_Edits[[#This Row],[RowPos]],Contract_Edits[Approve],"Yes")
)</f>
        <v>5</v>
      </c>
      <c r="AG82" s="517">
        <f>--(
  ISNUMBER(SEARCH("BASE PARENT", UPPER(CLEAN(TRIM(_xlfn.XLOOKUP(TEXT(Contract_Edits[[#This Row],[Index]],"0"), baseIdxTxt, baseCost, "")))))) +
  ISNUMBER(SEARCH("DEPENDENCY GROUP", UPPER(CLEAN(TRIM(_xlfn.XLOOKUP(TEXT(Contract_Edits[[#This Row],[Index]],"0"), baseIdxTxt, baseCost, ""))))))
)</f>
        <v>0</v>
      </c>
      <c r="AH82" s="517" t="str" cm="1">
        <f t="array" ref="AH82">IF(Contract_Edits[[#This Row],[BaseFlag]]=1,
   10*BaseDepthL(TEXT(Contract_Edits[[#This Row],[Index]],"0"),500,editsIdxTxt,editsParentKeyTxt,baseIdxTxt,baseCost)-5,
   ""
)</f>
        <v/>
      </c>
      <c r="AI82" s="517" cm="1">
        <f t="array" ref="AI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2" s="517" t="str">
        <f>IF(Contract_Edits[[#This Row],[Dep]]=0,"Root",
   IF(ISNUMBER(MATCH(Contract_Edits[[#This Row],[Dep]],Contract_Edits[Index],0)),"OK","Missing")
)</f>
        <v>OK</v>
      </c>
      <c r="AK82" s="517" t="str">
        <f>IF(AND(Contract_Edits[[#This Row],[Dep]]&lt;&gt;0,
        ISNUMBER(MATCH(Contract_Edits[[#This Row],[Dep]], Contract_Edits[Index], 0)),
        INDEX(Contract_Edits[Dep], MATCH(Contract_Edits[[#This Row],[Dep]], Contract_Edits[Index], 0))=Contract_Edits[[#This Row],[Index]]),
   "2-cycle","")</f>
        <v/>
      </c>
      <c r="AL82" s="517" cm="1">
        <f t="array" ref="AL82">IF(Contract_Edits[[#This Row],[BaseFlag]]&lt;&gt;1,0,
   IF(TEXT(Contract_Edits[[#This Row],[Dep]],"0")=TEXT(Contract_Edits[[#This Row],[Index]],"0"),
      0,
      MAX(0, SUMPRODUCT(--(Contract_Edits[BaseFlag]=1),
                        --(TEXT(Contract_Edits[Dep],"0")=TEXT(Contract_Edits[[#This Row],[Dep]],"0"))) - 1)
   )
)</f>
        <v>0</v>
      </c>
      <c r="AM82" s="517" t="str" cm="1">
        <f t="array" ref="AM82">IF(Contract_Edits[[#This Row],[BaseFlag]]=1,
   TEXT(Contract_Edits[[#This Row],[Index]],"0"),
   NearestBaseL(TEXT(Contract_Edits[[#This Row],[ParentKey]],"0"),500,editsIdxTxt,editsParentKeyTxt,baseIdxTxt,baseCost)
)</f>
        <v>157</v>
      </c>
      <c r="AN82" s="517" cm="1">
        <f t="array" ref="AN82">1+SUMPRODUCT(
  (Contract_Edits[BaseFlag]=1)*
  (TEXT(Contract_Edits[ParentAnchor],"0")=TEXT(Contract_Edits[[#This Row],[ParentAnchor]],"0"))*
  (VALUE(TEXT(Contract_Edits[Index],"0"))&lt;VALUE(TEXT(Contract_Edits[[#This Row],[Index]],"0")))
)</f>
        <v>1</v>
      </c>
      <c r="AO82" s="35"/>
      <c r="AP82" s="35" t="str">
        <f ca="1">IFERROR(+IF(AP$24=#REF!,Milestone_Marker,IF(AND(AP$24&gt;#REF!,AP$24&lt;#REF!+#REF!),#REF!,"")),"")</f>
        <v/>
      </c>
      <c r="AQ82" s="35" t="str">
        <f ca="1">IFERROR(+IF(AQ$24=#REF!,Milestone_Marker,IF(AND(AQ$24&gt;#REF!,AQ$24&lt;#REF!+#REF!),#REF!,"")),"")</f>
        <v/>
      </c>
      <c r="AR82" s="35" t="str">
        <f ca="1">IFERROR(+IF(AS$24=#REF!,Milestone_Marker,IF(AND(AS$24&gt;#REF!,AS$24&lt;=#REF!+#REF!),#REF!,"")),"")</f>
        <v/>
      </c>
      <c r="AS82" s="35" t="str">
        <f ca="1">IFERROR(+IF(AT$24=#REF!,Milestone_Marker,IF(AND(AT$24&gt;#REF!,AT$24&lt;=#REF!+#REF!),#REF!,"")),"")</f>
        <v/>
      </c>
      <c r="AT82" s="35" t="str">
        <f ca="1">IFERROR(+IF(AU$24=#REF!,Milestone_Marker,IF(AND(AU$24&gt;#REF!,AU$24&lt;=#REF!+#REF!),#REF!,"")),"")</f>
        <v/>
      </c>
      <c r="AU82" s="35" t="str">
        <f ca="1">IFERROR(+IF(AV$24=#REF!,Milestone_Marker,IF(AND(AV$24&gt;#REF!,AV$24&lt;=#REF!+#REF!),#REF!,"")),"")</f>
        <v/>
      </c>
      <c r="AV82" s="35" t="str">
        <f ca="1">IFERROR(+IF(AW$24=#REF!,Milestone_Marker,IF(AND(AW$24&gt;#REF!,AW$24&lt;=#REF!+#REF!),#REF!,"")),"")</f>
        <v/>
      </c>
      <c r="AW82" s="35" t="str">
        <f ca="1">IFERROR(+IF(AX$24=#REF!,Milestone_Marker,IF(AND(AX$24&gt;#REF!,AX$24&lt;=#REF!+#REF!),#REF!,"")),"")</f>
        <v/>
      </c>
      <c r="AX82" s="35" t="str">
        <f ca="1">IFERROR(+IF(AY$24=#REF!,Milestone_Marker,IF(AND(AY$24&gt;#REF!,AY$24&lt;=#REF!+#REF!),#REF!,"")),"")</f>
        <v/>
      </c>
      <c r="AY82" s="35" t="str">
        <f ca="1">IFERROR(+IF(AZ$24=#REF!,Milestone_Marker,IF(AND(AZ$24&gt;#REF!,AZ$24&lt;=#REF!+#REF!),#REF!,"")),"")</f>
        <v/>
      </c>
      <c r="AZ82" s="35" t="str">
        <f ca="1">IFERROR(+IF(BA$24=#REF!,Milestone_Marker,IF(AND(BA$24&gt;#REF!,BA$24&lt;=#REF!+#REF!),#REF!,"")),"")</f>
        <v/>
      </c>
      <c r="BA82" s="35" t="str">
        <f ca="1">IFERROR(+IF(BB$24=#REF!,Milestone_Marker,IF(AND(BB$24&gt;#REF!,BB$24&lt;=#REF!+#REF!),#REF!,"")),"")</f>
        <v/>
      </c>
      <c r="BB82" s="35" t="str">
        <f ca="1">IFERROR(+IF(BC$24=#REF!,Milestone_Marker,IF(AND(BC$24&gt;#REF!,BC$24&lt;=#REF!+#REF!),#REF!,"")),"")</f>
        <v/>
      </c>
      <c r="BC82" s="35" t="str">
        <f ca="1">IFERROR(+IF(BD$24=#REF!,Milestone_Marker,IF(AND(BD$24&gt;#REF!,BD$24&lt;=#REF!+#REF!),#REF!,"")),"")</f>
        <v/>
      </c>
      <c r="BD82" s="35" t="str">
        <f ca="1">IFERROR(+IF(BE$24=#REF!,Milestone_Marker,IF(AND(BE$24&gt;#REF!,BE$24&lt;=#REF!+#REF!),#REF!,"")),"")</f>
        <v/>
      </c>
      <c r="BE82" s="35" t="str">
        <f ca="1">IFERROR(+IF(BF$24=#REF!,Milestone_Marker,IF(AND(BF$24&gt;#REF!,BF$24&lt;=#REF!+#REF!),#REF!,"")),"")</f>
        <v/>
      </c>
      <c r="BF82" s="35" t="str">
        <f ca="1">IFERROR(+IF(BG$24=#REF!,Milestone_Marker,IF(AND(BG$24&gt;#REF!,BG$24&lt;=#REF!+#REF!),#REF!,"")),"")</f>
        <v/>
      </c>
      <c r="BG82" s="35" t="str">
        <f ca="1">IFERROR(+IF(BH$24=#REF!,Milestone_Marker,IF(AND(BH$24&gt;#REF!,BH$24&lt;=#REF!+#REF!),#REF!,"")),"")</f>
        <v/>
      </c>
      <c r="BH82" s="35" t="str">
        <f ca="1">IFERROR(+IF(BI$24=#REF!,Milestone_Marker,IF(AND(BI$24&gt;#REF!,BI$24&lt;=#REF!+#REF!),#REF!,"")),"")</f>
        <v/>
      </c>
      <c r="BI82" s="35" t="str">
        <f ca="1">IFERROR(+IF(BJ$24=#REF!,Milestone_Marker,IF(AND(BJ$24&gt;#REF!,BJ$24&lt;=#REF!+#REF!),#REF!,"")),"")</f>
        <v/>
      </c>
      <c r="BJ82" s="35" t="str">
        <f ca="1">IFERROR(+IF(BK$24=#REF!,Milestone_Marker,IF(AND(BK$24&gt;#REF!,BK$24&lt;=#REF!+#REF!),#REF!,"")),"")</f>
        <v/>
      </c>
      <c r="BK82" s="35" t="str">
        <f ca="1">IFERROR(+IF(BL$24=#REF!,Milestone_Marker,IF(AND(BL$24&gt;#REF!,BL$24&lt;=#REF!+#REF!),#REF!,"")),"")</f>
        <v/>
      </c>
      <c r="BL82" s="35" t="str">
        <f ca="1">IFERROR(+IF(BM$24=#REF!,Milestone_Marker,IF(AND(BM$24&gt;#REF!,BM$24&lt;=#REF!+#REF!),#REF!,"")),"")</f>
        <v/>
      </c>
      <c r="BM82" s="35" t="str">
        <f ca="1">IFERROR(+IF(BN$24=#REF!,Milestone_Marker,IF(AND(BN$24&gt;#REF!,BN$24&lt;=#REF!+#REF!),#REF!,"")),"")</f>
        <v/>
      </c>
      <c r="BN82" s="35" t="str">
        <f ca="1">IFERROR(+IF(BO$24=#REF!,Milestone_Marker,IF(AND(BO$24&gt;#REF!,BO$24&lt;=#REF!+#REF!),#REF!,"")),"")</f>
        <v/>
      </c>
      <c r="BO82" s="35" t="str">
        <f ca="1">IFERROR(+IF(BP$24=#REF!,Milestone_Marker,IF(AND(BP$24&gt;#REF!,BP$24&lt;=#REF!+#REF!),#REF!,"")),"")</f>
        <v/>
      </c>
      <c r="BP82" s="35" t="str">
        <f ca="1">IFERROR(+IF(BQ$24=#REF!,Milestone_Marker,IF(AND(BQ$24&gt;#REF!,BQ$24&lt;=#REF!+#REF!),#REF!,"")),"")</f>
        <v/>
      </c>
      <c r="BQ82" s="35" t="str">
        <f ca="1">IFERROR(+IF(BR$24=#REF!,Milestone_Marker,IF(AND(BR$24&gt;#REF!,BR$24&lt;=#REF!+#REF!),#REF!,"")),"")</f>
        <v/>
      </c>
      <c r="BR82" s="35" t="str">
        <f ca="1">IFERROR(+IF(BS$24=#REF!,Milestone_Marker,IF(AND(BS$24&gt;#REF!,BS$24&lt;=#REF!+#REF!),#REF!,"")),"")</f>
        <v/>
      </c>
      <c r="BS82" s="35" t="str">
        <f ca="1">IFERROR(+IF(BT$24=#REF!,Milestone_Marker,IF(AND(BT$24&gt;#REF!,BT$24&lt;=#REF!+#REF!),#REF!,"")),"")</f>
        <v/>
      </c>
      <c r="BT82" s="35" t="str">
        <f ca="1">IFERROR(+IF(BU$24=#REF!,Milestone_Marker,IF(AND(BU$24&gt;#REF!,BU$24&lt;=#REF!+#REF!),#REF!,"")),"")</f>
        <v/>
      </c>
      <c r="BU82" s="35" t="str">
        <f ca="1">IFERROR(+IF(BV$24=#REF!,Milestone_Marker,IF(AND(BV$24&gt;#REF!,BV$24&lt;=#REF!+#REF!),#REF!,"")),"")</f>
        <v/>
      </c>
      <c r="BV82" s="35" t="str">
        <f ca="1">IFERROR(+IF(BW$24=#REF!,Milestone_Marker,IF(AND(BW$24&gt;#REF!,BW$24&lt;=#REF!+#REF!),#REF!,"")),"")</f>
        <v/>
      </c>
      <c r="BW82" s="35" t="str">
        <f ca="1">IFERROR(+IF(BX$24=#REF!,Milestone_Marker,IF(AND(BX$24&gt;#REF!,BX$24&lt;=#REF!+#REF!),#REF!,"")),"")</f>
        <v/>
      </c>
      <c r="BX82" s="35" t="str">
        <f ca="1">IFERROR(+IF(BY$24=#REF!,Milestone_Marker,IF(AND(BY$24&gt;#REF!,BY$24&lt;=#REF!+#REF!),#REF!,"")),"")</f>
        <v/>
      </c>
      <c r="BY82" s="35" t="str">
        <f ca="1">IFERROR(+IF(BZ$24=#REF!,Milestone_Marker,IF(AND(BZ$24&gt;#REF!,BZ$24&lt;=#REF!+#REF!),#REF!,"")),"")</f>
        <v/>
      </c>
      <c r="BZ82" s="35" t="str">
        <f ca="1">IFERROR(+IF(CA$24=#REF!,Milestone_Marker,IF(AND(CA$24&gt;#REF!,CA$24&lt;=#REF!+#REF!),#REF!,"")),"")</f>
        <v/>
      </c>
      <c r="CA82" s="35" t="str">
        <f ca="1">IFERROR(+IF(CB$24=#REF!,Milestone_Marker,IF(AND(CB$24&gt;#REF!,CB$24&lt;=#REF!+#REF!),#REF!,"")),"")</f>
        <v/>
      </c>
      <c r="CB82" s="35" t="str">
        <f ca="1">IFERROR(+IF(CC$24=#REF!,Milestone_Marker,IF(AND(CC$24&gt;#REF!,CC$24&lt;=#REF!+#REF!),#REF!,"")),"")</f>
        <v/>
      </c>
      <c r="CC82" s="35" t="str">
        <f ca="1">IFERROR(+IF(CD$24=#REF!,Milestone_Marker,IF(AND(CD$24&gt;#REF!,CD$24&lt;=#REF!+#REF!),#REF!,"")),"")</f>
        <v/>
      </c>
      <c r="CD82" s="35" t="str">
        <f ca="1">IFERROR(+IF(CE$24=#REF!,Milestone_Marker,IF(AND(CE$24&gt;#REF!,CE$24&lt;=#REF!+#REF!),#REF!,"")),"")</f>
        <v/>
      </c>
      <c r="CE82" s="35" t="str">
        <f ca="1">IFERROR(+IF(CF$24=#REF!,Milestone_Marker,IF(AND(CF$24&gt;#REF!,CF$24&lt;=#REF!+#REF!),#REF!,"")),"")</f>
        <v/>
      </c>
      <c r="CF82" s="35" t="str">
        <f ca="1">IFERROR(+IF(CG$24=#REF!,Milestone_Marker,IF(AND(CG$24&gt;#REF!,CG$24&lt;=#REF!+#REF!),#REF!,"")),"")</f>
        <v/>
      </c>
      <c r="CG82" s="35" t="str">
        <f ca="1">IFERROR(+IF(CH$24=#REF!,Milestone_Marker,IF(AND(CH$24&gt;#REF!,CH$24&lt;=#REF!+#REF!),#REF!,"")),"")</f>
        <v/>
      </c>
      <c r="CH82" s="35" t="str">
        <f ca="1">IFERROR(+IF(CI$24=#REF!,Milestone_Marker,IF(AND(CI$24&gt;#REF!,CI$24&lt;=#REF!+#REF!),#REF!,"")),"")</f>
        <v/>
      </c>
      <c r="CI82" s="35" t="str">
        <f ca="1">IFERROR(+IF(CJ$24=#REF!,Milestone_Marker,IF(AND(CJ$24&gt;#REF!,CJ$24&lt;=#REF!+#REF!),#REF!,"")),"")</f>
        <v/>
      </c>
      <c r="CJ82" s="35" t="str">
        <f ca="1">IFERROR(+IF(CK$24=#REF!,Milestone_Marker,IF(AND(CK$24&gt;#REF!,CK$24&lt;=#REF!+#REF!),#REF!,"")),"")</f>
        <v/>
      </c>
      <c r="CK82" s="35" t="str">
        <f ca="1">IFERROR(+IF(CL$24=#REF!,Milestone_Marker,IF(AND(CL$24&gt;#REF!,CL$24&lt;=#REF!+#REF!),#REF!,"")),"")</f>
        <v/>
      </c>
      <c r="CL82" s="35" t="str">
        <f ca="1">IFERROR(+IF(CM$24=#REF!,Milestone_Marker,IF(AND(CM$24&gt;#REF!,CM$24&lt;=#REF!+#REF!),#REF!,"")),"")</f>
        <v/>
      </c>
      <c r="CM82" s="35" t="str">
        <f ca="1">IFERROR(+IF(CN$24=#REF!,Milestone_Marker,IF(AND(CN$24&gt;#REF!,CN$24&lt;=#REF!+#REF!),#REF!,"")),"")</f>
        <v/>
      </c>
      <c r="CN82" s="35" t="str">
        <f ca="1">IFERROR(+IF(CO$24=#REF!,Milestone_Marker,IF(AND(CO$24&gt;#REF!,CO$24&lt;=#REF!+#REF!),#REF!,"")),"")</f>
        <v/>
      </c>
      <c r="CO82" s="35" t="str">
        <f ca="1">IFERROR(+IF(CP$24=#REF!,Milestone_Marker,IF(AND(CP$24&gt;#REF!,CP$24&lt;=#REF!+#REF!),#REF!,"")),"")</f>
        <v/>
      </c>
      <c r="CP82" s="35" t="str">
        <f ca="1">IFERROR(+IF(CQ$24=#REF!,Milestone_Marker,IF(AND(CQ$24&gt;#REF!,CQ$24&lt;=#REF!+#REF!),#REF!,"")),"")</f>
        <v/>
      </c>
      <c r="CQ82" s="35" t="str">
        <f ca="1">IFERROR(+IF(CR$24=#REF!,Milestone_Marker,IF(AND(CR$24&gt;#REF!,CR$24&lt;=#REF!+#REF!),#REF!,"")),"")</f>
        <v/>
      </c>
      <c r="CR82" s="35" t="str">
        <f ca="1">IFERROR(+IF(CS$24=#REF!,Milestone_Marker,IF(AND(CS$24&gt;#REF!,CS$24&lt;=#REF!+#REF!),#REF!,"")),"")</f>
        <v/>
      </c>
      <c r="CS82" s="35" t="str">
        <f ca="1">IFERROR(+IF(CT$24=#REF!,Milestone_Marker,IF(AND(CT$24&gt;#REF!,CT$24&lt;=#REF!+#REF!),#REF!,"")),"")</f>
        <v/>
      </c>
      <c r="CT82" s="35" t="str">
        <f ca="1">IFERROR(+IF(CU$24=#REF!,Milestone_Marker,IF(AND(CU$24&gt;#REF!,CU$24&lt;=#REF!+#REF!),#REF!,"")),"")</f>
        <v/>
      </c>
      <c r="CU82" s="35" t="str">
        <f ca="1">IFERROR(+IF(CV$24=#REF!,Milestone_Marker,IF(AND(CV$24&gt;#REF!,CV$24&lt;=#REF!+#REF!),#REF!,"")),"")</f>
        <v/>
      </c>
      <c r="CV82" s="35" t="str">
        <f ca="1">IFERROR(+IF(CW$24=#REF!,Milestone_Marker,IF(AND(CW$24&gt;#REF!,CW$24&lt;=#REF!+#REF!),#REF!,"")),"")</f>
        <v/>
      </c>
      <c r="CW82" s="35" t="str">
        <f ca="1">IFERROR(+IF(CX$24=#REF!,Milestone_Marker,IF(AND(CX$24&gt;#REF!,CX$24&lt;=#REF!+#REF!),#REF!,"")),"")</f>
        <v/>
      </c>
      <c r="CX82" s="35" t="str">
        <f ca="1">IFERROR(+IF(CY$24=#REF!,Milestone_Marker,IF(AND(CY$24&gt;#REF!,CY$24&lt;=#REF!+#REF!),#REF!,"")),"")</f>
        <v/>
      </c>
      <c r="CY82" s="35" t="str">
        <f ca="1">IFERROR(+IF(CZ$24=#REF!,Milestone_Marker,IF(AND(CZ$24&gt;#REF!,CZ$24&lt;=#REF!+#REF!),#REF!,"")),"")</f>
        <v/>
      </c>
      <c r="CZ82" s="35" t="str">
        <f ca="1">IFERROR(+IF(DA$24=#REF!,Milestone_Marker,IF(AND(DA$24&gt;#REF!,DA$24&lt;=#REF!+#REF!),#REF!,"")),"")</f>
        <v/>
      </c>
      <c r="DA82" s="35" t="str">
        <f ca="1">IFERROR(+IF(DB$24=#REF!,Milestone_Marker,IF(AND(DB$24&gt;#REF!,DB$24&lt;=#REF!+#REF!),#REF!,"")),"")</f>
        <v/>
      </c>
      <c r="DB82" s="35" t="str">
        <f ca="1">IFERROR(+IF(DC$24=#REF!,Milestone_Marker,IF(AND(DC$24&gt;#REF!,DC$24&lt;=#REF!+#REF!),#REF!,"")),"")</f>
        <v/>
      </c>
      <c r="DC82" s="35" t="str">
        <f ca="1">IFERROR(+IF(DD$24=#REF!,Milestone_Marker,IF(AND(DD$24&gt;#REF!,DD$24&lt;=#REF!+#REF!),#REF!,"")),"")</f>
        <v/>
      </c>
      <c r="DD82" s="35" t="str">
        <f ca="1">IFERROR(+IF(DE$24=#REF!,Milestone_Marker,IF(AND(DE$24&gt;#REF!,DE$24&lt;=#REF!+#REF!),#REF!,"")),"")</f>
        <v/>
      </c>
    </row>
    <row r="83" spans="1:108" ht="30">
      <c r="A83" t="s">
        <v>519</v>
      </c>
      <c r="B83" t="s">
        <v>521</v>
      </c>
      <c r="C83" t="s">
        <v>579</v>
      </c>
      <c r="D83" s="458" t="s">
        <v>1516</v>
      </c>
      <c r="E83" s="458">
        <v>1</v>
      </c>
      <c r="F83">
        <v>2900</v>
      </c>
      <c r="G83">
        <v>2900</v>
      </c>
      <c r="H83">
        <v>157</v>
      </c>
      <c r="I83"/>
      <c r="J83">
        <v>122</v>
      </c>
      <c r="K83" s="107"/>
      <c r="L83" s="463">
        <v>122</v>
      </c>
      <c r="M83" s="176">
        <v>1</v>
      </c>
      <c r="N83" s="160">
        <v>0</v>
      </c>
      <c r="O83" s="546" cm="1">
        <f t="array" ref="O8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46001</v>
      </c>
      <c r="P83" s="566" t="s">
        <v>797</v>
      </c>
      <c r="Q83" s="566">
        <v>0</v>
      </c>
      <c r="R83" s="22"/>
      <c r="S83" s="463" cm="1">
        <f t="array" ref="S8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83">
        <v>1</v>
      </c>
      <c r="U83" s="176"/>
      <c r="V8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75.020600000000002</v>
      </c>
      <c r="W83" s="497"/>
      <c r="X83" s="176" t="s">
        <v>872</v>
      </c>
      <c r="Y83" s="547" t="s">
        <v>870</v>
      </c>
      <c r="Z83" s="160" t="s">
        <v>458</v>
      </c>
      <c r="AA83" s="563">
        <v>102000</v>
      </c>
      <c r="AB83" cm="1">
        <f t="array" ref="AB83">ROW()-ROW(Contract_Edits[#Headers])</f>
        <v>59</v>
      </c>
      <c r="AC83">
        <f>IF(Contract_Edits[[#This Row],[RowPos]]&gt;1, Contract_Edits[[#This Row],[RowPos]]-1, 0)</f>
        <v>58</v>
      </c>
      <c r="AD83" s="35">
        <f>IF(N(Contract_Edits[[#This Row],[Dep]])=0, N(Contract_Edits[[#This Row],[Index]]), N(Contract_Edits[[#This Row],[Dep]]))</f>
        <v>157</v>
      </c>
      <c r="AE83" s="35" cm="1">
        <f t="array" ref="AE83">IF(OR(Contract_Edits[[#This Row],[Dep]]=0, TRIM(Contract_Edits[[#This Row],[Dep]])=""),
   0,
   IFERROR(
      _xlfn.XLOOKUP(1, (Contract_Edits[Dep]=Contract_Edits[[#This Row],[Dep]])*(Contract_Edits[RowPos]&lt;Contract_Edits[[#This Row],[RowPos]]), Contract_Edits[RowPos], , 0, -1),
      0
   )
)</f>
        <v>58</v>
      </c>
      <c r="AF83" s="35">
        <f>IF(OR(Contract_Edits[[#This Row],[Dep]]=0,Contract_Edits[[#This Row],[Dep]]=""),0,
   COUNTIFS(Contract_Edits[Dep],Contract_Edits[[#This Row],[Dep]],Contract_Edits[RowPos],"&lt;="&amp;Contract_Edits[[#This Row],[RowPos]],Contract_Edits[Approve],"Yes")
)</f>
        <v>6</v>
      </c>
      <c r="AG83" s="517">
        <f>--(
  ISNUMBER(SEARCH("BASE PARENT", UPPER(CLEAN(TRIM(_xlfn.XLOOKUP(TEXT(Contract_Edits[[#This Row],[Index]],"0"), baseIdxTxt, baseCost, "")))))) +
  ISNUMBER(SEARCH("DEPENDENCY GROUP", UPPER(CLEAN(TRIM(_xlfn.XLOOKUP(TEXT(Contract_Edits[[#This Row],[Index]],"0"), baseIdxTxt, baseCost, ""))))))
)</f>
        <v>0</v>
      </c>
      <c r="AH83" s="517" t="str" cm="1">
        <f t="array" ref="AH83">IF(Contract_Edits[[#This Row],[BaseFlag]]=1,
   10*BaseDepthL(TEXT(Contract_Edits[[#This Row],[Index]],"0"),500,editsIdxTxt,editsParentKeyTxt,baseIdxTxt,baseCost)-5,
   ""
)</f>
        <v/>
      </c>
      <c r="AI83" s="517" cm="1">
        <f t="array" ref="AI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3" s="517" t="str">
        <f>IF(Contract_Edits[[#This Row],[Dep]]=0,"Root",
   IF(ISNUMBER(MATCH(Contract_Edits[[#This Row],[Dep]],Contract_Edits[Index],0)),"OK","Missing")
)</f>
        <v>OK</v>
      </c>
      <c r="AK83" s="517" t="str">
        <f>IF(AND(Contract_Edits[[#This Row],[Dep]]&lt;&gt;0,
        ISNUMBER(MATCH(Contract_Edits[[#This Row],[Dep]], Contract_Edits[Index], 0)),
        INDEX(Contract_Edits[Dep], MATCH(Contract_Edits[[#This Row],[Dep]], Contract_Edits[Index], 0))=Contract_Edits[[#This Row],[Index]]),
   "2-cycle","")</f>
        <v/>
      </c>
      <c r="AL83" s="517" cm="1">
        <f t="array" ref="AL83">IF(Contract_Edits[[#This Row],[BaseFlag]]&lt;&gt;1,0,
   IF(TEXT(Contract_Edits[[#This Row],[Dep]],"0")=TEXT(Contract_Edits[[#This Row],[Index]],"0"),
      0,
      MAX(0, SUMPRODUCT(--(Contract_Edits[BaseFlag]=1),
                        --(TEXT(Contract_Edits[Dep],"0")=TEXT(Contract_Edits[[#This Row],[Dep]],"0"))) - 1)
   )
)</f>
        <v>0</v>
      </c>
      <c r="AM83" s="517" t="str" cm="1">
        <f t="array" ref="AM83">IF(Contract_Edits[[#This Row],[BaseFlag]]=1,
   TEXT(Contract_Edits[[#This Row],[Index]],"0"),
   NearestBaseL(TEXT(Contract_Edits[[#This Row],[ParentKey]],"0"),500,editsIdxTxt,editsParentKeyTxt,baseIdxTxt,baseCost)
)</f>
        <v>157</v>
      </c>
      <c r="AN83" s="517" cm="1">
        <f t="array" ref="AN83">1+SUMPRODUCT(
  (Contract_Edits[BaseFlag]=1)*
  (TEXT(Contract_Edits[ParentAnchor],"0")=TEXT(Contract_Edits[[#This Row],[ParentAnchor]],"0"))*
  (VALUE(TEXT(Contract_Edits[Index],"0"))&lt;VALUE(TEXT(Contract_Edits[[#This Row],[Index]],"0")))
)</f>
        <v>1</v>
      </c>
      <c r="AO83" s="35"/>
      <c r="AP83" s="35" t="str">
        <f ca="1">IFERROR(+IF(AP$24=#REF!,Milestone_Marker,IF(AND(AP$24&gt;#REF!,AP$24&lt;#REF!+#REF!),#REF!,"")),"")</f>
        <v/>
      </c>
      <c r="AQ83" s="35" t="str">
        <f ca="1">IFERROR(+IF(AQ$24=#REF!,Milestone_Marker,IF(AND(AQ$24&gt;#REF!,AQ$24&lt;#REF!+#REF!),#REF!,"")),"")</f>
        <v/>
      </c>
      <c r="AR83" s="35" t="str">
        <f ca="1">IFERROR(+IF(AS$24=#REF!,Milestone_Marker,IF(AND(AS$24&gt;#REF!,AS$24&lt;=#REF!+#REF!),#REF!,"")),"")</f>
        <v/>
      </c>
      <c r="AS83" s="35" t="str">
        <f ca="1">IFERROR(+IF(AT$24=#REF!,Milestone_Marker,IF(AND(AT$24&gt;#REF!,AT$24&lt;=#REF!+#REF!),#REF!,"")),"")</f>
        <v/>
      </c>
      <c r="AT83" s="35" t="str">
        <f ca="1">IFERROR(+IF(AU$24=#REF!,Milestone_Marker,IF(AND(AU$24&gt;#REF!,AU$24&lt;=#REF!+#REF!),#REF!,"")),"")</f>
        <v/>
      </c>
      <c r="AU83" s="35" t="str">
        <f ca="1">IFERROR(+IF(AV$24=#REF!,Milestone_Marker,IF(AND(AV$24&gt;#REF!,AV$24&lt;=#REF!+#REF!),#REF!,"")),"")</f>
        <v/>
      </c>
      <c r="AV83" s="35" t="str">
        <f ca="1">IFERROR(+IF(AW$24=#REF!,Milestone_Marker,IF(AND(AW$24&gt;#REF!,AW$24&lt;=#REF!+#REF!),#REF!,"")),"")</f>
        <v/>
      </c>
      <c r="AW83" s="35" t="str">
        <f ca="1">IFERROR(+IF(AX$24=#REF!,Milestone_Marker,IF(AND(AX$24&gt;#REF!,AX$24&lt;=#REF!+#REF!),#REF!,"")),"")</f>
        <v/>
      </c>
      <c r="AX83" s="35" t="str">
        <f ca="1">IFERROR(+IF(AY$24=#REF!,Milestone_Marker,IF(AND(AY$24&gt;#REF!,AY$24&lt;=#REF!+#REF!),#REF!,"")),"")</f>
        <v/>
      </c>
      <c r="AY83" s="35" t="str">
        <f ca="1">IFERROR(+IF(AZ$24=#REF!,Milestone_Marker,IF(AND(AZ$24&gt;#REF!,AZ$24&lt;=#REF!+#REF!),#REF!,"")),"")</f>
        <v/>
      </c>
      <c r="AZ83" s="35" t="str">
        <f ca="1">IFERROR(+IF(BA$24=#REF!,Milestone_Marker,IF(AND(BA$24&gt;#REF!,BA$24&lt;=#REF!+#REF!),#REF!,"")),"")</f>
        <v/>
      </c>
      <c r="BA83" s="35" t="str">
        <f ca="1">IFERROR(+IF(BB$24=#REF!,Milestone_Marker,IF(AND(BB$24&gt;#REF!,BB$24&lt;=#REF!+#REF!),#REF!,"")),"")</f>
        <v/>
      </c>
      <c r="BB83" s="35" t="str">
        <f ca="1">IFERROR(+IF(BC$24=#REF!,Milestone_Marker,IF(AND(BC$24&gt;#REF!,BC$24&lt;=#REF!+#REF!),#REF!,"")),"")</f>
        <v/>
      </c>
      <c r="BC83" s="35" t="str">
        <f ca="1">IFERROR(+IF(BD$24=#REF!,Milestone_Marker,IF(AND(BD$24&gt;#REF!,BD$24&lt;=#REF!+#REF!),#REF!,"")),"")</f>
        <v/>
      </c>
      <c r="BD83" s="35" t="str">
        <f ca="1">IFERROR(+IF(BE$24=#REF!,Milestone_Marker,IF(AND(BE$24&gt;#REF!,BE$24&lt;=#REF!+#REF!),#REF!,"")),"")</f>
        <v/>
      </c>
      <c r="BE83" s="35" t="str">
        <f ca="1">IFERROR(+IF(BF$24=#REF!,Milestone_Marker,IF(AND(BF$24&gt;#REF!,BF$24&lt;=#REF!+#REF!),#REF!,"")),"")</f>
        <v/>
      </c>
      <c r="BF83" s="35" t="str">
        <f ca="1">IFERROR(+IF(BG$24=#REF!,Milestone_Marker,IF(AND(BG$24&gt;#REF!,BG$24&lt;=#REF!+#REF!),#REF!,"")),"")</f>
        <v/>
      </c>
      <c r="BG83" s="35" t="str">
        <f ca="1">IFERROR(+IF(BH$24=#REF!,Milestone_Marker,IF(AND(BH$24&gt;#REF!,BH$24&lt;=#REF!+#REF!),#REF!,"")),"")</f>
        <v/>
      </c>
      <c r="BH83" s="35" t="str">
        <f ca="1">IFERROR(+IF(BI$24=#REF!,Milestone_Marker,IF(AND(BI$24&gt;#REF!,BI$24&lt;=#REF!+#REF!),#REF!,"")),"")</f>
        <v/>
      </c>
      <c r="BI83" s="35" t="str">
        <f ca="1">IFERROR(+IF(BJ$24=#REF!,Milestone_Marker,IF(AND(BJ$24&gt;#REF!,BJ$24&lt;=#REF!+#REF!),#REF!,"")),"")</f>
        <v/>
      </c>
      <c r="BJ83" s="35" t="str">
        <f ca="1">IFERROR(+IF(BK$24=#REF!,Milestone_Marker,IF(AND(BK$24&gt;#REF!,BK$24&lt;=#REF!+#REF!),#REF!,"")),"")</f>
        <v/>
      </c>
      <c r="BK83" s="35" t="str">
        <f ca="1">IFERROR(+IF(BL$24=#REF!,Milestone_Marker,IF(AND(BL$24&gt;#REF!,BL$24&lt;=#REF!+#REF!),#REF!,"")),"")</f>
        <v/>
      </c>
      <c r="BL83" s="35" t="str">
        <f ca="1">IFERROR(+IF(BM$24=#REF!,Milestone_Marker,IF(AND(BM$24&gt;#REF!,BM$24&lt;=#REF!+#REF!),#REF!,"")),"")</f>
        <v/>
      </c>
      <c r="BM83" s="35" t="str">
        <f ca="1">IFERROR(+IF(BN$24=#REF!,Milestone_Marker,IF(AND(BN$24&gt;#REF!,BN$24&lt;=#REF!+#REF!),#REF!,"")),"")</f>
        <v/>
      </c>
      <c r="BN83" s="35" t="str">
        <f ca="1">IFERROR(+IF(BO$24=#REF!,Milestone_Marker,IF(AND(BO$24&gt;#REF!,BO$24&lt;=#REF!+#REF!),#REF!,"")),"")</f>
        <v/>
      </c>
      <c r="BO83" s="35" t="str">
        <f ca="1">IFERROR(+IF(BP$24=#REF!,Milestone_Marker,IF(AND(BP$24&gt;#REF!,BP$24&lt;=#REF!+#REF!),#REF!,"")),"")</f>
        <v/>
      </c>
      <c r="BP83" s="35" t="str">
        <f ca="1">IFERROR(+IF(BQ$24=#REF!,Milestone_Marker,IF(AND(BQ$24&gt;#REF!,BQ$24&lt;=#REF!+#REF!),#REF!,"")),"")</f>
        <v/>
      </c>
      <c r="BQ83" s="35" t="str">
        <f ca="1">IFERROR(+IF(BR$24=#REF!,Milestone_Marker,IF(AND(BR$24&gt;#REF!,BR$24&lt;=#REF!+#REF!),#REF!,"")),"")</f>
        <v/>
      </c>
      <c r="BR83" s="35" t="str">
        <f ca="1">IFERROR(+IF(BS$24=#REF!,Milestone_Marker,IF(AND(BS$24&gt;#REF!,BS$24&lt;=#REF!+#REF!),#REF!,"")),"")</f>
        <v/>
      </c>
      <c r="BS83" s="35" t="str">
        <f ca="1">IFERROR(+IF(BT$24=#REF!,Milestone_Marker,IF(AND(BT$24&gt;#REF!,BT$24&lt;=#REF!+#REF!),#REF!,"")),"")</f>
        <v/>
      </c>
      <c r="BT83" s="35" t="str">
        <f ca="1">IFERROR(+IF(BU$24=#REF!,Milestone_Marker,IF(AND(BU$24&gt;#REF!,BU$24&lt;=#REF!+#REF!),#REF!,"")),"")</f>
        <v/>
      </c>
      <c r="BU83" s="35" t="str">
        <f ca="1">IFERROR(+IF(BV$24=#REF!,Milestone_Marker,IF(AND(BV$24&gt;#REF!,BV$24&lt;=#REF!+#REF!),#REF!,"")),"")</f>
        <v/>
      </c>
      <c r="BV83" s="35" t="str">
        <f ca="1">IFERROR(+IF(BW$24=#REF!,Milestone_Marker,IF(AND(BW$24&gt;#REF!,BW$24&lt;=#REF!+#REF!),#REF!,"")),"")</f>
        <v/>
      </c>
      <c r="BW83" s="35" t="str">
        <f ca="1">IFERROR(+IF(BX$24=#REF!,Milestone_Marker,IF(AND(BX$24&gt;#REF!,BX$24&lt;=#REF!+#REF!),#REF!,"")),"")</f>
        <v/>
      </c>
      <c r="BX83" s="35" t="str">
        <f ca="1">IFERROR(+IF(BY$24=#REF!,Milestone_Marker,IF(AND(BY$24&gt;#REF!,BY$24&lt;=#REF!+#REF!),#REF!,"")),"")</f>
        <v/>
      </c>
      <c r="BY83" s="35" t="str">
        <f ca="1">IFERROR(+IF(BZ$24=#REF!,Milestone_Marker,IF(AND(BZ$24&gt;#REF!,BZ$24&lt;=#REF!+#REF!),#REF!,"")),"")</f>
        <v/>
      </c>
      <c r="BZ83" s="35" t="str">
        <f ca="1">IFERROR(+IF(CA$24=#REF!,Milestone_Marker,IF(AND(CA$24&gt;#REF!,CA$24&lt;=#REF!+#REF!),#REF!,"")),"")</f>
        <v/>
      </c>
      <c r="CA83" s="35" t="str">
        <f ca="1">IFERROR(+IF(CB$24=#REF!,Milestone_Marker,IF(AND(CB$24&gt;#REF!,CB$24&lt;=#REF!+#REF!),#REF!,"")),"")</f>
        <v/>
      </c>
      <c r="CB83" s="35" t="str">
        <f ca="1">IFERROR(+IF(CC$24=#REF!,Milestone_Marker,IF(AND(CC$24&gt;#REF!,CC$24&lt;=#REF!+#REF!),#REF!,"")),"")</f>
        <v/>
      </c>
      <c r="CC83" s="35" t="str">
        <f ca="1">IFERROR(+IF(CD$24=#REF!,Milestone_Marker,IF(AND(CD$24&gt;#REF!,CD$24&lt;=#REF!+#REF!),#REF!,"")),"")</f>
        <v/>
      </c>
      <c r="CD83" s="35" t="str">
        <f ca="1">IFERROR(+IF(CE$24=#REF!,Milestone_Marker,IF(AND(CE$24&gt;#REF!,CE$24&lt;=#REF!+#REF!),#REF!,"")),"")</f>
        <v/>
      </c>
      <c r="CE83" s="35" t="str">
        <f ca="1">IFERROR(+IF(CF$24=#REF!,Milestone_Marker,IF(AND(CF$24&gt;#REF!,CF$24&lt;=#REF!+#REF!),#REF!,"")),"")</f>
        <v/>
      </c>
      <c r="CF83" s="35" t="str">
        <f ca="1">IFERROR(+IF(CG$24=#REF!,Milestone_Marker,IF(AND(CG$24&gt;#REF!,CG$24&lt;=#REF!+#REF!),#REF!,"")),"")</f>
        <v/>
      </c>
      <c r="CG83" s="35" t="str">
        <f ca="1">IFERROR(+IF(CH$24=#REF!,Milestone_Marker,IF(AND(CH$24&gt;#REF!,CH$24&lt;=#REF!+#REF!),#REF!,"")),"")</f>
        <v/>
      </c>
      <c r="CH83" s="35" t="str">
        <f ca="1">IFERROR(+IF(CI$24=#REF!,Milestone_Marker,IF(AND(CI$24&gt;#REF!,CI$24&lt;=#REF!+#REF!),#REF!,"")),"")</f>
        <v/>
      </c>
      <c r="CI83" s="35" t="str">
        <f ca="1">IFERROR(+IF(CJ$24=#REF!,Milestone_Marker,IF(AND(CJ$24&gt;#REF!,CJ$24&lt;=#REF!+#REF!),#REF!,"")),"")</f>
        <v/>
      </c>
      <c r="CJ83" s="35" t="str">
        <f ca="1">IFERROR(+IF(CK$24=#REF!,Milestone_Marker,IF(AND(CK$24&gt;#REF!,CK$24&lt;=#REF!+#REF!),#REF!,"")),"")</f>
        <v/>
      </c>
      <c r="CK83" s="35" t="str">
        <f ca="1">IFERROR(+IF(CL$24=#REF!,Milestone_Marker,IF(AND(CL$24&gt;#REF!,CL$24&lt;=#REF!+#REF!),#REF!,"")),"")</f>
        <v/>
      </c>
      <c r="CL83" s="35" t="str">
        <f ca="1">IFERROR(+IF(CM$24=#REF!,Milestone_Marker,IF(AND(CM$24&gt;#REF!,CM$24&lt;=#REF!+#REF!),#REF!,"")),"")</f>
        <v/>
      </c>
      <c r="CM83" s="35" t="str">
        <f ca="1">IFERROR(+IF(CN$24=#REF!,Milestone_Marker,IF(AND(CN$24&gt;#REF!,CN$24&lt;=#REF!+#REF!),#REF!,"")),"")</f>
        <v/>
      </c>
      <c r="CN83" s="35" t="str">
        <f ca="1">IFERROR(+IF(CO$24=#REF!,Milestone_Marker,IF(AND(CO$24&gt;#REF!,CO$24&lt;=#REF!+#REF!),#REF!,"")),"")</f>
        <v/>
      </c>
      <c r="CO83" s="35" t="str">
        <f ca="1">IFERROR(+IF(CP$24=#REF!,Milestone_Marker,IF(AND(CP$24&gt;#REF!,CP$24&lt;=#REF!+#REF!),#REF!,"")),"")</f>
        <v/>
      </c>
      <c r="CP83" s="35" t="str">
        <f ca="1">IFERROR(+IF(CQ$24=#REF!,Milestone_Marker,IF(AND(CQ$24&gt;#REF!,CQ$24&lt;=#REF!+#REF!),#REF!,"")),"")</f>
        <v/>
      </c>
      <c r="CQ83" s="35" t="str">
        <f ca="1">IFERROR(+IF(CR$24=#REF!,Milestone_Marker,IF(AND(CR$24&gt;#REF!,CR$24&lt;=#REF!+#REF!),#REF!,"")),"")</f>
        <v/>
      </c>
      <c r="CR83" s="35" t="str">
        <f ca="1">IFERROR(+IF(CS$24=#REF!,Milestone_Marker,IF(AND(CS$24&gt;#REF!,CS$24&lt;=#REF!+#REF!),#REF!,"")),"")</f>
        <v/>
      </c>
      <c r="CS83" s="35" t="str">
        <f ca="1">IFERROR(+IF(CT$24=#REF!,Milestone_Marker,IF(AND(CT$24&gt;#REF!,CT$24&lt;=#REF!+#REF!),#REF!,"")),"")</f>
        <v/>
      </c>
      <c r="CT83" s="35" t="str">
        <f ca="1">IFERROR(+IF(CU$24=#REF!,Milestone_Marker,IF(AND(CU$24&gt;#REF!,CU$24&lt;=#REF!+#REF!),#REF!,"")),"")</f>
        <v/>
      </c>
      <c r="CU83" s="35" t="str">
        <f ca="1">IFERROR(+IF(CV$24=#REF!,Milestone_Marker,IF(AND(CV$24&gt;#REF!,CV$24&lt;=#REF!+#REF!),#REF!,"")),"")</f>
        <v/>
      </c>
      <c r="CV83" s="35" t="str">
        <f ca="1">IFERROR(+IF(CW$24=#REF!,Milestone_Marker,IF(AND(CW$24&gt;#REF!,CW$24&lt;=#REF!+#REF!),#REF!,"")),"")</f>
        <v/>
      </c>
      <c r="CW83" s="35" t="str">
        <f ca="1">IFERROR(+IF(CX$24=#REF!,Milestone_Marker,IF(AND(CX$24&gt;#REF!,CX$24&lt;=#REF!+#REF!),#REF!,"")),"")</f>
        <v/>
      </c>
      <c r="CX83" s="35" t="str">
        <f ca="1">IFERROR(+IF(CY$24=#REF!,Milestone_Marker,IF(AND(CY$24&gt;#REF!,CY$24&lt;=#REF!+#REF!),#REF!,"")),"")</f>
        <v/>
      </c>
      <c r="CY83" s="35" t="str">
        <f ca="1">IFERROR(+IF(CZ$24=#REF!,Milestone_Marker,IF(AND(CZ$24&gt;#REF!,CZ$24&lt;=#REF!+#REF!),#REF!,"")),"")</f>
        <v/>
      </c>
      <c r="CZ83" s="35" t="str">
        <f ca="1">IFERROR(+IF(DA$24=#REF!,Milestone_Marker,IF(AND(DA$24&gt;#REF!,DA$24&lt;=#REF!+#REF!),#REF!,"")),"")</f>
        <v/>
      </c>
      <c r="DA83" s="35" t="str">
        <f ca="1">IFERROR(+IF(DB$24=#REF!,Milestone_Marker,IF(AND(DB$24&gt;#REF!,DB$24&lt;=#REF!+#REF!),#REF!,"")),"")</f>
        <v/>
      </c>
      <c r="DB83" s="35" t="str">
        <f ca="1">IFERROR(+IF(DC$24=#REF!,Milestone_Marker,IF(AND(DC$24&gt;#REF!,DC$24&lt;=#REF!+#REF!),#REF!,"")),"")</f>
        <v/>
      </c>
      <c r="DC83" s="35" t="str">
        <f ca="1">IFERROR(+IF(DD$24=#REF!,Milestone_Marker,IF(AND(DD$24&gt;#REF!,DD$24&lt;=#REF!+#REF!),#REF!,"")),"")</f>
        <v/>
      </c>
      <c r="DD83" s="35" t="str">
        <f ca="1">IFERROR(+IF(DE$24=#REF!,Milestone_Marker,IF(AND(DE$24&gt;#REF!,DE$24&lt;=#REF!+#REF!),#REF!,"")),"")</f>
        <v/>
      </c>
    </row>
    <row r="84" spans="1:108" ht="15">
      <c r="A84" t="s">
        <v>519</v>
      </c>
      <c r="B84" t="s">
        <v>793</v>
      </c>
      <c r="C84" t="s">
        <v>1452</v>
      </c>
      <c r="D84" s="458" t="s">
        <v>1486</v>
      </c>
      <c r="E84" s="458">
        <v>1</v>
      </c>
      <c r="F84"/>
      <c r="G84"/>
      <c r="H84">
        <v>157</v>
      </c>
      <c r="I84"/>
      <c r="J84">
        <v>200</v>
      </c>
      <c r="K84" s="107"/>
      <c r="L84" s="463">
        <v>200</v>
      </c>
      <c r="M84" s="543"/>
      <c r="N84" s="544"/>
      <c r="O84" s="546" cm="1">
        <f t="array" ref="O8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46002</v>
      </c>
      <c r="P84" s="568"/>
      <c r="Q84" s="568"/>
      <c r="R84" s="499"/>
      <c r="S84" s="463" cm="1">
        <f t="array" ref="S8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84" s="34"/>
      <c r="U84" s="490"/>
      <c r="V8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75.020699999999991</v>
      </c>
      <c r="W84" s="557"/>
      <c r="X84" s="545"/>
      <c r="Y84" s="548" t="s">
        <v>870</v>
      </c>
      <c r="Z84" s="160" t="s">
        <v>458</v>
      </c>
      <c r="AA84" s="563"/>
      <c r="AB84" s="34" cm="1">
        <f t="array" ref="AB84">ROW()-ROW(Contract_Edits[#Headers])</f>
        <v>60</v>
      </c>
      <c r="AC84" s="34">
        <f>IF(Contract_Edits[[#This Row],[RowPos]]&gt;1, Contract_Edits[[#This Row],[RowPos]]-1, 0)</f>
        <v>59</v>
      </c>
      <c r="AD84" s="35">
        <f>IF(N(Contract_Edits[[#This Row],[Dep]])=0, N(Contract_Edits[[#This Row],[Index]]), N(Contract_Edits[[#This Row],[Dep]]))</f>
        <v>157</v>
      </c>
      <c r="AE84" s="35" cm="1">
        <f t="array" ref="AE84">IF(OR(Contract_Edits[[#This Row],[Dep]]=0, TRIM(Contract_Edits[[#This Row],[Dep]])=""),
   0,
   IFERROR(
      _xlfn.XLOOKUP(1, (Contract_Edits[Dep]=Contract_Edits[[#This Row],[Dep]])*(Contract_Edits[RowPos]&lt;Contract_Edits[[#This Row],[RowPos]]), Contract_Edits[RowPos], , 0, -1),
      0
   )
)</f>
        <v>59</v>
      </c>
      <c r="AF84" s="35">
        <f>IF(OR(Contract_Edits[[#This Row],[Dep]]=0,Contract_Edits[[#This Row],[Dep]]=""),0,
   COUNTIFS(Contract_Edits[Dep],Contract_Edits[[#This Row],[Dep]],Contract_Edits[RowPos],"&lt;="&amp;Contract_Edits[[#This Row],[RowPos]],Contract_Edits[Approve],"Yes")
)</f>
        <v>7</v>
      </c>
      <c r="AG84" s="517">
        <f>--(
  ISNUMBER(SEARCH("BASE PARENT", UPPER(CLEAN(TRIM(_xlfn.XLOOKUP(TEXT(Contract_Edits[[#This Row],[Index]],"0"), baseIdxTxt, baseCost, "")))))) +
  ISNUMBER(SEARCH("DEPENDENCY GROUP", UPPER(CLEAN(TRIM(_xlfn.XLOOKUP(TEXT(Contract_Edits[[#This Row],[Index]],"0"), baseIdxTxt, baseCost, ""))))))
)</f>
        <v>0</v>
      </c>
      <c r="AH84" s="517" t="str" cm="1">
        <f t="array" ref="AH84">IF(Contract_Edits[[#This Row],[BaseFlag]]=1,
   10*BaseDepthL(TEXT(Contract_Edits[[#This Row],[Index]],"0"),500,editsIdxTxt,editsParentKeyTxt,baseIdxTxt,baseCost)-5,
   ""
)</f>
        <v/>
      </c>
      <c r="AI84" s="517" cm="1">
        <f t="array" ref="AI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4" s="517" t="str">
        <f>IF(Contract_Edits[[#This Row],[Dep]]=0,"Root",
   IF(ISNUMBER(MATCH(Contract_Edits[[#This Row],[Dep]],Contract_Edits[Index],0)),"OK","Missing")
)</f>
        <v>OK</v>
      </c>
      <c r="AK84" s="517" t="str">
        <f>IF(AND(Contract_Edits[[#This Row],[Dep]]&lt;&gt;0,
        ISNUMBER(MATCH(Contract_Edits[[#This Row],[Dep]], Contract_Edits[Index], 0)),
        INDEX(Contract_Edits[Dep], MATCH(Contract_Edits[[#This Row],[Dep]], Contract_Edits[Index], 0))=Contract_Edits[[#This Row],[Index]]),
   "2-cycle","")</f>
        <v/>
      </c>
      <c r="AL84" s="517" cm="1">
        <f t="array" ref="AL84">IF(Contract_Edits[[#This Row],[BaseFlag]]&lt;&gt;1,0,
   IF(TEXT(Contract_Edits[[#This Row],[Dep]],"0")=TEXT(Contract_Edits[[#This Row],[Index]],"0"),
      0,
      MAX(0, SUMPRODUCT(--(Contract_Edits[BaseFlag]=1),
                        --(TEXT(Contract_Edits[Dep],"0")=TEXT(Contract_Edits[[#This Row],[Dep]],"0"))) - 1)
   )
)</f>
        <v>0</v>
      </c>
      <c r="AM84" s="517" t="str" cm="1">
        <f t="array" ref="AM84">IF(Contract_Edits[[#This Row],[BaseFlag]]=1,
   TEXT(Contract_Edits[[#This Row],[Index]],"0"),
   NearestBaseL(TEXT(Contract_Edits[[#This Row],[ParentKey]],"0"),500,editsIdxTxt,editsParentKeyTxt,baseIdxTxt,baseCost)
)</f>
        <v>157</v>
      </c>
      <c r="AN84" s="517" cm="1">
        <f t="array" ref="AN84">1+SUMPRODUCT(
  (Contract_Edits[BaseFlag]=1)*
  (TEXT(Contract_Edits[ParentAnchor],"0")=TEXT(Contract_Edits[[#This Row],[ParentAnchor]],"0"))*
  (VALUE(TEXT(Contract_Edits[Index],"0"))&lt;VALUE(TEXT(Contract_Edits[[#This Row],[Index]],"0")))
)</f>
        <v>3</v>
      </c>
      <c r="AO84" s="35"/>
      <c r="AP84" s="35" t="str">
        <f ca="1">IFERROR(+IF(AP$24=#REF!,Milestone_Marker,IF(AND(AP$24&gt;#REF!,AP$24&lt;#REF!+#REF!),#REF!,"")),"")</f>
        <v/>
      </c>
      <c r="AQ84" s="35" t="str">
        <f ca="1">IFERROR(+IF(AQ$24=#REF!,Milestone_Marker,IF(AND(AQ$24&gt;#REF!,AQ$24&lt;#REF!+#REF!),#REF!,"")),"")</f>
        <v/>
      </c>
      <c r="AR84" s="35" t="str">
        <f ca="1">IFERROR(+IF(AS$24=#REF!,Milestone_Marker,IF(AND(AS$24&gt;#REF!,AS$24&lt;=#REF!+#REF!),#REF!,"")),"")</f>
        <v/>
      </c>
      <c r="AS84" s="35" t="str">
        <f ca="1">IFERROR(+IF(AT$24=#REF!,Milestone_Marker,IF(AND(AT$24&gt;#REF!,AT$24&lt;=#REF!+#REF!),#REF!,"")),"")</f>
        <v/>
      </c>
      <c r="AT84" s="35" t="str">
        <f ca="1">IFERROR(+IF(AU$24=#REF!,Milestone_Marker,IF(AND(AU$24&gt;#REF!,AU$24&lt;=#REF!+#REF!),#REF!,"")),"")</f>
        <v/>
      </c>
      <c r="AU84" s="35" t="str">
        <f ca="1">IFERROR(+IF(AV$24=#REF!,Milestone_Marker,IF(AND(AV$24&gt;#REF!,AV$24&lt;=#REF!+#REF!),#REF!,"")),"")</f>
        <v/>
      </c>
      <c r="AV84" s="35" t="str">
        <f ca="1">IFERROR(+IF(AW$24=#REF!,Milestone_Marker,IF(AND(AW$24&gt;#REF!,AW$24&lt;=#REF!+#REF!),#REF!,"")),"")</f>
        <v/>
      </c>
      <c r="AW84" s="35" t="str">
        <f ca="1">IFERROR(+IF(AX$24=#REF!,Milestone_Marker,IF(AND(AX$24&gt;#REF!,AX$24&lt;=#REF!+#REF!),#REF!,"")),"")</f>
        <v/>
      </c>
      <c r="AX84" s="35" t="str">
        <f ca="1">IFERROR(+IF(AY$24=#REF!,Milestone_Marker,IF(AND(AY$24&gt;#REF!,AY$24&lt;=#REF!+#REF!),#REF!,"")),"")</f>
        <v/>
      </c>
      <c r="AY84" s="35" t="str">
        <f ca="1">IFERROR(+IF(AZ$24=#REF!,Milestone_Marker,IF(AND(AZ$24&gt;#REF!,AZ$24&lt;=#REF!+#REF!),#REF!,"")),"")</f>
        <v/>
      </c>
      <c r="AZ84" s="35" t="str">
        <f ca="1">IFERROR(+IF(BA$24=#REF!,Milestone_Marker,IF(AND(BA$24&gt;#REF!,BA$24&lt;=#REF!+#REF!),#REF!,"")),"")</f>
        <v/>
      </c>
      <c r="BA84" s="35" t="str">
        <f ca="1">IFERROR(+IF(BB$24=#REF!,Milestone_Marker,IF(AND(BB$24&gt;#REF!,BB$24&lt;=#REF!+#REF!),#REF!,"")),"")</f>
        <v/>
      </c>
      <c r="BB84" s="35" t="str">
        <f ca="1">IFERROR(+IF(BC$24=#REF!,Milestone_Marker,IF(AND(BC$24&gt;#REF!,BC$24&lt;=#REF!+#REF!),#REF!,"")),"")</f>
        <v/>
      </c>
      <c r="BC84" s="35" t="str">
        <f ca="1">IFERROR(+IF(BD$24=#REF!,Milestone_Marker,IF(AND(BD$24&gt;#REF!,BD$24&lt;=#REF!+#REF!),#REF!,"")),"")</f>
        <v/>
      </c>
      <c r="BD84" s="35" t="str">
        <f ca="1">IFERROR(+IF(BE$24=#REF!,Milestone_Marker,IF(AND(BE$24&gt;#REF!,BE$24&lt;=#REF!+#REF!),#REF!,"")),"")</f>
        <v/>
      </c>
      <c r="BE84" s="35" t="str">
        <f ca="1">IFERROR(+IF(BF$24=#REF!,Milestone_Marker,IF(AND(BF$24&gt;#REF!,BF$24&lt;=#REF!+#REF!),#REF!,"")),"")</f>
        <v/>
      </c>
      <c r="BF84" s="35" t="str">
        <f ca="1">IFERROR(+IF(BG$24=#REF!,Milestone_Marker,IF(AND(BG$24&gt;#REF!,BG$24&lt;=#REF!+#REF!),#REF!,"")),"")</f>
        <v/>
      </c>
      <c r="BG84" s="35" t="str">
        <f ca="1">IFERROR(+IF(BH$24=#REF!,Milestone_Marker,IF(AND(BH$24&gt;#REF!,BH$24&lt;=#REF!+#REF!),#REF!,"")),"")</f>
        <v/>
      </c>
      <c r="BH84" s="35" t="str">
        <f ca="1">IFERROR(+IF(BI$24=#REF!,Milestone_Marker,IF(AND(BI$24&gt;#REF!,BI$24&lt;=#REF!+#REF!),#REF!,"")),"")</f>
        <v/>
      </c>
      <c r="BI84" s="35" t="str">
        <f ca="1">IFERROR(+IF(BJ$24=#REF!,Milestone_Marker,IF(AND(BJ$24&gt;#REF!,BJ$24&lt;=#REF!+#REF!),#REF!,"")),"")</f>
        <v/>
      </c>
      <c r="BJ84" s="35" t="str">
        <f ca="1">IFERROR(+IF(BK$24=#REF!,Milestone_Marker,IF(AND(BK$24&gt;#REF!,BK$24&lt;=#REF!+#REF!),#REF!,"")),"")</f>
        <v/>
      </c>
      <c r="BK84" s="35" t="str">
        <f ca="1">IFERROR(+IF(BL$24=#REF!,Milestone_Marker,IF(AND(BL$24&gt;#REF!,BL$24&lt;=#REF!+#REF!),#REF!,"")),"")</f>
        <v/>
      </c>
      <c r="BL84" s="35" t="str">
        <f ca="1">IFERROR(+IF(BM$24=#REF!,Milestone_Marker,IF(AND(BM$24&gt;#REF!,BM$24&lt;=#REF!+#REF!),#REF!,"")),"")</f>
        <v/>
      </c>
      <c r="BM84" s="35" t="str">
        <f ca="1">IFERROR(+IF(BN$24=#REF!,Milestone_Marker,IF(AND(BN$24&gt;#REF!,BN$24&lt;=#REF!+#REF!),#REF!,"")),"")</f>
        <v/>
      </c>
      <c r="BN84" s="35" t="str">
        <f ca="1">IFERROR(+IF(BO$24=#REF!,Milestone_Marker,IF(AND(BO$24&gt;#REF!,BO$24&lt;=#REF!+#REF!),#REF!,"")),"")</f>
        <v/>
      </c>
      <c r="BO84" s="35" t="str">
        <f ca="1">IFERROR(+IF(BP$24=#REF!,Milestone_Marker,IF(AND(BP$24&gt;#REF!,BP$24&lt;=#REF!+#REF!),#REF!,"")),"")</f>
        <v/>
      </c>
      <c r="BP84" s="35" t="str">
        <f ca="1">IFERROR(+IF(BQ$24=#REF!,Milestone_Marker,IF(AND(BQ$24&gt;#REF!,BQ$24&lt;=#REF!+#REF!),#REF!,"")),"")</f>
        <v/>
      </c>
      <c r="BQ84" s="35" t="str">
        <f ca="1">IFERROR(+IF(BR$24=#REF!,Milestone_Marker,IF(AND(BR$24&gt;#REF!,BR$24&lt;=#REF!+#REF!),#REF!,"")),"")</f>
        <v/>
      </c>
      <c r="BR84" s="35" t="str">
        <f ca="1">IFERROR(+IF(BS$24=#REF!,Milestone_Marker,IF(AND(BS$24&gt;#REF!,BS$24&lt;=#REF!+#REF!),#REF!,"")),"")</f>
        <v/>
      </c>
      <c r="BS84" s="35" t="str">
        <f ca="1">IFERROR(+IF(BT$24=#REF!,Milestone_Marker,IF(AND(BT$24&gt;#REF!,BT$24&lt;=#REF!+#REF!),#REF!,"")),"")</f>
        <v/>
      </c>
      <c r="BT84" s="35" t="str">
        <f ca="1">IFERROR(+IF(BU$24=#REF!,Milestone_Marker,IF(AND(BU$24&gt;#REF!,BU$24&lt;=#REF!+#REF!),#REF!,"")),"")</f>
        <v/>
      </c>
      <c r="BU84" s="35" t="str">
        <f ca="1">IFERROR(+IF(BV$24=#REF!,Milestone_Marker,IF(AND(BV$24&gt;#REF!,BV$24&lt;=#REF!+#REF!),#REF!,"")),"")</f>
        <v/>
      </c>
      <c r="BV84" s="35" t="str">
        <f ca="1">IFERROR(+IF(BW$24=#REF!,Milestone_Marker,IF(AND(BW$24&gt;#REF!,BW$24&lt;=#REF!+#REF!),#REF!,"")),"")</f>
        <v/>
      </c>
      <c r="BW84" s="35" t="str">
        <f ca="1">IFERROR(+IF(BX$24=#REF!,Milestone_Marker,IF(AND(BX$24&gt;#REF!,BX$24&lt;=#REF!+#REF!),#REF!,"")),"")</f>
        <v/>
      </c>
      <c r="BX84" s="35" t="str">
        <f ca="1">IFERROR(+IF(BY$24=#REF!,Milestone_Marker,IF(AND(BY$24&gt;#REF!,BY$24&lt;=#REF!+#REF!),#REF!,"")),"")</f>
        <v/>
      </c>
      <c r="BY84" s="35" t="str">
        <f ca="1">IFERROR(+IF(BZ$24=#REF!,Milestone_Marker,IF(AND(BZ$24&gt;#REF!,BZ$24&lt;=#REF!+#REF!),#REF!,"")),"")</f>
        <v/>
      </c>
      <c r="BZ84" s="35" t="str">
        <f ca="1">IFERROR(+IF(CA$24=#REF!,Milestone_Marker,IF(AND(CA$24&gt;#REF!,CA$24&lt;=#REF!+#REF!),#REF!,"")),"")</f>
        <v/>
      </c>
      <c r="CA84" s="35" t="str">
        <f ca="1">IFERROR(+IF(CB$24=#REF!,Milestone_Marker,IF(AND(CB$24&gt;#REF!,CB$24&lt;=#REF!+#REF!),#REF!,"")),"")</f>
        <v/>
      </c>
      <c r="CB84" s="35" t="str">
        <f ca="1">IFERROR(+IF(CC$24=#REF!,Milestone_Marker,IF(AND(CC$24&gt;#REF!,CC$24&lt;=#REF!+#REF!),#REF!,"")),"")</f>
        <v/>
      </c>
      <c r="CC84" s="35" t="str">
        <f ca="1">IFERROR(+IF(CD$24=#REF!,Milestone_Marker,IF(AND(CD$24&gt;#REF!,CD$24&lt;=#REF!+#REF!),#REF!,"")),"")</f>
        <v/>
      </c>
      <c r="CD84" s="35" t="str">
        <f ca="1">IFERROR(+IF(CE$24=#REF!,Milestone_Marker,IF(AND(CE$24&gt;#REF!,CE$24&lt;=#REF!+#REF!),#REF!,"")),"")</f>
        <v/>
      </c>
      <c r="CE84" s="35" t="str">
        <f ca="1">IFERROR(+IF(CF$24=#REF!,Milestone_Marker,IF(AND(CF$24&gt;#REF!,CF$24&lt;=#REF!+#REF!),#REF!,"")),"")</f>
        <v/>
      </c>
      <c r="CF84" s="35" t="str">
        <f ca="1">IFERROR(+IF(CG$24=#REF!,Milestone_Marker,IF(AND(CG$24&gt;#REF!,CG$24&lt;=#REF!+#REF!),#REF!,"")),"")</f>
        <v/>
      </c>
      <c r="CG84" s="35" t="str">
        <f ca="1">IFERROR(+IF(CH$24=#REF!,Milestone_Marker,IF(AND(CH$24&gt;#REF!,CH$24&lt;=#REF!+#REF!),#REF!,"")),"")</f>
        <v/>
      </c>
      <c r="CH84" s="35" t="str">
        <f ca="1">IFERROR(+IF(CI$24=#REF!,Milestone_Marker,IF(AND(CI$24&gt;#REF!,CI$24&lt;=#REF!+#REF!),#REF!,"")),"")</f>
        <v/>
      </c>
      <c r="CI84" s="35" t="str">
        <f ca="1">IFERROR(+IF(CJ$24=#REF!,Milestone_Marker,IF(AND(CJ$24&gt;#REF!,CJ$24&lt;=#REF!+#REF!),#REF!,"")),"")</f>
        <v/>
      </c>
      <c r="CJ84" s="35" t="str">
        <f ca="1">IFERROR(+IF(CK$24=#REF!,Milestone_Marker,IF(AND(CK$24&gt;#REF!,CK$24&lt;=#REF!+#REF!),#REF!,"")),"")</f>
        <v/>
      </c>
      <c r="CK84" s="35" t="str">
        <f ca="1">IFERROR(+IF(CL$24=#REF!,Milestone_Marker,IF(AND(CL$24&gt;#REF!,CL$24&lt;=#REF!+#REF!),#REF!,"")),"")</f>
        <v/>
      </c>
      <c r="CL84" s="35" t="str">
        <f ca="1">IFERROR(+IF(CM$24=#REF!,Milestone_Marker,IF(AND(CM$24&gt;#REF!,CM$24&lt;=#REF!+#REF!),#REF!,"")),"")</f>
        <v/>
      </c>
      <c r="CM84" s="35" t="str">
        <f ca="1">IFERROR(+IF(CN$24=#REF!,Milestone_Marker,IF(AND(CN$24&gt;#REF!,CN$24&lt;=#REF!+#REF!),#REF!,"")),"")</f>
        <v/>
      </c>
      <c r="CN84" s="35" t="str">
        <f ca="1">IFERROR(+IF(CO$24=#REF!,Milestone_Marker,IF(AND(CO$24&gt;#REF!,CO$24&lt;=#REF!+#REF!),#REF!,"")),"")</f>
        <v/>
      </c>
      <c r="CO84" s="35" t="str">
        <f ca="1">IFERROR(+IF(CP$24=#REF!,Milestone_Marker,IF(AND(CP$24&gt;#REF!,CP$24&lt;=#REF!+#REF!),#REF!,"")),"")</f>
        <v/>
      </c>
      <c r="CP84" s="35" t="str">
        <f ca="1">IFERROR(+IF(CQ$24=#REF!,Milestone_Marker,IF(AND(CQ$24&gt;#REF!,CQ$24&lt;=#REF!+#REF!),#REF!,"")),"")</f>
        <v/>
      </c>
      <c r="CQ84" s="35" t="str">
        <f ca="1">IFERROR(+IF(CR$24=#REF!,Milestone_Marker,IF(AND(CR$24&gt;#REF!,CR$24&lt;=#REF!+#REF!),#REF!,"")),"")</f>
        <v/>
      </c>
      <c r="CR84" s="35" t="str">
        <f ca="1">IFERROR(+IF(CS$24=#REF!,Milestone_Marker,IF(AND(CS$24&gt;#REF!,CS$24&lt;=#REF!+#REF!),#REF!,"")),"")</f>
        <v/>
      </c>
      <c r="CS84" s="35" t="str">
        <f ca="1">IFERROR(+IF(CT$24=#REF!,Milestone_Marker,IF(AND(CT$24&gt;#REF!,CT$24&lt;=#REF!+#REF!),#REF!,"")),"")</f>
        <v/>
      </c>
      <c r="CT84" s="35" t="str">
        <f ca="1">IFERROR(+IF(CU$24=#REF!,Milestone_Marker,IF(AND(CU$24&gt;#REF!,CU$24&lt;=#REF!+#REF!),#REF!,"")),"")</f>
        <v/>
      </c>
      <c r="CU84" s="35" t="str">
        <f ca="1">IFERROR(+IF(CV$24=#REF!,Milestone_Marker,IF(AND(CV$24&gt;#REF!,CV$24&lt;=#REF!+#REF!),#REF!,"")),"")</f>
        <v/>
      </c>
      <c r="CV84" s="35" t="str">
        <f ca="1">IFERROR(+IF(CW$24=#REF!,Milestone_Marker,IF(AND(CW$24&gt;#REF!,CW$24&lt;=#REF!+#REF!),#REF!,"")),"")</f>
        <v/>
      </c>
      <c r="CW84" s="35" t="str">
        <f ca="1">IFERROR(+IF(CX$24=#REF!,Milestone_Marker,IF(AND(CX$24&gt;#REF!,CX$24&lt;=#REF!+#REF!),#REF!,"")),"")</f>
        <v/>
      </c>
      <c r="CX84" s="35" t="str">
        <f ca="1">IFERROR(+IF(CY$24=#REF!,Milestone_Marker,IF(AND(CY$24&gt;#REF!,CY$24&lt;=#REF!+#REF!),#REF!,"")),"")</f>
        <v/>
      </c>
      <c r="CY84" s="35" t="str">
        <f ca="1">IFERROR(+IF(CZ$24=#REF!,Milestone_Marker,IF(AND(CZ$24&gt;#REF!,CZ$24&lt;=#REF!+#REF!),#REF!,"")),"")</f>
        <v/>
      </c>
      <c r="CZ84" s="35" t="str">
        <f ca="1">IFERROR(+IF(DA$24=#REF!,Milestone_Marker,IF(AND(DA$24&gt;#REF!,DA$24&lt;=#REF!+#REF!),#REF!,"")),"")</f>
        <v/>
      </c>
      <c r="DA84" s="35" t="str">
        <f ca="1">IFERROR(+IF(DB$24=#REF!,Milestone_Marker,IF(AND(DB$24&gt;#REF!,DB$24&lt;=#REF!+#REF!),#REF!,"")),"")</f>
        <v/>
      </c>
      <c r="DB84" s="35" t="str">
        <f ca="1">IFERROR(+IF(DC$24=#REF!,Milestone_Marker,IF(AND(DC$24&gt;#REF!,DC$24&lt;=#REF!+#REF!),#REF!,"")),"")</f>
        <v/>
      </c>
      <c r="DC84" s="35" t="str">
        <f ca="1">IFERROR(+IF(DD$24=#REF!,Milestone_Marker,IF(AND(DD$24&gt;#REF!,DD$24&lt;=#REF!+#REF!),#REF!,"")),"")</f>
        <v/>
      </c>
      <c r="DD84" s="35" t="str">
        <f ca="1">IFERROR(+IF(DE$24=#REF!,Milestone_Marker,IF(AND(DE$24&gt;#REF!,DE$24&lt;=#REF!+#REF!),#REF!,"")),"")</f>
        <v/>
      </c>
    </row>
    <row r="85" spans="1:108" ht="15">
      <c r="A85" t="s">
        <v>747</v>
      </c>
      <c r="B85" t="s">
        <v>744</v>
      </c>
      <c r="C85" t="s">
        <v>756</v>
      </c>
      <c r="D85" s="458" t="s">
        <v>594</v>
      </c>
      <c r="E85" s="458">
        <v>0</v>
      </c>
      <c r="F85"/>
      <c r="G85"/>
      <c r="H85">
        <v>155</v>
      </c>
      <c r="I85"/>
      <c r="J85">
        <v>158</v>
      </c>
      <c r="K85" s="107"/>
      <c r="L85" s="463">
        <v>158</v>
      </c>
      <c r="M85" s="490"/>
      <c r="N85" s="160">
        <v>0</v>
      </c>
      <c r="O85" s="546" cm="1">
        <f t="array" ref="O8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85" s="567"/>
      <c r="Q85" s="567"/>
      <c r="R85" s="499"/>
      <c r="S85" s="463" cm="1">
        <f t="array" ref="S8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85" s="34">
        <v>1</v>
      </c>
      <c r="U85" s="490"/>
      <c r="V8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v>
      </c>
      <c r="W85" s="557"/>
      <c r="X85" s="545"/>
      <c r="Y85" s="548"/>
      <c r="Z85" s="535" t="s">
        <v>458</v>
      </c>
      <c r="AA85" s="544"/>
      <c r="AB85" cm="1">
        <f t="array" ref="AB85">ROW()-ROW(Contract_Edits[#Headers])</f>
        <v>61</v>
      </c>
      <c r="AC85">
        <f>IF(Contract_Edits[[#This Row],[RowPos]]&gt;1, Contract_Edits[[#This Row],[RowPos]]-1, 0)</f>
        <v>60</v>
      </c>
      <c r="AD85" s="35">
        <f>IF(N(Contract_Edits[[#This Row],[Dep]])=0, N(Contract_Edits[[#This Row],[Index]]), N(Contract_Edits[[#This Row],[Dep]]))</f>
        <v>155</v>
      </c>
      <c r="AE85" s="35" cm="1">
        <f t="array" ref="AE85">IF(OR(Contract_Edits[[#This Row],[Dep]]=0, TRIM(Contract_Edits[[#This Row],[Dep]])=""),
   0,
   IFERROR(
      _xlfn.XLOOKUP(1, (Contract_Edits[Dep]=Contract_Edits[[#This Row],[Dep]])*(Contract_Edits[RowPos]&lt;Contract_Edits[[#This Row],[RowPos]]), Contract_Edits[RowPos], , 0, -1),
      0
   )
)</f>
        <v>53</v>
      </c>
      <c r="AF85" s="35">
        <f>IF(OR(Contract_Edits[[#This Row],[Dep]]=0,Contract_Edits[[#This Row],[Dep]]=""),0,
   COUNTIFS(Contract_Edits[Dep],Contract_Edits[[#This Row],[Dep]],Contract_Edits[RowPos],"&lt;="&amp;Contract_Edits[[#This Row],[RowPos]],Contract_Edits[Approve],"Yes")
)</f>
        <v>17</v>
      </c>
      <c r="AG85" s="517">
        <f>--(
  ISNUMBER(SEARCH("BASE PARENT", UPPER(CLEAN(TRIM(_xlfn.XLOOKUP(TEXT(Contract_Edits[[#This Row],[Index]],"0"), baseIdxTxt, baseCost, "")))))) +
  ISNUMBER(SEARCH("DEPENDENCY GROUP", UPPER(CLEAN(TRIM(_xlfn.XLOOKUP(TEXT(Contract_Edits[[#This Row],[Index]],"0"), baseIdxTxt, baseCost, ""))))))
)</f>
        <v>1</v>
      </c>
      <c r="AH85" s="517" cm="1">
        <f t="array" ref="AH85">IF(Contract_Edits[[#This Row],[BaseFlag]]=1,
   10*BaseDepthL(TEXT(Contract_Edits[[#This Row],[Index]],"0"),500,editsIdxTxt,editsParentKeyTxt,baseIdxTxt,baseCost)-5,
   ""
)</f>
        <v>75</v>
      </c>
      <c r="AI85" s="517" cm="1">
        <f t="array" ref="AI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85" s="517" t="str">
        <f>IF(Contract_Edits[[#This Row],[Dep]]=0,"Root",
   IF(ISNUMBER(MATCH(Contract_Edits[[#This Row],[Dep]],Contract_Edits[Index],0)),"OK","Missing")
)</f>
        <v>OK</v>
      </c>
      <c r="AK85" s="517" t="str">
        <f>IF(AND(Contract_Edits[[#This Row],[Dep]]&lt;&gt;0,
        ISNUMBER(MATCH(Contract_Edits[[#This Row],[Dep]], Contract_Edits[Index], 0)),
        INDEX(Contract_Edits[Dep], MATCH(Contract_Edits[[#This Row],[Dep]], Contract_Edits[Index], 0))=Contract_Edits[[#This Row],[Index]]),
   "2-cycle","")</f>
        <v/>
      </c>
      <c r="AL85" s="517" cm="1">
        <f t="array" ref="AL85">IF(Contract_Edits[[#This Row],[BaseFlag]]&lt;&gt;1,0,
   IF(TEXT(Contract_Edits[[#This Row],[Dep]],"0")=TEXT(Contract_Edits[[#This Row],[Index]],"0"),
      0,
      MAX(0, SUMPRODUCT(--(Contract_Edits[BaseFlag]=1),
                        --(TEXT(Contract_Edits[Dep],"0")=TEXT(Contract_Edits[[#This Row],[Dep]],"0"))) - 1)
   )
)</f>
        <v>3</v>
      </c>
      <c r="AM85" s="517" t="str" cm="1">
        <f t="array" ref="AM85">IF(Contract_Edits[[#This Row],[BaseFlag]]=1,
   TEXT(Contract_Edits[[#This Row],[Index]],"0"),
   NearestBaseL(TEXT(Contract_Edits[[#This Row],[ParentKey]],"0"),500,editsIdxTxt,editsParentKeyTxt,baseIdxTxt,baseCost)
)</f>
        <v>158</v>
      </c>
      <c r="AN85" s="517" cm="1">
        <f t="array" ref="AN85">1+SUMPRODUCT(
  (Contract_Edits[BaseFlag]=1)*
  (TEXT(Contract_Edits[ParentAnchor],"0")=TEXT(Contract_Edits[[#This Row],[ParentAnchor]],"0"))*
  (VALUE(TEXT(Contract_Edits[Index],"0"))&lt;VALUE(TEXT(Contract_Edits[[#This Row],[Index]],"0")))
)</f>
        <v>3</v>
      </c>
      <c r="AO85" s="35"/>
      <c r="AP85" s="35" t="str">
        <f ca="1">IFERROR(+IF(AP$24=#REF!,Milestone_Marker,IF(AND(AP$24&gt;#REF!,AP$24&lt;#REF!+#REF!),#REF!,"")),"")</f>
        <v/>
      </c>
      <c r="AQ85" s="35" t="str">
        <f ca="1">IFERROR(+IF(AQ$24=#REF!,Milestone_Marker,IF(AND(AQ$24&gt;#REF!,AQ$24&lt;#REF!+#REF!),#REF!,"")),"")</f>
        <v/>
      </c>
      <c r="AR85" s="35" t="str">
        <f ca="1">IFERROR(+IF(AS$24=#REF!,Milestone_Marker,IF(AND(AS$24&gt;#REF!,AS$24&lt;=#REF!+#REF!),#REF!,"")),"")</f>
        <v/>
      </c>
      <c r="AS85" s="35" t="str">
        <f ca="1">IFERROR(+IF(AT$24=#REF!,Milestone_Marker,IF(AND(AT$24&gt;#REF!,AT$24&lt;=#REF!+#REF!),#REF!,"")),"")</f>
        <v/>
      </c>
      <c r="AT85" s="35" t="str">
        <f ca="1">IFERROR(+IF(AU$24=#REF!,Milestone_Marker,IF(AND(AU$24&gt;#REF!,AU$24&lt;=#REF!+#REF!),#REF!,"")),"")</f>
        <v/>
      </c>
      <c r="AU85" s="35" t="str">
        <f ca="1">IFERROR(+IF(AV$24=#REF!,Milestone_Marker,IF(AND(AV$24&gt;#REF!,AV$24&lt;=#REF!+#REF!),#REF!,"")),"")</f>
        <v/>
      </c>
      <c r="AV85" s="35" t="str">
        <f ca="1">IFERROR(+IF(AW$24=#REF!,Milestone_Marker,IF(AND(AW$24&gt;#REF!,AW$24&lt;=#REF!+#REF!),#REF!,"")),"")</f>
        <v/>
      </c>
      <c r="AW85" s="35" t="str">
        <f ca="1">IFERROR(+IF(AX$24=#REF!,Milestone_Marker,IF(AND(AX$24&gt;#REF!,AX$24&lt;=#REF!+#REF!),#REF!,"")),"")</f>
        <v/>
      </c>
      <c r="AX85" s="35" t="str">
        <f ca="1">IFERROR(+IF(AY$24=#REF!,Milestone_Marker,IF(AND(AY$24&gt;#REF!,AY$24&lt;=#REF!+#REF!),#REF!,"")),"")</f>
        <v/>
      </c>
      <c r="AY85" s="35" t="str">
        <f ca="1">IFERROR(+IF(AZ$24=#REF!,Milestone_Marker,IF(AND(AZ$24&gt;#REF!,AZ$24&lt;=#REF!+#REF!),#REF!,"")),"")</f>
        <v/>
      </c>
      <c r="AZ85" s="35" t="str">
        <f ca="1">IFERROR(+IF(BA$24=#REF!,Milestone_Marker,IF(AND(BA$24&gt;#REF!,BA$24&lt;=#REF!+#REF!),#REF!,"")),"")</f>
        <v/>
      </c>
      <c r="BA85" s="35" t="str">
        <f ca="1">IFERROR(+IF(BB$24=#REF!,Milestone_Marker,IF(AND(BB$24&gt;#REF!,BB$24&lt;=#REF!+#REF!),#REF!,"")),"")</f>
        <v/>
      </c>
      <c r="BB85" s="35" t="str">
        <f ca="1">IFERROR(+IF(BC$24=#REF!,Milestone_Marker,IF(AND(BC$24&gt;#REF!,BC$24&lt;=#REF!+#REF!),#REF!,"")),"")</f>
        <v/>
      </c>
      <c r="BC85" s="35" t="str">
        <f ca="1">IFERROR(+IF(BD$24=#REF!,Milestone_Marker,IF(AND(BD$24&gt;#REF!,BD$24&lt;=#REF!+#REF!),#REF!,"")),"")</f>
        <v/>
      </c>
      <c r="BD85" s="35" t="str">
        <f ca="1">IFERROR(+IF(BE$24=#REF!,Milestone_Marker,IF(AND(BE$24&gt;#REF!,BE$24&lt;=#REF!+#REF!),#REF!,"")),"")</f>
        <v/>
      </c>
      <c r="BE85" s="35" t="str">
        <f ca="1">IFERROR(+IF(BF$24=#REF!,Milestone_Marker,IF(AND(BF$24&gt;#REF!,BF$24&lt;=#REF!+#REF!),#REF!,"")),"")</f>
        <v/>
      </c>
      <c r="BF85" s="35" t="str">
        <f ca="1">IFERROR(+IF(BG$24=#REF!,Milestone_Marker,IF(AND(BG$24&gt;#REF!,BG$24&lt;=#REF!+#REF!),#REF!,"")),"")</f>
        <v/>
      </c>
      <c r="BG85" s="35" t="str">
        <f ca="1">IFERROR(+IF(BH$24=#REF!,Milestone_Marker,IF(AND(BH$24&gt;#REF!,BH$24&lt;=#REF!+#REF!),#REF!,"")),"")</f>
        <v/>
      </c>
      <c r="BH85" s="35" t="str">
        <f ca="1">IFERROR(+IF(BI$24=#REF!,Milestone_Marker,IF(AND(BI$24&gt;#REF!,BI$24&lt;=#REF!+#REF!),#REF!,"")),"")</f>
        <v/>
      </c>
      <c r="BI85" s="35" t="str">
        <f ca="1">IFERROR(+IF(BJ$24=#REF!,Milestone_Marker,IF(AND(BJ$24&gt;#REF!,BJ$24&lt;=#REF!+#REF!),#REF!,"")),"")</f>
        <v/>
      </c>
      <c r="BJ85" s="35" t="str">
        <f ca="1">IFERROR(+IF(BK$24=#REF!,Milestone_Marker,IF(AND(BK$24&gt;#REF!,BK$24&lt;=#REF!+#REF!),#REF!,"")),"")</f>
        <v/>
      </c>
      <c r="BK85" s="35" t="str">
        <f ca="1">IFERROR(+IF(BL$24=#REF!,Milestone_Marker,IF(AND(BL$24&gt;#REF!,BL$24&lt;=#REF!+#REF!),#REF!,"")),"")</f>
        <v/>
      </c>
      <c r="BL85" s="35" t="str">
        <f ca="1">IFERROR(+IF(BM$24=#REF!,Milestone_Marker,IF(AND(BM$24&gt;#REF!,BM$24&lt;=#REF!+#REF!),#REF!,"")),"")</f>
        <v/>
      </c>
      <c r="BM85" s="35" t="str">
        <f ca="1">IFERROR(+IF(BN$24=#REF!,Milestone_Marker,IF(AND(BN$24&gt;#REF!,BN$24&lt;=#REF!+#REF!),#REF!,"")),"")</f>
        <v/>
      </c>
      <c r="BN85" s="35" t="str">
        <f ca="1">IFERROR(+IF(BO$24=#REF!,Milestone_Marker,IF(AND(BO$24&gt;#REF!,BO$24&lt;=#REF!+#REF!),#REF!,"")),"")</f>
        <v/>
      </c>
      <c r="BO85" s="35" t="str">
        <f ca="1">IFERROR(+IF(BP$24=#REF!,Milestone_Marker,IF(AND(BP$24&gt;#REF!,BP$24&lt;=#REF!+#REF!),#REF!,"")),"")</f>
        <v/>
      </c>
      <c r="BP85" s="35" t="str">
        <f ca="1">IFERROR(+IF(BQ$24=#REF!,Milestone_Marker,IF(AND(BQ$24&gt;#REF!,BQ$24&lt;=#REF!+#REF!),#REF!,"")),"")</f>
        <v/>
      </c>
      <c r="BQ85" s="35" t="str">
        <f ca="1">IFERROR(+IF(BR$24=#REF!,Milestone_Marker,IF(AND(BR$24&gt;#REF!,BR$24&lt;=#REF!+#REF!),#REF!,"")),"")</f>
        <v/>
      </c>
      <c r="BR85" s="35" t="str">
        <f ca="1">IFERROR(+IF(BS$24=#REF!,Milestone_Marker,IF(AND(BS$24&gt;#REF!,BS$24&lt;=#REF!+#REF!),#REF!,"")),"")</f>
        <v/>
      </c>
      <c r="BS85" s="35" t="str">
        <f ca="1">IFERROR(+IF(BT$24=#REF!,Milestone_Marker,IF(AND(BT$24&gt;#REF!,BT$24&lt;=#REF!+#REF!),#REF!,"")),"")</f>
        <v/>
      </c>
      <c r="BT85" s="35" t="str">
        <f ca="1">IFERROR(+IF(BU$24=#REF!,Milestone_Marker,IF(AND(BU$24&gt;#REF!,BU$24&lt;=#REF!+#REF!),#REF!,"")),"")</f>
        <v/>
      </c>
      <c r="BU85" s="35" t="str">
        <f ca="1">IFERROR(+IF(BV$24=#REF!,Milestone_Marker,IF(AND(BV$24&gt;#REF!,BV$24&lt;=#REF!+#REF!),#REF!,"")),"")</f>
        <v/>
      </c>
      <c r="BV85" s="35" t="str">
        <f ca="1">IFERROR(+IF(BW$24=#REF!,Milestone_Marker,IF(AND(BW$24&gt;#REF!,BW$24&lt;=#REF!+#REF!),#REF!,"")),"")</f>
        <v/>
      </c>
      <c r="BW85" s="35" t="str">
        <f ca="1">IFERROR(+IF(BX$24=#REF!,Milestone_Marker,IF(AND(BX$24&gt;#REF!,BX$24&lt;=#REF!+#REF!),#REF!,"")),"")</f>
        <v/>
      </c>
      <c r="BX85" s="35" t="str">
        <f ca="1">IFERROR(+IF(BY$24=#REF!,Milestone_Marker,IF(AND(BY$24&gt;#REF!,BY$24&lt;=#REF!+#REF!),#REF!,"")),"")</f>
        <v/>
      </c>
      <c r="BY85" s="35" t="str">
        <f ca="1">IFERROR(+IF(BZ$24=#REF!,Milestone_Marker,IF(AND(BZ$24&gt;#REF!,BZ$24&lt;=#REF!+#REF!),#REF!,"")),"")</f>
        <v/>
      </c>
      <c r="BZ85" s="35" t="str">
        <f ca="1">IFERROR(+IF(CA$24=#REF!,Milestone_Marker,IF(AND(CA$24&gt;#REF!,CA$24&lt;=#REF!+#REF!),#REF!,"")),"")</f>
        <v/>
      </c>
      <c r="CA85" s="35" t="str">
        <f ca="1">IFERROR(+IF(CB$24=#REF!,Milestone_Marker,IF(AND(CB$24&gt;#REF!,CB$24&lt;=#REF!+#REF!),#REF!,"")),"")</f>
        <v/>
      </c>
      <c r="CB85" s="35" t="str">
        <f ca="1">IFERROR(+IF(CC$24=#REF!,Milestone_Marker,IF(AND(CC$24&gt;#REF!,CC$24&lt;=#REF!+#REF!),#REF!,"")),"")</f>
        <v/>
      </c>
      <c r="CC85" s="35" t="str">
        <f ca="1">IFERROR(+IF(CD$24=#REF!,Milestone_Marker,IF(AND(CD$24&gt;#REF!,CD$24&lt;=#REF!+#REF!),#REF!,"")),"")</f>
        <v/>
      </c>
      <c r="CD85" s="35" t="str">
        <f ca="1">IFERROR(+IF(CE$24=#REF!,Milestone_Marker,IF(AND(CE$24&gt;#REF!,CE$24&lt;=#REF!+#REF!),#REF!,"")),"")</f>
        <v/>
      </c>
      <c r="CE85" s="35" t="str">
        <f ca="1">IFERROR(+IF(CF$24=#REF!,Milestone_Marker,IF(AND(CF$24&gt;#REF!,CF$24&lt;=#REF!+#REF!),#REF!,"")),"")</f>
        <v/>
      </c>
      <c r="CF85" s="35" t="str">
        <f ca="1">IFERROR(+IF(CG$24=#REF!,Milestone_Marker,IF(AND(CG$24&gt;#REF!,CG$24&lt;=#REF!+#REF!),#REF!,"")),"")</f>
        <v/>
      </c>
      <c r="CG85" s="35" t="str">
        <f ca="1">IFERROR(+IF(CH$24=#REF!,Milestone_Marker,IF(AND(CH$24&gt;#REF!,CH$24&lt;=#REF!+#REF!),#REF!,"")),"")</f>
        <v/>
      </c>
      <c r="CH85" s="35" t="str">
        <f ca="1">IFERROR(+IF(CI$24=#REF!,Milestone_Marker,IF(AND(CI$24&gt;#REF!,CI$24&lt;=#REF!+#REF!),#REF!,"")),"")</f>
        <v/>
      </c>
      <c r="CI85" s="35" t="str">
        <f ca="1">IFERROR(+IF(CJ$24=#REF!,Milestone_Marker,IF(AND(CJ$24&gt;#REF!,CJ$24&lt;=#REF!+#REF!),#REF!,"")),"")</f>
        <v/>
      </c>
      <c r="CJ85" s="35" t="str">
        <f ca="1">IFERROR(+IF(CK$24=#REF!,Milestone_Marker,IF(AND(CK$24&gt;#REF!,CK$24&lt;=#REF!+#REF!),#REF!,"")),"")</f>
        <v/>
      </c>
      <c r="CK85" s="35" t="str">
        <f ca="1">IFERROR(+IF(CL$24=#REF!,Milestone_Marker,IF(AND(CL$24&gt;#REF!,CL$24&lt;=#REF!+#REF!),#REF!,"")),"")</f>
        <v/>
      </c>
      <c r="CL85" s="35" t="str">
        <f ca="1">IFERROR(+IF(CM$24=#REF!,Milestone_Marker,IF(AND(CM$24&gt;#REF!,CM$24&lt;=#REF!+#REF!),#REF!,"")),"")</f>
        <v/>
      </c>
      <c r="CM85" s="35" t="str">
        <f ca="1">IFERROR(+IF(CN$24=#REF!,Milestone_Marker,IF(AND(CN$24&gt;#REF!,CN$24&lt;=#REF!+#REF!),#REF!,"")),"")</f>
        <v/>
      </c>
      <c r="CN85" s="35" t="str">
        <f ca="1">IFERROR(+IF(CO$24=#REF!,Milestone_Marker,IF(AND(CO$24&gt;#REF!,CO$24&lt;=#REF!+#REF!),#REF!,"")),"")</f>
        <v/>
      </c>
      <c r="CO85" s="35" t="str">
        <f ca="1">IFERROR(+IF(CP$24=#REF!,Milestone_Marker,IF(AND(CP$24&gt;#REF!,CP$24&lt;=#REF!+#REF!),#REF!,"")),"")</f>
        <v/>
      </c>
      <c r="CP85" s="35" t="str">
        <f ca="1">IFERROR(+IF(CQ$24=#REF!,Milestone_Marker,IF(AND(CQ$24&gt;#REF!,CQ$24&lt;=#REF!+#REF!),#REF!,"")),"")</f>
        <v/>
      </c>
      <c r="CQ85" s="35" t="str">
        <f ca="1">IFERROR(+IF(CR$24=#REF!,Milestone_Marker,IF(AND(CR$24&gt;#REF!,CR$24&lt;=#REF!+#REF!),#REF!,"")),"")</f>
        <v/>
      </c>
      <c r="CR85" s="35" t="str">
        <f ca="1">IFERROR(+IF(CS$24=#REF!,Milestone_Marker,IF(AND(CS$24&gt;#REF!,CS$24&lt;=#REF!+#REF!),#REF!,"")),"")</f>
        <v/>
      </c>
      <c r="CS85" s="35" t="str">
        <f ca="1">IFERROR(+IF(CT$24=#REF!,Milestone_Marker,IF(AND(CT$24&gt;#REF!,CT$24&lt;=#REF!+#REF!),#REF!,"")),"")</f>
        <v/>
      </c>
      <c r="CT85" s="35" t="str">
        <f ca="1">IFERROR(+IF(CU$24=#REF!,Milestone_Marker,IF(AND(CU$24&gt;#REF!,CU$24&lt;=#REF!+#REF!),#REF!,"")),"")</f>
        <v/>
      </c>
      <c r="CU85" s="35" t="str">
        <f ca="1">IFERROR(+IF(CV$24=#REF!,Milestone_Marker,IF(AND(CV$24&gt;#REF!,CV$24&lt;=#REF!+#REF!),#REF!,"")),"")</f>
        <v/>
      </c>
      <c r="CV85" s="35" t="str">
        <f ca="1">IFERROR(+IF(CW$24=#REF!,Milestone_Marker,IF(AND(CW$24&gt;#REF!,CW$24&lt;=#REF!+#REF!),#REF!,"")),"")</f>
        <v/>
      </c>
      <c r="CW85" s="35" t="str">
        <f ca="1">IFERROR(+IF(CX$24=#REF!,Milestone_Marker,IF(AND(CX$24&gt;#REF!,CX$24&lt;=#REF!+#REF!),#REF!,"")),"")</f>
        <v/>
      </c>
      <c r="CX85" s="35" t="str">
        <f ca="1">IFERROR(+IF(CY$24=#REF!,Milestone_Marker,IF(AND(CY$24&gt;#REF!,CY$24&lt;=#REF!+#REF!),#REF!,"")),"")</f>
        <v/>
      </c>
      <c r="CY85" s="35" t="str">
        <f ca="1">IFERROR(+IF(CZ$24=#REF!,Milestone_Marker,IF(AND(CZ$24&gt;#REF!,CZ$24&lt;=#REF!+#REF!),#REF!,"")),"")</f>
        <v/>
      </c>
      <c r="CZ85" s="35" t="str">
        <f ca="1">IFERROR(+IF(DA$24=#REF!,Milestone_Marker,IF(AND(DA$24&gt;#REF!,DA$24&lt;=#REF!+#REF!),#REF!,"")),"")</f>
        <v/>
      </c>
      <c r="DA85" s="35" t="str">
        <f ca="1">IFERROR(+IF(DB$24=#REF!,Milestone_Marker,IF(AND(DB$24&gt;#REF!,DB$24&lt;=#REF!+#REF!),#REF!,"")),"")</f>
        <v/>
      </c>
      <c r="DB85" s="35" t="str">
        <f ca="1">IFERROR(+IF(DC$24=#REF!,Milestone_Marker,IF(AND(DC$24&gt;#REF!,DC$24&lt;=#REF!+#REF!),#REF!,"")),"")</f>
        <v/>
      </c>
      <c r="DC85" s="35" t="str">
        <f ca="1">IFERROR(+IF(DD$24=#REF!,Milestone_Marker,IF(AND(DD$24&gt;#REF!,DD$24&lt;=#REF!+#REF!),#REF!,"")),"")</f>
        <v/>
      </c>
      <c r="DD85" s="35" t="str">
        <f ca="1">IFERROR(+IF(DE$24=#REF!,Milestone_Marker,IF(AND(DE$24&gt;#REF!,DE$24&lt;=#REF!+#REF!),#REF!,"")),"")</f>
        <v/>
      </c>
    </row>
    <row r="86" spans="1:108" ht="30">
      <c r="A86" t="s">
        <v>519</v>
      </c>
      <c r="B86" t="s">
        <v>639</v>
      </c>
      <c r="C86" t="s">
        <v>570</v>
      </c>
      <c r="D86" s="458" t="s">
        <v>652</v>
      </c>
      <c r="E86" s="458">
        <v>1</v>
      </c>
      <c r="F86">
        <v>3625</v>
      </c>
      <c r="G86">
        <v>3625</v>
      </c>
      <c r="H86">
        <v>158</v>
      </c>
      <c r="I86"/>
      <c r="J86">
        <v>80</v>
      </c>
      <c r="K86" s="107"/>
      <c r="L86" s="463">
        <v>80</v>
      </c>
      <c r="M86" s="176">
        <v>2</v>
      </c>
      <c r="N86" s="160">
        <v>0</v>
      </c>
      <c r="O86" s="546" cm="1">
        <f t="array" ref="O8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86" s="566" t="s">
        <v>797</v>
      </c>
      <c r="Q86" s="566">
        <v>0</v>
      </c>
      <c r="R86" s="22"/>
      <c r="S86" s="463" cm="1">
        <f t="array" ref="S8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86">
        <v>1</v>
      </c>
      <c r="U86" s="176"/>
      <c r="V8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75.030100000000004</v>
      </c>
      <c r="W86" s="497"/>
      <c r="X86" s="176" t="s">
        <v>852</v>
      </c>
      <c r="Y86" s="547" t="s">
        <v>873</v>
      </c>
      <c r="Z86" s="160" t="s">
        <v>458</v>
      </c>
      <c r="AA86" s="563">
        <v>102100</v>
      </c>
      <c r="AB86" cm="1">
        <f t="array" ref="AB86">ROW()-ROW(Contract_Edits[#Headers])</f>
        <v>62</v>
      </c>
      <c r="AC86">
        <f>IF(Contract_Edits[[#This Row],[RowPos]]&gt;1, Contract_Edits[[#This Row],[RowPos]]-1, 0)</f>
        <v>61</v>
      </c>
      <c r="AD86" s="35">
        <f>IF(N(Contract_Edits[[#This Row],[Dep]])=0, N(Contract_Edits[[#This Row],[Index]]), N(Contract_Edits[[#This Row],[Dep]]))</f>
        <v>158</v>
      </c>
      <c r="AE86" s="35" cm="1">
        <f t="array" ref="AE86">IF(OR(Contract_Edits[[#This Row],[Dep]]=0, TRIM(Contract_Edits[[#This Row],[Dep]])=""),
   0,
   IFERROR(
      _xlfn.XLOOKUP(1, (Contract_Edits[Dep]=Contract_Edits[[#This Row],[Dep]])*(Contract_Edits[RowPos]&lt;Contract_Edits[[#This Row],[RowPos]]), Contract_Edits[RowPos], , 0, -1),
      0
   )
)</f>
        <v>0</v>
      </c>
      <c r="AF86" s="35">
        <f>IF(OR(Contract_Edits[[#This Row],[Dep]]=0,Contract_Edits[[#This Row],[Dep]]=""),0,
   COUNTIFS(Contract_Edits[Dep],Contract_Edits[[#This Row],[Dep]],Contract_Edits[RowPos],"&lt;="&amp;Contract_Edits[[#This Row],[RowPos]],Contract_Edits[Approve],"Yes")
)</f>
        <v>1</v>
      </c>
      <c r="AG86" s="517">
        <f>--(
  ISNUMBER(SEARCH("BASE PARENT", UPPER(CLEAN(TRIM(_xlfn.XLOOKUP(TEXT(Contract_Edits[[#This Row],[Index]],"0"), baseIdxTxt, baseCost, "")))))) +
  ISNUMBER(SEARCH("DEPENDENCY GROUP", UPPER(CLEAN(TRIM(_xlfn.XLOOKUP(TEXT(Contract_Edits[[#This Row],[Index]],"0"), baseIdxTxt, baseCost, ""))))))
)</f>
        <v>0</v>
      </c>
      <c r="AH86" s="517" t="str" cm="1">
        <f t="array" ref="AH86">IF(Contract_Edits[[#This Row],[BaseFlag]]=1,
   10*BaseDepthL(TEXT(Contract_Edits[[#This Row],[Index]],"0"),500,editsIdxTxt,editsParentKeyTxt,baseIdxTxt,baseCost)-5,
   ""
)</f>
        <v/>
      </c>
      <c r="AI86" s="517" cm="1">
        <f t="array" ref="AI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6" s="517" t="str">
        <f>IF(Contract_Edits[[#This Row],[Dep]]=0,"Root",
   IF(ISNUMBER(MATCH(Contract_Edits[[#This Row],[Dep]],Contract_Edits[Index],0)),"OK","Missing")
)</f>
        <v>OK</v>
      </c>
      <c r="AK86" s="517" t="str">
        <f>IF(AND(Contract_Edits[[#This Row],[Dep]]&lt;&gt;0,
        ISNUMBER(MATCH(Contract_Edits[[#This Row],[Dep]], Contract_Edits[Index], 0)),
        INDEX(Contract_Edits[Dep], MATCH(Contract_Edits[[#This Row],[Dep]], Contract_Edits[Index], 0))=Contract_Edits[[#This Row],[Index]]),
   "2-cycle","")</f>
        <v/>
      </c>
      <c r="AL86" s="517" cm="1">
        <f t="array" ref="AL86">IF(Contract_Edits[[#This Row],[BaseFlag]]&lt;&gt;1,0,
   IF(TEXT(Contract_Edits[[#This Row],[Dep]],"0")=TEXT(Contract_Edits[[#This Row],[Index]],"0"),
      0,
      MAX(0, SUMPRODUCT(--(Contract_Edits[BaseFlag]=1),
                        --(TEXT(Contract_Edits[Dep],"0")=TEXT(Contract_Edits[[#This Row],[Dep]],"0"))) - 1)
   )
)</f>
        <v>0</v>
      </c>
      <c r="AM86" s="517" t="str" cm="1">
        <f t="array" ref="AM86">IF(Contract_Edits[[#This Row],[BaseFlag]]=1,
   TEXT(Contract_Edits[[#This Row],[Index]],"0"),
   NearestBaseL(TEXT(Contract_Edits[[#This Row],[ParentKey]],"0"),500,editsIdxTxt,editsParentKeyTxt,baseIdxTxt,baseCost)
)</f>
        <v>158</v>
      </c>
      <c r="AN86" s="517" cm="1">
        <f t="array" ref="AN86">1+SUMPRODUCT(
  (Contract_Edits[BaseFlag]=1)*
  (TEXT(Contract_Edits[ParentAnchor],"0")=TEXT(Contract_Edits[[#This Row],[ParentAnchor]],"0"))*
  (VALUE(TEXT(Contract_Edits[Index],"0"))&lt;VALUE(TEXT(Contract_Edits[[#This Row],[Index]],"0")))
)</f>
        <v>1</v>
      </c>
      <c r="AO86" s="35"/>
      <c r="AP86" s="35" t="str">
        <f ca="1">IFERROR(+IF(AP$24=#REF!,Milestone_Marker,IF(AND(AP$24&gt;#REF!,AP$24&lt;#REF!+#REF!),#REF!,"")),"")</f>
        <v/>
      </c>
      <c r="AQ86" s="35" t="str">
        <f ca="1">IFERROR(+IF(AQ$24=#REF!,Milestone_Marker,IF(AND(AQ$24&gt;#REF!,AQ$24&lt;#REF!+#REF!),#REF!,"")),"")</f>
        <v/>
      </c>
      <c r="AR86" s="35" t="str">
        <f ca="1">IFERROR(+IF(AS$24=#REF!,Milestone_Marker,IF(AND(AS$24&gt;#REF!,AS$24&lt;=#REF!+#REF!),#REF!,"")),"")</f>
        <v/>
      </c>
      <c r="AS86" s="35" t="str">
        <f ca="1">IFERROR(+IF(AT$24=#REF!,Milestone_Marker,IF(AND(AT$24&gt;#REF!,AT$24&lt;=#REF!+#REF!),#REF!,"")),"")</f>
        <v/>
      </c>
      <c r="AT86" s="35" t="str">
        <f ca="1">IFERROR(+IF(AU$24=#REF!,Milestone_Marker,IF(AND(AU$24&gt;#REF!,AU$24&lt;=#REF!+#REF!),#REF!,"")),"")</f>
        <v/>
      </c>
      <c r="AU86" s="35" t="str">
        <f ca="1">IFERROR(+IF(AV$24=#REF!,Milestone_Marker,IF(AND(AV$24&gt;#REF!,AV$24&lt;=#REF!+#REF!),#REF!,"")),"")</f>
        <v/>
      </c>
      <c r="AV86" s="35" t="str">
        <f ca="1">IFERROR(+IF(AW$24=#REF!,Milestone_Marker,IF(AND(AW$24&gt;#REF!,AW$24&lt;=#REF!+#REF!),#REF!,"")),"")</f>
        <v/>
      </c>
      <c r="AW86" s="35" t="str">
        <f ca="1">IFERROR(+IF(AX$24=#REF!,Milestone_Marker,IF(AND(AX$24&gt;#REF!,AX$24&lt;=#REF!+#REF!),#REF!,"")),"")</f>
        <v/>
      </c>
      <c r="AX86" s="35" t="str">
        <f ca="1">IFERROR(+IF(AY$24=#REF!,Milestone_Marker,IF(AND(AY$24&gt;#REF!,AY$24&lt;=#REF!+#REF!),#REF!,"")),"")</f>
        <v/>
      </c>
      <c r="AY86" s="35" t="str">
        <f ca="1">IFERROR(+IF(AZ$24=#REF!,Milestone_Marker,IF(AND(AZ$24&gt;#REF!,AZ$24&lt;=#REF!+#REF!),#REF!,"")),"")</f>
        <v/>
      </c>
      <c r="AZ86" s="35" t="str">
        <f ca="1">IFERROR(+IF(BA$24=#REF!,Milestone_Marker,IF(AND(BA$24&gt;#REF!,BA$24&lt;=#REF!+#REF!),#REF!,"")),"")</f>
        <v/>
      </c>
      <c r="BA86" s="35" t="str">
        <f ca="1">IFERROR(+IF(BB$24=#REF!,Milestone_Marker,IF(AND(BB$24&gt;#REF!,BB$24&lt;=#REF!+#REF!),#REF!,"")),"")</f>
        <v/>
      </c>
      <c r="BB86" s="35" t="str">
        <f ca="1">IFERROR(+IF(BC$24=#REF!,Milestone_Marker,IF(AND(BC$24&gt;#REF!,BC$24&lt;=#REF!+#REF!),#REF!,"")),"")</f>
        <v/>
      </c>
      <c r="BC86" s="35" t="str">
        <f ca="1">IFERROR(+IF(BD$24=#REF!,Milestone_Marker,IF(AND(BD$24&gt;#REF!,BD$24&lt;=#REF!+#REF!),#REF!,"")),"")</f>
        <v/>
      </c>
      <c r="BD86" s="35" t="str">
        <f ca="1">IFERROR(+IF(BE$24=#REF!,Milestone_Marker,IF(AND(BE$24&gt;#REF!,BE$24&lt;=#REF!+#REF!),#REF!,"")),"")</f>
        <v/>
      </c>
      <c r="BE86" s="35" t="str">
        <f ca="1">IFERROR(+IF(BF$24=#REF!,Milestone_Marker,IF(AND(BF$24&gt;#REF!,BF$24&lt;=#REF!+#REF!),#REF!,"")),"")</f>
        <v/>
      </c>
      <c r="BF86" s="35" t="str">
        <f ca="1">IFERROR(+IF(BG$24=#REF!,Milestone_Marker,IF(AND(BG$24&gt;#REF!,BG$24&lt;=#REF!+#REF!),#REF!,"")),"")</f>
        <v/>
      </c>
      <c r="BG86" s="35" t="str">
        <f ca="1">IFERROR(+IF(BH$24=#REF!,Milestone_Marker,IF(AND(BH$24&gt;#REF!,BH$24&lt;=#REF!+#REF!),#REF!,"")),"")</f>
        <v/>
      </c>
      <c r="BH86" s="35" t="str">
        <f ca="1">IFERROR(+IF(BI$24=#REF!,Milestone_Marker,IF(AND(BI$24&gt;#REF!,BI$24&lt;=#REF!+#REF!),#REF!,"")),"")</f>
        <v/>
      </c>
      <c r="BI86" s="35" t="str">
        <f ca="1">IFERROR(+IF(BJ$24=#REF!,Milestone_Marker,IF(AND(BJ$24&gt;#REF!,BJ$24&lt;=#REF!+#REF!),#REF!,"")),"")</f>
        <v/>
      </c>
      <c r="BJ86" s="35" t="str">
        <f ca="1">IFERROR(+IF(BK$24=#REF!,Milestone_Marker,IF(AND(BK$24&gt;#REF!,BK$24&lt;=#REF!+#REF!),#REF!,"")),"")</f>
        <v/>
      </c>
      <c r="BK86" s="35" t="str">
        <f ca="1">IFERROR(+IF(BL$24=#REF!,Milestone_Marker,IF(AND(BL$24&gt;#REF!,BL$24&lt;=#REF!+#REF!),#REF!,"")),"")</f>
        <v/>
      </c>
      <c r="BL86" s="35" t="str">
        <f ca="1">IFERROR(+IF(BM$24=#REF!,Milestone_Marker,IF(AND(BM$24&gt;#REF!,BM$24&lt;=#REF!+#REF!),#REF!,"")),"")</f>
        <v/>
      </c>
      <c r="BM86" s="35" t="str">
        <f ca="1">IFERROR(+IF(BN$24=#REF!,Milestone_Marker,IF(AND(BN$24&gt;#REF!,BN$24&lt;=#REF!+#REF!),#REF!,"")),"")</f>
        <v/>
      </c>
      <c r="BN86" s="35" t="str">
        <f ca="1">IFERROR(+IF(BO$24=#REF!,Milestone_Marker,IF(AND(BO$24&gt;#REF!,BO$24&lt;=#REF!+#REF!),#REF!,"")),"")</f>
        <v/>
      </c>
      <c r="BO86" s="35" t="str">
        <f ca="1">IFERROR(+IF(BP$24=#REF!,Milestone_Marker,IF(AND(BP$24&gt;#REF!,BP$24&lt;=#REF!+#REF!),#REF!,"")),"")</f>
        <v/>
      </c>
      <c r="BP86" s="35" t="str">
        <f ca="1">IFERROR(+IF(BQ$24=#REF!,Milestone_Marker,IF(AND(BQ$24&gt;#REF!,BQ$24&lt;=#REF!+#REF!),#REF!,"")),"")</f>
        <v/>
      </c>
      <c r="BQ86" s="35" t="str">
        <f ca="1">IFERROR(+IF(BR$24=#REF!,Milestone_Marker,IF(AND(BR$24&gt;#REF!,BR$24&lt;=#REF!+#REF!),#REF!,"")),"")</f>
        <v/>
      </c>
      <c r="BR86" s="35" t="str">
        <f ca="1">IFERROR(+IF(BS$24=#REF!,Milestone_Marker,IF(AND(BS$24&gt;#REF!,BS$24&lt;=#REF!+#REF!),#REF!,"")),"")</f>
        <v/>
      </c>
      <c r="BS86" s="35" t="str">
        <f ca="1">IFERROR(+IF(BT$24=#REF!,Milestone_Marker,IF(AND(BT$24&gt;#REF!,BT$24&lt;=#REF!+#REF!),#REF!,"")),"")</f>
        <v/>
      </c>
      <c r="BT86" s="35" t="str">
        <f ca="1">IFERROR(+IF(BU$24=#REF!,Milestone_Marker,IF(AND(BU$24&gt;#REF!,BU$24&lt;=#REF!+#REF!),#REF!,"")),"")</f>
        <v/>
      </c>
      <c r="BU86" s="35" t="str">
        <f ca="1">IFERROR(+IF(BV$24=#REF!,Milestone_Marker,IF(AND(BV$24&gt;#REF!,BV$24&lt;=#REF!+#REF!),#REF!,"")),"")</f>
        <v/>
      </c>
      <c r="BV86" s="35" t="str">
        <f ca="1">IFERROR(+IF(BW$24=#REF!,Milestone_Marker,IF(AND(BW$24&gt;#REF!,BW$24&lt;=#REF!+#REF!),#REF!,"")),"")</f>
        <v/>
      </c>
      <c r="BW86" s="35" t="str">
        <f ca="1">IFERROR(+IF(BX$24=#REF!,Milestone_Marker,IF(AND(BX$24&gt;#REF!,BX$24&lt;=#REF!+#REF!),#REF!,"")),"")</f>
        <v/>
      </c>
      <c r="BX86" s="35" t="str">
        <f ca="1">IFERROR(+IF(BY$24=#REF!,Milestone_Marker,IF(AND(BY$24&gt;#REF!,BY$24&lt;=#REF!+#REF!),#REF!,"")),"")</f>
        <v/>
      </c>
      <c r="BY86" s="35" t="str">
        <f ca="1">IFERROR(+IF(BZ$24=#REF!,Milestone_Marker,IF(AND(BZ$24&gt;#REF!,BZ$24&lt;=#REF!+#REF!),#REF!,"")),"")</f>
        <v/>
      </c>
      <c r="BZ86" s="35" t="str">
        <f ca="1">IFERROR(+IF(CA$24=#REF!,Milestone_Marker,IF(AND(CA$24&gt;#REF!,CA$24&lt;=#REF!+#REF!),#REF!,"")),"")</f>
        <v/>
      </c>
      <c r="CA86" s="35" t="str">
        <f ca="1">IFERROR(+IF(CB$24=#REF!,Milestone_Marker,IF(AND(CB$24&gt;#REF!,CB$24&lt;=#REF!+#REF!),#REF!,"")),"")</f>
        <v/>
      </c>
      <c r="CB86" s="35" t="str">
        <f ca="1">IFERROR(+IF(CC$24=#REF!,Milestone_Marker,IF(AND(CC$24&gt;#REF!,CC$24&lt;=#REF!+#REF!),#REF!,"")),"")</f>
        <v/>
      </c>
      <c r="CC86" s="35" t="str">
        <f ca="1">IFERROR(+IF(CD$24=#REF!,Milestone_Marker,IF(AND(CD$24&gt;#REF!,CD$24&lt;=#REF!+#REF!),#REF!,"")),"")</f>
        <v/>
      </c>
      <c r="CD86" s="35" t="str">
        <f ca="1">IFERROR(+IF(CE$24=#REF!,Milestone_Marker,IF(AND(CE$24&gt;#REF!,CE$24&lt;=#REF!+#REF!),#REF!,"")),"")</f>
        <v/>
      </c>
      <c r="CE86" s="35" t="str">
        <f ca="1">IFERROR(+IF(CF$24=#REF!,Milestone_Marker,IF(AND(CF$24&gt;#REF!,CF$24&lt;=#REF!+#REF!),#REF!,"")),"")</f>
        <v/>
      </c>
      <c r="CF86" s="35" t="str">
        <f ca="1">IFERROR(+IF(CG$24=#REF!,Milestone_Marker,IF(AND(CG$24&gt;#REF!,CG$24&lt;=#REF!+#REF!),#REF!,"")),"")</f>
        <v/>
      </c>
      <c r="CG86" s="35" t="str">
        <f ca="1">IFERROR(+IF(CH$24=#REF!,Milestone_Marker,IF(AND(CH$24&gt;#REF!,CH$24&lt;=#REF!+#REF!),#REF!,"")),"")</f>
        <v/>
      </c>
      <c r="CH86" s="35" t="str">
        <f ca="1">IFERROR(+IF(CI$24=#REF!,Milestone_Marker,IF(AND(CI$24&gt;#REF!,CI$24&lt;=#REF!+#REF!),#REF!,"")),"")</f>
        <v/>
      </c>
      <c r="CI86" s="35" t="str">
        <f ca="1">IFERROR(+IF(CJ$24=#REF!,Milestone_Marker,IF(AND(CJ$24&gt;#REF!,CJ$24&lt;=#REF!+#REF!),#REF!,"")),"")</f>
        <v/>
      </c>
      <c r="CJ86" s="35" t="str">
        <f ca="1">IFERROR(+IF(CK$24=#REF!,Milestone_Marker,IF(AND(CK$24&gt;#REF!,CK$24&lt;=#REF!+#REF!),#REF!,"")),"")</f>
        <v/>
      </c>
      <c r="CK86" s="35" t="str">
        <f ca="1">IFERROR(+IF(CL$24=#REF!,Milestone_Marker,IF(AND(CL$24&gt;#REF!,CL$24&lt;=#REF!+#REF!),#REF!,"")),"")</f>
        <v/>
      </c>
      <c r="CL86" s="35" t="str">
        <f ca="1">IFERROR(+IF(CM$24=#REF!,Milestone_Marker,IF(AND(CM$24&gt;#REF!,CM$24&lt;=#REF!+#REF!),#REF!,"")),"")</f>
        <v/>
      </c>
      <c r="CM86" s="35" t="str">
        <f ca="1">IFERROR(+IF(CN$24=#REF!,Milestone_Marker,IF(AND(CN$24&gt;#REF!,CN$24&lt;=#REF!+#REF!),#REF!,"")),"")</f>
        <v/>
      </c>
      <c r="CN86" s="35" t="str">
        <f ca="1">IFERROR(+IF(CO$24=#REF!,Milestone_Marker,IF(AND(CO$24&gt;#REF!,CO$24&lt;=#REF!+#REF!),#REF!,"")),"")</f>
        <v/>
      </c>
      <c r="CO86" s="35" t="str">
        <f ca="1">IFERROR(+IF(CP$24=#REF!,Milestone_Marker,IF(AND(CP$24&gt;#REF!,CP$24&lt;=#REF!+#REF!),#REF!,"")),"")</f>
        <v/>
      </c>
      <c r="CP86" s="35" t="str">
        <f ca="1">IFERROR(+IF(CQ$24=#REF!,Milestone_Marker,IF(AND(CQ$24&gt;#REF!,CQ$24&lt;=#REF!+#REF!),#REF!,"")),"")</f>
        <v/>
      </c>
      <c r="CQ86" s="35" t="str">
        <f ca="1">IFERROR(+IF(CR$24=#REF!,Milestone_Marker,IF(AND(CR$24&gt;#REF!,CR$24&lt;=#REF!+#REF!),#REF!,"")),"")</f>
        <v/>
      </c>
      <c r="CR86" s="35" t="str">
        <f ca="1">IFERROR(+IF(CS$24=#REF!,Milestone_Marker,IF(AND(CS$24&gt;#REF!,CS$24&lt;=#REF!+#REF!),#REF!,"")),"")</f>
        <v/>
      </c>
      <c r="CS86" s="35" t="str">
        <f ca="1">IFERROR(+IF(CT$24=#REF!,Milestone_Marker,IF(AND(CT$24&gt;#REF!,CT$24&lt;=#REF!+#REF!),#REF!,"")),"")</f>
        <v/>
      </c>
      <c r="CT86" s="35" t="str">
        <f ca="1">IFERROR(+IF(CU$24=#REF!,Milestone_Marker,IF(AND(CU$24&gt;#REF!,CU$24&lt;=#REF!+#REF!),#REF!,"")),"")</f>
        <v/>
      </c>
      <c r="CU86" s="35" t="str">
        <f ca="1">IFERROR(+IF(CV$24=#REF!,Milestone_Marker,IF(AND(CV$24&gt;#REF!,CV$24&lt;=#REF!+#REF!),#REF!,"")),"")</f>
        <v/>
      </c>
      <c r="CV86" s="35" t="str">
        <f ca="1">IFERROR(+IF(CW$24=#REF!,Milestone_Marker,IF(AND(CW$24&gt;#REF!,CW$24&lt;=#REF!+#REF!),#REF!,"")),"")</f>
        <v/>
      </c>
      <c r="CW86" s="35" t="str">
        <f ca="1">IFERROR(+IF(CX$24=#REF!,Milestone_Marker,IF(AND(CX$24&gt;#REF!,CX$24&lt;=#REF!+#REF!),#REF!,"")),"")</f>
        <v/>
      </c>
      <c r="CX86" s="35" t="str">
        <f ca="1">IFERROR(+IF(CY$24=#REF!,Milestone_Marker,IF(AND(CY$24&gt;#REF!,CY$24&lt;=#REF!+#REF!),#REF!,"")),"")</f>
        <v/>
      </c>
      <c r="CY86" s="35" t="str">
        <f ca="1">IFERROR(+IF(CZ$24=#REF!,Milestone_Marker,IF(AND(CZ$24&gt;#REF!,CZ$24&lt;=#REF!+#REF!),#REF!,"")),"")</f>
        <v/>
      </c>
      <c r="CZ86" s="35" t="str">
        <f ca="1">IFERROR(+IF(DA$24=#REF!,Milestone_Marker,IF(AND(DA$24&gt;#REF!,DA$24&lt;=#REF!+#REF!),#REF!,"")),"")</f>
        <v/>
      </c>
      <c r="DA86" s="35" t="str">
        <f ca="1">IFERROR(+IF(DB$24=#REF!,Milestone_Marker,IF(AND(DB$24&gt;#REF!,DB$24&lt;=#REF!+#REF!),#REF!,"")),"")</f>
        <v/>
      </c>
      <c r="DB86" s="35" t="str">
        <f ca="1">IFERROR(+IF(DC$24=#REF!,Milestone_Marker,IF(AND(DC$24&gt;#REF!,DC$24&lt;=#REF!+#REF!),#REF!,"")),"")</f>
        <v/>
      </c>
      <c r="DC86" s="35" t="str">
        <f ca="1">IFERROR(+IF(DD$24=#REF!,Milestone_Marker,IF(AND(DD$24&gt;#REF!,DD$24&lt;=#REF!+#REF!),#REF!,"")),"")</f>
        <v/>
      </c>
      <c r="DD86" s="35" t="str">
        <f ca="1">IFERROR(+IF(DE$24=#REF!,Milestone_Marker,IF(AND(DE$24&gt;#REF!,DE$24&lt;=#REF!+#REF!),#REF!,"")),"")</f>
        <v/>
      </c>
    </row>
    <row r="87" spans="1:108" ht="30">
      <c r="A87" t="s">
        <v>519</v>
      </c>
      <c r="B87" t="s">
        <v>521</v>
      </c>
      <c r="C87" t="s">
        <v>570</v>
      </c>
      <c r="D87" s="458" t="s">
        <v>695</v>
      </c>
      <c r="E87" s="458">
        <v>1</v>
      </c>
      <c r="F87">
        <v>2753.55</v>
      </c>
      <c r="G87">
        <v>2753.55</v>
      </c>
      <c r="H87">
        <v>158</v>
      </c>
      <c r="I87"/>
      <c r="J87">
        <v>112</v>
      </c>
      <c r="K87" s="107"/>
      <c r="L87" s="463">
        <v>112</v>
      </c>
      <c r="M87" s="176">
        <v>2</v>
      </c>
      <c r="N87" s="160">
        <v>0</v>
      </c>
      <c r="O87" s="546" cm="1">
        <f t="array" ref="O8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45996</v>
      </c>
      <c r="P87" s="566" t="s">
        <v>797</v>
      </c>
      <c r="Q87" s="566">
        <v>0</v>
      </c>
      <c r="R87" s="22"/>
      <c r="S87" s="463" cm="1">
        <f t="array" ref="S8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87">
        <v>1</v>
      </c>
      <c r="U87" s="176"/>
      <c r="V8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75.030200000000008</v>
      </c>
      <c r="W87" s="497"/>
      <c r="X87" s="176" t="s">
        <v>852</v>
      </c>
      <c r="Y87" s="547" t="s">
        <v>873</v>
      </c>
      <c r="Z87" s="160" t="s">
        <v>458</v>
      </c>
      <c r="AA87" s="563">
        <v>102100</v>
      </c>
      <c r="AB87" cm="1">
        <f t="array" ref="AB87">ROW()-ROW(Contract_Edits[#Headers])</f>
        <v>63</v>
      </c>
      <c r="AC87">
        <f>IF(Contract_Edits[[#This Row],[RowPos]]&gt;1, Contract_Edits[[#This Row],[RowPos]]-1, 0)</f>
        <v>62</v>
      </c>
      <c r="AD87" s="35">
        <f>IF(N(Contract_Edits[[#This Row],[Dep]])=0, N(Contract_Edits[[#This Row],[Index]]), N(Contract_Edits[[#This Row],[Dep]]))</f>
        <v>158</v>
      </c>
      <c r="AE87" s="35" cm="1">
        <f t="array" ref="AE87">IF(OR(Contract_Edits[[#This Row],[Dep]]=0, TRIM(Contract_Edits[[#This Row],[Dep]])=""),
   0,
   IFERROR(
      _xlfn.XLOOKUP(1, (Contract_Edits[Dep]=Contract_Edits[[#This Row],[Dep]])*(Contract_Edits[RowPos]&lt;Contract_Edits[[#This Row],[RowPos]]), Contract_Edits[RowPos], , 0, -1),
      0
   )
)</f>
        <v>62</v>
      </c>
      <c r="AF87" s="35">
        <f>IF(OR(Contract_Edits[[#This Row],[Dep]]=0,Contract_Edits[[#This Row],[Dep]]=""),0,
   COUNTIFS(Contract_Edits[Dep],Contract_Edits[[#This Row],[Dep]],Contract_Edits[RowPos],"&lt;="&amp;Contract_Edits[[#This Row],[RowPos]],Contract_Edits[Approve],"Yes")
)</f>
        <v>2</v>
      </c>
      <c r="AG87" s="517">
        <f>--(
  ISNUMBER(SEARCH("BASE PARENT", UPPER(CLEAN(TRIM(_xlfn.XLOOKUP(TEXT(Contract_Edits[[#This Row],[Index]],"0"), baseIdxTxt, baseCost, "")))))) +
  ISNUMBER(SEARCH("DEPENDENCY GROUP", UPPER(CLEAN(TRIM(_xlfn.XLOOKUP(TEXT(Contract_Edits[[#This Row],[Index]],"0"), baseIdxTxt, baseCost, ""))))))
)</f>
        <v>0</v>
      </c>
      <c r="AH87" s="517" t="str" cm="1">
        <f t="array" ref="AH87">IF(Contract_Edits[[#This Row],[BaseFlag]]=1,
   10*BaseDepthL(TEXT(Contract_Edits[[#This Row],[Index]],"0"),500,editsIdxTxt,editsParentKeyTxt,baseIdxTxt,baseCost)-5,
   ""
)</f>
        <v/>
      </c>
      <c r="AI87" s="517" cm="1">
        <f t="array" ref="AI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7" s="517" t="str">
        <f>IF(Contract_Edits[[#This Row],[Dep]]=0,"Root",
   IF(ISNUMBER(MATCH(Contract_Edits[[#This Row],[Dep]],Contract_Edits[Index],0)),"OK","Missing")
)</f>
        <v>OK</v>
      </c>
      <c r="AK87" s="517" t="str">
        <f>IF(AND(Contract_Edits[[#This Row],[Dep]]&lt;&gt;0,
        ISNUMBER(MATCH(Contract_Edits[[#This Row],[Dep]], Contract_Edits[Index], 0)),
        INDEX(Contract_Edits[Dep], MATCH(Contract_Edits[[#This Row],[Dep]], Contract_Edits[Index], 0))=Contract_Edits[[#This Row],[Index]]),
   "2-cycle","")</f>
        <v/>
      </c>
      <c r="AL87" s="517" cm="1">
        <f t="array" ref="AL87">IF(Contract_Edits[[#This Row],[BaseFlag]]&lt;&gt;1,0,
   IF(TEXT(Contract_Edits[[#This Row],[Dep]],"0")=TEXT(Contract_Edits[[#This Row],[Index]],"0"),
      0,
      MAX(0, SUMPRODUCT(--(Contract_Edits[BaseFlag]=1),
                        --(TEXT(Contract_Edits[Dep],"0")=TEXT(Contract_Edits[[#This Row],[Dep]],"0"))) - 1)
   )
)</f>
        <v>0</v>
      </c>
      <c r="AM87" s="517" t="str" cm="1">
        <f t="array" ref="AM87">IF(Contract_Edits[[#This Row],[BaseFlag]]=1,
   TEXT(Contract_Edits[[#This Row],[Index]],"0"),
   NearestBaseL(TEXT(Contract_Edits[[#This Row],[ParentKey]],"0"),500,editsIdxTxt,editsParentKeyTxt,baseIdxTxt,baseCost)
)</f>
        <v>158</v>
      </c>
      <c r="AN87" s="517" cm="1">
        <f t="array" ref="AN87">1+SUMPRODUCT(
  (Contract_Edits[BaseFlag]=1)*
  (TEXT(Contract_Edits[ParentAnchor],"0")=TEXT(Contract_Edits[[#This Row],[ParentAnchor]],"0"))*
  (VALUE(TEXT(Contract_Edits[Index],"0"))&lt;VALUE(TEXT(Contract_Edits[[#This Row],[Index]],"0")))
)</f>
        <v>1</v>
      </c>
      <c r="AO87" s="35"/>
      <c r="AP87" s="35" t="str">
        <f ca="1">IFERROR(+IF(AP$24=#REF!,Milestone_Marker,IF(AND(AP$24&gt;#REF!,AP$24&lt;#REF!+#REF!),#REF!,"")),"")</f>
        <v/>
      </c>
      <c r="AQ87" s="35" t="str">
        <f ca="1">IFERROR(+IF(AQ$24=#REF!,Milestone_Marker,IF(AND(AQ$24&gt;#REF!,AQ$24&lt;#REF!+#REF!),#REF!,"")),"")</f>
        <v/>
      </c>
      <c r="AR87" s="35" t="str">
        <f ca="1">IFERROR(+IF(AS$24=#REF!,Milestone_Marker,IF(AND(AS$24&gt;#REF!,AS$24&lt;=#REF!+#REF!),#REF!,"")),"")</f>
        <v/>
      </c>
      <c r="AS87" s="35" t="str">
        <f ca="1">IFERROR(+IF(AT$24=#REF!,Milestone_Marker,IF(AND(AT$24&gt;#REF!,AT$24&lt;=#REF!+#REF!),#REF!,"")),"")</f>
        <v/>
      </c>
      <c r="AT87" s="35" t="str">
        <f ca="1">IFERROR(+IF(AU$24=#REF!,Milestone_Marker,IF(AND(AU$24&gt;#REF!,AU$24&lt;=#REF!+#REF!),#REF!,"")),"")</f>
        <v/>
      </c>
      <c r="AU87" s="35" t="str">
        <f ca="1">IFERROR(+IF(AV$24=#REF!,Milestone_Marker,IF(AND(AV$24&gt;#REF!,AV$24&lt;=#REF!+#REF!),#REF!,"")),"")</f>
        <v/>
      </c>
      <c r="AV87" s="35" t="str">
        <f ca="1">IFERROR(+IF(AW$24=#REF!,Milestone_Marker,IF(AND(AW$24&gt;#REF!,AW$24&lt;=#REF!+#REF!),#REF!,"")),"")</f>
        <v/>
      </c>
      <c r="AW87" s="35" t="str">
        <f ca="1">IFERROR(+IF(AX$24=#REF!,Milestone_Marker,IF(AND(AX$24&gt;#REF!,AX$24&lt;=#REF!+#REF!),#REF!,"")),"")</f>
        <v/>
      </c>
      <c r="AX87" s="35" t="str">
        <f ca="1">IFERROR(+IF(AY$24=#REF!,Milestone_Marker,IF(AND(AY$24&gt;#REF!,AY$24&lt;=#REF!+#REF!),#REF!,"")),"")</f>
        <v/>
      </c>
      <c r="AY87" s="35" t="str">
        <f ca="1">IFERROR(+IF(AZ$24=#REF!,Milestone_Marker,IF(AND(AZ$24&gt;#REF!,AZ$24&lt;=#REF!+#REF!),#REF!,"")),"")</f>
        <v/>
      </c>
      <c r="AZ87" s="35" t="str">
        <f ca="1">IFERROR(+IF(BA$24=#REF!,Milestone_Marker,IF(AND(BA$24&gt;#REF!,BA$24&lt;=#REF!+#REF!),#REF!,"")),"")</f>
        <v/>
      </c>
      <c r="BA87" s="35" t="str">
        <f ca="1">IFERROR(+IF(BB$24=#REF!,Milestone_Marker,IF(AND(BB$24&gt;#REF!,BB$24&lt;=#REF!+#REF!),#REF!,"")),"")</f>
        <v/>
      </c>
      <c r="BB87" s="35" t="str">
        <f ca="1">IFERROR(+IF(BC$24=#REF!,Milestone_Marker,IF(AND(BC$24&gt;#REF!,BC$24&lt;=#REF!+#REF!),#REF!,"")),"")</f>
        <v/>
      </c>
      <c r="BC87" s="35" t="str">
        <f ca="1">IFERROR(+IF(BD$24=#REF!,Milestone_Marker,IF(AND(BD$24&gt;#REF!,BD$24&lt;=#REF!+#REF!),#REF!,"")),"")</f>
        <v/>
      </c>
      <c r="BD87" s="35" t="str">
        <f ca="1">IFERROR(+IF(BE$24=#REF!,Milestone_Marker,IF(AND(BE$24&gt;#REF!,BE$24&lt;=#REF!+#REF!),#REF!,"")),"")</f>
        <v/>
      </c>
      <c r="BE87" s="35" t="str">
        <f ca="1">IFERROR(+IF(BF$24=#REF!,Milestone_Marker,IF(AND(BF$24&gt;#REF!,BF$24&lt;=#REF!+#REF!),#REF!,"")),"")</f>
        <v/>
      </c>
      <c r="BF87" s="35" t="str">
        <f ca="1">IFERROR(+IF(BG$24=#REF!,Milestone_Marker,IF(AND(BG$24&gt;#REF!,BG$24&lt;=#REF!+#REF!),#REF!,"")),"")</f>
        <v/>
      </c>
      <c r="BG87" s="35" t="str">
        <f ca="1">IFERROR(+IF(BH$24=#REF!,Milestone_Marker,IF(AND(BH$24&gt;#REF!,BH$24&lt;=#REF!+#REF!),#REF!,"")),"")</f>
        <v/>
      </c>
      <c r="BH87" s="35" t="str">
        <f ca="1">IFERROR(+IF(BI$24=#REF!,Milestone_Marker,IF(AND(BI$24&gt;#REF!,BI$24&lt;=#REF!+#REF!),#REF!,"")),"")</f>
        <v/>
      </c>
      <c r="BI87" s="35" t="str">
        <f ca="1">IFERROR(+IF(BJ$24=#REF!,Milestone_Marker,IF(AND(BJ$24&gt;#REF!,BJ$24&lt;=#REF!+#REF!),#REF!,"")),"")</f>
        <v/>
      </c>
      <c r="BJ87" s="35" t="str">
        <f ca="1">IFERROR(+IF(BK$24=#REF!,Milestone_Marker,IF(AND(BK$24&gt;#REF!,BK$24&lt;=#REF!+#REF!),#REF!,"")),"")</f>
        <v/>
      </c>
      <c r="BK87" s="35" t="str">
        <f ca="1">IFERROR(+IF(BL$24=#REF!,Milestone_Marker,IF(AND(BL$24&gt;#REF!,BL$24&lt;=#REF!+#REF!),#REF!,"")),"")</f>
        <v/>
      </c>
      <c r="BL87" s="35" t="str">
        <f ca="1">IFERROR(+IF(BM$24=#REF!,Milestone_Marker,IF(AND(BM$24&gt;#REF!,BM$24&lt;=#REF!+#REF!),#REF!,"")),"")</f>
        <v/>
      </c>
      <c r="BM87" s="35" t="str">
        <f ca="1">IFERROR(+IF(BN$24=#REF!,Milestone_Marker,IF(AND(BN$24&gt;#REF!,BN$24&lt;=#REF!+#REF!),#REF!,"")),"")</f>
        <v/>
      </c>
      <c r="BN87" s="35" t="str">
        <f ca="1">IFERROR(+IF(BO$24=#REF!,Milestone_Marker,IF(AND(BO$24&gt;#REF!,BO$24&lt;=#REF!+#REF!),#REF!,"")),"")</f>
        <v/>
      </c>
      <c r="BO87" s="35" t="str">
        <f ca="1">IFERROR(+IF(BP$24=#REF!,Milestone_Marker,IF(AND(BP$24&gt;#REF!,BP$24&lt;=#REF!+#REF!),#REF!,"")),"")</f>
        <v/>
      </c>
      <c r="BP87" s="35" t="str">
        <f ca="1">IFERROR(+IF(BQ$24=#REF!,Milestone_Marker,IF(AND(BQ$24&gt;#REF!,BQ$24&lt;=#REF!+#REF!),#REF!,"")),"")</f>
        <v/>
      </c>
      <c r="BQ87" s="35" t="str">
        <f ca="1">IFERROR(+IF(BR$24=#REF!,Milestone_Marker,IF(AND(BR$24&gt;#REF!,BR$24&lt;=#REF!+#REF!),#REF!,"")),"")</f>
        <v/>
      </c>
      <c r="BR87" s="35" t="str">
        <f ca="1">IFERROR(+IF(BS$24=#REF!,Milestone_Marker,IF(AND(BS$24&gt;#REF!,BS$24&lt;=#REF!+#REF!),#REF!,"")),"")</f>
        <v/>
      </c>
      <c r="BS87" s="35" t="str">
        <f ca="1">IFERROR(+IF(BT$24=#REF!,Milestone_Marker,IF(AND(BT$24&gt;#REF!,BT$24&lt;=#REF!+#REF!),#REF!,"")),"")</f>
        <v/>
      </c>
      <c r="BT87" s="35" t="str">
        <f ca="1">IFERROR(+IF(BU$24=#REF!,Milestone_Marker,IF(AND(BU$24&gt;#REF!,BU$24&lt;=#REF!+#REF!),#REF!,"")),"")</f>
        <v/>
      </c>
      <c r="BU87" s="35" t="str">
        <f ca="1">IFERROR(+IF(BV$24=#REF!,Milestone_Marker,IF(AND(BV$24&gt;#REF!,BV$24&lt;=#REF!+#REF!),#REF!,"")),"")</f>
        <v/>
      </c>
      <c r="BV87" s="35" t="str">
        <f ca="1">IFERROR(+IF(BW$24=#REF!,Milestone_Marker,IF(AND(BW$24&gt;#REF!,BW$24&lt;=#REF!+#REF!),#REF!,"")),"")</f>
        <v/>
      </c>
      <c r="BW87" s="35" t="str">
        <f ca="1">IFERROR(+IF(BX$24=#REF!,Milestone_Marker,IF(AND(BX$24&gt;#REF!,BX$24&lt;=#REF!+#REF!),#REF!,"")),"")</f>
        <v/>
      </c>
      <c r="BX87" s="35" t="str">
        <f ca="1">IFERROR(+IF(BY$24=#REF!,Milestone_Marker,IF(AND(BY$24&gt;#REF!,BY$24&lt;=#REF!+#REF!),#REF!,"")),"")</f>
        <v/>
      </c>
      <c r="BY87" s="35" t="str">
        <f ca="1">IFERROR(+IF(BZ$24=#REF!,Milestone_Marker,IF(AND(BZ$24&gt;#REF!,BZ$24&lt;=#REF!+#REF!),#REF!,"")),"")</f>
        <v/>
      </c>
      <c r="BZ87" s="35" t="str">
        <f ca="1">IFERROR(+IF(CA$24=#REF!,Milestone_Marker,IF(AND(CA$24&gt;#REF!,CA$24&lt;=#REF!+#REF!),#REF!,"")),"")</f>
        <v/>
      </c>
      <c r="CA87" s="35" t="str">
        <f ca="1">IFERROR(+IF(CB$24=#REF!,Milestone_Marker,IF(AND(CB$24&gt;#REF!,CB$24&lt;=#REF!+#REF!),#REF!,"")),"")</f>
        <v/>
      </c>
      <c r="CB87" s="35" t="str">
        <f ca="1">IFERROR(+IF(CC$24=#REF!,Milestone_Marker,IF(AND(CC$24&gt;#REF!,CC$24&lt;=#REF!+#REF!),#REF!,"")),"")</f>
        <v/>
      </c>
      <c r="CC87" s="35" t="str">
        <f ca="1">IFERROR(+IF(CD$24=#REF!,Milestone_Marker,IF(AND(CD$24&gt;#REF!,CD$24&lt;=#REF!+#REF!),#REF!,"")),"")</f>
        <v/>
      </c>
      <c r="CD87" s="35" t="str">
        <f ca="1">IFERROR(+IF(CE$24=#REF!,Milestone_Marker,IF(AND(CE$24&gt;#REF!,CE$24&lt;=#REF!+#REF!),#REF!,"")),"")</f>
        <v/>
      </c>
      <c r="CE87" s="35" t="str">
        <f ca="1">IFERROR(+IF(CF$24=#REF!,Milestone_Marker,IF(AND(CF$24&gt;#REF!,CF$24&lt;=#REF!+#REF!),#REF!,"")),"")</f>
        <v/>
      </c>
      <c r="CF87" s="35" t="str">
        <f ca="1">IFERROR(+IF(CG$24=#REF!,Milestone_Marker,IF(AND(CG$24&gt;#REF!,CG$24&lt;=#REF!+#REF!),#REF!,"")),"")</f>
        <v/>
      </c>
      <c r="CG87" s="35" t="str">
        <f ca="1">IFERROR(+IF(CH$24=#REF!,Milestone_Marker,IF(AND(CH$24&gt;#REF!,CH$24&lt;=#REF!+#REF!),#REF!,"")),"")</f>
        <v/>
      </c>
      <c r="CH87" s="35" t="str">
        <f ca="1">IFERROR(+IF(CI$24=#REF!,Milestone_Marker,IF(AND(CI$24&gt;#REF!,CI$24&lt;=#REF!+#REF!),#REF!,"")),"")</f>
        <v/>
      </c>
      <c r="CI87" s="35" t="str">
        <f ca="1">IFERROR(+IF(CJ$24=#REF!,Milestone_Marker,IF(AND(CJ$24&gt;#REF!,CJ$24&lt;=#REF!+#REF!),#REF!,"")),"")</f>
        <v/>
      </c>
      <c r="CJ87" s="35" t="str">
        <f ca="1">IFERROR(+IF(CK$24=#REF!,Milestone_Marker,IF(AND(CK$24&gt;#REF!,CK$24&lt;=#REF!+#REF!),#REF!,"")),"")</f>
        <v/>
      </c>
      <c r="CK87" s="35" t="str">
        <f ca="1">IFERROR(+IF(CL$24=#REF!,Milestone_Marker,IF(AND(CL$24&gt;#REF!,CL$24&lt;=#REF!+#REF!),#REF!,"")),"")</f>
        <v/>
      </c>
      <c r="CL87" s="35" t="str">
        <f ca="1">IFERROR(+IF(CM$24=#REF!,Milestone_Marker,IF(AND(CM$24&gt;#REF!,CM$24&lt;=#REF!+#REF!),#REF!,"")),"")</f>
        <v/>
      </c>
      <c r="CM87" s="35" t="str">
        <f ca="1">IFERROR(+IF(CN$24=#REF!,Milestone_Marker,IF(AND(CN$24&gt;#REF!,CN$24&lt;=#REF!+#REF!),#REF!,"")),"")</f>
        <v/>
      </c>
      <c r="CN87" s="35" t="str">
        <f ca="1">IFERROR(+IF(CO$24=#REF!,Milestone_Marker,IF(AND(CO$24&gt;#REF!,CO$24&lt;=#REF!+#REF!),#REF!,"")),"")</f>
        <v/>
      </c>
      <c r="CO87" s="35" t="str">
        <f ca="1">IFERROR(+IF(CP$24=#REF!,Milestone_Marker,IF(AND(CP$24&gt;#REF!,CP$24&lt;=#REF!+#REF!),#REF!,"")),"")</f>
        <v/>
      </c>
      <c r="CP87" s="35" t="str">
        <f ca="1">IFERROR(+IF(CQ$24=#REF!,Milestone_Marker,IF(AND(CQ$24&gt;#REF!,CQ$24&lt;=#REF!+#REF!),#REF!,"")),"")</f>
        <v/>
      </c>
      <c r="CQ87" s="35" t="str">
        <f ca="1">IFERROR(+IF(CR$24=#REF!,Milestone_Marker,IF(AND(CR$24&gt;#REF!,CR$24&lt;=#REF!+#REF!),#REF!,"")),"")</f>
        <v/>
      </c>
      <c r="CR87" s="35" t="str">
        <f ca="1">IFERROR(+IF(CS$24=#REF!,Milestone_Marker,IF(AND(CS$24&gt;#REF!,CS$24&lt;=#REF!+#REF!),#REF!,"")),"")</f>
        <v/>
      </c>
      <c r="CS87" s="35" t="str">
        <f ca="1">IFERROR(+IF(CT$24=#REF!,Milestone_Marker,IF(AND(CT$24&gt;#REF!,CT$24&lt;=#REF!+#REF!),#REF!,"")),"")</f>
        <v/>
      </c>
      <c r="CT87" s="35" t="str">
        <f ca="1">IFERROR(+IF(CU$24=#REF!,Milestone_Marker,IF(AND(CU$24&gt;#REF!,CU$24&lt;=#REF!+#REF!),#REF!,"")),"")</f>
        <v/>
      </c>
      <c r="CU87" s="35" t="str">
        <f ca="1">IFERROR(+IF(CV$24=#REF!,Milestone_Marker,IF(AND(CV$24&gt;#REF!,CV$24&lt;=#REF!+#REF!),#REF!,"")),"")</f>
        <v/>
      </c>
      <c r="CV87" s="35" t="str">
        <f ca="1">IFERROR(+IF(CW$24=#REF!,Milestone_Marker,IF(AND(CW$24&gt;#REF!,CW$24&lt;=#REF!+#REF!),#REF!,"")),"")</f>
        <v/>
      </c>
      <c r="CW87" s="35" t="str">
        <f ca="1">IFERROR(+IF(CX$24=#REF!,Milestone_Marker,IF(AND(CX$24&gt;#REF!,CX$24&lt;=#REF!+#REF!),#REF!,"")),"")</f>
        <v/>
      </c>
      <c r="CX87" s="35" t="str">
        <f ca="1">IFERROR(+IF(CY$24=#REF!,Milestone_Marker,IF(AND(CY$24&gt;#REF!,CY$24&lt;=#REF!+#REF!),#REF!,"")),"")</f>
        <v/>
      </c>
      <c r="CY87" s="35" t="str">
        <f ca="1">IFERROR(+IF(CZ$24=#REF!,Milestone_Marker,IF(AND(CZ$24&gt;#REF!,CZ$24&lt;=#REF!+#REF!),#REF!,"")),"")</f>
        <v/>
      </c>
      <c r="CZ87" s="35" t="str">
        <f ca="1">IFERROR(+IF(DA$24=#REF!,Milestone_Marker,IF(AND(DA$24&gt;#REF!,DA$24&lt;=#REF!+#REF!),#REF!,"")),"")</f>
        <v/>
      </c>
      <c r="DA87" s="35" t="str">
        <f ca="1">IFERROR(+IF(DB$24=#REF!,Milestone_Marker,IF(AND(DB$24&gt;#REF!,DB$24&lt;=#REF!+#REF!),#REF!,"")),"")</f>
        <v/>
      </c>
      <c r="DB87" s="35" t="str">
        <f ca="1">IFERROR(+IF(DC$24=#REF!,Milestone_Marker,IF(AND(DC$24&gt;#REF!,DC$24&lt;=#REF!+#REF!),#REF!,"")),"")</f>
        <v/>
      </c>
      <c r="DC87" s="35" t="str">
        <f ca="1">IFERROR(+IF(DD$24=#REF!,Milestone_Marker,IF(AND(DD$24&gt;#REF!,DD$24&lt;=#REF!+#REF!),#REF!,"")),"")</f>
        <v/>
      </c>
      <c r="DD87" s="35" t="str">
        <f ca="1">IFERROR(+IF(DE$24=#REF!,Milestone_Marker,IF(AND(DE$24&gt;#REF!,DE$24&lt;=#REF!+#REF!),#REF!,"")),"")</f>
        <v/>
      </c>
    </row>
    <row r="88" spans="1:108" ht="30">
      <c r="A88" t="s">
        <v>519</v>
      </c>
      <c r="B88" t="s">
        <v>608</v>
      </c>
      <c r="C88" t="s">
        <v>570</v>
      </c>
      <c r="D88" s="458" t="s">
        <v>622</v>
      </c>
      <c r="E88" s="458">
        <v>1</v>
      </c>
      <c r="F88">
        <v>5425</v>
      </c>
      <c r="G88">
        <v>5425</v>
      </c>
      <c r="H88">
        <v>158</v>
      </c>
      <c r="I88"/>
      <c r="J88">
        <v>58</v>
      </c>
      <c r="K88" s="107"/>
      <c r="L88" s="463">
        <v>58</v>
      </c>
      <c r="M88" s="176">
        <v>2</v>
      </c>
      <c r="N88" s="160">
        <v>0</v>
      </c>
      <c r="O88" s="546" cm="1">
        <f t="array" ref="O8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46000</v>
      </c>
      <c r="P88" s="566" t="s">
        <v>797</v>
      </c>
      <c r="Q88" s="566">
        <v>0</v>
      </c>
      <c r="R88" s="22"/>
      <c r="S88" s="463" cm="1">
        <f t="array" ref="S8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88">
        <v>1</v>
      </c>
      <c r="U88" s="176"/>
      <c r="V8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75.030299999999997</v>
      </c>
      <c r="W88" s="497"/>
      <c r="X88" s="176" t="s">
        <v>852</v>
      </c>
      <c r="Y88" s="547" t="s">
        <v>873</v>
      </c>
      <c r="Z88" s="160" t="s">
        <v>458</v>
      </c>
      <c r="AA88" s="563">
        <v>102100</v>
      </c>
      <c r="AB88" cm="1">
        <f t="array" ref="AB88">ROW()-ROW(Contract_Edits[#Headers])</f>
        <v>64</v>
      </c>
      <c r="AC88">
        <f>IF(Contract_Edits[[#This Row],[RowPos]]&gt;1, Contract_Edits[[#This Row],[RowPos]]-1, 0)</f>
        <v>63</v>
      </c>
      <c r="AD88" s="35">
        <f>IF(N(Contract_Edits[[#This Row],[Dep]])=0, N(Contract_Edits[[#This Row],[Index]]), N(Contract_Edits[[#This Row],[Dep]]))</f>
        <v>158</v>
      </c>
      <c r="AE88" s="35" cm="1">
        <f t="array" ref="AE88">IF(OR(Contract_Edits[[#This Row],[Dep]]=0, TRIM(Contract_Edits[[#This Row],[Dep]])=""),
   0,
   IFERROR(
      _xlfn.XLOOKUP(1, (Contract_Edits[Dep]=Contract_Edits[[#This Row],[Dep]])*(Contract_Edits[RowPos]&lt;Contract_Edits[[#This Row],[RowPos]]), Contract_Edits[RowPos], , 0, -1),
      0
   )
)</f>
        <v>63</v>
      </c>
      <c r="AF88" s="35">
        <f>IF(OR(Contract_Edits[[#This Row],[Dep]]=0,Contract_Edits[[#This Row],[Dep]]=""),0,
   COUNTIFS(Contract_Edits[Dep],Contract_Edits[[#This Row],[Dep]],Contract_Edits[RowPos],"&lt;="&amp;Contract_Edits[[#This Row],[RowPos]],Contract_Edits[Approve],"Yes")
)</f>
        <v>3</v>
      </c>
      <c r="AG88" s="517">
        <f>--(
  ISNUMBER(SEARCH("BASE PARENT", UPPER(CLEAN(TRIM(_xlfn.XLOOKUP(TEXT(Contract_Edits[[#This Row],[Index]],"0"), baseIdxTxt, baseCost, "")))))) +
  ISNUMBER(SEARCH("DEPENDENCY GROUP", UPPER(CLEAN(TRIM(_xlfn.XLOOKUP(TEXT(Contract_Edits[[#This Row],[Index]],"0"), baseIdxTxt, baseCost, ""))))))
)</f>
        <v>0</v>
      </c>
      <c r="AH88" s="517" t="str" cm="1">
        <f t="array" ref="AH88">IF(Contract_Edits[[#This Row],[BaseFlag]]=1,
   10*BaseDepthL(TEXT(Contract_Edits[[#This Row],[Index]],"0"),500,editsIdxTxt,editsParentKeyTxt,baseIdxTxt,baseCost)-5,
   ""
)</f>
        <v/>
      </c>
      <c r="AI88" s="517" cm="1">
        <f t="array" ref="AI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8" s="517" t="str">
        <f>IF(Contract_Edits[[#This Row],[Dep]]=0,"Root",
   IF(ISNUMBER(MATCH(Contract_Edits[[#This Row],[Dep]],Contract_Edits[Index],0)),"OK","Missing")
)</f>
        <v>OK</v>
      </c>
      <c r="AK88" s="517" t="str">
        <f>IF(AND(Contract_Edits[[#This Row],[Dep]]&lt;&gt;0,
        ISNUMBER(MATCH(Contract_Edits[[#This Row],[Dep]], Contract_Edits[Index], 0)),
        INDEX(Contract_Edits[Dep], MATCH(Contract_Edits[[#This Row],[Dep]], Contract_Edits[Index], 0))=Contract_Edits[[#This Row],[Index]]),
   "2-cycle","")</f>
        <v/>
      </c>
      <c r="AL88" s="517" cm="1">
        <f t="array" ref="AL88">IF(Contract_Edits[[#This Row],[BaseFlag]]&lt;&gt;1,0,
   IF(TEXT(Contract_Edits[[#This Row],[Dep]],"0")=TEXT(Contract_Edits[[#This Row],[Index]],"0"),
      0,
      MAX(0, SUMPRODUCT(--(Contract_Edits[BaseFlag]=1),
                        --(TEXT(Contract_Edits[Dep],"0")=TEXT(Contract_Edits[[#This Row],[Dep]],"0"))) - 1)
   )
)</f>
        <v>0</v>
      </c>
      <c r="AM88" s="517" t="str" cm="1">
        <f t="array" ref="AM88">IF(Contract_Edits[[#This Row],[BaseFlag]]=1,
   TEXT(Contract_Edits[[#This Row],[Index]],"0"),
   NearestBaseL(TEXT(Contract_Edits[[#This Row],[ParentKey]],"0"),500,editsIdxTxt,editsParentKeyTxt,baseIdxTxt,baseCost)
)</f>
        <v>158</v>
      </c>
      <c r="AN88" s="517" cm="1">
        <f t="array" ref="AN88">1+SUMPRODUCT(
  (Contract_Edits[BaseFlag]=1)*
  (TEXT(Contract_Edits[ParentAnchor],"0")=TEXT(Contract_Edits[[#This Row],[ParentAnchor]],"0"))*
  (VALUE(TEXT(Contract_Edits[Index],"0"))&lt;VALUE(TEXT(Contract_Edits[[#This Row],[Index]],"0")))
)</f>
        <v>1</v>
      </c>
      <c r="AO88" s="190"/>
      <c r="AP88" s="35" t="str">
        <f ca="1">IFERROR(+IF(AP$24=#REF!,Milestone_Marker,IF(AND(AP$24&gt;#REF!,AP$24&lt;#REF!+#REF!),#REF!,"")),"")</f>
        <v/>
      </c>
      <c r="AQ88" s="35" t="str">
        <f ca="1">IFERROR(+IF(AQ$24=#REF!,Milestone_Marker,IF(AND(AQ$24&gt;#REF!,AQ$24&lt;#REF!+#REF!),#REF!,"")),"")</f>
        <v/>
      </c>
      <c r="AR88" s="35" t="str">
        <f ca="1">IFERROR(+IF(AS$24=#REF!,Milestone_Marker,IF(AND(AS$24&gt;#REF!,AS$24&lt;=#REF!+#REF!),#REF!,"")),"")</f>
        <v/>
      </c>
      <c r="AS88" s="35" t="str">
        <f ca="1">IFERROR(+IF(AT$24=#REF!,Milestone_Marker,IF(AND(AT$24&gt;#REF!,AT$24&lt;=#REF!+#REF!),#REF!,"")),"")</f>
        <v/>
      </c>
      <c r="AT88" s="35" t="str">
        <f ca="1">IFERROR(+IF(AU$24=#REF!,Milestone_Marker,IF(AND(AU$24&gt;#REF!,AU$24&lt;=#REF!+#REF!),#REF!,"")),"")</f>
        <v/>
      </c>
      <c r="AU88" s="35" t="str">
        <f ca="1">IFERROR(+IF(AV$24=#REF!,Milestone_Marker,IF(AND(AV$24&gt;#REF!,AV$24&lt;=#REF!+#REF!),#REF!,"")),"")</f>
        <v/>
      </c>
      <c r="AV88" s="35" t="str">
        <f ca="1">IFERROR(+IF(AW$24=#REF!,Milestone_Marker,IF(AND(AW$24&gt;#REF!,AW$24&lt;=#REF!+#REF!),#REF!,"")),"")</f>
        <v/>
      </c>
      <c r="AW88" s="35" t="str">
        <f ca="1">IFERROR(+IF(AX$24=#REF!,Milestone_Marker,IF(AND(AX$24&gt;#REF!,AX$24&lt;=#REF!+#REF!),#REF!,"")),"")</f>
        <v/>
      </c>
      <c r="AX88" s="35" t="str">
        <f ca="1">IFERROR(+IF(AY$24=#REF!,Milestone_Marker,IF(AND(AY$24&gt;#REF!,AY$24&lt;=#REF!+#REF!),#REF!,"")),"")</f>
        <v/>
      </c>
      <c r="AY88" s="35" t="str">
        <f ca="1">IFERROR(+IF(AZ$24=#REF!,Milestone_Marker,IF(AND(AZ$24&gt;#REF!,AZ$24&lt;=#REF!+#REF!),#REF!,"")),"")</f>
        <v/>
      </c>
      <c r="AZ88" s="35" t="str">
        <f ca="1">IFERROR(+IF(BA$24=#REF!,Milestone_Marker,IF(AND(BA$24&gt;#REF!,BA$24&lt;=#REF!+#REF!),#REF!,"")),"")</f>
        <v/>
      </c>
      <c r="BA88" s="35" t="str">
        <f ca="1">IFERROR(+IF(BB$24=#REF!,Milestone_Marker,IF(AND(BB$24&gt;#REF!,BB$24&lt;=#REF!+#REF!),#REF!,"")),"")</f>
        <v/>
      </c>
      <c r="BB88" s="35" t="str">
        <f ca="1">IFERROR(+IF(BC$24=#REF!,Milestone_Marker,IF(AND(BC$24&gt;#REF!,BC$24&lt;=#REF!+#REF!),#REF!,"")),"")</f>
        <v/>
      </c>
      <c r="BC88" s="35" t="str">
        <f ca="1">IFERROR(+IF(BD$24=#REF!,Milestone_Marker,IF(AND(BD$24&gt;#REF!,BD$24&lt;=#REF!+#REF!),#REF!,"")),"")</f>
        <v/>
      </c>
      <c r="BD88" s="35" t="str">
        <f ca="1">IFERROR(+IF(BE$24=#REF!,Milestone_Marker,IF(AND(BE$24&gt;#REF!,BE$24&lt;=#REF!+#REF!),#REF!,"")),"")</f>
        <v/>
      </c>
      <c r="BE88" s="35" t="str">
        <f ca="1">IFERROR(+IF(BF$24=#REF!,Milestone_Marker,IF(AND(BF$24&gt;#REF!,BF$24&lt;=#REF!+#REF!),#REF!,"")),"")</f>
        <v/>
      </c>
      <c r="BF88" s="35" t="str">
        <f ca="1">IFERROR(+IF(BG$24=#REF!,Milestone_Marker,IF(AND(BG$24&gt;#REF!,BG$24&lt;=#REF!+#REF!),#REF!,"")),"")</f>
        <v/>
      </c>
      <c r="BG88" s="35" t="str">
        <f ca="1">IFERROR(+IF(BH$24=#REF!,Milestone_Marker,IF(AND(BH$24&gt;#REF!,BH$24&lt;=#REF!+#REF!),#REF!,"")),"")</f>
        <v/>
      </c>
      <c r="BH88" s="35" t="str">
        <f ca="1">IFERROR(+IF(BI$24=#REF!,Milestone_Marker,IF(AND(BI$24&gt;#REF!,BI$24&lt;=#REF!+#REF!),#REF!,"")),"")</f>
        <v/>
      </c>
      <c r="BI88" s="35" t="str">
        <f ca="1">IFERROR(+IF(BJ$24=#REF!,Milestone_Marker,IF(AND(BJ$24&gt;#REF!,BJ$24&lt;=#REF!+#REF!),#REF!,"")),"")</f>
        <v/>
      </c>
      <c r="BJ88" s="35" t="str">
        <f ca="1">IFERROR(+IF(BK$24=#REF!,Milestone_Marker,IF(AND(BK$24&gt;#REF!,BK$24&lt;=#REF!+#REF!),#REF!,"")),"")</f>
        <v/>
      </c>
      <c r="BK88" s="35" t="str">
        <f ca="1">IFERROR(+IF(BL$24=#REF!,Milestone_Marker,IF(AND(BL$24&gt;#REF!,BL$24&lt;=#REF!+#REF!),#REF!,"")),"")</f>
        <v/>
      </c>
      <c r="BL88" s="35" t="str">
        <f ca="1">IFERROR(+IF(BM$24=#REF!,Milestone_Marker,IF(AND(BM$24&gt;#REF!,BM$24&lt;=#REF!+#REF!),#REF!,"")),"")</f>
        <v/>
      </c>
      <c r="BM88" s="35" t="str">
        <f ca="1">IFERROR(+IF(BN$24=#REF!,Milestone_Marker,IF(AND(BN$24&gt;#REF!,BN$24&lt;=#REF!+#REF!),#REF!,"")),"")</f>
        <v/>
      </c>
      <c r="BN88" s="35" t="str">
        <f ca="1">IFERROR(+IF(BO$24=#REF!,Milestone_Marker,IF(AND(BO$24&gt;#REF!,BO$24&lt;=#REF!+#REF!),#REF!,"")),"")</f>
        <v/>
      </c>
      <c r="BO88" s="35" t="str">
        <f ca="1">IFERROR(+IF(BP$24=#REF!,Milestone_Marker,IF(AND(BP$24&gt;#REF!,BP$24&lt;=#REF!+#REF!),#REF!,"")),"")</f>
        <v/>
      </c>
      <c r="BP88" s="35" t="str">
        <f ca="1">IFERROR(+IF(BQ$24=#REF!,Milestone_Marker,IF(AND(BQ$24&gt;#REF!,BQ$24&lt;=#REF!+#REF!),#REF!,"")),"")</f>
        <v/>
      </c>
      <c r="BQ88" s="35" t="str">
        <f ca="1">IFERROR(+IF(BR$24=#REF!,Milestone_Marker,IF(AND(BR$24&gt;#REF!,BR$24&lt;=#REF!+#REF!),#REF!,"")),"")</f>
        <v/>
      </c>
      <c r="BR88" s="35" t="str">
        <f ca="1">IFERROR(+IF(BS$24=#REF!,Milestone_Marker,IF(AND(BS$24&gt;#REF!,BS$24&lt;=#REF!+#REF!),#REF!,"")),"")</f>
        <v/>
      </c>
      <c r="BS88" s="35" t="str">
        <f ca="1">IFERROR(+IF(BT$24=#REF!,Milestone_Marker,IF(AND(BT$24&gt;#REF!,BT$24&lt;=#REF!+#REF!),#REF!,"")),"")</f>
        <v/>
      </c>
      <c r="BT88" s="35" t="str">
        <f ca="1">IFERROR(+IF(BU$24=#REF!,Milestone_Marker,IF(AND(BU$24&gt;#REF!,BU$24&lt;=#REF!+#REF!),#REF!,"")),"")</f>
        <v/>
      </c>
      <c r="BU88" s="35" t="str">
        <f ca="1">IFERROR(+IF(BV$24=#REF!,Milestone_Marker,IF(AND(BV$24&gt;#REF!,BV$24&lt;=#REF!+#REF!),#REF!,"")),"")</f>
        <v/>
      </c>
      <c r="BV88" s="35" t="str">
        <f ca="1">IFERROR(+IF(BW$24=#REF!,Milestone_Marker,IF(AND(BW$24&gt;#REF!,BW$24&lt;=#REF!+#REF!),#REF!,"")),"")</f>
        <v/>
      </c>
      <c r="BW88" s="35" t="str">
        <f ca="1">IFERROR(+IF(BX$24=#REF!,Milestone_Marker,IF(AND(BX$24&gt;#REF!,BX$24&lt;=#REF!+#REF!),#REF!,"")),"")</f>
        <v/>
      </c>
      <c r="BX88" s="35" t="str">
        <f ca="1">IFERROR(+IF(BY$24=#REF!,Milestone_Marker,IF(AND(BY$24&gt;#REF!,BY$24&lt;=#REF!+#REF!),#REF!,"")),"")</f>
        <v/>
      </c>
      <c r="BY88" s="35" t="str">
        <f ca="1">IFERROR(+IF(BZ$24=#REF!,Milestone_Marker,IF(AND(BZ$24&gt;#REF!,BZ$24&lt;=#REF!+#REF!),#REF!,"")),"")</f>
        <v/>
      </c>
      <c r="BZ88" s="35" t="str">
        <f ca="1">IFERROR(+IF(CA$24=#REF!,Milestone_Marker,IF(AND(CA$24&gt;#REF!,CA$24&lt;=#REF!+#REF!),#REF!,"")),"")</f>
        <v/>
      </c>
      <c r="CA88" s="35" t="str">
        <f ca="1">IFERROR(+IF(CB$24=#REF!,Milestone_Marker,IF(AND(CB$24&gt;#REF!,CB$24&lt;=#REF!+#REF!),#REF!,"")),"")</f>
        <v/>
      </c>
      <c r="CB88" s="35" t="str">
        <f ca="1">IFERROR(+IF(CC$24=#REF!,Milestone_Marker,IF(AND(CC$24&gt;#REF!,CC$24&lt;=#REF!+#REF!),#REF!,"")),"")</f>
        <v/>
      </c>
      <c r="CC88" s="35" t="str">
        <f ca="1">IFERROR(+IF(CD$24=#REF!,Milestone_Marker,IF(AND(CD$24&gt;#REF!,CD$24&lt;=#REF!+#REF!),#REF!,"")),"")</f>
        <v/>
      </c>
      <c r="CD88" s="35" t="str">
        <f ca="1">IFERROR(+IF(CE$24=#REF!,Milestone_Marker,IF(AND(CE$24&gt;#REF!,CE$24&lt;=#REF!+#REF!),#REF!,"")),"")</f>
        <v/>
      </c>
      <c r="CE88" s="35" t="str">
        <f ca="1">IFERROR(+IF(CF$24=#REF!,Milestone_Marker,IF(AND(CF$24&gt;#REF!,CF$24&lt;=#REF!+#REF!),#REF!,"")),"")</f>
        <v/>
      </c>
      <c r="CF88" s="35" t="str">
        <f ca="1">IFERROR(+IF(CG$24=#REF!,Milestone_Marker,IF(AND(CG$24&gt;#REF!,CG$24&lt;=#REF!+#REF!),#REF!,"")),"")</f>
        <v/>
      </c>
      <c r="CG88" s="35" t="str">
        <f ca="1">IFERROR(+IF(CH$24=#REF!,Milestone_Marker,IF(AND(CH$24&gt;#REF!,CH$24&lt;=#REF!+#REF!),#REF!,"")),"")</f>
        <v/>
      </c>
      <c r="CH88" s="35" t="str">
        <f ca="1">IFERROR(+IF(CI$24=#REF!,Milestone_Marker,IF(AND(CI$24&gt;#REF!,CI$24&lt;=#REF!+#REF!),#REF!,"")),"")</f>
        <v/>
      </c>
      <c r="CI88" s="35" t="str">
        <f ca="1">IFERROR(+IF(CJ$24=#REF!,Milestone_Marker,IF(AND(CJ$24&gt;#REF!,CJ$24&lt;=#REF!+#REF!),#REF!,"")),"")</f>
        <v/>
      </c>
      <c r="CJ88" s="35" t="str">
        <f ca="1">IFERROR(+IF(CK$24=#REF!,Milestone_Marker,IF(AND(CK$24&gt;#REF!,CK$24&lt;=#REF!+#REF!),#REF!,"")),"")</f>
        <v/>
      </c>
      <c r="CK88" s="35" t="str">
        <f ca="1">IFERROR(+IF(CL$24=#REF!,Milestone_Marker,IF(AND(CL$24&gt;#REF!,CL$24&lt;=#REF!+#REF!),#REF!,"")),"")</f>
        <v/>
      </c>
      <c r="CL88" s="35" t="str">
        <f ca="1">IFERROR(+IF(CM$24=#REF!,Milestone_Marker,IF(AND(CM$24&gt;#REF!,CM$24&lt;=#REF!+#REF!),#REF!,"")),"")</f>
        <v/>
      </c>
      <c r="CM88" s="35" t="str">
        <f ca="1">IFERROR(+IF(CN$24=#REF!,Milestone_Marker,IF(AND(CN$24&gt;#REF!,CN$24&lt;=#REF!+#REF!),#REF!,"")),"")</f>
        <v/>
      </c>
      <c r="CN88" s="35" t="str">
        <f ca="1">IFERROR(+IF(CO$24=#REF!,Milestone_Marker,IF(AND(CO$24&gt;#REF!,CO$24&lt;=#REF!+#REF!),#REF!,"")),"")</f>
        <v/>
      </c>
      <c r="CO88" s="35" t="str">
        <f ca="1">IFERROR(+IF(CP$24=#REF!,Milestone_Marker,IF(AND(CP$24&gt;#REF!,CP$24&lt;=#REF!+#REF!),#REF!,"")),"")</f>
        <v/>
      </c>
      <c r="CP88" s="35" t="str">
        <f ca="1">IFERROR(+IF(CQ$24=#REF!,Milestone_Marker,IF(AND(CQ$24&gt;#REF!,CQ$24&lt;=#REF!+#REF!),#REF!,"")),"")</f>
        <v/>
      </c>
      <c r="CQ88" s="35" t="str">
        <f ca="1">IFERROR(+IF(CR$24=#REF!,Milestone_Marker,IF(AND(CR$24&gt;#REF!,CR$24&lt;=#REF!+#REF!),#REF!,"")),"")</f>
        <v/>
      </c>
      <c r="CR88" s="35" t="str">
        <f ca="1">IFERROR(+IF(CS$24=#REF!,Milestone_Marker,IF(AND(CS$24&gt;#REF!,CS$24&lt;=#REF!+#REF!),#REF!,"")),"")</f>
        <v/>
      </c>
      <c r="CS88" s="35" t="str">
        <f ca="1">IFERROR(+IF(CT$24=#REF!,Milestone_Marker,IF(AND(CT$24&gt;#REF!,CT$24&lt;=#REF!+#REF!),#REF!,"")),"")</f>
        <v/>
      </c>
      <c r="CT88" s="35" t="str">
        <f ca="1">IFERROR(+IF(CU$24=#REF!,Milestone_Marker,IF(AND(CU$24&gt;#REF!,CU$24&lt;=#REF!+#REF!),#REF!,"")),"")</f>
        <v/>
      </c>
      <c r="CU88" s="35" t="str">
        <f ca="1">IFERROR(+IF(CV$24=#REF!,Milestone_Marker,IF(AND(CV$24&gt;#REF!,CV$24&lt;=#REF!+#REF!),#REF!,"")),"")</f>
        <v/>
      </c>
      <c r="CV88" s="35" t="str">
        <f ca="1">IFERROR(+IF(CW$24=#REF!,Milestone_Marker,IF(AND(CW$24&gt;#REF!,CW$24&lt;=#REF!+#REF!),#REF!,"")),"")</f>
        <v/>
      </c>
      <c r="CW88" s="35" t="str">
        <f ca="1">IFERROR(+IF(CX$24=#REF!,Milestone_Marker,IF(AND(CX$24&gt;#REF!,CX$24&lt;=#REF!+#REF!),#REF!,"")),"")</f>
        <v/>
      </c>
      <c r="CX88" s="35" t="str">
        <f ca="1">IFERROR(+IF(CY$24=#REF!,Milestone_Marker,IF(AND(CY$24&gt;#REF!,CY$24&lt;=#REF!+#REF!),#REF!,"")),"")</f>
        <v/>
      </c>
      <c r="CY88" s="35" t="str">
        <f ca="1">IFERROR(+IF(CZ$24=#REF!,Milestone_Marker,IF(AND(CZ$24&gt;#REF!,CZ$24&lt;=#REF!+#REF!),#REF!,"")),"")</f>
        <v/>
      </c>
      <c r="CZ88" s="35" t="str">
        <f ca="1">IFERROR(+IF(DA$24=#REF!,Milestone_Marker,IF(AND(DA$24&gt;#REF!,DA$24&lt;=#REF!+#REF!),#REF!,"")),"")</f>
        <v/>
      </c>
      <c r="DA88" s="35" t="str">
        <f ca="1">IFERROR(+IF(DB$24=#REF!,Milestone_Marker,IF(AND(DB$24&gt;#REF!,DB$24&lt;=#REF!+#REF!),#REF!,"")),"")</f>
        <v/>
      </c>
      <c r="DB88" s="35" t="str">
        <f ca="1">IFERROR(+IF(DC$24=#REF!,Milestone_Marker,IF(AND(DC$24&gt;#REF!,DC$24&lt;=#REF!+#REF!),#REF!,"")),"")</f>
        <v/>
      </c>
      <c r="DC88" s="35" t="str">
        <f ca="1">IFERROR(+IF(DD$24=#REF!,Milestone_Marker,IF(AND(DD$24&gt;#REF!,DD$24&lt;=#REF!+#REF!),#REF!,"")),"")</f>
        <v/>
      </c>
      <c r="DD88" s="35" t="str">
        <f ca="1">IFERROR(+IF(DE$24=#REF!,Milestone_Marker,IF(AND(DE$24&gt;#REF!,DE$24&lt;=#REF!+#REF!),#REF!,"")),"")</f>
        <v/>
      </c>
    </row>
    <row r="89" spans="1:108" ht="30">
      <c r="A89" t="s">
        <v>519</v>
      </c>
      <c r="B89" t="s">
        <v>587</v>
      </c>
      <c r="C89" t="s">
        <v>594</v>
      </c>
      <c r="D89" s="458" t="s">
        <v>595</v>
      </c>
      <c r="E89" s="458">
        <v>1</v>
      </c>
      <c r="F89">
        <v>1450</v>
      </c>
      <c r="G89">
        <v>1450</v>
      </c>
      <c r="H89">
        <v>158</v>
      </c>
      <c r="I89"/>
      <c r="J89">
        <v>41</v>
      </c>
      <c r="K89" s="107"/>
      <c r="L89" s="463">
        <v>41</v>
      </c>
      <c r="M89" s="176">
        <v>1</v>
      </c>
      <c r="N89" s="160">
        <v>0</v>
      </c>
      <c r="O89" s="546" cm="1">
        <f t="array" ref="O8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46002</v>
      </c>
      <c r="P89" s="566" t="s">
        <v>797</v>
      </c>
      <c r="Q89" s="566">
        <v>0</v>
      </c>
      <c r="R89" s="22"/>
      <c r="S89" s="463" cm="1">
        <f t="array" ref="S8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89">
        <v>1</v>
      </c>
      <c r="U89" s="176"/>
      <c r="V8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75.0304</v>
      </c>
      <c r="W89" s="497"/>
      <c r="X89" s="176" t="s">
        <v>852</v>
      </c>
      <c r="Y89" s="547" t="s">
        <v>873</v>
      </c>
      <c r="Z89" s="160" t="s">
        <v>458</v>
      </c>
      <c r="AA89" s="563">
        <v>102100</v>
      </c>
      <c r="AB89" cm="1">
        <f t="array" ref="AB89">ROW()-ROW(Contract_Edits[#Headers])</f>
        <v>65</v>
      </c>
      <c r="AC89">
        <f>IF(Contract_Edits[[#This Row],[RowPos]]&gt;1, Contract_Edits[[#This Row],[RowPos]]-1, 0)</f>
        <v>64</v>
      </c>
      <c r="AD89" s="35">
        <f>IF(N(Contract_Edits[[#This Row],[Dep]])=0, N(Contract_Edits[[#This Row],[Index]]), N(Contract_Edits[[#This Row],[Dep]]))</f>
        <v>158</v>
      </c>
      <c r="AE89" s="35" cm="1">
        <f t="array" ref="AE89">IF(OR(Contract_Edits[[#This Row],[Dep]]=0, TRIM(Contract_Edits[[#This Row],[Dep]])=""),
   0,
   IFERROR(
      _xlfn.XLOOKUP(1, (Contract_Edits[Dep]=Contract_Edits[[#This Row],[Dep]])*(Contract_Edits[RowPos]&lt;Contract_Edits[[#This Row],[RowPos]]), Contract_Edits[RowPos], , 0, -1),
      0
   )
)</f>
        <v>64</v>
      </c>
      <c r="AF89" s="35">
        <f>IF(OR(Contract_Edits[[#This Row],[Dep]]=0,Contract_Edits[[#This Row],[Dep]]=""),0,
   COUNTIFS(Contract_Edits[Dep],Contract_Edits[[#This Row],[Dep]],Contract_Edits[RowPos],"&lt;="&amp;Contract_Edits[[#This Row],[RowPos]],Contract_Edits[Approve],"Yes")
)</f>
        <v>4</v>
      </c>
      <c r="AG89" s="517">
        <f>--(
  ISNUMBER(SEARCH("BASE PARENT", UPPER(CLEAN(TRIM(_xlfn.XLOOKUP(TEXT(Contract_Edits[[#This Row],[Index]],"0"), baseIdxTxt, baseCost, "")))))) +
  ISNUMBER(SEARCH("DEPENDENCY GROUP", UPPER(CLEAN(TRIM(_xlfn.XLOOKUP(TEXT(Contract_Edits[[#This Row],[Index]],"0"), baseIdxTxt, baseCost, ""))))))
)</f>
        <v>0</v>
      </c>
      <c r="AH89" s="517" t="str" cm="1">
        <f t="array" ref="AH89">IF(Contract_Edits[[#This Row],[BaseFlag]]=1,
   10*BaseDepthL(TEXT(Contract_Edits[[#This Row],[Index]],"0"),500,editsIdxTxt,editsParentKeyTxt,baseIdxTxt,baseCost)-5,
   ""
)</f>
        <v/>
      </c>
      <c r="AI89" s="517" cm="1">
        <f t="array" ref="AI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9" s="517" t="str">
        <f>IF(Contract_Edits[[#This Row],[Dep]]=0,"Root",
   IF(ISNUMBER(MATCH(Contract_Edits[[#This Row],[Dep]],Contract_Edits[Index],0)),"OK","Missing")
)</f>
        <v>OK</v>
      </c>
      <c r="AK89" s="517" t="str">
        <f>IF(AND(Contract_Edits[[#This Row],[Dep]]&lt;&gt;0,
        ISNUMBER(MATCH(Contract_Edits[[#This Row],[Dep]], Contract_Edits[Index], 0)),
        INDEX(Contract_Edits[Dep], MATCH(Contract_Edits[[#This Row],[Dep]], Contract_Edits[Index], 0))=Contract_Edits[[#This Row],[Index]]),
   "2-cycle","")</f>
        <v/>
      </c>
      <c r="AL89" s="517" cm="1">
        <f t="array" ref="AL89">IF(Contract_Edits[[#This Row],[BaseFlag]]&lt;&gt;1,0,
   IF(TEXT(Contract_Edits[[#This Row],[Dep]],"0")=TEXT(Contract_Edits[[#This Row],[Index]],"0"),
      0,
      MAX(0, SUMPRODUCT(--(Contract_Edits[BaseFlag]=1),
                        --(TEXT(Contract_Edits[Dep],"0")=TEXT(Contract_Edits[[#This Row],[Dep]],"0"))) - 1)
   )
)</f>
        <v>0</v>
      </c>
      <c r="AM89" s="517" t="str" cm="1">
        <f t="array" ref="AM89">IF(Contract_Edits[[#This Row],[BaseFlag]]=1,
   TEXT(Contract_Edits[[#This Row],[Index]],"0"),
   NearestBaseL(TEXT(Contract_Edits[[#This Row],[ParentKey]],"0"),500,editsIdxTxt,editsParentKeyTxt,baseIdxTxt,baseCost)
)</f>
        <v>158</v>
      </c>
      <c r="AN89" s="517" cm="1">
        <f t="array" ref="AN89">1+SUMPRODUCT(
  (Contract_Edits[BaseFlag]=1)*
  (TEXT(Contract_Edits[ParentAnchor],"0")=TEXT(Contract_Edits[[#This Row],[ParentAnchor]],"0"))*
  (VALUE(TEXT(Contract_Edits[Index],"0"))&lt;VALUE(TEXT(Contract_Edits[[#This Row],[Index]],"0")))
)</f>
        <v>1</v>
      </c>
      <c r="AO89" s="35"/>
      <c r="AP89" s="35" t="str">
        <f ca="1">IFERROR(+IF(AP$24=#REF!,Milestone_Marker,IF(AND(AP$24&gt;#REF!,AP$24&lt;#REF!+#REF!),#REF!,"")),"")</f>
        <v/>
      </c>
      <c r="AQ89" s="35" t="str">
        <f ca="1">IFERROR(+IF(AQ$24=#REF!,Milestone_Marker,IF(AND(AQ$24&gt;#REF!,AQ$24&lt;#REF!+#REF!),#REF!,"")),"")</f>
        <v/>
      </c>
      <c r="AR89" s="35" t="str">
        <f ca="1">IFERROR(+IF(AS$24=#REF!,Milestone_Marker,IF(AND(AS$24&gt;#REF!,AS$24&lt;=#REF!+#REF!),#REF!,"")),"")</f>
        <v/>
      </c>
      <c r="AS89" s="35" t="str">
        <f ca="1">IFERROR(+IF(AT$24=#REF!,Milestone_Marker,IF(AND(AT$24&gt;#REF!,AT$24&lt;=#REF!+#REF!),#REF!,"")),"")</f>
        <v/>
      </c>
      <c r="AT89" s="35" t="str">
        <f ca="1">IFERROR(+IF(AU$24=#REF!,Milestone_Marker,IF(AND(AU$24&gt;#REF!,AU$24&lt;=#REF!+#REF!),#REF!,"")),"")</f>
        <v/>
      </c>
      <c r="AU89" s="35" t="str">
        <f ca="1">IFERROR(+IF(AV$24=#REF!,Milestone_Marker,IF(AND(AV$24&gt;#REF!,AV$24&lt;=#REF!+#REF!),#REF!,"")),"")</f>
        <v/>
      </c>
      <c r="AV89" s="35" t="str">
        <f ca="1">IFERROR(+IF(AW$24=#REF!,Milestone_Marker,IF(AND(AW$24&gt;#REF!,AW$24&lt;=#REF!+#REF!),#REF!,"")),"")</f>
        <v/>
      </c>
      <c r="AW89" s="35" t="str">
        <f ca="1">IFERROR(+IF(AX$24=#REF!,Milestone_Marker,IF(AND(AX$24&gt;#REF!,AX$24&lt;=#REF!+#REF!),#REF!,"")),"")</f>
        <v/>
      </c>
      <c r="AX89" s="35" t="str">
        <f ca="1">IFERROR(+IF(AY$24=#REF!,Milestone_Marker,IF(AND(AY$24&gt;#REF!,AY$24&lt;=#REF!+#REF!),#REF!,"")),"")</f>
        <v/>
      </c>
      <c r="AY89" s="35" t="str">
        <f ca="1">IFERROR(+IF(AZ$24=#REF!,Milestone_Marker,IF(AND(AZ$24&gt;#REF!,AZ$24&lt;=#REF!+#REF!),#REF!,"")),"")</f>
        <v/>
      </c>
      <c r="AZ89" s="35" t="str">
        <f ca="1">IFERROR(+IF(BA$24=#REF!,Milestone_Marker,IF(AND(BA$24&gt;#REF!,BA$24&lt;=#REF!+#REF!),#REF!,"")),"")</f>
        <v/>
      </c>
      <c r="BA89" s="35" t="str">
        <f ca="1">IFERROR(+IF(BB$24=#REF!,Milestone_Marker,IF(AND(BB$24&gt;#REF!,BB$24&lt;=#REF!+#REF!),#REF!,"")),"")</f>
        <v/>
      </c>
      <c r="BB89" s="35" t="str">
        <f ca="1">IFERROR(+IF(BC$24=#REF!,Milestone_Marker,IF(AND(BC$24&gt;#REF!,BC$24&lt;=#REF!+#REF!),#REF!,"")),"")</f>
        <v/>
      </c>
      <c r="BC89" s="35" t="str">
        <f ca="1">IFERROR(+IF(BD$24=#REF!,Milestone_Marker,IF(AND(BD$24&gt;#REF!,BD$24&lt;=#REF!+#REF!),#REF!,"")),"")</f>
        <v/>
      </c>
      <c r="BD89" s="35" t="str">
        <f ca="1">IFERROR(+IF(BE$24=#REF!,Milestone_Marker,IF(AND(BE$24&gt;#REF!,BE$24&lt;=#REF!+#REF!),#REF!,"")),"")</f>
        <v/>
      </c>
      <c r="BE89" s="35" t="str">
        <f ca="1">IFERROR(+IF(BF$24=#REF!,Milestone_Marker,IF(AND(BF$24&gt;#REF!,BF$24&lt;=#REF!+#REF!),#REF!,"")),"")</f>
        <v/>
      </c>
      <c r="BF89" s="35" t="str">
        <f ca="1">IFERROR(+IF(BG$24=#REF!,Milestone_Marker,IF(AND(BG$24&gt;#REF!,BG$24&lt;=#REF!+#REF!),#REF!,"")),"")</f>
        <v/>
      </c>
      <c r="BG89" s="35" t="str">
        <f ca="1">IFERROR(+IF(BH$24=#REF!,Milestone_Marker,IF(AND(BH$24&gt;#REF!,BH$24&lt;=#REF!+#REF!),#REF!,"")),"")</f>
        <v/>
      </c>
      <c r="BH89" s="35" t="str">
        <f ca="1">IFERROR(+IF(BI$24=#REF!,Milestone_Marker,IF(AND(BI$24&gt;#REF!,BI$24&lt;=#REF!+#REF!),#REF!,"")),"")</f>
        <v/>
      </c>
      <c r="BI89" s="35" t="str">
        <f ca="1">IFERROR(+IF(BJ$24=#REF!,Milestone_Marker,IF(AND(BJ$24&gt;#REF!,BJ$24&lt;=#REF!+#REF!),#REF!,"")),"")</f>
        <v/>
      </c>
      <c r="BJ89" s="35" t="str">
        <f ca="1">IFERROR(+IF(BK$24=#REF!,Milestone_Marker,IF(AND(BK$24&gt;#REF!,BK$24&lt;=#REF!+#REF!),#REF!,"")),"")</f>
        <v/>
      </c>
      <c r="BK89" s="35" t="str">
        <f ca="1">IFERROR(+IF(BL$24=#REF!,Milestone_Marker,IF(AND(BL$24&gt;#REF!,BL$24&lt;=#REF!+#REF!),#REF!,"")),"")</f>
        <v/>
      </c>
      <c r="BL89" s="35" t="str">
        <f ca="1">IFERROR(+IF(BM$24=#REF!,Milestone_Marker,IF(AND(BM$24&gt;#REF!,BM$24&lt;=#REF!+#REF!),#REF!,"")),"")</f>
        <v/>
      </c>
      <c r="BM89" s="35" t="str">
        <f ca="1">IFERROR(+IF(BN$24=#REF!,Milestone_Marker,IF(AND(BN$24&gt;#REF!,BN$24&lt;=#REF!+#REF!),#REF!,"")),"")</f>
        <v/>
      </c>
      <c r="BN89" s="35" t="str">
        <f ca="1">IFERROR(+IF(BO$24=#REF!,Milestone_Marker,IF(AND(BO$24&gt;#REF!,BO$24&lt;=#REF!+#REF!),#REF!,"")),"")</f>
        <v/>
      </c>
      <c r="BO89" s="35" t="str">
        <f ca="1">IFERROR(+IF(BP$24=#REF!,Milestone_Marker,IF(AND(BP$24&gt;#REF!,BP$24&lt;=#REF!+#REF!),#REF!,"")),"")</f>
        <v/>
      </c>
      <c r="BP89" s="35" t="str">
        <f ca="1">IFERROR(+IF(BQ$24=#REF!,Milestone_Marker,IF(AND(BQ$24&gt;#REF!,BQ$24&lt;=#REF!+#REF!),#REF!,"")),"")</f>
        <v/>
      </c>
      <c r="BQ89" s="35" t="str">
        <f ca="1">IFERROR(+IF(BR$24=#REF!,Milestone_Marker,IF(AND(BR$24&gt;#REF!,BR$24&lt;=#REF!+#REF!),#REF!,"")),"")</f>
        <v/>
      </c>
      <c r="BR89" s="35" t="str">
        <f ca="1">IFERROR(+IF(BS$24=#REF!,Milestone_Marker,IF(AND(BS$24&gt;#REF!,BS$24&lt;=#REF!+#REF!),#REF!,"")),"")</f>
        <v/>
      </c>
      <c r="BS89" s="35" t="str">
        <f ca="1">IFERROR(+IF(BT$24=#REF!,Milestone_Marker,IF(AND(BT$24&gt;#REF!,BT$24&lt;=#REF!+#REF!),#REF!,"")),"")</f>
        <v/>
      </c>
      <c r="BT89" s="35" t="str">
        <f ca="1">IFERROR(+IF(BU$24=#REF!,Milestone_Marker,IF(AND(BU$24&gt;#REF!,BU$24&lt;=#REF!+#REF!),#REF!,"")),"")</f>
        <v/>
      </c>
      <c r="BU89" s="35" t="str">
        <f ca="1">IFERROR(+IF(BV$24=#REF!,Milestone_Marker,IF(AND(BV$24&gt;#REF!,BV$24&lt;=#REF!+#REF!),#REF!,"")),"")</f>
        <v/>
      </c>
      <c r="BV89" s="35" t="str">
        <f ca="1">IFERROR(+IF(BW$24=#REF!,Milestone_Marker,IF(AND(BW$24&gt;#REF!,BW$24&lt;=#REF!+#REF!),#REF!,"")),"")</f>
        <v/>
      </c>
      <c r="BW89" s="35" t="str">
        <f ca="1">IFERROR(+IF(BX$24=#REF!,Milestone_Marker,IF(AND(BX$24&gt;#REF!,BX$24&lt;=#REF!+#REF!),#REF!,"")),"")</f>
        <v/>
      </c>
      <c r="BX89" s="35" t="str">
        <f ca="1">IFERROR(+IF(BY$24=#REF!,Milestone_Marker,IF(AND(BY$24&gt;#REF!,BY$24&lt;=#REF!+#REF!),#REF!,"")),"")</f>
        <v/>
      </c>
      <c r="BY89" s="35" t="str">
        <f ca="1">IFERROR(+IF(BZ$24=#REF!,Milestone_Marker,IF(AND(BZ$24&gt;#REF!,BZ$24&lt;=#REF!+#REF!),#REF!,"")),"")</f>
        <v/>
      </c>
      <c r="BZ89" s="35" t="str">
        <f ca="1">IFERROR(+IF(CA$24=#REF!,Milestone_Marker,IF(AND(CA$24&gt;#REF!,CA$24&lt;=#REF!+#REF!),#REF!,"")),"")</f>
        <v/>
      </c>
      <c r="CA89" s="35" t="str">
        <f ca="1">IFERROR(+IF(CB$24=#REF!,Milestone_Marker,IF(AND(CB$24&gt;#REF!,CB$24&lt;=#REF!+#REF!),#REF!,"")),"")</f>
        <v/>
      </c>
      <c r="CB89" s="35" t="str">
        <f ca="1">IFERROR(+IF(CC$24=#REF!,Milestone_Marker,IF(AND(CC$24&gt;#REF!,CC$24&lt;=#REF!+#REF!),#REF!,"")),"")</f>
        <v/>
      </c>
      <c r="CC89" s="35" t="str">
        <f ca="1">IFERROR(+IF(CD$24=#REF!,Milestone_Marker,IF(AND(CD$24&gt;#REF!,CD$24&lt;=#REF!+#REF!),#REF!,"")),"")</f>
        <v/>
      </c>
      <c r="CD89" s="35" t="str">
        <f ca="1">IFERROR(+IF(CE$24=#REF!,Milestone_Marker,IF(AND(CE$24&gt;#REF!,CE$24&lt;=#REF!+#REF!),#REF!,"")),"")</f>
        <v/>
      </c>
      <c r="CE89" s="35" t="str">
        <f ca="1">IFERROR(+IF(CF$24=#REF!,Milestone_Marker,IF(AND(CF$24&gt;#REF!,CF$24&lt;=#REF!+#REF!),#REF!,"")),"")</f>
        <v/>
      </c>
      <c r="CF89" s="35" t="str">
        <f ca="1">IFERROR(+IF(CG$24=#REF!,Milestone_Marker,IF(AND(CG$24&gt;#REF!,CG$24&lt;=#REF!+#REF!),#REF!,"")),"")</f>
        <v/>
      </c>
      <c r="CG89" s="35" t="str">
        <f ca="1">IFERROR(+IF(CH$24=#REF!,Milestone_Marker,IF(AND(CH$24&gt;#REF!,CH$24&lt;=#REF!+#REF!),#REF!,"")),"")</f>
        <v/>
      </c>
      <c r="CH89" s="35" t="str">
        <f ca="1">IFERROR(+IF(CI$24=#REF!,Milestone_Marker,IF(AND(CI$24&gt;#REF!,CI$24&lt;=#REF!+#REF!),#REF!,"")),"")</f>
        <v/>
      </c>
      <c r="CI89" s="35" t="str">
        <f ca="1">IFERROR(+IF(CJ$24=#REF!,Milestone_Marker,IF(AND(CJ$24&gt;#REF!,CJ$24&lt;=#REF!+#REF!),#REF!,"")),"")</f>
        <v/>
      </c>
      <c r="CJ89" s="35" t="str">
        <f ca="1">IFERROR(+IF(CK$24=#REF!,Milestone_Marker,IF(AND(CK$24&gt;#REF!,CK$24&lt;=#REF!+#REF!),#REF!,"")),"")</f>
        <v/>
      </c>
      <c r="CK89" s="35" t="str">
        <f ca="1">IFERROR(+IF(CL$24=#REF!,Milestone_Marker,IF(AND(CL$24&gt;#REF!,CL$24&lt;=#REF!+#REF!),#REF!,"")),"")</f>
        <v/>
      </c>
      <c r="CL89" s="35" t="str">
        <f ca="1">IFERROR(+IF(CM$24=#REF!,Milestone_Marker,IF(AND(CM$24&gt;#REF!,CM$24&lt;=#REF!+#REF!),#REF!,"")),"")</f>
        <v/>
      </c>
      <c r="CM89" s="35" t="str">
        <f ca="1">IFERROR(+IF(CN$24=#REF!,Milestone_Marker,IF(AND(CN$24&gt;#REF!,CN$24&lt;=#REF!+#REF!),#REF!,"")),"")</f>
        <v/>
      </c>
      <c r="CN89" s="35" t="str">
        <f ca="1">IFERROR(+IF(CO$24=#REF!,Milestone_Marker,IF(AND(CO$24&gt;#REF!,CO$24&lt;=#REF!+#REF!),#REF!,"")),"")</f>
        <v/>
      </c>
      <c r="CO89" s="35" t="str">
        <f ca="1">IFERROR(+IF(CP$24=#REF!,Milestone_Marker,IF(AND(CP$24&gt;#REF!,CP$24&lt;=#REF!+#REF!),#REF!,"")),"")</f>
        <v/>
      </c>
      <c r="CP89" s="35" t="str">
        <f ca="1">IFERROR(+IF(CQ$24=#REF!,Milestone_Marker,IF(AND(CQ$24&gt;#REF!,CQ$24&lt;=#REF!+#REF!),#REF!,"")),"")</f>
        <v/>
      </c>
      <c r="CQ89" s="35" t="str">
        <f ca="1">IFERROR(+IF(CR$24=#REF!,Milestone_Marker,IF(AND(CR$24&gt;#REF!,CR$24&lt;=#REF!+#REF!),#REF!,"")),"")</f>
        <v/>
      </c>
      <c r="CR89" s="35" t="str">
        <f ca="1">IFERROR(+IF(CS$24=#REF!,Milestone_Marker,IF(AND(CS$24&gt;#REF!,CS$24&lt;=#REF!+#REF!),#REF!,"")),"")</f>
        <v/>
      </c>
      <c r="CS89" s="35" t="str">
        <f ca="1">IFERROR(+IF(CT$24=#REF!,Milestone_Marker,IF(AND(CT$24&gt;#REF!,CT$24&lt;=#REF!+#REF!),#REF!,"")),"")</f>
        <v/>
      </c>
      <c r="CT89" s="35" t="str">
        <f ca="1">IFERROR(+IF(CU$24=#REF!,Milestone_Marker,IF(AND(CU$24&gt;#REF!,CU$24&lt;=#REF!+#REF!),#REF!,"")),"")</f>
        <v/>
      </c>
      <c r="CU89" s="35" t="str">
        <f ca="1">IFERROR(+IF(CV$24=#REF!,Milestone_Marker,IF(AND(CV$24&gt;#REF!,CV$24&lt;=#REF!+#REF!),#REF!,"")),"")</f>
        <v/>
      </c>
      <c r="CV89" s="35" t="str">
        <f ca="1">IFERROR(+IF(CW$24=#REF!,Milestone_Marker,IF(AND(CW$24&gt;#REF!,CW$24&lt;=#REF!+#REF!),#REF!,"")),"")</f>
        <v/>
      </c>
      <c r="CW89" s="35" t="str">
        <f ca="1">IFERROR(+IF(CX$24=#REF!,Milestone_Marker,IF(AND(CX$24&gt;#REF!,CX$24&lt;=#REF!+#REF!),#REF!,"")),"")</f>
        <v/>
      </c>
      <c r="CX89" s="35" t="str">
        <f ca="1">IFERROR(+IF(CY$24=#REF!,Milestone_Marker,IF(AND(CY$24&gt;#REF!,CY$24&lt;=#REF!+#REF!),#REF!,"")),"")</f>
        <v/>
      </c>
      <c r="CY89" s="35" t="str">
        <f ca="1">IFERROR(+IF(CZ$24=#REF!,Milestone_Marker,IF(AND(CZ$24&gt;#REF!,CZ$24&lt;=#REF!+#REF!),#REF!,"")),"")</f>
        <v/>
      </c>
      <c r="CZ89" s="35" t="str">
        <f ca="1">IFERROR(+IF(DA$24=#REF!,Milestone_Marker,IF(AND(DA$24&gt;#REF!,DA$24&lt;=#REF!+#REF!),#REF!,"")),"")</f>
        <v/>
      </c>
      <c r="DA89" s="35" t="str">
        <f ca="1">IFERROR(+IF(DB$24=#REF!,Milestone_Marker,IF(AND(DB$24&gt;#REF!,DB$24&lt;=#REF!+#REF!),#REF!,"")),"")</f>
        <v/>
      </c>
      <c r="DB89" s="35" t="str">
        <f ca="1">IFERROR(+IF(DC$24=#REF!,Milestone_Marker,IF(AND(DC$24&gt;#REF!,DC$24&lt;=#REF!+#REF!),#REF!,"")),"")</f>
        <v/>
      </c>
      <c r="DC89" s="35" t="str">
        <f ca="1">IFERROR(+IF(DD$24=#REF!,Milestone_Marker,IF(AND(DD$24&gt;#REF!,DD$24&lt;=#REF!+#REF!),#REF!,"")),"")</f>
        <v/>
      </c>
      <c r="DD89" s="35" t="str">
        <f ca="1">IFERROR(+IF(DE$24=#REF!,Milestone_Marker,IF(AND(DE$24&gt;#REF!,DE$24&lt;=#REF!+#REF!),#REF!,"")),"")</f>
        <v/>
      </c>
    </row>
    <row r="90" spans="1:108" ht="30">
      <c r="A90" t="s">
        <v>519</v>
      </c>
      <c r="B90" t="s">
        <v>555</v>
      </c>
      <c r="C90" t="s">
        <v>570</v>
      </c>
      <c r="D90" s="458" t="s">
        <v>571</v>
      </c>
      <c r="E90" s="458">
        <v>1</v>
      </c>
      <c r="F90">
        <v>5075</v>
      </c>
      <c r="G90">
        <v>5075</v>
      </c>
      <c r="H90">
        <v>158</v>
      </c>
      <c r="I90"/>
      <c r="J90">
        <v>27</v>
      </c>
      <c r="K90" s="107"/>
      <c r="L90" s="463">
        <v>27</v>
      </c>
      <c r="M90" s="176">
        <v>2</v>
      </c>
      <c r="N90" s="160">
        <v>0</v>
      </c>
      <c r="O90" s="546" cm="1">
        <f t="array" ref="O9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46003</v>
      </c>
      <c r="P90" s="566" t="s">
        <v>797</v>
      </c>
      <c r="Q90" s="566">
        <v>0</v>
      </c>
      <c r="R90" s="22"/>
      <c r="S90" s="463" cm="1">
        <f t="array" ref="S9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90">
        <v>1</v>
      </c>
      <c r="U90" s="176"/>
      <c r="V9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75.030500000000004</v>
      </c>
      <c r="W90" s="497"/>
      <c r="X90" s="176" t="s">
        <v>852</v>
      </c>
      <c r="Y90" s="547" t="s">
        <v>873</v>
      </c>
      <c r="Z90" s="160" t="s">
        <v>458</v>
      </c>
      <c r="AA90" s="563">
        <v>102100</v>
      </c>
      <c r="AB90" cm="1">
        <f t="array" ref="AB90">ROW()-ROW(Contract_Edits[#Headers])</f>
        <v>66</v>
      </c>
      <c r="AC90">
        <f>IF(Contract_Edits[[#This Row],[RowPos]]&gt;1, Contract_Edits[[#This Row],[RowPos]]-1, 0)</f>
        <v>65</v>
      </c>
      <c r="AD90" s="35">
        <f>IF(N(Contract_Edits[[#This Row],[Dep]])=0, N(Contract_Edits[[#This Row],[Index]]), N(Contract_Edits[[#This Row],[Dep]]))</f>
        <v>158</v>
      </c>
      <c r="AE90" s="35" cm="1">
        <f t="array" ref="AE90">IF(OR(Contract_Edits[[#This Row],[Dep]]=0, TRIM(Contract_Edits[[#This Row],[Dep]])=""),
   0,
   IFERROR(
      _xlfn.XLOOKUP(1, (Contract_Edits[Dep]=Contract_Edits[[#This Row],[Dep]])*(Contract_Edits[RowPos]&lt;Contract_Edits[[#This Row],[RowPos]]), Contract_Edits[RowPos], , 0, -1),
      0
   )
)</f>
        <v>65</v>
      </c>
      <c r="AF90" s="35">
        <f>IF(OR(Contract_Edits[[#This Row],[Dep]]=0,Contract_Edits[[#This Row],[Dep]]=""),0,
   COUNTIFS(Contract_Edits[Dep],Contract_Edits[[#This Row],[Dep]],Contract_Edits[RowPos],"&lt;="&amp;Contract_Edits[[#This Row],[RowPos]],Contract_Edits[Approve],"Yes")
)</f>
        <v>5</v>
      </c>
      <c r="AG90" s="517">
        <f>--(
  ISNUMBER(SEARCH("BASE PARENT", UPPER(CLEAN(TRIM(_xlfn.XLOOKUP(TEXT(Contract_Edits[[#This Row],[Index]],"0"), baseIdxTxt, baseCost, "")))))) +
  ISNUMBER(SEARCH("DEPENDENCY GROUP", UPPER(CLEAN(TRIM(_xlfn.XLOOKUP(TEXT(Contract_Edits[[#This Row],[Index]],"0"), baseIdxTxt, baseCost, ""))))))
)</f>
        <v>0</v>
      </c>
      <c r="AH90" s="517" t="str" cm="1">
        <f t="array" ref="AH90">IF(Contract_Edits[[#This Row],[BaseFlag]]=1,
   10*BaseDepthL(TEXT(Contract_Edits[[#This Row],[Index]],"0"),500,editsIdxTxt,editsParentKeyTxt,baseIdxTxt,baseCost)-5,
   ""
)</f>
        <v/>
      </c>
      <c r="AI90" s="517" cm="1">
        <f t="array" ref="AI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0" s="517" t="str">
        <f>IF(Contract_Edits[[#This Row],[Dep]]=0,"Root",
   IF(ISNUMBER(MATCH(Contract_Edits[[#This Row],[Dep]],Contract_Edits[Index],0)),"OK","Missing")
)</f>
        <v>OK</v>
      </c>
      <c r="AK90" s="517" t="str">
        <f>IF(AND(Contract_Edits[[#This Row],[Dep]]&lt;&gt;0,
        ISNUMBER(MATCH(Contract_Edits[[#This Row],[Dep]], Contract_Edits[Index], 0)),
        INDEX(Contract_Edits[Dep], MATCH(Contract_Edits[[#This Row],[Dep]], Contract_Edits[Index], 0))=Contract_Edits[[#This Row],[Index]]),
   "2-cycle","")</f>
        <v/>
      </c>
      <c r="AL90" s="517" cm="1">
        <f t="array" ref="AL90">IF(Contract_Edits[[#This Row],[BaseFlag]]&lt;&gt;1,0,
   IF(TEXT(Contract_Edits[[#This Row],[Dep]],"0")=TEXT(Contract_Edits[[#This Row],[Index]],"0"),
      0,
      MAX(0, SUMPRODUCT(--(Contract_Edits[BaseFlag]=1),
                        --(TEXT(Contract_Edits[Dep],"0")=TEXT(Contract_Edits[[#This Row],[Dep]],"0"))) - 1)
   )
)</f>
        <v>0</v>
      </c>
      <c r="AM90" s="517" t="str" cm="1">
        <f t="array" ref="AM90">IF(Contract_Edits[[#This Row],[BaseFlag]]=1,
   TEXT(Contract_Edits[[#This Row],[Index]],"0"),
   NearestBaseL(TEXT(Contract_Edits[[#This Row],[ParentKey]],"0"),500,editsIdxTxt,editsParentKeyTxt,baseIdxTxt,baseCost)
)</f>
        <v>158</v>
      </c>
      <c r="AN90" s="517" cm="1">
        <f t="array" ref="AN90">1+SUMPRODUCT(
  (Contract_Edits[BaseFlag]=1)*
  (TEXT(Contract_Edits[ParentAnchor],"0")=TEXT(Contract_Edits[[#This Row],[ParentAnchor]],"0"))*
  (VALUE(TEXT(Contract_Edits[Index],"0"))&lt;VALUE(TEXT(Contract_Edits[[#This Row],[Index]],"0")))
)</f>
        <v>1</v>
      </c>
      <c r="AO90" s="35"/>
      <c r="AP90" s="35" t="str">
        <f ca="1">IFERROR(+IF(AP$24=#REF!,Milestone_Marker,IF(AND(AP$24&gt;#REF!,AP$24&lt;#REF!+#REF!),#REF!,"")),"")</f>
        <v/>
      </c>
      <c r="AQ90" s="35" t="str">
        <f ca="1">IFERROR(+IF(AQ$24=#REF!,Milestone_Marker,IF(AND(AQ$24&gt;#REF!,AQ$24&lt;#REF!+#REF!),#REF!,"")),"")</f>
        <v/>
      </c>
      <c r="AR90" s="35" t="str">
        <f ca="1">IFERROR(+IF(AS$24=#REF!,Milestone_Marker,IF(AND(AS$24&gt;#REF!,AS$24&lt;=#REF!+#REF!),#REF!,"")),"")</f>
        <v/>
      </c>
      <c r="AS90" s="35" t="str">
        <f ca="1">IFERROR(+IF(AT$24=#REF!,Milestone_Marker,IF(AND(AT$24&gt;#REF!,AT$24&lt;=#REF!+#REF!),#REF!,"")),"")</f>
        <v/>
      </c>
      <c r="AT90" s="35" t="str">
        <f ca="1">IFERROR(+IF(AU$24=#REF!,Milestone_Marker,IF(AND(AU$24&gt;#REF!,AU$24&lt;=#REF!+#REF!),#REF!,"")),"")</f>
        <v/>
      </c>
      <c r="AU90" s="35" t="str">
        <f ca="1">IFERROR(+IF(AV$24=#REF!,Milestone_Marker,IF(AND(AV$24&gt;#REF!,AV$24&lt;=#REF!+#REF!),#REF!,"")),"")</f>
        <v/>
      </c>
      <c r="AV90" s="35" t="str">
        <f ca="1">IFERROR(+IF(AW$24=#REF!,Milestone_Marker,IF(AND(AW$24&gt;#REF!,AW$24&lt;=#REF!+#REF!),#REF!,"")),"")</f>
        <v/>
      </c>
      <c r="AW90" s="35" t="str">
        <f ca="1">IFERROR(+IF(AX$24=#REF!,Milestone_Marker,IF(AND(AX$24&gt;#REF!,AX$24&lt;=#REF!+#REF!),#REF!,"")),"")</f>
        <v/>
      </c>
      <c r="AX90" s="35" t="str">
        <f ca="1">IFERROR(+IF(AY$24=#REF!,Milestone_Marker,IF(AND(AY$24&gt;#REF!,AY$24&lt;=#REF!+#REF!),#REF!,"")),"")</f>
        <v/>
      </c>
      <c r="AY90" s="35" t="str">
        <f ca="1">IFERROR(+IF(AZ$24=#REF!,Milestone_Marker,IF(AND(AZ$24&gt;#REF!,AZ$24&lt;=#REF!+#REF!),#REF!,"")),"")</f>
        <v/>
      </c>
      <c r="AZ90" s="35" t="str">
        <f ca="1">IFERROR(+IF(BA$24=#REF!,Milestone_Marker,IF(AND(BA$24&gt;#REF!,BA$24&lt;=#REF!+#REF!),#REF!,"")),"")</f>
        <v/>
      </c>
      <c r="BA90" s="35" t="str">
        <f ca="1">IFERROR(+IF(BB$24=#REF!,Milestone_Marker,IF(AND(BB$24&gt;#REF!,BB$24&lt;=#REF!+#REF!),#REF!,"")),"")</f>
        <v/>
      </c>
      <c r="BB90" s="35" t="str">
        <f ca="1">IFERROR(+IF(BC$24=#REF!,Milestone_Marker,IF(AND(BC$24&gt;#REF!,BC$24&lt;=#REF!+#REF!),#REF!,"")),"")</f>
        <v/>
      </c>
      <c r="BC90" s="35" t="str">
        <f ca="1">IFERROR(+IF(BD$24=#REF!,Milestone_Marker,IF(AND(BD$24&gt;#REF!,BD$24&lt;=#REF!+#REF!),#REF!,"")),"")</f>
        <v/>
      </c>
      <c r="BD90" s="35" t="str">
        <f ca="1">IFERROR(+IF(BE$24=#REF!,Milestone_Marker,IF(AND(BE$24&gt;#REF!,BE$24&lt;=#REF!+#REF!),#REF!,"")),"")</f>
        <v/>
      </c>
      <c r="BE90" s="35" t="str">
        <f ca="1">IFERROR(+IF(BF$24=#REF!,Milestone_Marker,IF(AND(BF$24&gt;#REF!,BF$24&lt;=#REF!+#REF!),#REF!,"")),"")</f>
        <v/>
      </c>
      <c r="BF90" s="35" t="str">
        <f ca="1">IFERROR(+IF(BG$24=#REF!,Milestone_Marker,IF(AND(BG$24&gt;#REF!,BG$24&lt;=#REF!+#REF!),#REF!,"")),"")</f>
        <v/>
      </c>
      <c r="BG90" s="35" t="str">
        <f ca="1">IFERROR(+IF(BH$24=#REF!,Milestone_Marker,IF(AND(BH$24&gt;#REF!,BH$24&lt;=#REF!+#REF!),#REF!,"")),"")</f>
        <v/>
      </c>
      <c r="BH90" s="35" t="str">
        <f ca="1">IFERROR(+IF(BI$24=#REF!,Milestone_Marker,IF(AND(BI$24&gt;#REF!,BI$24&lt;=#REF!+#REF!),#REF!,"")),"")</f>
        <v/>
      </c>
      <c r="BI90" s="35" t="str">
        <f ca="1">IFERROR(+IF(BJ$24=#REF!,Milestone_Marker,IF(AND(BJ$24&gt;#REF!,BJ$24&lt;=#REF!+#REF!),#REF!,"")),"")</f>
        <v/>
      </c>
      <c r="BJ90" s="35" t="str">
        <f ca="1">IFERROR(+IF(BK$24=#REF!,Milestone_Marker,IF(AND(BK$24&gt;#REF!,BK$24&lt;=#REF!+#REF!),#REF!,"")),"")</f>
        <v/>
      </c>
      <c r="BK90" s="35" t="str">
        <f ca="1">IFERROR(+IF(BL$24=#REF!,Milestone_Marker,IF(AND(BL$24&gt;#REF!,BL$24&lt;=#REF!+#REF!),#REF!,"")),"")</f>
        <v/>
      </c>
      <c r="BL90" s="35" t="str">
        <f ca="1">IFERROR(+IF(BM$24=#REF!,Milestone_Marker,IF(AND(BM$24&gt;#REF!,BM$24&lt;=#REF!+#REF!),#REF!,"")),"")</f>
        <v/>
      </c>
      <c r="BM90" s="35" t="str">
        <f ca="1">IFERROR(+IF(BN$24=#REF!,Milestone_Marker,IF(AND(BN$24&gt;#REF!,BN$24&lt;=#REF!+#REF!),#REF!,"")),"")</f>
        <v/>
      </c>
      <c r="BN90" s="35" t="str">
        <f ca="1">IFERROR(+IF(BO$24=#REF!,Milestone_Marker,IF(AND(BO$24&gt;#REF!,BO$24&lt;=#REF!+#REF!),#REF!,"")),"")</f>
        <v/>
      </c>
      <c r="BO90" s="35" t="str">
        <f ca="1">IFERROR(+IF(BP$24=#REF!,Milestone_Marker,IF(AND(BP$24&gt;#REF!,BP$24&lt;=#REF!+#REF!),#REF!,"")),"")</f>
        <v/>
      </c>
      <c r="BP90" s="35" t="str">
        <f ca="1">IFERROR(+IF(BQ$24=#REF!,Milestone_Marker,IF(AND(BQ$24&gt;#REF!,BQ$24&lt;=#REF!+#REF!),#REF!,"")),"")</f>
        <v/>
      </c>
      <c r="BQ90" s="35" t="str">
        <f ca="1">IFERROR(+IF(BR$24=#REF!,Milestone_Marker,IF(AND(BR$24&gt;#REF!,BR$24&lt;=#REF!+#REF!),#REF!,"")),"")</f>
        <v/>
      </c>
      <c r="BR90" s="35" t="str">
        <f ca="1">IFERROR(+IF(BS$24=#REF!,Milestone_Marker,IF(AND(BS$24&gt;#REF!,BS$24&lt;=#REF!+#REF!),#REF!,"")),"")</f>
        <v/>
      </c>
      <c r="BS90" s="35" t="str">
        <f ca="1">IFERROR(+IF(BT$24=#REF!,Milestone_Marker,IF(AND(BT$24&gt;#REF!,BT$24&lt;=#REF!+#REF!),#REF!,"")),"")</f>
        <v/>
      </c>
      <c r="BT90" s="35" t="str">
        <f ca="1">IFERROR(+IF(BU$24=#REF!,Milestone_Marker,IF(AND(BU$24&gt;#REF!,BU$24&lt;=#REF!+#REF!),#REF!,"")),"")</f>
        <v/>
      </c>
      <c r="BU90" s="35" t="str">
        <f ca="1">IFERROR(+IF(BV$24=#REF!,Milestone_Marker,IF(AND(BV$24&gt;#REF!,BV$24&lt;=#REF!+#REF!),#REF!,"")),"")</f>
        <v/>
      </c>
      <c r="BV90" s="35" t="str">
        <f ca="1">IFERROR(+IF(BW$24=#REF!,Milestone_Marker,IF(AND(BW$24&gt;#REF!,BW$24&lt;=#REF!+#REF!),#REF!,"")),"")</f>
        <v/>
      </c>
      <c r="BW90" s="35" t="str">
        <f ca="1">IFERROR(+IF(BX$24=#REF!,Milestone_Marker,IF(AND(BX$24&gt;#REF!,BX$24&lt;=#REF!+#REF!),#REF!,"")),"")</f>
        <v/>
      </c>
      <c r="BX90" s="35" t="str">
        <f ca="1">IFERROR(+IF(BY$24=#REF!,Milestone_Marker,IF(AND(BY$24&gt;#REF!,BY$24&lt;=#REF!+#REF!),#REF!,"")),"")</f>
        <v/>
      </c>
      <c r="BY90" s="35" t="str">
        <f ca="1">IFERROR(+IF(BZ$24=#REF!,Milestone_Marker,IF(AND(BZ$24&gt;#REF!,BZ$24&lt;=#REF!+#REF!),#REF!,"")),"")</f>
        <v/>
      </c>
      <c r="BZ90" s="35" t="str">
        <f ca="1">IFERROR(+IF(CA$24=#REF!,Milestone_Marker,IF(AND(CA$24&gt;#REF!,CA$24&lt;=#REF!+#REF!),#REF!,"")),"")</f>
        <v/>
      </c>
      <c r="CA90" s="35" t="str">
        <f ca="1">IFERROR(+IF(CB$24=#REF!,Milestone_Marker,IF(AND(CB$24&gt;#REF!,CB$24&lt;=#REF!+#REF!),#REF!,"")),"")</f>
        <v/>
      </c>
      <c r="CB90" s="35" t="str">
        <f ca="1">IFERROR(+IF(CC$24=#REF!,Milestone_Marker,IF(AND(CC$24&gt;#REF!,CC$24&lt;=#REF!+#REF!),#REF!,"")),"")</f>
        <v/>
      </c>
      <c r="CC90" s="35" t="str">
        <f ca="1">IFERROR(+IF(CD$24=#REF!,Milestone_Marker,IF(AND(CD$24&gt;#REF!,CD$24&lt;=#REF!+#REF!),#REF!,"")),"")</f>
        <v/>
      </c>
      <c r="CD90" s="35" t="str">
        <f ca="1">IFERROR(+IF(CE$24=#REF!,Milestone_Marker,IF(AND(CE$24&gt;#REF!,CE$24&lt;=#REF!+#REF!),#REF!,"")),"")</f>
        <v/>
      </c>
      <c r="CE90" s="35" t="str">
        <f ca="1">IFERROR(+IF(CF$24=#REF!,Milestone_Marker,IF(AND(CF$24&gt;#REF!,CF$24&lt;=#REF!+#REF!),#REF!,"")),"")</f>
        <v/>
      </c>
      <c r="CF90" s="35" t="str">
        <f ca="1">IFERROR(+IF(CG$24=#REF!,Milestone_Marker,IF(AND(CG$24&gt;#REF!,CG$24&lt;=#REF!+#REF!),#REF!,"")),"")</f>
        <v/>
      </c>
      <c r="CG90" s="35" t="str">
        <f ca="1">IFERROR(+IF(CH$24=#REF!,Milestone_Marker,IF(AND(CH$24&gt;#REF!,CH$24&lt;=#REF!+#REF!),#REF!,"")),"")</f>
        <v/>
      </c>
      <c r="CH90" s="35" t="str">
        <f ca="1">IFERROR(+IF(CI$24=#REF!,Milestone_Marker,IF(AND(CI$24&gt;#REF!,CI$24&lt;=#REF!+#REF!),#REF!,"")),"")</f>
        <v/>
      </c>
      <c r="CI90" s="35" t="str">
        <f ca="1">IFERROR(+IF(CJ$24=#REF!,Milestone_Marker,IF(AND(CJ$24&gt;#REF!,CJ$24&lt;=#REF!+#REF!),#REF!,"")),"")</f>
        <v/>
      </c>
      <c r="CJ90" s="35" t="str">
        <f ca="1">IFERROR(+IF(CK$24=#REF!,Milestone_Marker,IF(AND(CK$24&gt;#REF!,CK$24&lt;=#REF!+#REF!),#REF!,"")),"")</f>
        <v/>
      </c>
      <c r="CK90" s="35" t="str">
        <f ca="1">IFERROR(+IF(CL$24=#REF!,Milestone_Marker,IF(AND(CL$24&gt;#REF!,CL$24&lt;=#REF!+#REF!),#REF!,"")),"")</f>
        <v/>
      </c>
      <c r="CL90" s="35" t="str">
        <f ca="1">IFERROR(+IF(CM$24=#REF!,Milestone_Marker,IF(AND(CM$24&gt;#REF!,CM$24&lt;=#REF!+#REF!),#REF!,"")),"")</f>
        <v/>
      </c>
      <c r="CM90" s="35" t="str">
        <f ca="1">IFERROR(+IF(CN$24=#REF!,Milestone_Marker,IF(AND(CN$24&gt;#REF!,CN$24&lt;=#REF!+#REF!),#REF!,"")),"")</f>
        <v/>
      </c>
      <c r="CN90" s="35" t="str">
        <f ca="1">IFERROR(+IF(CO$24=#REF!,Milestone_Marker,IF(AND(CO$24&gt;#REF!,CO$24&lt;=#REF!+#REF!),#REF!,"")),"")</f>
        <v/>
      </c>
      <c r="CO90" s="35" t="str">
        <f ca="1">IFERROR(+IF(CP$24=#REF!,Milestone_Marker,IF(AND(CP$24&gt;#REF!,CP$24&lt;=#REF!+#REF!),#REF!,"")),"")</f>
        <v/>
      </c>
      <c r="CP90" s="35" t="str">
        <f ca="1">IFERROR(+IF(CQ$24=#REF!,Milestone_Marker,IF(AND(CQ$24&gt;#REF!,CQ$24&lt;=#REF!+#REF!),#REF!,"")),"")</f>
        <v/>
      </c>
      <c r="CQ90" s="35" t="str">
        <f ca="1">IFERROR(+IF(CR$24=#REF!,Milestone_Marker,IF(AND(CR$24&gt;#REF!,CR$24&lt;=#REF!+#REF!),#REF!,"")),"")</f>
        <v/>
      </c>
      <c r="CR90" s="35" t="str">
        <f ca="1">IFERROR(+IF(CS$24=#REF!,Milestone_Marker,IF(AND(CS$24&gt;#REF!,CS$24&lt;=#REF!+#REF!),#REF!,"")),"")</f>
        <v/>
      </c>
      <c r="CS90" s="35" t="str">
        <f ca="1">IFERROR(+IF(CT$24=#REF!,Milestone_Marker,IF(AND(CT$24&gt;#REF!,CT$24&lt;=#REF!+#REF!),#REF!,"")),"")</f>
        <v/>
      </c>
      <c r="CT90" s="35" t="str">
        <f ca="1">IFERROR(+IF(CU$24=#REF!,Milestone_Marker,IF(AND(CU$24&gt;#REF!,CU$24&lt;=#REF!+#REF!),#REF!,"")),"")</f>
        <v/>
      </c>
      <c r="CU90" s="35" t="str">
        <f ca="1">IFERROR(+IF(CV$24=#REF!,Milestone_Marker,IF(AND(CV$24&gt;#REF!,CV$24&lt;=#REF!+#REF!),#REF!,"")),"")</f>
        <v/>
      </c>
      <c r="CV90" s="35" t="str">
        <f ca="1">IFERROR(+IF(CW$24=#REF!,Milestone_Marker,IF(AND(CW$24&gt;#REF!,CW$24&lt;=#REF!+#REF!),#REF!,"")),"")</f>
        <v/>
      </c>
      <c r="CW90" s="35" t="str">
        <f ca="1">IFERROR(+IF(CX$24=#REF!,Milestone_Marker,IF(AND(CX$24&gt;#REF!,CX$24&lt;=#REF!+#REF!),#REF!,"")),"")</f>
        <v/>
      </c>
      <c r="CX90" s="35" t="str">
        <f ca="1">IFERROR(+IF(CY$24=#REF!,Milestone_Marker,IF(AND(CY$24&gt;#REF!,CY$24&lt;=#REF!+#REF!),#REF!,"")),"")</f>
        <v/>
      </c>
      <c r="CY90" s="35" t="str">
        <f ca="1">IFERROR(+IF(CZ$24=#REF!,Milestone_Marker,IF(AND(CZ$24&gt;#REF!,CZ$24&lt;=#REF!+#REF!),#REF!,"")),"")</f>
        <v/>
      </c>
      <c r="CZ90" s="35" t="str">
        <f ca="1">IFERROR(+IF(DA$24=#REF!,Milestone_Marker,IF(AND(DA$24&gt;#REF!,DA$24&lt;=#REF!+#REF!),#REF!,"")),"")</f>
        <v/>
      </c>
      <c r="DA90" s="35" t="str">
        <f ca="1">IFERROR(+IF(DB$24=#REF!,Milestone_Marker,IF(AND(DB$24&gt;#REF!,DB$24&lt;=#REF!+#REF!),#REF!,"")),"")</f>
        <v/>
      </c>
      <c r="DB90" s="35" t="str">
        <f ca="1">IFERROR(+IF(DC$24=#REF!,Milestone_Marker,IF(AND(DC$24&gt;#REF!,DC$24&lt;=#REF!+#REF!),#REF!,"")),"")</f>
        <v/>
      </c>
      <c r="DC90" s="35" t="str">
        <f ca="1">IFERROR(+IF(DD$24=#REF!,Milestone_Marker,IF(AND(DD$24&gt;#REF!,DD$24&lt;=#REF!+#REF!),#REF!,"")),"")</f>
        <v/>
      </c>
      <c r="DD90" s="35" t="str">
        <f ca="1">IFERROR(+IF(DE$24=#REF!,Milestone_Marker,IF(AND(DE$24&gt;#REF!,DE$24&lt;=#REF!+#REF!),#REF!,"")),"")</f>
        <v/>
      </c>
    </row>
    <row r="91" spans="1:108" ht="15">
      <c r="A91" t="s">
        <v>806</v>
      </c>
      <c r="B91" t="s">
        <v>517</v>
      </c>
      <c r="C91" t="s">
        <v>1396</v>
      </c>
      <c r="D91" s="458" t="s">
        <v>1397</v>
      </c>
      <c r="E91" s="458">
        <v>1</v>
      </c>
      <c r="F91">
        <v>11963.1369</v>
      </c>
      <c r="G91">
        <v>11963.1369</v>
      </c>
      <c r="H91"/>
      <c r="I91"/>
      <c r="J91">
        <v>914</v>
      </c>
      <c r="K91" s="107"/>
      <c r="L91" s="463">
        <v>914</v>
      </c>
      <c r="M91" s="543"/>
      <c r="N91" s="544"/>
      <c r="O91" s="546" cm="1">
        <f t="array" ref="O9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46007</v>
      </c>
      <c r="P91" s="568"/>
      <c r="Q91" s="568"/>
      <c r="R91" s="499"/>
      <c r="S91" s="463" cm="1">
        <f t="array" ref="S9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91" s="34"/>
      <c r="U91" s="490"/>
      <c r="V9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75.030600000000007</v>
      </c>
      <c r="W91" s="557"/>
      <c r="X91" s="545"/>
      <c r="Y91" s="547" t="s">
        <v>873</v>
      </c>
      <c r="Z91" s="160" t="s">
        <v>458</v>
      </c>
      <c r="AA91" s="563">
        <v>102100</v>
      </c>
      <c r="AB91" s="34" cm="1">
        <f t="array" ref="AB91">ROW()-ROW(Contract_Edits[#Headers])</f>
        <v>67</v>
      </c>
      <c r="AC91" s="34">
        <f>IF(Contract_Edits[[#This Row],[RowPos]]&gt;1, Contract_Edits[[#This Row],[RowPos]]-1, 0)</f>
        <v>66</v>
      </c>
      <c r="AD91" s="35">
        <f>IF(N(Contract_Edits[[#This Row],[Dep]])=0, N(Contract_Edits[[#This Row],[Index]]), N(Contract_Edits[[#This Row],[Dep]]))</f>
        <v>158</v>
      </c>
      <c r="AE91" s="35" cm="1">
        <f t="array" ref="AE91">IF(OR(Contract_Edits[[#This Row],[Dep]]=0, TRIM(Contract_Edits[[#This Row],[Dep]])=""),
   0,
   IFERROR(
      _xlfn.XLOOKUP(1, (Contract_Edits[Dep]=Contract_Edits[[#This Row],[Dep]])*(Contract_Edits[RowPos]&lt;Contract_Edits[[#This Row],[RowPos]]), Contract_Edits[RowPos], , 0, -1),
      0
   )
)</f>
        <v>66</v>
      </c>
      <c r="AF91" s="35">
        <f>IF(OR(Contract_Edits[[#This Row],[Dep]]=0,Contract_Edits[[#This Row],[Dep]]=""),0,
   COUNTIFS(Contract_Edits[Dep],Contract_Edits[[#This Row],[Dep]],Contract_Edits[RowPos],"&lt;="&amp;Contract_Edits[[#This Row],[RowPos]],Contract_Edits[Approve],"Yes")
)</f>
        <v>6</v>
      </c>
      <c r="AG91" s="517">
        <f>--(
  ISNUMBER(SEARCH("BASE PARENT", UPPER(CLEAN(TRIM(_xlfn.XLOOKUP(TEXT(Contract_Edits[[#This Row],[Index]],"0"), baseIdxTxt, baseCost, "")))))) +
  ISNUMBER(SEARCH("DEPENDENCY GROUP", UPPER(CLEAN(TRIM(_xlfn.XLOOKUP(TEXT(Contract_Edits[[#This Row],[Index]],"0"), baseIdxTxt, baseCost, ""))))))
)</f>
        <v>0</v>
      </c>
      <c r="AH91" s="517" t="str" cm="1">
        <f t="array" ref="AH91">IF(Contract_Edits[[#This Row],[BaseFlag]]=1,
   10*BaseDepthL(TEXT(Contract_Edits[[#This Row],[Index]],"0"),500,editsIdxTxt,editsParentKeyTxt,baseIdxTxt,baseCost)-5,
   ""
)</f>
        <v/>
      </c>
      <c r="AI91" s="517" cm="1">
        <f t="array" ref="AI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1" s="517" t="str">
        <f>IF(Contract_Edits[[#This Row],[Dep]]=0,"Root",
   IF(ISNUMBER(MATCH(Contract_Edits[[#This Row],[Dep]],Contract_Edits[Index],0)),"OK","Missing")
)</f>
        <v>OK</v>
      </c>
      <c r="AK91" s="517" t="str">
        <f>IF(AND(Contract_Edits[[#This Row],[Dep]]&lt;&gt;0,
        ISNUMBER(MATCH(Contract_Edits[[#This Row],[Dep]], Contract_Edits[Index], 0)),
        INDEX(Contract_Edits[Dep], MATCH(Contract_Edits[[#This Row],[Dep]], Contract_Edits[Index], 0))=Contract_Edits[[#This Row],[Index]]),
   "2-cycle","")</f>
        <v/>
      </c>
      <c r="AL91" s="517" cm="1">
        <f t="array" ref="AL91">IF(Contract_Edits[[#This Row],[BaseFlag]]&lt;&gt;1,0,
   IF(TEXT(Contract_Edits[[#This Row],[Dep]],"0")=TEXT(Contract_Edits[[#This Row],[Index]],"0"),
      0,
      MAX(0, SUMPRODUCT(--(Contract_Edits[BaseFlag]=1),
                        --(TEXT(Contract_Edits[Dep],"0")=TEXT(Contract_Edits[[#This Row],[Dep]],"0"))) - 1)
   )
)</f>
        <v>0</v>
      </c>
      <c r="AM91" s="517" t="str" cm="1">
        <f t="array" ref="AM91">IF(Contract_Edits[[#This Row],[BaseFlag]]=1,
   TEXT(Contract_Edits[[#This Row],[Index]],"0"),
   NearestBaseL(TEXT(Contract_Edits[[#This Row],[ParentKey]],"0"),500,editsIdxTxt,editsParentKeyTxt,baseIdxTxt,baseCost)
)</f>
        <v>158</v>
      </c>
      <c r="AN91" s="517" cm="1">
        <f t="array" ref="AN91">1+SUMPRODUCT(
  (Contract_Edits[BaseFlag]=1)*
  (TEXT(Contract_Edits[ParentAnchor],"0")=TEXT(Contract_Edits[[#This Row],[ParentAnchor]],"0"))*
  (VALUE(TEXT(Contract_Edits[Index],"0"))&lt;VALUE(TEXT(Contract_Edits[[#This Row],[Index]],"0")))
)</f>
        <v>3</v>
      </c>
      <c r="AO91" s="35"/>
      <c r="AP91" s="35" t="str">
        <f ca="1">IFERROR(+IF(AP$24=#REF!,Milestone_Marker,IF(AND(AP$24&gt;#REF!,AP$24&lt;#REF!+#REF!),#REF!,"")),"")</f>
        <v/>
      </c>
      <c r="AQ91" s="35" t="str">
        <f ca="1">IFERROR(+IF(AQ$24=#REF!,Milestone_Marker,IF(AND(AQ$24&gt;#REF!,AQ$24&lt;#REF!+#REF!),#REF!,"")),"")</f>
        <v/>
      </c>
      <c r="AR91" s="35" t="str">
        <f ca="1">IFERROR(+IF(AS$24=#REF!,Milestone_Marker,IF(AND(AS$24&gt;#REF!,AS$24&lt;=#REF!+#REF!),#REF!,"")),"")</f>
        <v/>
      </c>
      <c r="AS91" s="35" t="str">
        <f ca="1">IFERROR(+IF(AT$24=#REF!,Milestone_Marker,IF(AND(AT$24&gt;#REF!,AT$24&lt;=#REF!+#REF!),#REF!,"")),"")</f>
        <v/>
      </c>
      <c r="AT91" s="35" t="str">
        <f ca="1">IFERROR(+IF(AU$24=#REF!,Milestone_Marker,IF(AND(AU$24&gt;#REF!,AU$24&lt;=#REF!+#REF!),#REF!,"")),"")</f>
        <v/>
      </c>
      <c r="AU91" s="35" t="str">
        <f ca="1">IFERROR(+IF(AV$24=#REF!,Milestone_Marker,IF(AND(AV$24&gt;#REF!,AV$24&lt;=#REF!+#REF!),#REF!,"")),"")</f>
        <v/>
      </c>
      <c r="AV91" s="35" t="str">
        <f ca="1">IFERROR(+IF(AW$24=#REF!,Milestone_Marker,IF(AND(AW$24&gt;#REF!,AW$24&lt;=#REF!+#REF!),#REF!,"")),"")</f>
        <v/>
      </c>
      <c r="AW91" s="35" t="str">
        <f ca="1">IFERROR(+IF(AX$24=#REF!,Milestone_Marker,IF(AND(AX$24&gt;#REF!,AX$24&lt;=#REF!+#REF!),#REF!,"")),"")</f>
        <v/>
      </c>
      <c r="AX91" s="35" t="str">
        <f ca="1">IFERROR(+IF(AY$24=#REF!,Milestone_Marker,IF(AND(AY$24&gt;#REF!,AY$24&lt;=#REF!+#REF!),#REF!,"")),"")</f>
        <v/>
      </c>
      <c r="AY91" s="35" t="str">
        <f ca="1">IFERROR(+IF(AZ$24=#REF!,Milestone_Marker,IF(AND(AZ$24&gt;#REF!,AZ$24&lt;=#REF!+#REF!),#REF!,"")),"")</f>
        <v/>
      </c>
      <c r="AZ91" s="35" t="str">
        <f ca="1">IFERROR(+IF(BA$24=#REF!,Milestone_Marker,IF(AND(BA$24&gt;#REF!,BA$24&lt;=#REF!+#REF!),#REF!,"")),"")</f>
        <v/>
      </c>
      <c r="BA91" s="35" t="str">
        <f ca="1">IFERROR(+IF(BB$24=#REF!,Milestone_Marker,IF(AND(BB$24&gt;#REF!,BB$24&lt;=#REF!+#REF!),#REF!,"")),"")</f>
        <v/>
      </c>
      <c r="BB91" s="35" t="str">
        <f ca="1">IFERROR(+IF(BC$24=#REF!,Milestone_Marker,IF(AND(BC$24&gt;#REF!,BC$24&lt;=#REF!+#REF!),#REF!,"")),"")</f>
        <v/>
      </c>
      <c r="BC91" s="35" t="str">
        <f ca="1">IFERROR(+IF(BD$24=#REF!,Milestone_Marker,IF(AND(BD$24&gt;#REF!,BD$24&lt;=#REF!+#REF!),#REF!,"")),"")</f>
        <v/>
      </c>
      <c r="BD91" s="35" t="str">
        <f ca="1">IFERROR(+IF(BE$24=#REF!,Milestone_Marker,IF(AND(BE$24&gt;#REF!,BE$24&lt;=#REF!+#REF!),#REF!,"")),"")</f>
        <v/>
      </c>
      <c r="BE91" s="35" t="str">
        <f ca="1">IFERROR(+IF(BF$24=#REF!,Milestone_Marker,IF(AND(BF$24&gt;#REF!,BF$24&lt;=#REF!+#REF!),#REF!,"")),"")</f>
        <v/>
      </c>
      <c r="BF91" s="35" t="str">
        <f ca="1">IFERROR(+IF(BG$24=#REF!,Milestone_Marker,IF(AND(BG$24&gt;#REF!,BG$24&lt;=#REF!+#REF!),#REF!,"")),"")</f>
        <v/>
      </c>
      <c r="BG91" s="35" t="str">
        <f ca="1">IFERROR(+IF(BH$24=#REF!,Milestone_Marker,IF(AND(BH$24&gt;#REF!,BH$24&lt;=#REF!+#REF!),#REF!,"")),"")</f>
        <v/>
      </c>
      <c r="BH91" s="35" t="str">
        <f ca="1">IFERROR(+IF(BI$24=#REF!,Milestone_Marker,IF(AND(BI$24&gt;#REF!,BI$24&lt;=#REF!+#REF!),#REF!,"")),"")</f>
        <v/>
      </c>
      <c r="BI91" s="35" t="str">
        <f ca="1">IFERROR(+IF(BJ$24=#REF!,Milestone_Marker,IF(AND(BJ$24&gt;#REF!,BJ$24&lt;=#REF!+#REF!),#REF!,"")),"")</f>
        <v/>
      </c>
      <c r="BJ91" s="35" t="str">
        <f ca="1">IFERROR(+IF(BK$24=#REF!,Milestone_Marker,IF(AND(BK$24&gt;#REF!,BK$24&lt;=#REF!+#REF!),#REF!,"")),"")</f>
        <v/>
      </c>
      <c r="BK91" s="35" t="str">
        <f ca="1">IFERROR(+IF(BL$24=#REF!,Milestone_Marker,IF(AND(BL$24&gt;#REF!,BL$24&lt;=#REF!+#REF!),#REF!,"")),"")</f>
        <v/>
      </c>
      <c r="BL91" s="35" t="str">
        <f ca="1">IFERROR(+IF(BM$24=#REF!,Milestone_Marker,IF(AND(BM$24&gt;#REF!,BM$24&lt;=#REF!+#REF!),#REF!,"")),"")</f>
        <v/>
      </c>
      <c r="BM91" s="35" t="str">
        <f ca="1">IFERROR(+IF(BN$24=#REF!,Milestone_Marker,IF(AND(BN$24&gt;#REF!,BN$24&lt;=#REF!+#REF!),#REF!,"")),"")</f>
        <v/>
      </c>
      <c r="BN91" s="35" t="str">
        <f ca="1">IFERROR(+IF(BO$24=#REF!,Milestone_Marker,IF(AND(BO$24&gt;#REF!,BO$24&lt;=#REF!+#REF!),#REF!,"")),"")</f>
        <v/>
      </c>
      <c r="BO91" s="35" t="str">
        <f ca="1">IFERROR(+IF(BP$24=#REF!,Milestone_Marker,IF(AND(BP$24&gt;#REF!,BP$24&lt;=#REF!+#REF!),#REF!,"")),"")</f>
        <v/>
      </c>
      <c r="BP91" s="35" t="str">
        <f ca="1">IFERROR(+IF(BQ$24=#REF!,Milestone_Marker,IF(AND(BQ$24&gt;#REF!,BQ$24&lt;=#REF!+#REF!),#REF!,"")),"")</f>
        <v/>
      </c>
      <c r="BQ91" s="35" t="str">
        <f ca="1">IFERROR(+IF(BR$24=#REF!,Milestone_Marker,IF(AND(BR$24&gt;#REF!,BR$24&lt;=#REF!+#REF!),#REF!,"")),"")</f>
        <v/>
      </c>
      <c r="BR91" s="35" t="str">
        <f ca="1">IFERROR(+IF(BS$24=#REF!,Milestone_Marker,IF(AND(BS$24&gt;#REF!,BS$24&lt;=#REF!+#REF!),#REF!,"")),"")</f>
        <v/>
      </c>
      <c r="BS91" s="35" t="str">
        <f ca="1">IFERROR(+IF(BT$24=#REF!,Milestone_Marker,IF(AND(BT$24&gt;#REF!,BT$24&lt;=#REF!+#REF!),#REF!,"")),"")</f>
        <v/>
      </c>
      <c r="BT91" s="35" t="str">
        <f ca="1">IFERROR(+IF(BU$24=#REF!,Milestone_Marker,IF(AND(BU$24&gt;#REF!,BU$24&lt;=#REF!+#REF!),#REF!,"")),"")</f>
        <v/>
      </c>
      <c r="BU91" s="35" t="str">
        <f ca="1">IFERROR(+IF(BV$24=#REF!,Milestone_Marker,IF(AND(BV$24&gt;#REF!,BV$24&lt;=#REF!+#REF!),#REF!,"")),"")</f>
        <v/>
      </c>
      <c r="BV91" s="35" t="str">
        <f ca="1">IFERROR(+IF(BW$24=#REF!,Milestone_Marker,IF(AND(BW$24&gt;#REF!,BW$24&lt;=#REF!+#REF!),#REF!,"")),"")</f>
        <v/>
      </c>
      <c r="BW91" s="35" t="str">
        <f ca="1">IFERROR(+IF(BX$24=#REF!,Milestone_Marker,IF(AND(BX$24&gt;#REF!,BX$24&lt;=#REF!+#REF!),#REF!,"")),"")</f>
        <v/>
      </c>
      <c r="BX91" s="35" t="str">
        <f ca="1">IFERROR(+IF(BY$24=#REF!,Milestone_Marker,IF(AND(BY$24&gt;#REF!,BY$24&lt;=#REF!+#REF!),#REF!,"")),"")</f>
        <v/>
      </c>
      <c r="BY91" s="35" t="str">
        <f ca="1">IFERROR(+IF(BZ$24=#REF!,Milestone_Marker,IF(AND(BZ$24&gt;#REF!,BZ$24&lt;=#REF!+#REF!),#REF!,"")),"")</f>
        <v/>
      </c>
      <c r="BZ91" s="35" t="str">
        <f ca="1">IFERROR(+IF(CA$24=#REF!,Milestone_Marker,IF(AND(CA$24&gt;#REF!,CA$24&lt;=#REF!+#REF!),#REF!,"")),"")</f>
        <v/>
      </c>
      <c r="CA91" s="35" t="str">
        <f ca="1">IFERROR(+IF(CB$24=#REF!,Milestone_Marker,IF(AND(CB$24&gt;#REF!,CB$24&lt;=#REF!+#REF!),#REF!,"")),"")</f>
        <v/>
      </c>
      <c r="CB91" s="35" t="str">
        <f ca="1">IFERROR(+IF(CC$24=#REF!,Milestone_Marker,IF(AND(CC$24&gt;#REF!,CC$24&lt;=#REF!+#REF!),#REF!,"")),"")</f>
        <v/>
      </c>
      <c r="CC91" s="35" t="str">
        <f ca="1">IFERROR(+IF(CD$24=#REF!,Milestone_Marker,IF(AND(CD$24&gt;#REF!,CD$24&lt;=#REF!+#REF!),#REF!,"")),"")</f>
        <v/>
      </c>
      <c r="CD91" s="35" t="str">
        <f ca="1">IFERROR(+IF(CE$24=#REF!,Milestone_Marker,IF(AND(CE$24&gt;#REF!,CE$24&lt;=#REF!+#REF!),#REF!,"")),"")</f>
        <v/>
      </c>
      <c r="CE91" s="35" t="str">
        <f ca="1">IFERROR(+IF(CF$24=#REF!,Milestone_Marker,IF(AND(CF$24&gt;#REF!,CF$24&lt;=#REF!+#REF!),#REF!,"")),"")</f>
        <v/>
      </c>
      <c r="CF91" s="35" t="str">
        <f ca="1">IFERROR(+IF(CG$24=#REF!,Milestone_Marker,IF(AND(CG$24&gt;#REF!,CG$24&lt;=#REF!+#REF!),#REF!,"")),"")</f>
        <v/>
      </c>
      <c r="CG91" s="35" t="str">
        <f ca="1">IFERROR(+IF(CH$24=#REF!,Milestone_Marker,IF(AND(CH$24&gt;#REF!,CH$24&lt;=#REF!+#REF!),#REF!,"")),"")</f>
        <v/>
      </c>
      <c r="CH91" s="35" t="str">
        <f ca="1">IFERROR(+IF(CI$24=#REF!,Milestone_Marker,IF(AND(CI$24&gt;#REF!,CI$24&lt;=#REF!+#REF!),#REF!,"")),"")</f>
        <v/>
      </c>
      <c r="CI91" s="35" t="str">
        <f ca="1">IFERROR(+IF(CJ$24=#REF!,Milestone_Marker,IF(AND(CJ$24&gt;#REF!,CJ$24&lt;=#REF!+#REF!),#REF!,"")),"")</f>
        <v/>
      </c>
      <c r="CJ91" s="35" t="str">
        <f ca="1">IFERROR(+IF(CK$24=#REF!,Milestone_Marker,IF(AND(CK$24&gt;#REF!,CK$24&lt;=#REF!+#REF!),#REF!,"")),"")</f>
        <v/>
      </c>
      <c r="CK91" s="35" t="str">
        <f ca="1">IFERROR(+IF(CL$24=#REF!,Milestone_Marker,IF(AND(CL$24&gt;#REF!,CL$24&lt;=#REF!+#REF!),#REF!,"")),"")</f>
        <v/>
      </c>
      <c r="CL91" s="35" t="str">
        <f ca="1">IFERROR(+IF(CM$24=#REF!,Milestone_Marker,IF(AND(CM$24&gt;#REF!,CM$24&lt;=#REF!+#REF!),#REF!,"")),"")</f>
        <v/>
      </c>
      <c r="CM91" s="35" t="str">
        <f ca="1">IFERROR(+IF(CN$24=#REF!,Milestone_Marker,IF(AND(CN$24&gt;#REF!,CN$24&lt;=#REF!+#REF!),#REF!,"")),"")</f>
        <v/>
      </c>
      <c r="CN91" s="35" t="str">
        <f ca="1">IFERROR(+IF(CO$24=#REF!,Milestone_Marker,IF(AND(CO$24&gt;#REF!,CO$24&lt;=#REF!+#REF!),#REF!,"")),"")</f>
        <v/>
      </c>
      <c r="CO91" s="35" t="str">
        <f ca="1">IFERROR(+IF(CP$24=#REF!,Milestone_Marker,IF(AND(CP$24&gt;#REF!,CP$24&lt;=#REF!+#REF!),#REF!,"")),"")</f>
        <v/>
      </c>
      <c r="CP91" s="35" t="str">
        <f ca="1">IFERROR(+IF(CQ$24=#REF!,Milestone_Marker,IF(AND(CQ$24&gt;#REF!,CQ$24&lt;=#REF!+#REF!),#REF!,"")),"")</f>
        <v/>
      </c>
      <c r="CQ91" s="35" t="str">
        <f ca="1">IFERROR(+IF(CR$24=#REF!,Milestone_Marker,IF(AND(CR$24&gt;#REF!,CR$24&lt;=#REF!+#REF!),#REF!,"")),"")</f>
        <v/>
      </c>
      <c r="CR91" s="35" t="str">
        <f ca="1">IFERROR(+IF(CS$24=#REF!,Milestone_Marker,IF(AND(CS$24&gt;#REF!,CS$24&lt;=#REF!+#REF!),#REF!,"")),"")</f>
        <v/>
      </c>
      <c r="CS91" s="35" t="str">
        <f ca="1">IFERROR(+IF(CT$24=#REF!,Milestone_Marker,IF(AND(CT$24&gt;#REF!,CT$24&lt;=#REF!+#REF!),#REF!,"")),"")</f>
        <v/>
      </c>
      <c r="CT91" s="35" t="str">
        <f ca="1">IFERROR(+IF(CU$24=#REF!,Milestone_Marker,IF(AND(CU$24&gt;#REF!,CU$24&lt;=#REF!+#REF!),#REF!,"")),"")</f>
        <v/>
      </c>
      <c r="CU91" s="35" t="str">
        <f ca="1">IFERROR(+IF(CV$24=#REF!,Milestone_Marker,IF(AND(CV$24&gt;#REF!,CV$24&lt;=#REF!+#REF!),#REF!,"")),"")</f>
        <v/>
      </c>
      <c r="CV91" s="35" t="str">
        <f ca="1">IFERROR(+IF(CW$24=#REF!,Milestone_Marker,IF(AND(CW$24&gt;#REF!,CW$24&lt;=#REF!+#REF!),#REF!,"")),"")</f>
        <v/>
      </c>
      <c r="CW91" s="35" t="str">
        <f ca="1">IFERROR(+IF(CX$24=#REF!,Milestone_Marker,IF(AND(CX$24&gt;#REF!,CX$24&lt;=#REF!+#REF!),#REF!,"")),"")</f>
        <v/>
      </c>
      <c r="CX91" s="35" t="str">
        <f ca="1">IFERROR(+IF(CY$24=#REF!,Milestone_Marker,IF(AND(CY$24&gt;#REF!,CY$24&lt;=#REF!+#REF!),#REF!,"")),"")</f>
        <v/>
      </c>
      <c r="CY91" s="35" t="str">
        <f ca="1">IFERROR(+IF(CZ$24=#REF!,Milestone_Marker,IF(AND(CZ$24&gt;#REF!,CZ$24&lt;=#REF!+#REF!),#REF!,"")),"")</f>
        <v/>
      </c>
      <c r="CZ91" s="35" t="str">
        <f ca="1">IFERROR(+IF(DA$24=#REF!,Milestone_Marker,IF(AND(DA$24&gt;#REF!,DA$24&lt;=#REF!+#REF!),#REF!,"")),"")</f>
        <v/>
      </c>
      <c r="DA91" s="35" t="str">
        <f ca="1">IFERROR(+IF(DB$24=#REF!,Milestone_Marker,IF(AND(DB$24&gt;#REF!,DB$24&lt;=#REF!+#REF!),#REF!,"")),"")</f>
        <v/>
      </c>
      <c r="DB91" s="35" t="str">
        <f ca="1">IFERROR(+IF(DC$24=#REF!,Milestone_Marker,IF(AND(DC$24&gt;#REF!,DC$24&lt;=#REF!+#REF!),#REF!,"")),"")</f>
        <v/>
      </c>
      <c r="DC91" s="35" t="str">
        <f ca="1">IFERROR(+IF(DD$24=#REF!,Milestone_Marker,IF(AND(DD$24&gt;#REF!,DD$24&lt;=#REF!+#REF!),#REF!,"")),"")</f>
        <v/>
      </c>
      <c r="DD91" s="35" t="str">
        <f ca="1">IFERROR(+IF(DE$24=#REF!,Milestone_Marker,IF(AND(DE$24&gt;#REF!,DE$24&lt;=#REF!+#REF!),#REF!,"")),"")</f>
        <v/>
      </c>
    </row>
    <row r="92" spans="1:108" ht="15">
      <c r="A92" t="s">
        <v>467</v>
      </c>
      <c r="B92" t="s">
        <v>793</v>
      </c>
      <c r="C92" t="s">
        <v>570</v>
      </c>
      <c r="D92" s="458" t="s">
        <v>1459</v>
      </c>
      <c r="E92" s="458">
        <v>1</v>
      </c>
      <c r="F92"/>
      <c r="G92"/>
      <c r="H92">
        <v>158</v>
      </c>
      <c r="I92"/>
      <c r="J92">
        <v>193</v>
      </c>
      <c r="K92" s="107"/>
      <c r="L92" s="463">
        <v>193</v>
      </c>
      <c r="M92" s="543"/>
      <c r="N92" s="544"/>
      <c r="O92" s="546" cm="1">
        <f t="array" ref="O9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46007</v>
      </c>
      <c r="P92" s="568"/>
      <c r="Q92" s="568"/>
      <c r="R92" s="499"/>
      <c r="S92" s="463" cm="1">
        <f t="array" ref="S9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92" s="34"/>
      <c r="U92" s="490"/>
      <c r="V9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75.030699999999996</v>
      </c>
      <c r="W92" s="557"/>
      <c r="X92" s="545"/>
      <c r="Y92" s="547" t="s">
        <v>873</v>
      </c>
      <c r="Z92" s="160" t="s">
        <v>458</v>
      </c>
      <c r="AA92" s="563"/>
      <c r="AB92" s="34" cm="1">
        <f t="array" ref="AB92">ROW()-ROW(Contract_Edits[#Headers])</f>
        <v>68</v>
      </c>
      <c r="AC92" s="34">
        <f>IF(Contract_Edits[[#This Row],[RowPos]]&gt;1, Contract_Edits[[#This Row],[RowPos]]-1, 0)</f>
        <v>67</v>
      </c>
      <c r="AD92" s="35">
        <f>IF(N(Contract_Edits[[#This Row],[Dep]])=0, N(Contract_Edits[[#This Row],[Index]]), N(Contract_Edits[[#This Row],[Dep]]))</f>
        <v>158</v>
      </c>
      <c r="AE92" s="35" cm="1">
        <f t="array" ref="AE92">IF(OR(Contract_Edits[[#This Row],[Dep]]=0, TRIM(Contract_Edits[[#This Row],[Dep]])=""),
   0,
   IFERROR(
      _xlfn.XLOOKUP(1, (Contract_Edits[Dep]=Contract_Edits[[#This Row],[Dep]])*(Contract_Edits[RowPos]&lt;Contract_Edits[[#This Row],[RowPos]]), Contract_Edits[RowPos], , 0, -1),
      0
   )
)</f>
        <v>67</v>
      </c>
      <c r="AF92" s="35">
        <f>IF(OR(Contract_Edits[[#This Row],[Dep]]=0,Contract_Edits[[#This Row],[Dep]]=""),0,
   COUNTIFS(Contract_Edits[Dep],Contract_Edits[[#This Row],[Dep]],Contract_Edits[RowPos],"&lt;="&amp;Contract_Edits[[#This Row],[RowPos]],Contract_Edits[Approve],"Yes")
)</f>
        <v>7</v>
      </c>
      <c r="AG92" s="517">
        <f>--(
  ISNUMBER(SEARCH("BASE PARENT", UPPER(CLEAN(TRIM(_xlfn.XLOOKUP(TEXT(Contract_Edits[[#This Row],[Index]],"0"), baseIdxTxt, baseCost, "")))))) +
  ISNUMBER(SEARCH("DEPENDENCY GROUP", UPPER(CLEAN(TRIM(_xlfn.XLOOKUP(TEXT(Contract_Edits[[#This Row],[Index]],"0"), baseIdxTxt, baseCost, ""))))))
)</f>
        <v>0</v>
      </c>
      <c r="AH92" s="517" t="str" cm="1">
        <f t="array" ref="AH92">IF(Contract_Edits[[#This Row],[BaseFlag]]=1,
   10*BaseDepthL(TEXT(Contract_Edits[[#This Row],[Index]],"0"),500,editsIdxTxt,editsParentKeyTxt,baseIdxTxt,baseCost)-5,
   ""
)</f>
        <v/>
      </c>
      <c r="AI92" s="517" cm="1">
        <f t="array" ref="AI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2" s="517" t="str">
        <f>IF(Contract_Edits[[#This Row],[Dep]]=0,"Root",
   IF(ISNUMBER(MATCH(Contract_Edits[[#This Row],[Dep]],Contract_Edits[Index],0)),"OK","Missing")
)</f>
        <v>OK</v>
      </c>
      <c r="AK92" s="517" t="str">
        <f>IF(AND(Contract_Edits[[#This Row],[Dep]]&lt;&gt;0,
        ISNUMBER(MATCH(Contract_Edits[[#This Row],[Dep]], Contract_Edits[Index], 0)),
        INDEX(Contract_Edits[Dep], MATCH(Contract_Edits[[#This Row],[Dep]], Contract_Edits[Index], 0))=Contract_Edits[[#This Row],[Index]]),
   "2-cycle","")</f>
        <v/>
      </c>
      <c r="AL92" s="517" cm="1">
        <f t="array" ref="AL92">IF(Contract_Edits[[#This Row],[BaseFlag]]&lt;&gt;1,0,
   IF(TEXT(Contract_Edits[[#This Row],[Dep]],"0")=TEXT(Contract_Edits[[#This Row],[Index]],"0"),
      0,
      MAX(0, SUMPRODUCT(--(Contract_Edits[BaseFlag]=1),
                        --(TEXT(Contract_Edits[Dep],"0")=TEXT(Contract_Edits[[#This Row],[Dep]],"0"))) - 1)
   )
)</f>
        <v>0</v>
      </c>
      <c r="AM92" s="517" t="str" cm="1">
        <f t="array" ref="AM92">IF(Contract_Edits[[#This Row],[BaseFlag]]=1,
   TEXT(Contract_Edits[[#This Row],[Index]],"0"),
   NearestBaseL(TEXT(Contract_Edits[[#This Row],[ParentKey]],"0"),500,editsIdxTxt,editsParentKeyTxt,baseIdxTxt,baseCost)
)</f>
        <v>158</v>
      </c>
      <c r="AN92" s="517" cm="1">
        <f t="array" ref="AN92">1+SUMPRODUCT(
  (Contract_Edits[BaseFlag]=1)*
  (TEXT(Contract_Edits[ParentAnchor],"0")=TEXT(Contract_Edits[[#This Row],[ParentAnchor]],"0"))*
  (VALUE(TEXT(Contract_Edits[Index],"0"))&lt;VALUE(TEXT(Contract_Edits[[#This Row],[Index]],"0")))
)</f>
        <v>3</v>
      </c>
      <c r="AO92" s="35"/>
      <c r="AP92" s="35" t="str">
        <f ca="1">IFERROR(+IF(AP$24=#REF!,Milestone_Marker,IF(AND(AP$24&gt;#REF!,AP$24&lt;#REF!+#REF!),#REF!,"")),"")</f>
        <v/>
      </c>
      <c r="AQ92" s="35" t="str">
        <f ca="1">IFERROR(+IF(AQ$24=#REF!,Milestone_Marker,IF(AND(AQ$24&gt;#REF!,AQ$24&lt;#REF!+#REF!),#REF!,"")),"")</f>
        <v/>
      </c>
      <c r="AR92" s="34"/>
      <c r="AS92" s="34"/>
      <c r="AT92" s="34"/>
      <c r="AU92" s="34"/>
      <c r="AV92" s="34"/>
      <c r="AW92"/>
      <c r="AX92"/>
      <c r="AY92"/>
      <c r="AZ92"/>
      <c r="BA92"/>
      <c r="BB92"/>
      <c r="BC92"/>
      <c r="BD92"/>
      <c r="BE92"/>
      <c r="BF92"/>
      <c r="BG92"/>
      <c r="BH92"/>
      <c r="BI92"/>
      <c r="BJ92"/>
      <c r="BK92"/>
      <c r="BL92"/>
      <c r="BM92"/>
      <c r="BN92"/>
      <c r="BO92"/>
      <c r="BP92"/>
      <c r="BQ92"/>
      <c r="BR92"/>
      <c r="BS92"/>
      <c r="BT92"/>
      <c r="BU92"/>
      <c r="BV92"/>
      <c r="BW92"/>
      <c r="BX92"/>
      <c r="BY92"/>
      <c r="BZ92"/>
      <c r="CA92"/>
      <c r="CB92"/>
      <c r="CC92"/>
    </row>
    <row r="93" spans="1:108" ht="15">
      <c r="A93" t="s">
        <v>519</v>
      </c>
      <c r="B93" t="s">
        <v>793</v>
      </c>
      <c r="C93" t="s">
        <v>570</v>
      </c>
      <c r="D93" s="458" t="s">
        <v>1469</v>
      </c>
      <c r="E93" s="458">
        <v>1</v>
      </c>
      <c r="F93"/>
      <c r="G93"/>
      <c r="H93">
        <v>158</v>
      </c>
      <c r="I93"/>
      <c r="J93">
        <v>192</v>
      </c>
      <c r="K93" s="107"/>
      <c r="L93" s="463">
        <v>192</v>
      </c>
      <c r="M93" s="543"/>
      <c r="N93" s="544"/>
      <c r="O93" s="546" cm="1">
        <f t="array" ref="O9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46007</v>
      </c>
      <c r="P93" s="568"/>
      <c r="Q93" s="568"/>
      <c r="R93" s="499"/>
      <c r="S93" s="463" cm="1">
        <f t="array" ref="S9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93" s="34"/>
      <c r="U93" s="490"/>
      <c r="V9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75.030799999999999</v>
      </c>
      <c r="W93" s="557"/>
      <c r="X93" s="545"/>
      <c r="Y93" s="547" t="s">
        <v>873</v>
      </c>
      <c r="Z93" s="160" t="s">
        <v>458</v>
      </c>
      <c r="AA93" s="563"/>
      <c r="AB93" s="34" cm="1">
        <f t="array" ref="AB93">ROW()-ROW(Contract_Edits[#Headers])</f>
        <v>69</v>
      </c>
      <c r="AC93" s="34">
        <f>IF(Contract_Edits[[#This Row],[RowPos]]&gt;1, Contract_Edits[[#This Row],[RowPos]]-1, 0)</f>
        <v>68</v>
      </c>
      <c r="AD93" s="35">
        <f>IF(N(Contract_Edits[[#This Row],[Dep]])=0, N(Contract_Edits[[#This Row],[Index]]), N(Contract_Edits[[#This Row],[Dep]]))</f>
        <v>158</v>
      </c>
      <c r="AE93" s="35" cm="1">
        <f t="array" ref="AE93">IF(OR(Contract_Edits[[#This Row],[Dep]]=0, TRIM(Contract_Edits[[#This Row],[Dep]])=""),
   0,
   IFERROR(
      _xlfn.XLOOKUP(1, (Contract_Edits[Dep]=Contract_Edits[[#This Row],[Dep]])*(Contract_Edits[RowPos]&lt;Contract_Edits[[#This Row],[RowPos]]), Contract_Edits[RowPos], , 0, -1),
      0
   )
)</f>
        <v>68</v>
      </c>
      <c r="AF93" s="35">
        <f>IF(OR(Contract_Edits[[#This Row],[Dep]]=0,Contract_Edits[[#This Row],[Dep]]=""),0,
   COUNTIFS(Contract_Edits[Dep],Contract_Edits[[#This Row],[Dep]],Contract_Edits[RowPos],"&lt;="&amp;Contract_Edits[[#This Row],[RowPos]],Contract_Edits[Approve],"Yes")
)</f>
        <v>8</v>
      </c>
      <c r="AG93" s="517">
        <f>--(
  ISNUMBER(SEARCH("BASE PARENT", UPPER(CLEAN(TRIM(_xlfn.XLOOKUP(TEXT(Contract_Edits[[#This Row],[Index]],"0"), baseIdxTxt, baseCost, "")))))) +
  ISNUMBER(SEARCH("DEPENDENCY GROUP", UPPER(CLEAN(TRIM(_xlfn.XLOOKUP(TEXT(Contract_Edits[[#This Row],[Index]],"0"), baseIdxTxt, baseCost, ""))))))
)</f>
        <v>0</v>
      </c>
      <c r="AH93" s="517" t="str" cm="1">
        <f t="array" ref="AH93">IF(Contract_Edits[[#This Row],[BaseFlag]]=1,
   10*BaseDepthL(TEXT(Contract_Edits[[#This Row],[Index]],"0"),500,editsIdxTxt,editsParentKeyTxt,baseIdxTxt,baseCost)-5,
   ""
)</f>
        <v/>
      </c>
      <c r="AI93" s="517" cm="1">
        <f t="array" ref="AI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3" s="517" t="str">
        <f>IF(Contract_Edits[[#This Row],[Dep]]=0,"Root",
   IF(ISNUMBER(MATCH(Contract_Edits[[#This Row],[Dep]],Contract_Edits[Index],0)),"OK","Missing")
)</f>
        <v>OK</v>
      </c>
      <c r="AK93" s="517" t="str">
        <f>IF(AND(Contract_Edits[[#This Row],[Dep]]&lt;&gt;0,
        ISNUMBER(MATCH(Contract_Edits[[#This Row],[Dep]], Contract_Edits[Index], 0)),
        INDEX(Contract_Edits[Dep], MATCH(Contract_Edits[[#This Row],[Dep]], Contract_Edits[Index], 0))=Contract_Edits[[#This Row],[Index]]),
   "2-cycle","")</f>
        <v/>
      </c>
      <c r="AL93" s="517" cm="1">
        <f t="array" ref="AL93">IF(Contract_Edits[[#This Row],[BaseFlag]]&lt;&gt;1,0,
   IF(TEXT(Contract_Edits[[#This Row],[Dep]],"0")=TEXT(Contract_Edits[[#This Row],[Index]],"0"),
      0,
      MAX(0, SUMPRODUCT(--(Contract_Edits[BaseFlag]=1),
                        --(TEXT(Contract_Edits[Dep],"0")=TEXT(Contract_Edits[[#This Row],[Dep]],"0"))) - 1)
   )
)</f>
        <v>0</v>
      </c>
      <c r="AM93" s="517" t="str" cm="1">
        <f t="array" ref="AM93">IF(Contract_Edits[[#This Row],[BaseFlag]]=1,
   TEXT(Contract_Edits[[#This Row],[Index]],"0"),
   NearestBaseL(TEXT(Contract_Edits[[#This Row],[ParentKey]],"0"),500,editsIdxTxt,editsParentKeyTxt,baseIdxTxt,baseCost)
)</f>
        <v>158</v>
      </c>
      <c r="AN93" s="517" cm="1">
        <f t="array" ref="AN93">1+SUMPRODUCT(
  (Contract_Edits[BaseFlag]=1)*
  (TEXT(Contract_Edits[ParentAnchor],"0")=TEXT(Contract_Edits[[#This Row],[ParentAnchor]],"0"))*
  (VALUE(TEXT(Contract_Edits[Index],"0"))&lt;VALUE(TEXT(Contract_Edits[[#This Row],[Index]],"0")))
)</f>
        <v>3</v>
      </c>
      <c r="AO93" s="35"/>
      <c r="AP93" s="35" t="str">
        <f ca="1">IFERROR(+IF(AP$24=#REF!,Milestone_Marker,IF(AND(AP$24&gt;#REF!,AP$24&lt;#REF!+#REF!),#REF!,"")),"")</f>
        <v/>
      </c>
      <c r="AQ93" s="35" t="str">
        <f ca="1">IFERROR(+IF(AQ$24=#REF!,Milestone_Marker,IF(AND(AQ$24&gt;#REF!,AQ$24&lt;#REF!+#REF!),#REF!,"")),"")</f>
        <v/>
      </c>
      <c r="AR93" s="34"/>
      <c r="AS93" s="34"/>
      <c r="AT93" s="34"/>
      <c r="AU93" s="34"/>
      <c r="AV93" s="34"/>
      <c r="AW93"/>
      <c r="AX93"/>
      <c r="AY93"/>
      <c r="AZ93"/>
      <c r="BA93"/>
      <c r="BB93"/>
      <c r="BC93"/>
      <c r="BD93"/>
      <c r="BE93"/>
      <c r="BF93"/>
      <c r="BG93"/>
      <c r="BH93"/>
      <c r="BI93"/>
      <c r="BJ93"/>
      <c r="BK93"/>
      <c r="BL93"/>
      <c r="BM93"/>
      <c r="BN93"/>
      <c r="BO93"/>
      <c r="BP93"/>
      <c r="BQ93"/>
      <c r="BR93"/>
      <c r="BS93"/>
      <c r="BT93"/>
      <c r="BU93"/>
      <c r="BV93"/>
      <c r="BW93"/>
      <c r="BX93"/>
      <c r="BY93"/>
      <c r="BZ93"/>
      <c r="CA93"/>
      <c r="CB93"/>
      <c r="CC93"/>
    </row>
    <row r="94" spans="1:108" ht="15">
      <c r="A94" t="s">
        <v>747</v>
      </c>
      <c r="B94" t="s">
        <v>744</v>
      </c>
      <c r="C94" t="s">
        <v>756</v>
      </c>
      <c r="D94" s="458" t="s">
        <v>527</v>
      </c>
      <c r="E94" s="458">
        <v>0</v>
      </c>
      <c r="F94"/>
      <c r="G94"/>
      <c r="H94">
        <v>155</v>
      </c>
      <c r="I94"/>
      <c r="J94">
        <v>159</v>
      </c>
      <c r="K94" s="107"/>
      <c r="L94" s="463">
        <v>159</v>
      </c>
      <c r="M94" s="490"/>
      <c r="N94" s="160">
        <v>0</v>
      </c>
      <c r="O94" s="546" cm="1">
        <f t="array" ref="O9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94" s="567"/>
      <c r="Q94" s="567"/>
      <c r="R94" s="499"/>
      <c r="S94" s="463" cm="1">
        <f t="array" ref="S9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94" s="34">
        <v>1</v>
      </c>
      <c r="U94" s="490"/>
      <c r="V9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75.040000000000006</v>
      </c>
      <c r="W94" s="557"/>
      <c r="X94" s="545"/>
      <c r="Y94" s="548"/>
      <c r="Z94" s="535" t="s">
        <v>458</v>
      </c>
      <c r="AA94" s="544"/>
      <c r="AB94" cm="1">
        <f t="array" ref="AB94">ROW()-ROW(Contract_Edits[#Headers])</f>
        <v>70</v>
      </c>
      <c r="AC94">
        <f>IF(Contract_Edits[[#This Row],[RowPos]]&gt;1, Contract_Edits[[#This Row],[RowPos]]-1, 0)</f>
        <v>69</v>
      </c>
      <c r="AD94" s="35">
        <f>IF(N(Contract_Edits[[#This Row],[Dep]])=0, N(Contract_Edits[[#This Row],[Index]]), N(Contract_Edits[[#This Row],[Dep]]))</f>
        <v>155</v>
      </c>
      <c r="AE94" s="35" cm="1">
        <f t="array" ref="AE94">IF(OR(Contract_Edits[[#This Row],[Dep]]=0, TRIM(Contract_Edits[[#This Row],[Dep]])=""),
   0,
   IFERROR(
      _xlfn.XLOOKUP(1, (Contract_Edits[Dep]=Contract_Edits[[#This Row],[Dep]])*(Contract_Edits[RowPos]&lt;Contract_Edits[[#This Row],[RowPos]]), Contract_Edits[RowPos], , 0, -1),
      0
   )
)</f>
        <v>61</v>
      </c>
      <c r="AF94" s="35">
        <f>IF(OR(Contract_Edits[[#This Row],[Dep]]=0,Contract_Edits[[#This Row],[Dep]]=""),0,
   COUNTIFS(Contract_Edits[Dep],Contract_Edits[[#This Row],[Dep]],Contract_Edits[RowPos],"&lt;="&amp;Contract_Edits[[#This Row],[RowPos]],Contract_Edits[Approve],"Yes")
)</f>
        <v>18</v>
      </c>
      <c r="AG94" s="517">
        <f>--(
  ISNUMBER(SEARCH("BASE PARENT", UPPER(CLEAN(TRIM(_xlfn.XLOOKUP(TEXT(Contract_Edits[[#This Row],[Index]],"0"), baseIdxTxt, baseCost, "")))))) +
  ISNUMBER(SEARCH("DEPENDENCY GROUP", UPPER(CLEAN(TRIM(_xlfn.XLOOKUP(TEXT(Contract_Edits[[#This Row],[Index]],"0"), baseIdxTxt, baseCost, ""))))))
)</f>
        <v>1</v>
      </c>
      <c r="AH94" s="517" cm="1">
        <f t="array" ref="AH94">IF(Contract_Edits[[#This Row],[BaseFlag]]=1,
   10*BaseDepthL(TEXT(Contract_Edits[[#This Row],[Index]],"0"),500,editsIdxTxt,editsParentKeyTxt,baseIdxTxt,baseCost)-5,
   ""
)</f>
        <v>75</v>
      </c>
      <c r="AI94" s="517" cm="1">
        <f t="array" ref="AI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94" s="517" t="str">
        <f>IF(Contract_Edits[[#This Row],[Dep]]=0,"Root",
   IF(ISNUMBER(MATCH(Contract_Edits[[#This Row],[Dep]],Contract_Edits[Index],0)),"OK","Missing")
)</f>
        <v>OK</v>
      </c>
      <c r="AK94" s="517" t="str">
        <f>IF(AND(Contract_Edits[[#This Row],[Dep]]&lt;&gt;0,
        ISNUMBER(MATCH(Contract_Edits[[#This Row],[Dep]], Contract_Edits[Index], 0)),
        INDEX(Contract_Edits[Dep], MATCH(Contract_Edits[[#This Row],[Dep]], Contract_Edits[Index], 0))=Contract_Edits[[#This Row],[Index]]),
   "2-cycle","")</f>
        <v/>
      </c>
      <c r="AL94" s="517" cm="1">
        <f t="array" ref="AL94">IF(Contract_Edits[[#This Row],[BaseFlag]]&lt;&gt;1,0,
   IF(TEXT(Contract_Edits[[#This Row],[Dep]],"0")=TEXT(Contract_Edits[[#This Row],[Index]],"0"),
      0,
      MAX(0, SUMPRODUCT(--(Contract_Edits[BaseFlag]=1),
                        --(TEXT(Contract_Edits[Dep],"0")=TEXT(Contract_Edits[[#This Row],[Dep]],"0"))) - 1)
   )
)</f>
        <v>3</v>
      </c>
      <c r="AM94" s="517" t="str" cm="1">
        <f t="array" ref="AM94">IF(Contract_Edits[[#This Row],[BaseFlag]]=1,
   TEXT(Contract_Edits[[#This Row],[Index]],"0"),
   NearestBaseL(TEXT(Contract_Edits[[#This Row],[ParentKey]],"0"),500,editsIdxTxt,editsParentKeyTxt,baseIdxTxt,baseCost)
)</f>
        <v>159</v>
      </c>
      <c r="AN94" s="517" cm="1">
        <f t="array" ref="AN94">1+SUMPRODUCT(
  (Contract_Edits[BaseFlag]=1)*
  (TEXT(Contract_Edits[ParentAnchor],"0")=TEXT(Contract_Edits[[#This Row],[ParentAnchor]],"0"))*
  (VALUE(TEXT(Contract_Edits[Index],"0"))&lt;VALUE(TEXT(Contract_Edits[[#This Row],[Index]],"0")))
)</f>
        <v>4</v>
      </c>
      <c r="AO94" s="35"/>
      <c r="AP94" s="35" t="str">
        <f ca="1">IFERROR(+IF(AP$24=#REF!,Milestone_Marker,IF(AND(AP$24&gt;#REF!,AP$24&lt;#REF!+#REF!),#REF!,"")),"")</f>
        <v/>
      </c>
      <c r="AQ94" s="35" t="str">
        <f ca="1">IFERROR(+IF(AQ$24=#REF!,Milestone_Marker,IF(AND(AQ$24&gt;#REF!,AQ$24&lt;#REF!+#REF!),#REF!,"")),"")</f>
        <v/>
      </c>
      <c r="AR94" s="34"/>
      <c r="AS94" s="34"/>
      <c r="AT94" s="34"/>
      <c r="AU94" s="34"/>
      <c r="AV94" s="34"/>
      <c r="AW94"/>
      <c r="AX94"/>
      <c r="AY94"/>
      <c r="AZ94"/>
      <c r="BA94"/>
      <c r="BB94"/>
      <c r="BC94"/>
      <c r="BD94"/>
      <c r="BE94"/>
      <c r="BF94"/>
      <c r="BG94"/>
      <c r="BH94"/>
      <c r="BI94"/>
      <c r="BJ94"/>
      <c r="BK94"/>
      <c r="BL94"/>
      <c r="BM94"/>
      <c r="BN94"/>
      <c r="BO94"/>
      <c r="BP94"/>
      <c r="BQ94"/>
      <c r="BR94"/>
      <c r="BS94"/>
      <c r="BT94"/>
      <c r="BU94"/>
      <c r="BV94"/>
      <c r="BW94"/>
      <c r="BX94"/>
      <c r="BY94"/>
      <c r="BZ94"/>
      <c r="CA94"/>
      <c r="CB94"/>
      <c r="CC94"/>
    </row>
    <row r="95" spans="1:108" ht="15">
      <c r="A95" t="s">
        <v>519</v>
      </c>
      <c r="B95" t="s">
        <v>639</v>
      </c>
      <c r="C95" t="s">
        <v>620</v>
      </c>
      <c r="D95" s="458" t="s">
        <v>651</v>
      </c>
      <c r="E95" s="458">
        <v>1</v>
      </c>
      <c r="F95">
        <v>1740</v>
      </c>
      <c r="G95">
        <v>1740</v>
      </c>
      <c r="H95">
        <v>159</v>
      </c>
      <c r="I95"/>
      <c r="J95">
        <v>79</v>
      </c>
      <c r="K95" s="107"/>
      <c r="L95" s="463">
        <v>79</v>
      </c>
      <c r="M95" s="176">
        <v>1</v>
      </c>
      <c r="N95" s="160">
        <v>0</v>
      </c>
      <c r="O95" s="546" cm="1">
        <f t="array" ref="O9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95" s="566" t="s">
        <v>797</v>
      </c>
      <c r="Q95" s="566">
        <v>0</v>
      </c>
      <c r="R95" s="22"/>
      <c r="S95" s="463" cm="1">
        <f t="array" ref="S9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95">
        <v>1</v>
      </c>
      <c r="U95" s="176"/>
      <c r="V9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75.04010000000001</v>
      </c>
      <c r="W95" s="497"/>
      <c r="X95" s="176" t="s">
        <v>852</v>
      </c>
      <c r="Y95" s="547" t="s">
        <v>874</v>
      </c>
      <c r="Z95" s="160" t="s">
        <v>458</v>
      </c>
      <c r="AA95" s="563">
        <v>102600</v>
      </c>
      <c r="AB95" cm="1">
        <f t="array" ref="AB95">ROW()-ROW(Contract_Edits[#Headers])</f>
        <v>71</v>
      </c>
      <c r="AC95">
        <f>IF(Contract_Edits[[#This Row],[RowPos]]&gt;1, Contract_Edits[[#This Row],[RowPos]]-1, 0)</f>
        <v>70</v>
      </c>
      <c r="AD95" s="35">
        <f>IF(N(Contract_Edits[[#This Row],[Dep]])=0, N(Contract_Edits[[#This Row],[Index]]), N(Contract_Edits[[#This Row],[Dep]]))</f>
        <v>159</v>
      </c>
      <c r="AE95" s="35" cm="1">
        <f t="array" ref="AE95">IF(OR(Contract_Edits[[#This Row],[Dep]]=0, TRIM(Contract_Edits[[#This Row],[Dep]])=""),
   0,
   IFERROR(
      _xlfn.XLOOKUP(1, (Contract_Edits[Dep]=Contract_Edits[[#This Row],[Dep]])*(Contract_Edits[RowPos]&lt;Contract_Edits[[#This Row],[RowPos]]), Contract_Edits[RowPos], , 0, -1),
      0
   )
)</f>
        <v>0</v>
      </c>
      <c r="AF95" s="35">
        <f>IF(OR(Contract_Edits[[#This Row],[Dep]]=0,Contract_Edits[[#This Row],[Dep]]=""),0,
   COUNTIFS(Contract_Edits[Dep],Contract_Edits[[#This Row],[Dep]],Contract_Edits[RowPos],"&lt;="&amp;Contract_Edits[[#This Row],[RowPos]],Contract_Edits[Approve],"Yes")
)</f>
        <v>1</v>
      </c>
      <c r="AG95" s="517">
        <f>--(
  ISNUMBER(SEARCH("BASE PARENT", UPPER(CLEAN(TRIM(_xlfn.XLOOKUP(TEXT(Contract_Edits[[#This Row],[Index]],"0"), baseIdxTxt, baseCost, "")))))) +
  ISNUMBER(SEARCH("DEPENDENCY GROUP", UPPER(CLEAN(TRIM(_xlfn.XLOOKUP(TEXT(Contract_Edits[[#This Row],[Index]],"0"), baseIdxTxt, baseCost, ""))))))
)</f>
        <v>0</v>
      </c>
      <c r="AH95" s="517" t="str" cm="1">
        <f t="array" ref="AH95">IF(Contract_Edits[[#This Row],[BaseFlag]]=1,
   10*BaseDepthL(TEXT(Contract_Edits[[#This Row],[Index]],"0"),500,editsIdxTxt,editsParentKeyTxt,baseIdxTxt,baseCost)-5,
   ""
)</f>
        <v/>
      </c>
      <c r="AI95" s="517" cm="1">
        <f t="array" ref="AI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5" s="517" t="str">
        <f>IF(Contract_Edits[[#This Row],[Dep]]=0,"Root",
   IF(ISNUMBER(MATCH(Contract_Edits[[#This Row],[Dep]],Contract_Edits[Index],0)),"OK","Missing")
)</f>
        <v>OK</v>
      </c>
      <c r="AK95" s="517" t="str">
        <f>IF(AND(Contract_Edits[[#This Row],[Dep]]&lt;&gt;0,
        ISNUMBER(MATCH(Contract_Edits[[#This Row],[Dep]], Contract_Edits[Index], 0)),
        INDEX(Contract_Edits[Dep], MATCH(Contract_Edits[[#This Row],[Dep]], Contract_Edits[Index], 0))=Contract_Edits[[#This Row],[Index]]),
   "2-cycle","")</f>
        <v/>
      </c>
      <c r="AL95" s="517" cm="1">
        <f t="array" ref="AL95">IF(Contract_Edits[[#This Row],[BaseFlag]]&lt;&gt;1,0,
   IF(TEXT(Contract_Edits[[#This Row],[Dep]],"0")=TEXT(Contract_Edits[[#This Row],[Index]],"0"),
      0,
      MAX(0, SUMPRODUCT(--(Contract_Edits[BaseFlag]=1),
                        --(TEXT(Contract_Edits[Dep],"0")=TEXT(Contract_Edits[[#This Row],[Dep]],"0"))) - 1)
   )
)</f>
        <v>0</v>
      </c>
      <c r="AM95" s="517" t="str" cm="1">
        <f t="array" ref="AM95">IF(Contract_Edits[[#This Row],[BaseFlag]]=1,
   TEXT(Contract_Edits[[#This Row],[Index]],"0"),
   NearestBaseL(TEXT(Contract_Edits[[#This Row],[ParentKey]],"0"),500,editsIdxTxt,editsParentKeyTxt,baseIdxTxt,baseCost)
)</f>
        <v>159</v>
      </c>
      <c r="AN95" s="517" cm="1">
        <f t="array" ref="AN95">1+SUMPRODUCT(
  (Contract_Edits[BaseFlag]=1)*
  (TEXT(Contract_Edits[ParentAnchor],"0")=TEXT(Contract_Edits[[#This Row],[ParentAnchor]],"0"))*
  (VALUE(TEXT(Contract_Edits[Index],"0"))&lt;VALUE(TEXT(Contract_Edits[[#This Row],[Index]],"0")))
)</f>
        <v>1</v>
      </c>
      <c r="AO95" s="35"/>
      <c r="AP95" s="35" t="str">
        <f ca="1">IFERROR(+IF(AP$24=#REF!,Milestone_Marker,IF(AND(AP$24&gt;#REF!,AP$24&lt;#REF!+#REF!),#REF!,"")),"")</f>
        <v/>
      </c>
      <c r="AQ95" s="35" t="str">
        <f ca="1">IFERROR(+IF(AQ$24=#REF!,Milestone_Marker,IF(AND(AQ$24&gt;#REF!,AQ$24&lt;#REF!+#REF!),#REF!,"")),"")</f>
        <v/>
      </c>
      <c r="AR95" s="34"/>
      <c r="AS95" s="34"/>
      <c r="AT95" s="34"/>
      <c r="AU95" s="34"/>
      <c r="AV95" s="34"/>
      <c r="AW95"/>
      <c r="AX95"/>
      <c r="AY95"/>
      <c r="AZ95"/>
      <c r="BA95"/>
      <c r="BB95"/>
      <c r="BC95"/>
      <c r="BD95"/>
      <c r="BE95"/>
      <c r="BF95"/>
      <c r="BG95"/>
      <c r="BH95"/>
      <c r="BI95"/>
      <c r="BJ95"/>
      <c r="BK95"/>
      <c r="BL95"/>
      <c r="BM95"/>
      <c r="BN95"/>
      <c r="BO95"/>
      <c r="BP95"/>
      <c r="BQ95"/>
      <c r="BR95"/>
      <c r="BS95"/>
      <c r="BT95"/>
      <c r="BU95"/>
      <c r="BV95"/>
      <c r="BW95"/>
      <c r="BX95"/>
      <c r="BY95"/>
      <c r="BZ95"/>
      <c r="CA95"/>
      <c r="CB95"/>
      <c r="CC95"/>
    </row>
    <row r="96" spans="1:108" ht="30">
      <c r="A96" t="s">
        <v>519</v>
      </c>
      <c r="B96" t="s">
        <v>521</v>
      </c>
      <c r="C96" t="s">
        <v>620</v>
      </c>
      <c r="D96" s="458" t="s">
        <v>694</v>
      </c>
      <c r="E96" s="458">
        <v>1</v>
      </c>
      <c r="F96">
        <v>1595</v>
      </c>
      <c r="G96">
        <v>1595</v>
      </c>
      <c r="H96">
        <v>159</v>
      </c>
      <c r="I96"/>
      <c r="J96">
        <v>111</v>
      </c>
      <c r="K96" s="107"/>
      <c r="L96" s="463">
        <v>111</v>
      </c>
      <c r="M96" s="176">
        <v>1</v>
      </c>
      <c r="N96" s="160">
        <v>0</v>
      </c>
      <c r="O96" s="546" cm="1">
        <f t="array" ref="O9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45995</v>
      </c>
      <c r="P96" s="566" t="s">
        <v>797</v>
      </c>
      <c r="Q96" s="566">
        <v>0</v>
      </c>
      <c r="R96" s="22"/>
      <c r="S96" s="463" cm="1">
        <f t="array" ref="S9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96">
        <v>1</v>
      </c>
      <c r="U96" s="176"/>
      <c r="V9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75.040200000000013</v>
      </c>
      <c r="W96" s="497"/>
      <c r="X96" s="176" t="s">
        <v>852</v>
      </c>
      <c r="Y96" s="547" t="s">
        <v>874</v>
      </c>
      <c r="Z96" s="160" t="s">
        <v>458</v>
      </c>
      <c r="AA96" s="563">
        <v>102600</v>
      </c>
      <c r="AB96" cm="1">
        <f t="array" ref="AB96">ROW()-ROW(Contract_Edits[#Headers])</f>
        <v>72</v>
      </c>
      <c r="AC96">
        <f>IF(Contract_Edits[[#This Row],[RowPos]]&gt;1, Contract_Edits[[#This Row],[RowPos]]-1, 0)</f>
        <v>71</v>
      </c>
      <c r="AD96" s="35">
        <f>IF(N(Contract_Edits[[#This Row],[Dep]])=0, N(Contract_Edits[[#This Row],[Index]]), N(Contract_Edits[[#This Row],[Dep]]))</f>
        <v>159</v>
      </c>
      <c r="AE96" s="35" cm="1">
        <f t="array" ref="AE96">IF(OR(Contract_Edits[[#This Row],[Dep]]=0, TRIM(Contract_Edits[[#This Row],[Dep]])=""),
   0,
   IFERROR(
      _xlfn.XLOOKUP(1, (Contract_Edits[Dep]=Contract_Edits[[#This Row],[Dep]])*(Contract_Edits[RowPos]&lt;Contract_Edits[[#This Row],[RowPos]]), Contract_Edits[RowPos], , 0, -1),
      0
   )
)</f>
        <v>71</v>
      </c>
      <c r="AF96" s="35">
        <f>IF(OR(Contract_Edits[[#This Row],[Dep]]=0,Contract_Edits[[#This Row],[Dep]]=""),0,
   COUNTIFS(Contract_Edits[Dep],Contract_Edits[[#This Row],[Dep]],Contract_Edits[RowPos],"&lt;="&amp;Contract_Edits[[#This Row],[RowPos]],Contract_Edits[Approve],"Yes")
)</f>
        <v>2</v>
      </c>
      <c r="AG96" s="517">
        <f>--(
  ISNUMBER(SEARCH("BASE PARENT", UPPER(CLEAN(TRIM(_xlfn.XLOOKUP(TEXT(Contract_Edits[[#This Row],[Index]],"0"), baseIdxTxt, baseCost, "")))))) +
  ISNUMBER(SEARCH("DEPENDENCY GROUP", UPPER(CLEAN(TRIM(_xlfn.XLOOKUP(TEXT(Contract_Edits[[#This Row],[Index]],"0"), baseIdxTxt, baseCost, ""))))))
)</f>
        <v>0</v>
      </c>
      <c r="AH96" s="517" t="str" cm="1">
        <f t="array" ref="AH96">IF(Contract_Edits[[#This Row],[BaseFlag]]=1,
   10*BaseDepthL(TEXT(Contract_Edits[[#This Row],[Index]],"0"),500,editsIdxTxt,editsParentKeyTxt,baseIdxTxt,baseCost)-5,
   ""
)</f>
        <v/>
      </c>
      <c r="AI96" s="517" cm="1">
        <f t="array" ref="AI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6" s="517" t="str">
        <f>IF(Contract_Edits[[#This Row],[Dep]]=0,"Root",
   IF(ISNUMBER(MATCH(Contract_Edits[[#This Row],[Dep]],Contract_Edits[Index],0)),"OK","Missing")
)</f>
        <v>OK</v>
      </c>
      <c r="AK96" s="517" t="str">
        <f>IF(AND(Contract_Edits[[#This Row],[Dep]]&lt;&gt;0,
        ISNUMBER(MATCH(Contract_Edits[[#This Row],[Dep]], Contract_Edits[Index], 0)),
        INDEX(Contract_Edits[Dep], MATCH(Contract_Edits[[#This Row],[Dep]], Contract_Edits[Index], 0))=Contract_Edits[[#This Row],[Index]]),
   "2-cycle","")</f>
        <v/>
      </c>
      <c r="AL96" s="517" cm="1">
        <f t="array" ref="AL96">IF(Contract_Edits[[#This Row],[BaseFlag]]&lt;&gt;1,0,
   IF(TEXT(Contract_Edits[[#This Row],[Dep]],"0")=TEXT(Contract_Edits[[#This Row],[Index]],"0"),
      0,
      MAX(0, SUMPRODUCT(--(Contract_Edits[BaseFlag]=1),
                        --(TEXT(Contract_Edits[Dep],"0")=TEXT(Contract_Edits[[#This Row],[Dep]],"0"))) - 1)
   )
)</f>
        <v>0</v>
      </c>
      <c r="AM96" s="517" t="str" cm="1">
        <f t="array" ref="AM96">IF(Contract_Edits[[#This Row],[BaseFlag]]=1,
   TEXT(Contract_Edits[[#This Row],[Index]],"0"),
   NearestBaseL(TEXT(Contract_Edits[[#This Row],[ParentKey]],"0"),500,editsIdxTxt,editsParentKeyTxt,baseIdxTxt,baseCost)
)</f>
        <v>159</v>
      </c>
      <c r="AN96" s="517" cm="1">
        <f t="array" ref="AN96">1+SUMPRODUCT(
  (Contract_Edits[BaseFlag]=1)*
  (TEXT(Contract_Edits[ParentAnchor],"0")=TEXT(Contract_Edits[[#This Row],[ParentAnchor]],"0"))*
  (VALUE(TEXT(Contract_Edits[Index],"0"))&lt;VALUE(TEXT(Contract_Edits[[#This Row],[Index]],"0")))
)</f>
        <v>1</v>
      </c>
      <c r="AO96" s="35"/>
      <c r="AP96" s="35" t="str">
        <f ca="1">IFERROR(+IF(AP$24=#REF!,Milestone_Marker,IF(AND(AP$24&gt;#REF!,AP$24&lt;#REF!+#REF!),#REF!,"")),"")</f>
        <v/>
      </c>
      <c r="AQ96" s="35" t="str">
        <f ca="1">IFERROR(+IF(AQ$24=#REF!,Milestone_Marker,IF(AND(AQ$24&gt;#REF!,AQ$24&lt;#REF!+#REF!),#REF!,"")),"")</f>
        <v/>
      </c>
      <c r="AR96" s="34"/>
      <c r="AS96" s="34"/>
      <c r="AT96" s="34"/>
      <c r="AU96" s="34"/>
      <c r="AV96" s="34"/>
      <c r="AW96"/>
      <c r="AX96"/>
      <c r="AY96"/>
      <c r="AZ96"/>
      <c r="BA96"/>
      <c r="BB96"/>
      <c r="BC96"/>
      <c r="BD96"/>
      <c r="BE96"/>
      <c r="BF96"/>
      <c r="BG96"/>
      <c r="BH96"/>
      <c r="BI96"/>
      <c r="BJ96"/>
      <c r="BK96"/>
      <c r="BL96"/>
      <c r="BM96"/>
      <c r="BN96"/>
      <c r="BO96"/>
      <c r="BP96"/>
      <c r="BQ96"/>
      <c r="BR96"/>
      <c r="BS96"/>
      <c r="BT96"/>
      <c r="BU96"/>
      <c r="BV96"/>
      <c r="BW96"/>
      <c r="BX96"/>
      <c r="BY96"/>
      <c r="BZ96"/>
      <c r="CA96"/>
      <c r="CB96"/>
      <c r="CC96"/>
    </row>
    <row r="97" spans="1:81" ht="15">
      <c r="A97" t="s">
        <v>519</v>
      </c>
      <c r="B97" t="s">
        <v>587</v>
      </c>
      <c r="C97" t="s">
        <v>527</v>
      </c>
      <c r="D97" s="458" t="s">
        <v>593</v>
      </c>
      <c r="E97" s="458">
        <v>1</v>
      </c>
      <c r="F97">
        <v>1160</v>
      </c>
      <c r="G97">
        <v>1160</v>
      </c>
      <c r="H97">
        <v>159</v>
      </c>
      <c r="I97"/>
      <c r="J97">
        <v>40</v>
      </c>
      <c r="K97" s="107"/>
      <c r="L97" s="463">
        <v>40</v>
      </c>
      <c r="M97" s="176">
        <v>1</v>
      </c>
      <c r="N97" s="160">
        <v>0</v>
      </c>
      <c r="O97" s="546" cm="1">
        <f t="array" ref="O9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45996</v>
      </c>
      <c r="P97" s="566" t="s">
        <v>797</v>
      </c>
      <c r="Q97" s="566">
        <v>0</v>
      </c>
      <c r="R97" s="22"/>
      <c r="S97" s="463" cm="1">
        <f t="array" ref="S9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97">
        <v>1</v>
      </c>
      <c r="U97" s="176"/>
      <c r="V9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75.040300000000002</v>
      </c>
      <c r="W97" s="497"/>
      <c r="X97" s="176" t="s">
        <v>852</v>
      </c>
      <c r="Y97" s="547" t="s">
        <v>874</v>
      </c>
      <c r="Z97" s="160" t="s">
        <v>458</v>
      </c>
      <c r="AA97" s="563">
        <v>102600</v>
      </c>
      <c r="AB97" cm="1">
        <f t="array" ref="AB97">ROW()-ROW(Contract_Edits[#Headers])</f>
        <v>73</v>
      </c>
      <c r="AC97">
        <f>IF(Contract_Edits[[#This Row],[RowPos]]&gt;1, Contract_Edits[[#This Row],[RowPos]]-1, 0)</f>
        <v>72</v>
      </c>
      <c r="AD97" s="35">
        <f>IF(N(Contract_Edits[[#This Row],[Dep]])=0, N(Contract_Edits[[#This Row],[Index]]), N(Contract_Edits[[#This Row],[Dep]]))</f>
        <v>159</v>
      </c>
      <c r="AE97" s="35" cm="1">
        <f t="array" ref="AE97">IF(OR(Contract_Edits[[#This Row],[Dep]]=0, TRIM(Contract_Edits[[#This Row],[Dep]])=""),
   0,
   IFERROR(
      _xlfn.XLOOKUP(1, (Contract_Edits[Dep]=Contract_Edits[[#This Row],[Dep]])*(Contract_Edits[RowPos]&lt;Contract_Edits[[#This Row],[RowPos]]), Contract_Edits[RowPos], , 0, -1),
      0
   )
)</f>
        <v>72</v>
      </c>
      <c r="AF97" s="35">
        <f>IF(OR(Contract_Edits[[#This Row],[Dep]]=0,Contract_Edits[[#This Row],[Dep]]=""),0,
   COUNTIFS(Contract_Edits[Dep],Contract_Edits[[#This Row],[Dep]],Contract_Edits[RowPos],"&lt;="&amp;Contract_Edits[[#This Row],[RowPos]],Contract_Edits[Approve],"Yes")
)</f>
        <v>3</v>
      </c>
      <c r="AG97" s="517">
        <f>--(
  ISNUMBER(SEARCH("BASE PARENT", UPPER(CLEAN(TRIM(_xlfn.XLOOKUP(TEXT(Contract_Edits[[#This Row],[Index]],"0"), baseIdxTxt, baseCost, "")))))) +
  ISNUMBER(SEARCH("DEPENDENCY GROUP", UPPER(CLEAN(TRIM(_xlfn.XLOOKUP(TEXT(Contract_Edits[[#This Row],[Index]],"0"), baseIdxTxt, baseCost, ""))))))
)</f>
        <v>0</v>
      </c>
      <c r="AH97" s="517" t="str" cm="1">
        <f t="array" ref="AH97">IF(Contract_Edits[[#This Row],[BaseFlag]]=1,
   10*BaseDepthL(TEXT(Contract_Edits[[#This Row],[Index]],"0"),500,editsIdxTxt,editsParentKeyTxt,baseIdxTxt,baseCost)-5,
   ""
)</f>
        <v/>
      </c>
      <c r="AI97" s="517" cm="1">
        <f t="array" ref="AI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7" s="517" t="str">
        <f>IF(Contract_Edits[[#This Row],[Dep]]=0,"Root",
   IF(ISNUMBER(MATCH(Contract_Edits[[#This Row],[Dep]],Contract_Edits[Index],0)),"OK","Missing")
)</f>
        <v>OK</v>
      </c>
      <c r="AK97" s="517" t="str">
        <f>IF(AND(Contract_Edits[[#This Row],[Dep]]&lt;&gt;0,
        ISNUMBER(MATCH(Contract_Edits[[#This Row],[Dep]], Contract_Edits[Index], 0)),
        INDEX(Contract_Edits[Dep], MATCH(Contract_Edits[[#This Row],[Dep]], Contract_Edits[Index], 0))=Contract_Edits[[#This Row],[Index]]),
   "2-cycle","")</f>
        <v/>
      </c>
      <c r="AL97" s="517" cm="1">
        <f t="array" ref="AL97">IF(Contract_Edits[[#This Row],[BaseFlag]]&lt;&gt;1,0,
   IF(TEXT(Contract_Edits[[#This Row],[Dep]],"0")=TEXT(Contract_Edits[[#This Row],[Index]],"0"),
      0,
      MAX(0, SUMPRODUCT(--(Contract_Edits[BaseFlag]=1),
                        --(TEXT(Contract_Edits[Dep],"0")=TEXT(Contract_Edits[[#This Row],[Dep]],"0"))) - 1)
   )
)</f>
        <v>0</v>
      </c>
      <c r="AM97" s="517" t="str" cm="1">
        <f t="array" ref="AM97">IF(Contract_Edits[[#This Row],[BaseFlag]]=1,
   TEXT(Contract_Edits[[#This Row],[Index]],"0"),
   NearestBaseL(TEXT(Contract_Edits[[#This Row],[ParentKey]],"0"),500,editsIdxTxt,editsParentKeyTxt,baseIdxTxt,baseCost)
)</f>
        <v>159</v>
      </c>
      <c r="AN97" s="517" cm="1">
        <f t="array" ref="AN97">1+SUMPRODUCT(
  (Contract_Edits[BaseFlag]=1)*
  (TEXT(Contract_Edits[ParentAnchor],"0")=TEXT(Contract_Edits[[#This Row],[ParentAnchor]],"0"))*
  (VALUE(TEXT(Contract_Edits[Index],"0"))&lt;VALUE(TEXT(Contract_Edits[[#This Row],[Index]],"0")))
)</f>
        <v>1</v>
      </c>
      <c r="AO97" s="35"/>
      <c r="AP97" s="35" t="str">
        <f ca="1">IFERROR(+IF(AP$24=#REF!,Milestone_Marker,IF(AND(AP$24&gt;#REF!,AP$24&lt;#REF!+#REF!),#REF!,"")),"")</f>
        <v/>
      </c>
      <c r="AQ97" s="35" t="str">
        <f ca="1">IFERROR(+IF(AQ$24=#REF!,Milestone_Marker,IF(AND(AQ$24&gt;#REF!,AQ$24&lt;#REF!+#REF!),#REF!,"")),"")</f>
        <v/>
      </c>
      <c r="AR97" s="34"/>
      <c r="AS97" s="34"/>
      <c r="AT97" s="34"/>
      <c r="AU97" s="34"/>
      <c r="AV97" s="34"/>
      <c r="AW97"/>
      <c r="AX97"/>
      <c r="AY97"/>
      <c r="AZ97"/>
      <c r="BA97"/>
      <c r="BB97"/>
      <c r="BC97"/>
      <c r="BD97"/>
      <c r="BE97"/>
      <c r="BF97"/>
      <c r="BG97"/>
      <c r="BH97"/>
      <c r="BI97"/>
      <c r="BJ97"/>
      <c r="BK97"/>
      <c r="BL97"/>
      <c r="BM97"/>
      <c r="BN97"/>
      <c r="BO97"/>
      <c r="BP97"/>
      <c r="BQ97"/>
      <c r="BR97"/>
      <c r="BS97"/>
      <c r="BT97"/>
      <c r="BU97"/>
      <c r="BV97"/>
      <c r="BW97"/>
      <c r="BX97"/>
      <c r="BY97"/>
      <c r="BZ97"/>
      <c r="CA97"/>
      <c r="CB97"/>
      <c r="CC97"/>
    </row>
    <row r="98" spans="1:81" ht="15">
      <c r="A98" t="s">
        <v>519</v>
      </c>
      <c r="B98" t="s">
        <v>608</v>
      </c>
      <c r="C98" t="s">
        <v>620</v>
      </c>
      <c r="D98" s="458" t="s">
        <v>621</v>
      </c>
      <c r="E98" s="458">
        <v>1</v>
      </c>
      <c r="F98">
        <v>3625</v>
      </c>
      <c r="G98">
        <v>3625</v>
      </c>
      <c r="H98">
        <v>159</v>
      </c>
      <c r="I98"/>
      <c r="J98">
        <v>57</v>
      </c>
      <c r="K98" s="107"/>
      <c r="L98" s="463">
        <v>57</v>
      </c>
      <c r="M98" s="176">
        <v>1</v>
      </c>
      <c r="N98" s="160">
        <v>0</v>
      </c>
      <c r="O98" s="546" cm="1">
        <f t="array" ref="O9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45999</v>
      </c>
      <c r="P98" s="566" t="s">
        <v>797</v>
      </c>
      <c r="Q98" s="566">
        <v>0</v>
      </c>
      <c r="R98" s="22"/>
      <c r="S98" s="463" cm="1">
        <f t="array" ref="S9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98">
        <v>1</v>
      </c>
      <c r="U98" s="176"/>
      <c r="V9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75.040400000000005</v>
      </c>
      <c r="W98" s="497"/>
      <c r="X98" s="176" t="s">
        <v>852</v>
      </c>
      <c r="Y98" s="547" t="s">
        <v>874</v>
      </c>
      <c r="Z98" s="160" t="s">
        <v>458</v>
      </c>
      <c r="AA98" s="563">
        <v>102600</v>
      </c>
      <c r="AB98" cm="1">
        <f t="array" ref="AB98">ROW()-ROW(Contract_Edits[#Headers])</f>
        <v>74</v>
      </c>
      <c r="AC98">
        <f>IF(Contract_Edits[[#This Row],[RowPos]]&gt;1, Contract_Edits[[#This Row],[RowPos]]-1, 0)</f>
        <v>73</v>
      </c>
      <c r="AD98" s="35">
        <f>IF(N(Contract_Edits[[#This Row],[Dep]])=0, N(Contract_Edits[[#This Row],[Index]]), N(Contract_Edits[[#This Row],[Dep]]))</f>
        <v>159</v>
      </c>
      <c r="AE98" s="35" cm="1">
        <f t="array" ref="AE98">IF(OR(Contract_Edits[[#This Row],[Dep]]=0, TRIM(Contract_Edits[[#This Row],[Dep]])=""),
   0,
   IFERROR(
      _xlfn.XLOOKUP(1, (Contract_Edits[Dep]=Contract_Edits[[#This Row],[Dep]])*(Contract_Edits[RowPos]&lt;Contract_Edits[[#This Row],[RowPos]]), Contract_Edits[RowPos], , 0, -1),
      0
   )
)</f>
        <v>73</v>
      </c>
      <c r="AF98" s="35">
        <f>IF(OR(Contract_Edits[[#This Row],[Dep]]=0,Contract_Edits[[#This Row],[Dep]]=""),0,
   COUNTIFS(Contract_Edits[Dep],Contract_Edits[[#This Row],[Dep]],Contract_Edits[RowPos],"&lt;="&amp;Contract_Edits[[#This Row],[RowPos]],Contract_Edits[Approve],"Yes")
)</f>
        <v>4</v>
      </c>
      <c r="AG98" s="517">
        <f>--(
  ISNUMBER(SEARCH("BASE PARENT", UPPER(CLEAN(TRIM(_xlfn.XLOOKUP(TEXT(Contract_Edits[[#This Row],[Index]],"0"), baseIdxTxt, baseCost, "")))))) +
  ISNUMBER(SEARCH("DEPENDENCY GROUP", UPPER(CLEAN(TRIM(_xlfn.XLOOKUP(TEXT(Contract_Edits[[#This Row],[Index]],"0"), baseIdxTxt, baseCost, ""))))))
)</f>
        <v>0</v>
      </c>
      <c r="AH98" s="517" t="str" cm="1">
        <f t="array" ref="AH98">IF(Contract_Edits[[#This Row],[BaseFlag]]=1,
   10*BaseDepthL(TEXT(Contract_Edits[[#This Row],[Index]],"0"),500,editsIdxTxt,editsParentKeyTxt,baseIdxTxt,baseCost)-5,
   ""
)</f>
        <v/>
      </c>
      <c r="AI98" s="517" cm="1">
        <f t="array" ref="AI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8" s="517" t="str">
        <f>IF(Contract_Edits[[#This Row],[Dep]]=0,"Root",
   IF(ISNUMBER(MATCH(Contract_Edits[[#This Row],[Dep]],Contract_Edits[Index],0)),"OK","Missing")
)</f>
        <v>OK</v>
      </c>
      <c r="AK98" s="517" t="str">
        <f>IF(AND(Contract_Edits[[#This Row],[Dep]]&lt;&gt;0,
        ISNUMBER(MATCH(Contract_Edits[[#This Row],[Dep]], Contract_Edits[Index], 0)),
        INDEX(Contract_Edits[Dep], MATCH(Contract_Edits[[#This Row],[Dep]], Contract_Edits[Index], 0))=Contract_Edits[[#This Row],[Index]]),
   "2-cycle","")</f>
        <v/>
      </c>
      <c r="AL98" s="517" cm="1">
        <f t="array" ref="AL98">IF(Contract_Edits[[#This Row],[BaseFlag]]&lt;&gt;1,0,
   IF(TEXT(Contract_Edits[[#This Row],[Dep]],"0")=TEXT(Contract_Edits[[#This Row],[Index]],"0"),
      0,
      MAX(0, SUMPRODUCT(--(Contract_Edits[BaseFlag]=1),
                        --(TEXT(Contract_Edits[Dep],"0")=TEXT(Contract_Edits[[#This Row],[Dep]],"0"))) - 1)
   )
)</f>
        <v>0</v>
      </c>
      <c r="AM98" s="517" t="str" cm="1">
        <f t="array" ref="AM98">IF(Contract_Edits[[#This Row],[BaseFlag]]=1,
   TEXT(Contract_Edits[[#This Row],[Index]],"0"),
   NearestBaseL(TEXT(Contract_Edits[[#This Row],[ParentKey]],"0"),500,editsIdxTxt,editsParentKeyTxt,baseIdxTxt,baseCost)
)</f>
        <v>159</v>
      </c>
      <c r="AN98" s="517" cm="1">
        <f t="array" ref="AN98">1+SUMPRODUCT(
  (Contract_Edits[BaseFlag]=1)*
  (TEXT(Contract_Edits[ParentAnchor],"0")=TEXT(Contract_Edits[[#This Row],[ParentAnchor]],"0"))*
  (VALUE(TEXT(Contract_Edits[Index],"0"))&lt;VALUE(TEXT(Contract_Edits[[#This Row],[Index]],"0")))
)</f>
        <v>1</v>
      </c>
      <c r="AO98" s="35"/>
      <c r="AP98" s="35" t="str">
        <f ca="1">IFERROR(+IF(AP$24=#REF!,Milestone_Marker,IF(AND(AP$24&gt;#REF!,AP$24&lt;#REF!+#REF!),#REF!,"")),"")</f>
        <v/>
      </c>
      <c r="AQ98" s="35" t="str">
        <f ca="1">IFERROR(+IF(AQ$24=#REF!,Milestone_Marker,IF(AND(AQ$24&gt;#REF!,AQ$24&lt;#REF!+#REF!),#REF!,"")),"")</f>
        <v/>
      </c>
      <c r="AR98" s="34"/>
      <c r="AS98" s="34"/>
      <c r="AT98" s="34"/>
      <c r="AU98" s="34"/>
      <c r="AV98" s="34"/>
      <c r="AW98"/>
      <c r="AX98"/>
      <c r="AY98"/>
      <c r="AZ98"/>
      <c r="BA98"/>
      <c r="BB98"/>
      <c r="BC98"/>
      <c r="BD98"/>
      <c r="BE98"/>
      <c r="BF98"/>
      <c r="BG98"/>
      <c r="BH98"/>
      <c r="BI98"/>
      <c r="BJ98"/>
      <c r="BK98"/>
      <c r="BL98"/>
      <c r="BM98"/>
      <c r="BN98"/>
      <c r="BO98"/>
      <c r="BP98"/>
      <c r="BQ98"/>
      <c r="BR98"/>
      <c r="BS98"/>
      <c r="BT98"/>
      <c r="BU98"/>
      <c r="BV98"/>
      <c r="BW98"/>
      <c r="BX98"/>
      <c r="BY98"/>
      <c r="BZ98"/>
      <c r="CA98"/>
      <c r="CB98"/>
      <c r="CC98"/>
    </row>
    <row r="99" spans="1:81" ht="15">
      <c r="A99" t="s">
        <v>519</v>
      </c>
      <c r="B99" t="s">
        <v>523</v>
      </c>
      <c r="C99" t="s">
        <v>620</v>
      </c>
      <c r="D99" s="458" t="s">
        <v>739</v>
      </c>
      <c r="E99" s="458">
        <v>0</v>
      </c>
      <c r="F99"/>
      <c r="G99"/>
      <c r="H99">
        <v>159</v>
      </c>
      <c r="I99"/>
      <c r="J99">
        <v>145</v>
      </c>
      <c r="K99" s="107"/>
      <c r="L99" s="463">
        <v>145</v>
      </c>
      <c r="M99" s="176">
        <v>1</v>
      </c>
      <c r="N99" s="160">
        <v>0</v>
      </c>
      <c r="O99" s="546" cm="1">
        <f t="array" ref="O9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46000</v>
      </c>
      <c r="P99" s="566" t="s">
        <v>797</v>
      </c>
      <c r="Q99" s="566">
        <v>0</v>
      </c>
      <c r="R99" s="22"/>
      <c r="S99" s="463" cm="1">
        <f t="array" ref="S9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99">
        <v>1</v>
      </c>
      <c r="U99" s="176"/>
      <c r="V9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75.040500000000009</v>
      </c>
      <c r="W99" s="497"/>
      <c r="X99" s="176" t="s">
        <v>875</v>
      </c>
      <c r="Y99" s="547" t="s">
        <v>874</v>
      </c>
      <c r="Z99" s="160" t="s">
        <v>458</v>
      </c>
      <c r="AA99" s="563">
        <v>102600</v>
      </c>
      <c r="AB99" cm="1">
        <f t="array" ref="AB99">ROW()-ROW(Contract_Edits[#Headers])</f>
        <v>75</v>
      </c>
      <c r="AC99">
        <f>IF(Contract_Edits[[#This Row],[RowPos]]&gt;1, Contract_Edits[[#This Row],[RowPos]]-1, 0)</f>
        <v>74</v>
      </c>
      <c r="AD99" s="35">
        <f>IF(N(Contract_Edits[[#This Row],[Dep]])=0, N(Contract_Edits[[#This Row],[Index]]), N(Contract_Edits[[#This Row],[Dep]]))</f>
        <v>159</v>
      </c>
      <c r="AE99" s="35" cm="1">
        <f t="array" ref="AE99">IF(OR(Contract_Edits[[#This Row],[Dep]]=0, TRIM(Contract_Edits[[#This Row],[Dep]])=""),
   0,
   IFERROR(
      _xlfn.XLOOKUP(1, (Contract_Edits[Dep]=Contract_Edits[[#This Row],[Dep]])*(Contract_Edits[RowPos]&lt;Contract_Edits[[#This Row],[RowPos]]), Contract_Edits[RowPos], , 0, -1),
      0
   )
)</f>
        <v>74</v>
      </c>
      <c r="AF99" s="35">
        <f>IF(OR(Contract_Edits[[#This Row],[Dep]]=0,Contract_Edits[[#This Row],[Dep]]=""),0,
   COUNTIFS(Contract_Edits[Dep],Contract_Edits[[#This Row],[Dep]],Contract_Edits[RowPos],"&lt;="&amp;Contract_Edits[[#This Row],[RowPos]],Contract_Edits[Approve],"Yes")
)</f>
        <v>5</v>
      </c>
      <c r="AG99" s="517">
        <f>--(
  ISNUMBER(SEARCH("BASE PARENT", UPPER(CLEAN(TRIM(_xlfn.XLOOKUP(TEXT(Contract_Edits[[#This Row],[Index]],"0"), baseIdxTxt, baseCost, "")))))) +
  ISNUMBER(SEARCH("DEPENDENCY GROUP", UPPER(CLEAN(TRIM(_xlfn.XLOOKUP(TEXT(Contract_Edits[[#This Row],[Index]],"0"), baseIdxTxt, baseCost, ""))))))
)</f>
        <v>0</v>
      </c>
      <c r="AH99" s="517" t="str" cm="1">
        <f t="array" ref="AH99">IF(Contract_Edits[[#This Row],[BaseFlag]]=1,
   10*BaseDepthL(TEXT(Contract_Edits[[#This Row],[Index]],"0"),500,editsIdxTxt,editsParentKeyTxt,baseIdxTxt,baseCost)-5,
   ""
)</f>
        <v/>
      </c>
      <c r="AI99" s="517" cm="1">
        <f t="array" ref="AI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9" s="517" t="str">
        <f>IF(Contract_Edits[[#This Row],[Dep]]=0,"Root",
   IF(ISNUMBER(MATCH(Contract_Edits[[#This Row],[Dep]],Contract_Edits[Index],0)),"OK","Missing")
)</f>
        <v>OK</v>
      </c>
      <c r="AK99" s="517" t="str">
        <f>IF(AND(Contract_Edits[[#This Row],[Dep]]&lt;&gt;0,
        ISNUMBER(MATCH(Contract_Edits[[#This Row],[Dep]], Contract_Edits[Index], 0)),
        INDEX(Contract_Edits[Dep], MATCH(Contract_Edits[[#This Row],[Dep]], Contract_Edits[Index], 0))=Contract_Edits[[#This Row],[Index]]),
   "2-cycle","")</f>
        <v/>
      </c>
      <c r="AL99" s="517" cm="1">
        <f t="array" ref="AL99">IF(Contract_Edits[[#This Row],[BaseFlag]]&lt;&gt;1,0,
   IF(TEXT(Contract_Edits[[#This Row],[Dep]],"0")=TEXT(Contract_Edits[[#This Row],[Index]],"0"),
      0,
      MAX(0, SUMPRODUCT(--(Contract_Edits[BaseFlag]=1),
                        --(TEXT(Contract_Edits[Dep],"0")=TEXT(Contract_Edits[[#This Row],[Dep]],"0"))) - 1)
   )
)</f>
        <v>0</v>
      </c>
      <c r="AM99" s="517" t="str" cm="1">
        <f t="array" ref="AM99">IF(Contract_Edits[[#This Row],[BaseFlag]]=1,
   TEXT(Contract_Edits[[#This Row],[Index]],"0"),
   NearestBaseL(TEXT(Contract_Edits[[#This Row],[ParentKey]],"0"),500,editsIdxTxt,editsParentKeyTxt,baseIdxTxt,baseCost)
)</f>
        <v>159</v>
      </c>
      <c r="AN99" s="517" cm="1">
        <f t="array" ref="AN99">1+SUMPRODUCT(
  (Contract_Edits[BaseFlag]=1)*
  (TEXT(Contract_Edits[ParentAnchor],"0")=TEXT(Contract_Edits[[#This Row],[ParentAnchor]],"0"))*
  (VALUE(TEXT(Contract_Edits[Index],"0"))&lt;VALUE(TEXT(Contract_Edits[[#This Row],[Index]],"0")))
)</f>
        <v>1</v>
      </c>
      <c r="AO99" s="35"/>
      <c r="AP99" s="35" t="str">
        <f ca="1">IFERROR(+IF(AP$24=#REF!,Milestone_Marker,IF(AND(AP$24&gt;#REF!,AP$24&lt;#REF!+#REF!),#REF!,"")),"")</f>
        <v/>
      </c>
      <c r="AQ99" s="35" t="str">
        <f ca="1">IFERROR(+IF(AQ$24=#REF!,Milestone_Marker,IF(AND(AQ$24&gt;#REF!,AQ$24&lt;#REF!+#REF!),#REF!,"")),"")</f>
        <v/>
      </c>
      <c r="AR99" s="34"/>
      <c r="AS99" s="34"/>
      <c r="AT99" s="34"/>
      <c r="AU99" s="34"/>
      <c r="AV99" s="34"/>
      <c r="AW99"/>
      <c r="AX99"/>
      <c r="AY99"/>
      <c r="AZ99"/>
      <c r="BA99"/>
      <c r="BB99"/>
      <c r="BC99"/>
      <c r="BD99"/>
      <c r="BE99"/>
      <c r="BF99"/>
      <c r="BG99"/>
      <c r="BH99"/>
      <c r="BI99"/>
      <c r="BJ99"/>
      <c r="BK99"/>
      <c r="BL99"/>
      <c r="BM99"/>
      <c r="BN99"/>
      <c r="BO99"/>
      <c r="BP99"/>
      <c r="BQ99"/>
      <c r="BR99"/>
      <c r="BS99"/>
      <c r="BT99"/>
      <c r="BU99"/>
      <c r="BV99"/>
      <c r="BW99"/>
      <c r="BX99"/>
      <c r="BY99"/>
      <c r="BZ99"/>
      <c r="CA99"/>
      <c r="CB99"/>
      <c r="CC99"/>
    </row>
    <row r="100" spans="1:81" ht="15">
      <c r="A100" t="s">
        <v>519</v>
      </c>
      <c r="B100" t="s">
        <v>555</v>
      </c>
      <c r="C100" t="s">
        <v>527</v>
      </c>
      <c r="D100" s="458" t="s">
        <v>572</v>
      </c>
      <c r="E100" s="458">
        <v>1</v>
      </c>
      <c r="F100">
        <v>725</v>
      </c>
      <c r="G100">
        <v>725</v>
      </c>
      <c r="H100">
        <v>159</v>
      </c>
      <c r="I100"/>
      <c r="J100">
        <v>28</v>
      </c>
      <c r="K100" s="107"/>
      <c r="L100" s="463">
        <v>28</v>
      </c>
      <c r="M100" s="176">
        <v>1</v>
      </c>
      <c r="N100" s="160">
        <v>0</v>
      </c>
      <c r="O100" s="546" cm="1">
        <f t="array" ref="O10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46001</v>
      </c>
      <c r="P100" s="566" t="s">
        <v>797</v>
      </c>
      <c r="Q100" s="566">
        <v>0</v>
      </c>
      <c r="R100" s="22"/>
      <c r="S100" s="463" cm="1">
        <f t="array" ref="S10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100">
        <v>1</v>
      </c>
      <c r="U100" s="176"/>
      <c r="V10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75.040600000000012</v>
      </c>
      <c r="W100" s="497"/>
      <c r="X100" s="176" t="s">
        <v>852</v>
      </c>
      <c r="Y100" s="547" t="s">
        <v>874</v>
      </c>
      <c r="Z100" s="160" t="s">
        <v>458</v>
      </c>
      <c r="AA100" s="563">
        <v>102600</v>
      </c>
      <c r="AB100" cm="1">
        <f t="array" ref="AB100">ROW()-ROW(Contract_Edits[#Headers])</f>
        <v>76</v>
      </c>
      <c r="AC100">
        <f>IF(Contract_Edits[[#This Row],[RowPos]]&gt;1, Contract_Edits[[#This Row],[RowPos]]-1, 0)</f>
        <v>75</v>
      </c>
      <c r="AD100" s="35">
        <f>IF(N(Contract_Edits[[#This Row],[Dep]])=0, N(Contract_Edits[[#This Row],[Index]]), N(Contract_Edits[[#This Row],[Dep]]))</f>
        <v>159</v>
      </c>
      <c r="AE100" s="35" cm="1">
        <f t="array" ref="AE100">IF(OR(Contract_Edits[[#This Row],[Dep]]=0, TRIM(Contract_Edits[[#This Row],[Dep]])=""),
   0,
   IFERROR(
      _xlfn.XLOOKUP(1, (Contract_Edits[Dep]=Contract_Edits[[#This Row],[Dep]])*(Contract_Edits[RowPos]&lt;Contract_Edits[[#This Row],[RowPos]]), Contract_Edits[RowPos], , 0, -1),
      0
   )
)</f>
        <v>75</v>
      </c>
      <c r="AF100" s="35">
        <f>IF(OR(Contract_Edits[[#This Row],[Dep]]=0,Contract_Edits[[#This Row],[Dep]]=""),0,
   COUNTIFS(Contract_Edits[Dep],Contract_Edits[[#This Row],[Dep]],Contract_Edits[RowPos],"&lt;="&amp;Contract_Edits[[#This Row],[RowPos]],Contract_Edits[Approve],"Yes")
)</f>
        <v>6</v>
      </c>
      <c r="AG100" s="517">
        <f>--(
  ISNUMBER(SEARCH("BASE PARENT", UPPER(CLEAN(TRIM(_xlfn.XLOOKUP(TEXT(Contract_Edits[[#This Row],[Index]],"0"), baseIdxTxt, baseCost, "")))))) +
  ISNUMBER(SEARCH("DEPENDENCY GROUP", UPPER(CLEAN(TRIM(_xlfn.XLOOKUP(TEXT(Contract_Edits[[#This Row],[Index]],"0"), baseIdxTxt, baseCost, ""))))))
)</f>
        <v>0</v>
      </c>
      <c r="AH100" s="517" t="str" cm="1">
        <f t="array" ref="AH100">IF(Contract_Edits[[#This Row],[BaseFlag]]=1,
   10*BaseDepthL(TEXT(Contract_Edits[[#This Row],[Index]],"0"),500,editsIdxTxt,editsParentKeyTxt,baseIdxTxt,baseCost)-5,
   ""
)</f>
        <v/>
      </c>
      <c r="AI100" s="517" cm="1">
        <f t="array" ref="AI1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100" s="517" t="str">
        <f>IF(Contract_Edits[[#This Row],[Dep]]=0,"Root",
   IF(ISNUMBER(MATCH(Contract_Edits[[#This Row],[Dep]],Contract_Edits[Index],0)),"OK","Missing")
)</f>
        <v>OK</v>
      </c>
      <c r="AK100" s="517" t="str">
        <f>IF(AND(Contract_Edits[[#This Row],[Dep]]&lt;&gt;0,
        ISNUMBER(MATCH(Contract_Edits[[#This Row],[Dep]], Contract_Edits[Index], 0)),
        INDEX(Contract_Edits[Dep], MATCH(Contract_Edits[[#This Row],[Dep]], Contract_Edits[Index], 0))=Contract_Edits[[#This Row],[Index]]),
   "2-cycle","")</f>
        <v/>
      </c>
      <c r="AL100" s="517" cm="1">
        <f t="array" ref="AL100">IF(Contract_Edits[[#This Row],[BaseFlag]]&lt;&gt;1,0,
   IF(TEXT(Contract_Edits[[#This Row],[Dep]],"0")=TEXT(Contract_Edits[[#This Row],[Index]],"0"),
      0,
      MAX(0, SUMPRODUCT(--(Contract_Edits[BaseFlag]=1),
                        --(TEXT(Contract_Edits[Dep],"0")=TEXT(Contract_Edits[[#This Row],[Dep]],"0"))) - 1)
   )
)</f>
        <v>0</v>
      </c>
      <c r="AM100" s="517" t="str" cm="1">
        <f t="array" ref="AM100">IF(Contract_Edits[[#This Row],[BaseFlag]]=1,
   TEXT(Contract_Edits[[#This Row],[Index]],"0"),
   NearestBaseL(TEXT(Contract_Edits[[#This Row],[ParentKey]],"0"),500,editsIdxTxt,editsParentKeyTxt,baseIdxTxt,baseCost)
)</f>
        <v>159</v>
      </c>
      <c r="AN100" s="517" cm="1">
        <f t="array" ref="AN100">1+SUMPRODUCT(
  (Contract_Edits[BaseFlag]=1)*
  (TEXT(Contract_Edits[ParentAnchor],"0")=TEXT(Contract_Edits[[#This Row],[ParentAnchor]],"0"))*
  (VALUE(TEXT(Contract_Edits[Index],"0"))&lt;VALUE(TEXT(Contract_Edits[[#This Row],[Index]],"0")))
)</f>
        <v>1</v>
      </c>
      <c r="AO100" s="35"/>
      <c r="AP100" s="35" t="str">
        <f ca="1">IFERROR(+IF(AP$24=#REF!,Milestone_Marker,IF(AND(AP$24&gt;#REF!,AP$24&lt;#REF!+#REF!),#REF!,"")),"")</f>
        <v/>
      </c>
      <c r="AQ100" s="35" t="str">
        <f ca="1">IFERROR(+IF(AQ$24=#REF!,Milestone_Marker,IF(AND(AQ$24&gt;#REF!,AQ$24&lt;#REF!+#REF!),#REF!,"")),"")</f>
        <v/>
      </c>
      <c r="AR100" s="34"/>
      <c r="AS100" s="34"/>
      <c r="AT100" s="34"/>
      <c r="AU100" s="34"/>
      <c r="AV100" s="34"/>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row>
    <row r="101" spans="1:81" ht="15">
      <c r="A101" t="s">
        <v>747</v>
      </c>
      <c r="B101" t="s">
        <v>744</v>
      </c>
      <c r="C101" t="s">
        <v>656</v>
      </c>
      <c r="D101" s="458" t="s">
        <v>757</v>
      </c>
      <c r="E101" s="458">
        <v>0</v>
      </c>
      <c r="F101"/>
      <c r="G101"/>
      <c r="H101">
        <v>159</v>
      </c>
      <c r="I101"/>
      <c r="J101">
        <v>160</v>
      </c>
      <c r="K101" s="107"/>
      <c r="L101" s="463">
        <v>160</v>
      </c>
      <c r="M101" s="490"/>
      <c r="N101" s="160">
        <v>0</v>
      </c>
      <c r="O101" s="546" cm="1">
        <f t="array" ref="O10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46002</v>
      </c>
      <c r="P101" s="567"/>
      <c r="Q101" s="567"/>
      <c r="R101" s="499"/>
      <c r="S101" s="463" cm="1">
        <f t="array" ref="S10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101" s="34">
        <v>1</v>
      </c>
      <c r="U101" s="490"/>
      <c r="V10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85.01</v>
      </c>
      <c r="W101" s="557"/>
      <c r="X101" s="545"/>
      <c r="Y101" s="548"/>
      <c r="Z101" s="535" t="s">
        <v>458</v>
      </c>
      <c r="AA101" s="544"/>
      <c r="AB101" cm="1">
        <f t="array" ref="AB101">ROW()-ROW(Contract_Edits[#Headers])</f>
        <v>77</v>
      </c>
      <c r="AC101">
        <f>IF(Contract_Edits[[#This Row],[RowPos]]&gt;1, Contract_Edits[[#This Row],[RowPos]]-1, 0)</f>
        <v>76</v>
      </c>
      <c r="AD101" s="35">
        <f>IF(N(Contract_Edits[[#This Row],[Dep]])=0, N(Contract_Edits[[#This Row],[Index]]), N(Contract_Edits[[#This Row],[Dep]]))</f>
        <v>159</v>
      </c>
      <c r="AE101" s="35" cm="1">
        <f t="array" ref="AE101">IF(OR(Contract_Edits[[#This Row],[Dep]]=0, TRIM(Contract_Edits[[#This Row],[Dep]])=""),
   0,
   IFERROR(
      _xlfn.XLOOKUP(1, (Contract_Edits[Dep]=Contract_Edits[[#This Row],[Dep]])*(Contract_Edits[RowPos]&lt;Contract_Edits[[#This Row],[RowPos]]), Contract_Edits[RowPos], , 0, -1),
      0
   )
)</f>
        <v>76</v>
      </c>
      <c r="AF101" s="35">
        <f>IF(OR(Contract_Edits[[#This Row],[Dep]]=0,Contract_Edits[[#This Row],[Dep]]=""),0,
   COUNTIFS(Contract_Edits[Dep],Contract_Edits[[#This Row],[Dep]],Contract_Edits[RowPos],"&lt;="&amp;Contract_Edits[[#This Row],[RowPos]],Contract_Edits[Approve],"Yes")
)</f>
        <v>7</v>
      </c>
      <c r="AG101" s="517">
        <f>--(
  ISNUMBER(SEARCH("BASE PARENT", UPPER(CLEAN(TRIM(_xlfn.XLOOKUP(TEXT(Contract_Edits[[#This Row],[Index]],"0"), baseIdxTxt, baseCost, "")))))) +
  ISNUMBER(SEARCH("DEPENDENCY GROUP", UPPER(CLEAN(TRIM(_xlfn.XLOOKUP(TEXT(Contract_Edits[[#This Row],[Index]],"0"), baseIdxTxt, baseCost, ""))))))
)</f>
        <v>1</v>
      </c>
      <c r="AH101" s="517" cm="1">
        <f t="array" ref="AH101">IF(Contract_Edits[[#This Row],[BaseFlag]]=1,
   10*BaseDepthL(TEXT(Contract_Edits[[#This Row],[Index]],"0"),500,editsIdxTxt,editsParentKeyTxt,baseIdxTxt,baseCost)-5,
   ""
)</f>
        <v>85</v>
      </c>
      <c r="AI101" s="517" cm="1">
        <f t="array" ref="AI1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101" s="517" t="str">
        <f>IF(Contract_Edits[[#This Row],[Dep]]=0,"Root",
   IF(ISNUMBER(MATCH(Contract_Edits[[#This Row],[Dep]],Contract_Edits[Index],0)),"OK","Missing")
)</f>
        <v>OK</v>
      </c>
      <c r="AK101" s="517" t="str">
        <f>IF(AND(Contract_Edits[[#This Row],[Dep]]&lt;&gt;0,
        ISNUMBER(MATCH(Contract_Edits[[#This Row],[Dep]], Contract_Edits[Index], 0)),
        INDEX(Contract_Edits[Dep], MATCH(Contract_Edits[[#This Row],[Dep]], Contract_Edits[Index], 0))=Contract_Edits[[#This Row],[Index]]),
   "2-cycle","")</f>
        <v/>
      </c>
      <c r="AL101" s="517" cm="1">
        <f t="array" ref="AL101">IF(Contract_Edits[[#This Row],[BaseFlag]]&lt;&gt;1,0,
   IF(TEXT(Contract_Edits[[#This Row],[Dep]],"0")=TEXT(Contract_Edits[[#This Row],[Index]],"0"),
      0,
      MAX(0, SUMPRODUCT(--(Contract_Edits[BaseFlag]=1),
                        --(TEXT(Contract_Edits[Dep],"0")=TEXT(Contract_Edits[[#This Row],[Dep]],"0"))) - 1)
   )
)</f>
        <v>0</v>
      </c>
      <c r="AM101" s="517" t="str" cm="1">
        <f t="array" ref="AM101">IF(Contract_Edits[[#This Row],[BaseFlag]]=1,
   TEXT(Contract_Edits[[#This Row],[Index]],"0"),
   NearestBaseL(TEXT(Contract_Edits[[#This Row],[ParentKey]],"0"),500,editsIdxTxt,editsParentKeyTxt,baseIdxTxt,baseCost)
)</f>
        <v>160</v>
      </c>
      <c r="AN101" s="517" cm="1">
        <f t="array" ref="AN101">1+SUMPRODUCT(
  (Contract_Edits[BaseFlag]=1)*
  (TEXT(Contract_Edits[ParentAnchor],"0")=TEXT(Contract_Edits[[#This Row],[ParentAnchor]],"0"))*
  (VALUE(TEXT(Contract_Edits[Index],"0"))&lt;VALUE(TEXT(Contract_Edits[[#This Row],[Index]],"0")))
)</f>
        <v>1</v>
      </c>
      <c r="AO101" s="35"/>
      <c r="AP101" s="35" t="str">
        <f ca="1">IFERROR(+IF(AP$24=#REF!,Milestone_Marker,IF(AND(AP$24&gt;#REF!,AP$24&lt;#REF!+#REF!),#REF!,"")),"")</f>
        <v/>
      </c>
      <c r="AQ101" s="35" t="str">
        <f ca="1">IFERROR(+IF(AQ$24=#REF!,Milestone_Marker,IF(AND(AQ$24&gt;#REF!,AQ$24&lt;#REF!+#REF!),#REF!,"")),"")</f>
        <v/>
      </c>
      <c r="AR101" s="34"/>
      <c r="AS101" s="34"/>
      <c r="AT101" s="34"/>
      <c r="AU101" s="34"/>
      <c r="AV101" s="34"/>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row>
    <row r="102" spans="1:81" ht="15">
      <c r="A102" t="s">
        <v>552</v>
      </c>
      <c r="B102" t="s">
        <v>639</v>
      </c>
      <c r="C102" t="s">
        <v>656</v>
      </c>
      <c r="D102" s="458" t="s">
        <v>657</v>
      </c>
      <c r="E102" s="458">
        <v>1</v>
      </c>
      <c r="F102">
        <v>312.5</v>
      </c>
      <c r="G102">
        <v>312.5</v>
      </c>
      <c r="H102">
        <v>160</v>
      </c>
      <c r="I102"/>
      <c r="J102">
        <v>83</v>
      </c>
      <c r="K102" s="107"/>
      <c r="L102" s="463">
        <v>83</v>
      </c>
      <c r="M102" s="176">
        <v>1</v>
      </c>
      <c r="N102" s="160">
        <v>0</v>
      </c>
      <c r="O102" s="546" cm="1">
        <f t="array" ref="O10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46002</v>
      </c>
      <c r="P102" s="566" t="s">
        <v>797</v>
      </c>
      <c r="Q102" s="566">
        <v>0</v>
      </c>
      <c r="R102" s="22"/>
      <c r="S102" s="463" cm="1">
        <f t="array" ref="S10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160</v>
      </c>
      <c r="T102">
        <v>1</v>
      </c>
      <c r="U102" s="176"/>
      <c r="V10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85.010100000000008</v>
      </c>
      <c r="W102" s="497"/>
      <c r="X102" s="176" t="s">
        <v>877</v>
      </c>
      <c r="Y102" s="547" t="s">
        <v>876</v>
      </c>
      <c r="Z102" s="160" t="s">
        <v>458</v>
      </c>
      <c r="AA102" s="563">
        <v>103500</v>
      </c>
      <c r="AB102" cm="1">
        <f t="array" ref="AB102">ROW()-ROW(Contract_Edits[#Headers])</f>
        <v>78</v>
      </c>
      <c r="AC102">
        <f>IF(Contract_Edits[[#This Row],[RowPos]]&gt;1, Contract_Edits[[#This Row],[RowPos]]-1, 0)</f>
        <v>77</v>
      </c>
      <c r="AD102" s="35">
        <f>IF(N(Contract_Edits[[#This Row],[Dep]])=0, N(Contract_Edits[[#This Row],[Index]]), N(Contract_Edits[[#This Row],[Dep]]))</f>
        <v>160</v>
      </c>
      <c r="AE102" s="35" cm="1">
        <f t="array" ref="AE102">IF(OR(Contract_Edits[[#This Row],[Dep]]=0, TRIM(Contract_Edits[[#This Row],[Dep]])=""),
   0,
   IFERROR(
      _xlfn.XLOOKUP(1, (Contract_Edits[Dep]=Contract_Edits[[#This Row],[Dep]])*(Contract_Edits[RowPos]&lt;Contract_Edits[[#This Row],[RowPos]]), Contract_Edits[RowPos], , 0, -1),
      0
   )
)</f>
        <v>0</v>
      </c>
      <c r="AF102" s="35">
        <f>IF(OR(Contract_Edits[[#This Row],[Dep]]=0,Contract_Edits[[#This Row],[Dep]]=""),0,
   COUNTIFS(Contract_Edits[Dep],Contract_Edits[[#This Row],[Dep]],Contract_Edits[RowPos],"&lt;="&amp;Contract_Edits[[#This Row],[RowPos]],Contract_Edits[Approve],"Yes")
)</f>
        <v>1</v>
      </c>
      <c r="AG102" s="517">
        <f>--(
  ISNUMBER(SEARCH("BASE PARENT", UPPER(CLEAN(TRIM(_xlfn.XLOOKUP(TEXT(Contract_Edits[[#This Row],[Index]],"0"), baseIdxTxt, baseCost, "")))))) +
  ISNUMBER(SEARCH("DEPENDENCY GROUP", UPPER(CLEAN(TRIM(_xlfn.XLOOKUP(TEXT(Contract_Edits[[#This Row],[Index]],"0"), baseIdxTxt, baseCost, ""))))))
)</f>
        <v>0</v>
      </c>
      <c r="AH102" s="517" t="str" cm="1">
        <f t="array" ref="AH102">IF(Contract_Edits[[#This Row],[BaseFlag]]=1,
   10*BaseDepthL(TEXT(Contract_Edits[[#This Row],[Index]],"0"),500,editsIdxTxt,editsParentKeyTxt,baseIdxTxt,baseCost)-5,
   ""
)</f>
        <v/>
      </c>
      <c r="AI102" s="517" cm="1">
        <f t="array" ref="AI1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2" s="517" t="str">
        <f>IF(Contract_Edits[[#This Row],[Dep]]=0,"Root",
   IF(ISNUMBER(MATCH(Contract_Edits[[#This Row],[Dep]],Contract_Edits[Index],0)),"OK","Missing")
)</f>
        <v>OK</v>
      </c>
      <c r="AK102" s="517" t="str">
        <f>IF(AND(Contract_Edits[[#This Row],[Dep]]&lt;&gt;0,
        ISNUMBER(MATCH(Contract_Edits[[#This Row],[Dep]], Contract_Edits[Index], 0)),
        INDEX(Contract_Edits[Dep], MATCH(Contract_Edits[[#This Row],[Dep]], Contract_Edits[Index], 0))=Contract_Edits[[#This Row],[Index]]),
   "2-cycle","")</f>
        <v/>
      </c>
      <c r="AL102" s="517" cm="1">
        <f t="array" ref="AL102">IF(Contract_Edits[[#This Row],[BaseFlag]]&lt;&gt;1,0,
   IF(TEXT(Contract_Edits[[#This Row],[Dep]],"0")=TEXT(Contract_Edits[[#This Row],[Index]],"0"),
      0,
      MAX(0, SUMPRODUCT(--(Contract_Edits[BaseFlag]=1),
                        --(TEXT(Contract_Edits[Dep],"0")=TEXT(Contract_Edits[[#This Row],[Dep]],"0"))) - 1)
   )
)</f>
        <v>0</v>
      </c>
      <c r="AM102" s="517" t="str" cm="1">
        <f t="array" ref="AM102">IF(Contract_Edits[[#This Row],[BaseFlag]]=1,
   TEXT(Contract_Edits[[#This Row],[Index]],"0"),
   NearestBaseL(TEXT(Contract_Edits[[#This Row],[ParentKey]],"0"),500,editsIdxTxt,editsParentKeyTxt,baseIdxTxt,baseCost)
)</f>
        <v>160</v>
      </c>
      <c r="AN102" s="517" cm="1">
        <f t="array" ref="AN102">1+SUMPRODUCT(
  (Contract_Edits[BaseFlag]=1)*
  (TEXT(Contract_Edits[ParentAnchor],"0")=TEXT(Contract_Edits[[#This Row],[ParentAnchor]],"0"))*
  (VALUE(TEXT(Contract_Edits[Index],"0"))&lt;VALUE(TEXT(Contract_Edits[[#This Row],[Index]],"0")))
)</f>
        <v>1</v>
      </c>
      <c r="AO102" s="35"/>
      <c r="AP102" s="35" t="str">
        <f ca="1">IFERROR(+IF(AP$24=#REF!,Milestone_Marker,IF(AND(AP$24&gt;#REF!,AP$24&lt;#REF!+#REF!),#REF!,"")),"")</f>
        <v/>
      </c>
      <c r="AQ102" s="35" t="str">
        <f ca="1">IFERROR(+IF(AQ$24=#REF!,Milestone_Marker,IF(AND(AQ$24&gt;#REF!,AQ$24&lt;#REF!+#REF!),#REF!,"")),"")</f>
        <v/>
      </c>
      <c r="AR102" s="34"/>
      <c r="AS102" s="34"/>
      <c r="AT102" s="34"/>
      <c r="AU102" s="34"/>
      <c r="AV102" s="34"/>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row>
    <row r="103" spans="1:81" ht="15">
      <c r="A103" t="s">
        <v>519</v>
      </c>
      <c r="B103" t="s">
        <v>521</v>
      </c>
      <c r="C103" t="s">
        <v>656</v>
      </c>
      <c r="D103" s="458" t="s">
        <v>696</v>
      </c>
      <c r="E103" s="458">
        <v>1</v>
      </c>
      <c r="F103">
        <v>870</v>
      </c>
      <c r="G103">
        <v>870</v>
      </c>
      <c r="H103">
        <v>160</v>
      </c>
      <c r="I103"/>
      <c r="J103">
        <v>113</v>
      </c>
      <c r="K103" s="107"/>
      <c r="L103" s="463">
        <v>113</v>
      </c>
      <c r="M103" s="176">
        <v>1</v>
      </c>
      <c r="N103" s="160">
        <v>0</v>
      </c>
      <c r="O103" s="546" cm="1">
        <f t="array" ref="O10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46003</v>
      </c>
      <c r="P103" s="566" t="s">
        <v>797</v>
      </c>
      <c r="Q103" s="566">
        <v>0</v>
      </c>
      <c r="R103" s="22"/>
      <c r="S103" s="463" cm="1">
        <f t="array" ref="S10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160</v>
      </c>
      <c r="T103">
        <v>1</v>
      </c>
      <c r="U103" s="176"/>
      <c r="V10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85.010200000000012</v>
      </c>
      <c r="W103" s="497"/>
      <c r="X103" s="176" t="s">
        <v>878</v>
      </c>
      <c r="Y103" s="547" t="s">
        <v>876</v>
      </c>
      <c r="Z103" s="160" t="s">
        <v>458</v>
      </c>
      <c r="AA103" s="563">
        <v>103500</v>
      </c>
      <c r="AB103" cm="1">
        <f t="array" ref="AB103">ROW()-ROW(Contract_Edits[#Headers])</f>
        <v>79</v>
      </c>
      <c r="AC103">
        <f>IF(Contract_Edits[[#This Row],[RowPos]]&gt;1, Contract_Edits[[#This Row],[RowPos]]-1, 0)</f>
        <v>78</v>
      </c>
      <c r="AD103" s="35">
        <f>IF(N(Contract_Edits[[#This Row],[Dep]])=0, N(Contract_Edits[[#This Row],[Index]]), N(Contract_Edits[[#This Row],[Dep]]))</f>
        <v>160</v>
      </c>
      <c r="AE103" s="35" cm="1">
        <f t="array" ref="AE103">IF(OR(Contract_Edits[[#This Row],[Dep]]=0, TRIM(Contract_Edits[[#This Row],[Dep]])=""),
   0,
   IFERROR(
      _xlfn.XLOOKUP(1, (Contract_Edits[Dep]=Contract_Edits[[#This Row],[Dep]])*(Contract_Edits[RowPos]&lt;Contract_Edits[[#This Row],[RowPos]]), Contract_Edits[RowPos], , 0, -1),
      0
   )
)</f>
        <v>78</v>
      </c>
      <c r="AF103" s="35">
        <f>IF(OR(Contract_Edits[[#This Row],[Dep]]=0,Contract_Edits[[#This Row],[Dep]]=""),0,
   COUNTIFS(Contract_Edits[Dep],Contract_Edits[[#This Row],[Dep]],Contract_Edits[RowPos],"&lt;="&amp;Contract_Edits[[#This Row],[RowPos]],Contract_Edits[Approve],"Yes")
)</f>
        <v>2</v>
      </c>
      <c r="AG103" s="517">
        <f>--(
  ISNUMBER(SEARCH("BASE PARENT", UPPER(CLEAN(TRIM(_xlfn.XLOOKUP(TEXT(Contract_Edits[[#This Row],[Index]],"0"), baseIdxTxt, baseCost, "")))))) +
  ISNUMBER(SEARCH("DEPENDENCY GROUP", UPPER(CLEAN(TRIM(_xlfn.XLOOKUP(TEXT(Contract_Edits[[#This Row],[Index]],"0"), baseIdxTxt, baseCost, ""))))))
)</f>
        <v>0</v>
      </c>
      <c r="AH103" s="517" t="str" cm="1">
        <f t="array" ref="AH103">IF(Contract_Edits[[#This Row],[BaseFlag]]=1,
   10*BaseDepthL(TEXT(Contract_Edits[[#This Row],[Index]],"0"),500,editsIdxTxt,editsParentKeyTxt,baseIdxTxt,baseCost)-5,
   ""
)</f>
        <v/>
      </c>
      <c r="AI103" s="517" cm="1">
        <f t="array" ref="AI1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3" s="517" t="str">
        <f>IF(Contract_Edits[[#This Row],[Dep]]=0,"Root",
   IF(ISNUMBER(MATCH(Contract_Edits[[#This Row],[Dep]],Contract_Edits[Index],0)),"OK","Missing")
)</f>
        <v>OK</v>
      </c>
      <c r="AK103" s="517" t="str">
        <f>IF(AND(Contract_Edits[[#This Row],[Dep]]&lt;&gt;0,
        ISNUMBER(MATCH(Contract_Edits[[#This Row],[Dep]], Contract_Edits[Index], 0)),
        INDEX(Contract_Edits[Dep], MATCH(Contract_Edits[[#This Row],[Dep]], Contract_Edits[Index], 0))=Contract_Edits[[#This Row],[Index]]),
   "2-cycle","")</f>
        <v/>
      </c>
      <c r="AL103" s="517" cm="1">
        <f t="array" ref="AL103">IF(Contract_Edits[[#This Row],[BaseFlag]]&lt;&gt;1,0,
   IF(TEXT(Contract_Edits[[#This Row],[Dep]],"0")=TEXT(Contract_Edits[[#This Row],[Index]],"0"),
      0,
      MAX(0, SUMPRODUCT(--(Contract_Edits[BaseFlag]=1),
                        --(TEXT(Contract_Edits[Dep],"0")=TEXT(Contract_Edits[[#This Row],[Dep]],"0"))) - 1)
   )
)</f>
        <v>0</v>
      </c>
      <c r="AM103" s="517" t="str" cm="1">
        <f t="array" ref="AM103">IF(Contract_Edits[[#This Row],[BaseFlag]]=1,
   TEXT(Contract_Edits[[#This Row],[Index]],"0"),
   NearestBaseL(TEXT(Contract_Edits[[#This Row],[ParentKey]],"0"),500,editsIdxTxt,editsParentKeyTxt,baseIdxTxt,baseCost)
)</f>
        <v>160</v>
      </c>
      <c r="AN103" s="517" cm="1">
        <f t="array" ref="AN103">1+SUMPRODUCT(
  (Contract_Edits[BaseFlag]=1)*
  (TEXT(Contract_Edits[ParentAnchor],"0")=TEXT(Contract_Edits[[#This Row],[ParentAnchor]],"0"))*
  (VALUE(TEXT(Contract_Edits[Index],"0"))&lt;VALUE(TEXT(Contract_Edits[[#This Row],[Index]],"0")))
)</f>
        <v>1</v>
      </c>
      <c r="AO103" s="35"/>
      <c r="AP103" s="35" t="str">
        <f ca="1">IFERROR(+IF(AP$24=#REF!,Milestone_Marker,IF(AND(AP$24&gt;#REF!,AP$24&lt;#REF!+#REF!),#REF!,"")),"")</f>
        <v/>
      </c>
      <c r="AQ103" s="35" t="str">
        <f ca="1">IFERROR(+IF(AQ$24=#REF!,Milestone_Marker,IF(AND(AQ$24&gt;#REF!,AQ$24&lt;#REF!+#REF!),#REF!,"")),"")</f>
        <v/>
      </c>
      <c r="AR103" s="34"/>
      <c r="AS103" s="34"/>
      <c r="AT103" s="34"/>
      <c r="AU103" s="34"/>
      <c r="AV103" s="34"/>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row>
    <row r="104" spans="1:81" ht="15">
      <c r="A104" t="s">
        <v>747</v>
      </c>
      <c r="B104" t="s">
        <v>744</v>
      </c>
      <c r="C104" t="s">
        <v>748</v>
      </c>
      <c r="D104" s="458" t="s">
        <v>749</v>
      </c>
      <c r="E104" s="458">
        <v>0</v>
      </c>
      <c r="F104"/>
      <c r="G104"/>
      <c r="H104">
        <v>150</v>
      </c>
      <c r="I104"/>
      <c r="J104">
        <v>180</v>
      </c>
      <c r="K104" s="107"/>
      <c r="L104" s="463">
        <v>180</v>
      </c>
      <c r="M104" s="490"/>
      <c r="N104" s="160">
        <v>0</v>
      </c>
      <c r="O104" s="546" cm="1">
        <f t="array" ref="O10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46080</v>
      </c>
      <c r="P104" s="567"/>
      <c r="Q104" s="567"/>
      <c r="R104" s="499"/>
      <c r="S104" s="463" cm="1">
        <f t="array" ref="S10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150</v>
      </c>
      <c r="T104" s="34">
        <v>1</v>
      </c>
      <c r="U104" s="490"/>
      <c r="V10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v>
      </c>
      <c r="W104" s="557"/>
      <c r="X104" s="545"/>
      <c r="Y104" s="548"/>
      <c r="Z104" s="160" t="s">
        <v>458</v>
      </c>
      <c r="AA104" s="563"/>
      <c r="AB104" s="34" cm="1">
        <f t="array" ref="AB104">ROW()-ROW(Contract_Edits[#Headers])</f>
        <v>80</v>
      </c>
      <c r="AC104" s="34">
        <f>IF(Contract_Edits[[#This Row],[RowPos]]&gt;1, Contract_Edits[[#This Row],[RowPos]]-1, 0)</f>
        <v>79</v>
      </c>
      <c r="AD104" s="35">
        <f>IF(N(Contract_Edits[[#This Row],[Dep]])=0, N(Contract_Edits[[#This Row],[Index]]), N(Contract_Edits[[#This Row],[Dep]]))</f>
        <v>150</v>
      </c>
      <c r="AE104" s="35" cm="1">
        <f t="array" ref="AE104">IF(OR(Contract_Edits[[#This Row],[Dep]]=0, TRIM(Contract_Edits[[#This Row],[Dep]])=""),
   0,
   IFERROR(
      _xlfn.XLOOKUP(1, (Contract_Edits[Dep]=Contract_Edits[[#This Row],[Dep]])*(Contract_Edits[RowPos]&lt;Contract_Edits[[#This Row],[RowPos]]), Contract_Edits[RowPos], , 0, -1),
      0
   )
)</f>
        <v>52</v>
      </c>
      <c r="AF104" s="35">
        <f>IF(OR(Contract_Edits[[#This Row],[Dep]]=0,Contract_Edits[[#This Row],[Dep]]=""),0,
   COUNTIFS(Contract_Edits[Dep],Contract_Edits[[#This Row],[Dep]],Contract_Edits[RowPos],"&lt;="&amp;Contract_Edits[[#This Row],[RowPos]],Contract_Edits[Approve],"Yes")
)</f>
        <v>5</v>
      </c>
      <c r="AG104" s="517">
        <f>--(
  ISNUMBER(SEARCH("BASE PARENT", UPPER(CLEAN(TRIM(_xlfn.XLOOKUP(TEXT(Contract_Edits[[#This Row],[Index]],"0"), baseIdxTxt, baseCost, "")))))) +
  ISNUMBER(SEARCH("DEPENDENCY GROUP", UPPER(CLEAN(TRIM(_xlfn.XLOOKUP(TEXT(Contract_Edits[[#This Row],[Index]],"0"), baseIdxTxt, baseCost, ""))))))
)</f>
        <v>1</v>
      </c>
      <c r="AH104" s="517" cm="1">
        <f t="array" ref="AH104">IF(Contract_Edits[[#This Row],[BaseFlag]]=1,
   10*BaseDepthL(TEXT(Contract_Edits[[#This Row],[Index]],"0"),500,editsIdxTxt,editsParentKeyTxt,baseIdxTxt,baseCost)-5,
   ""
)</f>
        <v>85</v>
      </c>
      <c r="AI104" s="517" cm="1">
        <f t="array" ref="AI10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104" s="517" t="str">
        <f>IF(Contract_Edits[[#This Row],[Dep]]=0,"Root",
   IF(ISNUMBER(MATCH(Contract_Edits[[#This Row],[Dep]],Contract_Edits[Index],0)),"OK","Missing")
)</f>
        <v>OK</v>
      </c>
      <c r="AK104" s="517" t="str">
        <f>IF(AND(Contract_Edits[[#This Row],[Dep]]&lt;&gt;0,
        ISNUMBER(MATCH(Contract_Edits[[#This Row],[Dep]], Contract_Edits[Index], 0)),
        INDEX(Contract_Edits[Dep], MATCH(Contract_Edits[[#This Row],[Dep]], Contract_Edits[Index], 0))=Contract_Edits[[#This Row],[Index]]),
   "2-cycle","")</f>
        <v/>
      </c>
      <c r="AL104" s="517" cm="1">
        <f t="array" ref="AL104">IF(Contract_Edits[[#This Row],[BaseFlag]]&lt;&gt;1,0,
   IF(TEXT(Contract_Edits[[#This Row],[Dep]],"0")=TEXT(Contract_Edits[[#This Row],[Index]],"0"),
      0,
      MAX(0, SUMPRODUCT(--(Contract_Edits[BaseFlag]=1),
                        --(TEXT(Contract_Edits[Dep],"0")=TEXT(Contract_Edits[[#This Row],[Dep]],"0"))) - 1)
   )
)</f>
        <v>0</v>
      </c>
      <c r="AM104" s="517" t="str" cm="1">
        <f t="array" ref="AM104">IF(Contract_Edits[[#This Row],[BaseFlag]]=1,
   TEXT(Contract_Edits[[#This Row],[Index]],"0"),
   NearestBaseL(TEXT(Contract_Edits[[#This Row],[ParentKey]],"0"),500,editsIdxTxt,editsParentKeyTxt,baseIdxTxt,baseCost)
)</f>
        <v>180</v>
      </c>
      <c r="AN104" s="517" cm="1">
        <f t="array" ref="AN104">1+SUMPRODUCT(
  (Contract_Edits[BaseFlag]=1)*
  (TEXT(Contract_Edits[ParentAnchor],"0")=TEXT(Contract_Edits[[#This Row],[ParentAnchor]],"0"))*
  (VALUE(TEXT(Contract_Edits[Index],"0"))&lt;VALUE(TEXT(Contract_Edits[[#This Row],[Index]],"0")))
)</f>
        <v>2</v>
      </c>
      <c r="AO104" s="35"/>
      <c r="AP104" s="35" t="str">
        <f ca="1">IFERROR(+IF(AP$24=#REF!,Milestone_Marker,IF(AND(AP$24&gt;#REF!,AP$24&lt;#REF!+#REF!),#REF!,"")),"")</f>
        <v/>
      </c>
      <c r="AQ104" s="35" t="str">
        <f ca="1">IFERROR(+IF(AQ$24=#REF!,Milestone_Marker,IF(AND(AQ$24&gt;#REF!,AQ$24&lt;#REF!+#REF!),#REF!,"")),"")</f>
        <v/>
      </c>
      <c r="AR104" s="34"/>
      <c r="AS104" s="34"/>
      <c r="AT104" s="34"/>
      <c r="AU104" s="34"/>
      <c r="AV104" s="34"/>
      <c r="AW104" s="34"/>
      <c r="AX104" s="3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row>
    <row r="105" spans="1:81" ht="15">
      <c r="A105" t="s">
        <v>467</v>
      </c>
      <c r="B105" t="s">
        <v>639</v>
      </c>
      <c r="C105" t="s">
        <v>649</v>
      </c>
      <c r="D105" s="458" t="s">
        <v>714</v>
      </c>
      <c r="E105" s="458">
        <v>75</v>
      </c>
      <c r="F105">
        <v>72.5</v>
      </c>
      <c r="G105">
        <v>5437.5</v>
      </c>
      <c r="H105">
        <v>180</v>
      </c>
      <c r="I105"/>
      <c r="J105">
        <v>128</v>
      </c>
      <c r="K105" s="107"/>
      <c r="L105" s="463">
        <v>128</v>
      </c>
      <c r="M105" s="490"/>
      <c r="N105" s="160">
        <v>0</v>
      </c>
      <c r="O105" s="546" cm="1">
        <f t="array" ref="O10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46080</v>
      </c>
      <c r="P105" s="567" t="s">
        <v>797</v>
      </c>
      <c r="Q105" s="567"/>
      <c r="R105" s="499"/>
      <c r="S105" s="463" cm="1">
        <f t="array" ref="S10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05" s="34">
        <v>2</v>
      </c>
      <c r="U105" s="490">
        <v>1</v>
      </c>
      <c r="V10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85.020099999999999</v>
      </c>
      <c r="W105" s="557"/>
      <c r="X105" s="545"/>
      <c r="Y105" s="547" t="s">
        <v>858</v>
      </c>
      <c r="Z105" s="160" t="s">
        <v>458</v>
      </c>
      <c r="AA105" s="563">
        <v>101300</v>
      </c>
      <c r="AB105" cm="1">
        <f t="array" ref="AB105">ROW()-ROW(Contract_Edits[#Headers])</f>
        <v>81</v>
      </c>
      <c r="AC105">
        <f>IF(Contract_Edits[[#This Row],[RowPos]]&gt;1, Contract_Edits[[#This Row],[RowPos]]-1, 0)</f>
        <v>80</v>
      </c>
      <c r="AD105" s="35">
        <f>IF(N(Contract_Edits[[#This Row],[Dep]])=0, N(Contract_Edits[[#This Row],[Index]]), N(Contract_Edits[[#This Row],[Dep]]))</f>
        <v>180</v>
      </c>
      <c r="AE105" s="35" cm="1">
        <f t="array" ref="AE105">IF(OR(Contract_Edits[[#This Row],[Dep]]=0, TRIM(Contract_Edits[[#This Row],[Dep]])=""),
   0,
   IFERROR(
      _xlfn.XLOOKUP(1, (Contract_Edits[Dep]=Contract_Edits[[#This Row],[Dep]])*(Contract_Edits[RowPos]&lt;Contract_Edits[[#This Row],[RowPos]]), Contract_Edits[RowPos], , 0, -1),
      0
   )
)</f>
        <v>0</v>
      </c>
      <c r="AF105" s="35">
        <f>IF(OR(Contract_Edits[[#This Row],[Dep]]=0,Contract_Edits[[#This Row],[Dep]]=""),0,
   COUNTIFS(Contract_Edits[Dep],Contract_Edits[[#This Row],[Dep]],Contract_Edits[RowPos],"&lt;="&amp;Contract_Edits[[#This Row],[RowPos]],Contract_Edits[Approve],"Yes")
)</f>
        <v>1</v>
      </c>
      <c r="AG105" s="517">
        <f>--(
  ISNUMBER(SEARCH("BASE PARENT", UPPER(CLEAN(TRIM(_xlfn.XLOOKUP(TEXT(Contract_Edits[[#This Row],[Index]],"0"), baseIdxTxt, baseCost, "")))))) +
  ISNUMBER(SEARCH("DEPENDENCY GROUP", UPPER(CLEAN(TRIM(_xlfn.XLOOKUP(TEXT(Contract_Edits[[#This Row],[Index]],"0"), baseIdxTxt, baseCost, ""))))))
)</f>
        <v>0</v>
      </c>
      <c r="AH105" s="517" t="str" cm="1">
        <f t="array" ref="AH105">IF(Contract_Edits[[#This Row],[BaseFlag]]=1,
   10*BaseDepthL(TEXT(Contract_Edits[[#This Row],[Index]],"0"),500,editsIdxTxt,editsParentKeyTxt,baseIdxTxt,baseCost)-5,
   ""
)</f>
        <v/>
      </c>
      <c r="AI105" s="517" cm="1">
        <f t="array" ref="AI10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5" s="517" t="str">
        <f>IF(Contract_Edits[[#This Row],[Dep]]=0,"Root",
   IF(ISNUMBER(MATCH(Contract_Edits[[#This Row],[Dep]],Contract_Edits[Index],0)),"OK","Missing")
)</f>
        <v>OK</v>
      </c>
      <c r="AK105" s="517" t="str">
        <f>IF(AND(Contract_Edits[[#This Row],[Dep]]&lt;&gt;0,
        ISNUMBER(MATCH(Contract_Edits[[#This Row],[Dep]], Contract_Edits[Index], 0)),
        INDEX(Contract_Edits[Dep], MATCH(Contract_Edits[[#This Row],[Dep]], Contract_Edits[Index], 0))=Contract_Edits[[#This Row],[Index]]),
   "2-cycle","")</f>
        <v/>
      </c>
      <c r="AL105" s="517" cm="1">
        <f t="array" ref="AL105">IF(Contract_Edits[[#This Row],[BaseFlag]]&lt;&gt;1,0,
   IF(TEXT(Contract_Edits[[#This Row],[Dep]],"0")=TEXT(Contract_Edits[[#This Row],[Index]],"0"),
      0,
      MAX(0, SUMPRODUCT(--(Contract_Edits[BaseFlag]=1),
                        --(TEXT(Contract_Edits[Dep],"0")=TEXT(Contract_Edits[[#This Row],[Dep]],"0"))) - 1)
   )
)</f>
        <v>0</v>
      </c>
      <c r="AM105" s="517" t="str" cm="1">
        <f t="array" ref="AM105">IF(Contract_Edits[[#This Row],[BaseFlag]]=1,
   TEXT(Contract_Edits[[#This Row],[Index]],"0"),
   NearestBaseL(TEXT(Contract_Edits[[#This Row],[ParentKey]],"0"),500,editsIdxTxt,editsParentKeyTxt,baseIdxTxt,baseCost)
)</f>
        <v>180</v>
      </c>
      <c r="AN105" s="517" cm="1">
        <f t="array" ref="AN105">1+SUMPRODUCT(
  (Contract_Edits[BaseFlag]=1)*
  (TEXT(Contract_Edits[ParentAnchor],"0")=TEXT(Contract_Edits[[#This Row],[ParentAnchor]],"0"))*
  (VALUE(TEXT(Contract_Edits[Index],"0"))&lt;VALUE(TEXT(Contract_Edits[[#This Row],[Index]],"0")))
)</f>
        <v>1</v>
      </c>
      <c r="AO105" s="35"/>
      <c r="AP105" s="35" t="str">
        <f ca="1">IFERROR(+IF(AP$24=#REF!,Milestone_Marker,IF(AND(AP$24&gt;#REF!,AP$24&lt;#REF!+#REF!),#REF!,"")),"")</f>
        <v/>
      </c>
      <c r="AQ105" s="35" t="str">
        <f ca="1">IFERROR(+IF(AQ$24=#REF!,Milestone_Marker,IF(AND(AQ$24&gt;#REF!,AQ$24&lt;#REF!+#REF!),#REF!,"")),"")</f>
        <v/>
      </c>
      <c r="AR105" s="34"/>
      <c r="AS105" s="34"/>
      <c r="AT105" s="34"/>
      <c r="AU105" s="34"/>
      <c r="AV105" s="34"/>
      <c r="AW105" s="34"/>
      <c r="AX105" s="34"/>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row>
    <row r="106" spans="1:81" ht="15">
      <c r="A106" t="s">
        <v>519</v>
      </c>
      <c r="B106" t="s">
        <v>639</v>
      </c>
      <c r="C106" t="s">
        <v>640</v>
      </c>
      <c r="D106" s="458" t="s">
        <v>641</v>
      </c>
      <c r="E106" s="458">
        <v>1</v>
      </c>
      <c r="F106">
        <v>435</v>
      </c>
      <c r="G106">
        <v>435</v>
      </c>
      <c r="H106">
        <v>180</v>
      </c>
      <c r="I106">
        <v>435</v>
      </c>
      <c r="J106">
        <v>72</v>
      </c>
      <c r="K106" s="107"/>
      <c r="L106" s="463">
        <v>72</v>
      </c>
      <c r="M106" s="176">
        <v>1</v>
      </c>
      <c r="N106" s="160">
        <v>0</v>
      </c>
      <c r="O106" s="546" cm="1">
        <f t="array" ref="O10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46080</v>
      </c>
      <c r="P106" s="566" t="s">
        <v>458</v>
      </c>
      <c r="Q106" s="566">
        <v>0</v>
      </c>
      <c r="R106" s="22"/>
      <c r="S106" s="463" cm="1">
        <f t="array" ref="S10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06">
        <v>1</v>
      </c>
      <c r="U106" s="176">
        <v>2</v>
      </c>
      <c r="V10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85.020200000000003</v>
      </c>
      <c r="W106" s="497"/>
      <c r="X106" s="176" t="s">
        <v>852</v>
      </c>
      <c r="Y106" s="547" t="s">
        <v>858</v>
      </c>
      <c r="Z106" s="160" t="s">
        <v>458</v>
      </c>
      <c r="AA106" s="563"/>
      <c r="AB106" cm="1">
        <f t="array" ref="AB106">ROW()-ROW(Contract_Edits[#Headers])</f>
        <v>82</v>
      </c>
      <c r="AC106">
        <f>IF(Contract_Edits[[#This Row],[RowPos]]&gt;1, Contract_Edits[[#This Row],[RowPos]]-1, 0)</f>
        <v>81</v>
      </c>
      <c r="AD106" s="35">
        <f>IF(N(Contract_Edits[[#This Row],[Dep]])=0, N(Contract_Edits[[#This Row],[Index]]), N(Contract_Edits[[#This Row],[Dep]]))</f>
        <v>180</v>
      </c>
      <c r="AE106" s="35" cm="1">
        <f t="array" ref="AE106">IF(OR(Contract_Edits[[#This Row],[Dep]]=0, TRIM(Contract_Edits[[#This Row],[Dep]])=""),
   0,
   IFERROR(
      _xlfn.XLOOKUP(1, (Contract_Edits[Dep]=Contract_Edits[[#This Row],[Dep]])*(Contract_Edits[RowPos]&lt;Contract_Edits[[#This Row],[RowPos]]), Contract_Edits[RowPos], , 0, -1),
      0
   )
)</f>
        <v>81</v>
      </c>
      <c r="AF106" s="35">
        <f>IF(OR(Contract_Edits[[#This Row],[Dep]]=0,Contract_Edits[[#This Row],[Dep]]=""),0,
   COUNTIFS(Contract_Edits[Dep],Contract_Edits[[#This Row],[Dep]],Contract_Edits[RowPos],"&lt;="&amp;Contract_Edits[[#This Row],[RowPos]],Contract_Edits[Approve],"Yes")
)</f>
        <v>2</v>
      </c>
      <c r="AG106" s="517">
        <f>--(
  ISNUMBER(SEARCH("BASE PARENT", UPPER(CLEAN(TRIM(_xlfn.XLOOKUP(TEXT(Contract_Edits[[#This Row],[Index]],"0"), baseIdxTxt, baseCost, "")))))) +
  ISNUMBER(SEARCH("DEPENDENCY GROUP", UPPER(CLEAN(TRIM(_xlfn.XLOOKUP(TEXT(Contract_Edits[[#This Row],[Index]],"0"), baseIdxTxt, baseCost, ""))))))
)</f>
        <v>0</v>
      </c>
      <c r="AH106" s="517" t="str" cm="1">
        <f t="array" ref="AH106">IF(Contract_Edits[[#This Row],[BaseFlag]]=1,
   10*BaseDepthL(TEXT(Contract_Edits[[#This Row],[Index]],"0"),500,editsIdxTxt,editsParentKeyTxt,baseIdxTxt,baseCost)-5,
   ""
)</f>
        <v/>
      </c>
      <c r="AI106" s="517" cm="1">
        <f t="array" ref="AI10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6" s="517" t="str">
        <f>IF(Contract_Edits[[#This Row],[Dep]]=0,"Root",
   IF(ISNUMBER(MATCH(Contract_Edits[[#This Row],[Dep]],Contract_Edits[Index],0)),"OK","Missing")
)</f>
        <v>OK</v>
      </c>
      <c r="AK106" s="517" t="str">
        <f>IF(AND(Contract_Edits[[#This Row],[Dep]]&lt;&gt;0,
        ISNUMBER(MATCH(Contract_Edits[[#This Row],[Dep]], Contract_Edits[Index], 0)),
        INDEX(Contract_Edits[Dep], MATCH(Contract_Edits[[#This Row],[Dep]], Contract_Edits[Index], 0))=Contract_Edits[[#This Row],[Index]]),
   "2-cycle","")</f>
        <v/>
      </c>
      <c r="AL106" s="517" cm="1">
        <f t="array" ref="AL106">IF(Contract_Edits[[#This Row],[BaseFlag]]&lt;&gt;1,0,
   IF(TEXT(Contract_Edits[[#This Row],[Dep]],"0")=TEXT(Contract_Edits[[#This Row],[Index]],"0"),
      0,
      MAX(0, SUMPRODUCT(--(Contract_Edits[BaseFlag]=1),
                        --(TEXT(Contract_Edits[Dep],"0")=TEXT(Contract_Edits[[#This Row],[Dep]],"0"))) - 1)
   )
)</f>
        <v>0</v>
      </c>
      <c r="AM106" s="517" t="str" cm="1">
        <f t="array" ref="AM106">IF(Contract_Edits[[#This Row],[BaseFlag]]=1,
   TEXT(Contract_Edits[[#This Row],[Index]],"0"),
   NearestBaseL(TEXT(Contract_Edits[[#This Row],[ParentKey]],"0"),500,editsIdxTxt,editsParentKeyTxt,baseIdxTxt,baseCost)
)</f>
        <v>180</v>
      </c>
      <c r="AN106" s="517" cm="1">
        <f t="array" ref="AN106">1+SUMPRODUCT(
  (Contract_Edits[BaseFlag]=1)*
  (TEXT(Contract_Edits[ParentAnchor],"0")=TEXT(Contract_Edits[[#This Row],[ParentAnchor]],"0"))*
  (VALUE(TEXT(Contract_Edits[Index],"0"))&lt;VALUE(TEXT(Contract_Edits[[#This Row],[Index]],"0")))
)</f>
        <v>1</v>
      </c>
      <c r="AO106" s="35"/>
      <c r="AP106" s="35" t="str">
        <f ca="1">IFERROR(+IF(AP$24=#REF!,Milestone_Marker,IF(AND(AP$24&gt;#REF!,AP$24&lt;#REF!+#REF!),#REF!,"")),"")</f>
        <v/>
      </c>
      <c r="AQ106" s="35" t="str">
        <f ca="1">IFERROR(+IF(AQ$24=#REF!,Milestone_Marker,IF(AND(AQ$24&gt;#REF!,AQ$24&lt;#REF!+#REF!),#REF!,"")),"")</f>
        <v/>
      </c>
      <c r="AR106" s="34"/>
      <c r="AS106" s="34"/>
      <c r="AT106" s="34"/>
      <c r="AU106" s="34"/>
      <c r="AV106" s="34"/>
      <c r="AW106" s="34"/>
      <c r="AX106" s="34"/>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row>
    <row r="107" spans="1:81" ht="15">
      <c r="A107" t="s">
        <v>519</v>
      </c>
      <c r="B107" t="s">
        <v>555</v>
      </c>
      <c r="C107" t="s">
        <v>562</v>
      </c>
      <c r="D107" s="458" t="s">
        <v>563</v>
      </c>
      <c r="E107" s="458">
        <v>2</v>
      </c>
      <c r="F107">
        <v>362.5</v>
      </c>
      <c r="G107">
        <v>725</v>
      </c>
      <c r="H107">
        <v>180</v>
      </c>
      <c r="I107"/>
      <c r="J107">
        <v>22</v>
      </c>
      <c r="K107" s="107"/>
      <c r="L107" s="463">
        <v>22</v>
      </c>
      <c r="M107" s="176">
        <v>2</v>
      </c>
      <c r="N107" s="160">
        <v>0</v>
      </c>
      <c r="O107" s="546" cm="1">
        <f t="array" ref="O10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46083</v>
      </c>
      <c r="P107" s="566" t="s">
        <v>797</v>
      </c>
      <c r="Q107" s="566">
        <v>0</v>
      </c>
      <c r="R107" s="22"/>
      <c r="S107" s="463" cm="1">
        <f t="array" ref="S10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07">
        <v>1</v>
      </c>
      <c r="U107" s="176">
        <v>3</v>
      </c>
      <c r="V10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85.020299999999992</v>
      </c>
      <c r="W107" s="497"/>
      <c r="X107" s="176" t="s">
        <v>852</v>
      </c>
      <c r="Y107" s="547" t="s">
        <v>858</v>
      </c>
      <c r="Z107" s="160" t="s">
        <v>458</v>
      </c>
      <c r="AA107" s="563">
        <v>101300</v>
      </c>
      <c r="AB107" cm="1">
        <f t="array" ref="AB107">ROW()-ROW(Contract_Edits[#Headers])</f>
        <v>83</v>
      </c>
      <c r="AC107">
        <f>IF(Contract_Edits[[#This Row],[RowPos]]&gt;1, Contract_Edits[[#This Row],[RowPos]]-1, 0)</f>
        <v>82</v>
      </c>
      <c r="AD107" s="35">
        <f>IF(N(Contract_Edits[[#This Row],[Dep]])=0, N(Contract_Edits[[#This Row],[Index]]), N(Contract_Edits[[#This Row],[Dep]]))</f>
        <v>180</v>
      </c>
      <c r="AE107" s="35" cm="1">
        <f t="array" ref="AE107">IF(OR(Contract_Edits[[#This Row],[Dep]]=0, TRIM(Contract_Edits[[#This Row],[Dep]])=""),
   0,
   IFERROR(
      _xlfn.XLOOKUP(1, (Contract_Edits[Dep]=Contract_Edits[[#This Row],[Dep]])*(Contract_Edits[RowPos]&lt;Contract_Edits[[#This Row],[RowPos]]), Contract_Edits[RowPos], , 0, -1),
      0
   )
)</f>
        <v>82</v>
      </c>
      <c r="AF107" s="35">
        <f>IF(OR(Contract_Edits[[#This Row],[Dep]]=0,Contract_Edits[[#This Row],[Dep]]=""),0,
   COUNTIFS(Contract_Edits[Dep],Contract_Edits[[#This Row],[Dep]],Contract_Edits[RowPos],"&lt;="&amp;Contract_Edits[[#This Row],[RowPos]],Contract_Edits[Approve],"Yes")
)</f>
        <v>3</v>
      </c>
      <c r="AG107" s="517">
        <f>--(
  ISNUMBER(SEARCH("BASE PARENT", UPPER(CLEAN(TRIM(_xlfn.XLOOKUP(TEXT(Contract_Edits[[#This Row],[Index]],"0"), baseIdxTxt, baseCost, "")))))) +
  ISNUMBER(SEARCH("DEPENDENCY GROUP", UPPER(CLEAN(TRIM(_xlfn.XLOOKUP(TEXT(Contract_Edits[[#This Row],[Index]],"0"), baseIdxTxt, baseCost, ""))))))
)</f>
        <v>0</v>
      </c>
      <c r="AH107" s="517" t="str" cm="1">
        <f t="array" ref="AH107">IF(Contract_Edits[[#This Row],[BaseFlag]]=1,
   10*BaseDepthL(TEXT(Contract_Edits[[#This Row],[Index]],"0"),500,editsIdxTxt,editsParentKeyTxt,baseIdxTxt,baseCost)-5,
   ""
)</f>
        <v/>
      </c>
      <c r="AI107" s="517" cm="1">
        <f t="array" ref="AI10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7" s="517" t="str">
        <f>IF(Contract_Edits[[#This Row],[Dep]]=0,"Root",
   IF(ISNUMBER(MATCH(Contract_Edits[[#This Row],[Dep]],Contract_Edits[Index],0)),"OK","Missing")
)</f>
        <v>OK</v>
      </c>
      <c r="AK107" s="517" t="str">
        <f>IF(AND(Contract_Edits[[#This Row],[Dep]]&lt;&gt;0,
        ISNUMBER(MATCH(Contract_Edits[[#This Row],[Dep]], Contract_Edits[Index], 0)),
        INDEX(Contract_Edits[Dep], MATCH(Contract_Edits[[#This Row],[Dep]], Contract_Edits[Index], 0))=Contract_Edits[[#This Row],[Index]]),
   "2-cycle","")</f>
        <v/>
      </c>
      <c r="AL107" s="517" cm="1">
        <f t="array" ref="AL107">IF(Contract_Edits[[#This Row],[BaseFlag]]&lt;&gt;1,0,
   IF(TEXT(Contract_Edits[[#This Row],[Dep]],"0")=TEXT(Contract_Edits[[#This Row],[Index]],"0"),
      0,
      MAX(0, SUMPRODUCT(--(Contract_Edits[BaseFlag]=1),
                        --(TEXT(Contract_Edits[Dep],"0")=TEXT(Contract_Edits[[#This Row],[Dep]],"0"))) - 1)
   )
)</f>
        <v>0</v>
      </c>
      <c r="AM107" s="517" t="str" cm="1">
        <f t="array" ref="AM107">IF(Contract_Edits[[#This Row],[BaseFlag]]=1,
   TEXT(Contract_Edits[[#This Row],[Index]],"0"),
   NearestBaseL(TEXT(Contract_Edits[[#This Row],[ParentKey]],"0"),500,editsIdxTxt,editsParentKeyTxt,baseIdxTxt,baseCost)
)</f>
        <v>180</v>
      </c>
      <c r="AN107" s="517" cm="1">
        <f t="array" ref="AN107">1+SUMPRODUCT(
  (Contract_Edits[BaseFlag]=1)*
  (TEXT(Contract_Edits[ParentAnchor],"0")=TEXT(Contract_Edits[[#This Row],[ParentAnchor]],"0"))*
  (VALUE(TEXT(Contract_Edits[Index],"0"))&lt;VALUE(TEXT(Contract_Edits[[#This Row],[Index]],"0")))
)</f>
        <v>1</v>
      </c>
      <c r="AO107" s="35"/>
      <c r="AP107" s="35" t="str">
        <f ca="1">IFERROR(+IF(AP$24=#REF!,Milestone_Marker,IF(AND(AP$24&gt;#REF!,AP$24&lt;#REF!+#REF!),#REF!,"")),"")</f>
        <v/>
      </c>
      <c r="AQ107" s="35" t="str">
        <f ca="1">IFERROR(+IF(AQ$24=#REF!,Milestone_Marker,IF(AND(AQ$24&gt;#REF!,AQ$24&lt;#REF!+#REF!),#REF!,"")),"")</f>
        <v/>
      </c>
      <c r="AR107" s="34"/>
      <c r="AS107" s="34"/>
      <c r="AT107" s="34"/>
      <c r="AU107" s="34"/>
      <c r="AV107" s="34"/>
      <c r="AW107" s="34"/>
      <c r="AX107" s="34"/>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row>
    <row r="108" spans="1:81" ht="15">
      <c r="A108" t="s">
        <v>519</v>
      </c>
      <c r="B108" t="s">
        <v>639</v>
      </c>
      <c r="C108" t="s">
        <v>642</v>
      </c>
      <c r="D108" s="458" t="s">
        <v>643</v>
      </c>
      <c r="E108" s="458">
        <v>1</v>
      </c>
      <c r="F108">
        <v>4785</v>
      </c>
      <c r="G108">
        <v>4785</v>
      </c>
      <c r="H108">
        <v>180</v>
      </c>
      <c r="I108"/>
      <c r="J108">
        <v>73</v>
      </c>
      <c r="K108" s="107"/>
      <c r="L108" s="463">
        <v>73</v>
      </c>
      <c r="M108" s="490">
        <v>3</v>
      </c>
      <c r="N108" s="160">
        <v>0</v>
      </c>
      <c r="O108" s="546" cm="1">
        <f t="array" ref="O10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46085</v>
      </c>
      <c r="P108" s="567" t="s">
        <v>797</v>
      </c>
      <c r="Q108" s="567"/>
      <c r="R108" s="499"/>
      <c r="S108" s="463" cm="1">
        <f t="array" ref="S10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08" s="34">
        <v>1</v>
      </c>
      <c r="U108" s="490">
        <v>4</v>
      </c>
      <c r="V10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85.020399999999995</v>
      </c>
      <c r="W108" s="557"/>
      <c r="X108" s="545"/>
      <c r="Y108" s="547" t="s">
        <v>858</v>
      </c>
      <c r="Z108" s="160" t="s">
        <v>458</v>
      </c>
      <c r="AA108" s="563">
        <v>101400</v>
      </c>
      <c r="AB108" cm="1">
        <f t="array" ref="AB108">ROW()-ROW(Contract_Edits[#Headers])</f>
        <v>84</v>
      </c>
      <c r="AC108">
        <f>IF(Contract_Edits[[#This Row],[RowPos]]&gt;1, Contract_Edits[[#This Row],[RowPos]]-1, 0)</f>
        <v>83</v>
      </c>
      <c r="AD108" s="35">
        <f>IF(N(Contract_Edits[[#This Row],[Dep]])=0, N(Contract_Edits[[#This Row],[Index]]), N(Contract_Edits[[#This Row],[Dep]]))</f>
        <v>180</v>
      </c>
      <c r="AE108" s="35" cm="1">
        <f t="array" ref="AE108">IF(OR(Contract_Edits[[#This Row],[Dep]]=0, TRIM(Contract_Edits[[#This Row],[Dep]])=""),
   0,
   IFERROR(
      _xlfn.XLOOKUP(1, (Contract_Edits[Dep]=Contract_Edits[[#This Row],[Dep]])*(Contract_Edits[RowPos]&lt;Contract_Edits[[#This Row],[RowPos]]), Contract_Edits[RowPos], , 0, -1),
      0
   )
)</f>
        <v>83</v>
      </c>
      <c r="AF108" s="35">
        <f>IF(OR(Contract_Edits[[#This Row],[Dep]]=0,Contract_Edits[[#This Row],[Dep]]=""),0,
   COUNTIFS(Contract_Edits[Dep],Contract_Edits[[#This Row],[Dep]],Contract_Edits[RowPos],"&lt;="&amp;Contract_Edits[[#This Row],[RowPos]],Contract_Edits[Approve],"Yes")
)</f>
        <v>4</v>
      </c>
      <c r="AG108" s="517">
        <f>--(
  ISNUMBER(SEARCH("BASE PARENT", UPPER(CLEAN(TRIM(_xlfn.XLOOKUP(TEXT(Contract_Edits[[#This Row],[Index]],"0"), baseIdxTxt, baseCost, "")))))) +
  ISNUMBER(SEARCH("DEPENDENCY GROUP", UPPER(CLEAN(TRIM(_xlfn.XLOOKUP(TEXT(Contract_Edits[[#This Row],[Index]],"0"), baseIdxTxt, baseCost, ""))))))
)</f>
        <v>0</v>
      </c>
      <c r="AH108" s="517" t="str" cm="1">
        <f t="array" ref="AH108">IF(Contract_Edits[[#This Row],[BaseFlag]]=1,
   10*BaseDepthL(TEXT(Contract_Edits[[#This Row],[Index]],"0"),500,editsIdxTxt,editsParentKeyTxt,baseIdxTxt,baseCost)-5,
   ""
)</f>
        <v/>
      </c>
      <c r="AI108" s="517" cm="1">
        <f t="array" ref="AI10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8" s="517" t="str">
        <f>IF(Contract_Edits[[#This Row],[Dep]]=0,"Root",
   IF(ISNUMBER(MATCH(Contract_Edits[[#This Row],[Dep]],Contract_Edits[Index],0)),"OK","Missing")
)</f>
        <v>OK</v>
      </c>
      <c r="AK108" s="517" t="str">
        <f>IF(AND(Contract_Edits[[#This Row],[Dep]]&lt;&gt;0,
        ISNUMBER(MATCH(Contract_Edits[[#This Row],[Dep]], Contract_Edits[Index], 0)),
        INDEX(Contract_Edits[Dep], MATCH(Contract_Edits[[#This Row],[Dep]], Contract_Edits[Index], 0))=Contract_Edits[[#This Row],[Index]]),
   "2-cycle","")</f>
        <v/>
      </c>
      <c r="AL108" s="517" cm="1">
        <f t="array" ref="AL108">IF(Contract_Edits[[#This Row],[BaseFlag]]&lt;&gt;1,0,
   IF(TEXT(Contract_Edits[[#This Row],[Dep]],"0")=TEXT(Contract_Edits[[#This Row],[Index]],"0"),
      0,
      MAX(0, SUMPRODUCT(--(Contract_Edits[BaseFlag]=1),
                        --(TEXT(Contract_Edits[Dep],"0")=TEXT(Contract_Edits[[#This Row],[Dep]],"0"))) - 1)
   )
)</f>
        <v>0</v>
      </c>
      <c r="AM108" s="517" t="str" cm="1">
        <f t="array" ref="AM108">IF(Contract_Edits[[#This Row],[BaseFlag]]=1,
   TEXT(Contract_Edits[[#This Row],[Index]],"0"),
   NearestBaseL(TEXT(Contract_Edits[[#This Row],[ParentKey]],"0"),500,editsIdxTxt,editsParentKeyTxt,baseIdxTxt,baseCost)
)</f>
        <v>180</v>
      </c>
      <c r="AN108" s="517" cm="1">
        <f t="array" ref="AN108">1+SUMPRODUCT(
  (Contract_Edits[BaseFlag]=1)*
  (TEXT(Contract_Edits[ParentAnchor],"0")=TEXT(Contract_Edits[[#This Row],[ParentAnchor]],"0"))*
  (VALUE(TEXT(Contract_Edits[Index],"0"))&lt;VALUE(TEXT(Contract_Edits[[#This Row],[Index]],"0")))
)</f>
        <v>1</v>
      </c>
      <c r="AO108" s="35"/>
      <c r="AP108" s="35" t="str">
        <f ca="1">IFERROR(+IF(AP$24=#REF!,Milestone_Marker,IF(AND(AP$24&gt;#REF!,AP$24&lt;#REF!+#REF!),#REF!,"")),"")</f>
        <v/>
      </c>
      <c r="AQ108" s="35" t="str">
        <f ca="1">IFERROR(+IF(AQ$24=#REF!,Milestone_Marker,IF(AND(AQ$24&gt;#REF!,AQ$24&lt;#REF!+#REF!),#REF!,"")),"")</f>
        <v/>
      </c>
      <c r="AR108" s="34"/>
      <c r="AS108" s="34"/>
      <c r="AT108" s="34"/>
      <c r="AU108" s="34"/>
      <c r="AV108" s="34"/>
      <c r="AW108" s="34"/>
      <c r="AX108" s="34"/>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row>
    <row r="109" spans="1:81" ht="45">
      <c r="A109" t="s">
        <v>467</v>
      </c>
      <c r="B109" t="s">
        <v>608</v>
      </c>
      <c r="C109" t="s">
        <v>615</v>
      </c>
      <c r="D109" s="458" t="s">
        <v>616</v>
      </c>
      <c r="E109" s="458">
        <v>1</v>
      </c>
      <c r="F109">
        <v>7155</v>
      </c>
      <c r="G109">
        <v>7155</v>
      </c>
      <c r="H109">
        <v>180</v>
      </c>
      <c r="I109">
        <v>7155</v>
      </c>
      <c r="J109">
        <v>53</v>
      </c>
      <c r="K109" s="107"/>
      <c r="L109" s="463">
        <v>53</v>
      </c>
      <c r="M109" s="176">
        <v>3</v>
      </c>
      <c r="N109" s="160">
        <v>0</v>
      </c>
      <c r="O109" s="546" cm="1">
        <f t="array" ref="O10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46090</v>
      </c>
      <c r="P109" s="566" t="s">
        <v>458</v>
      </c>
      <c r="Q109" s="566">
        <v>0</v>
      </c>
      <c r="R109" s="22"/>
      <c r="S109" s="463" cm="1">
        <f t="array" ref="S10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09">
        <v>1</v>
      </c>
      <c r="U109" s="176">
        <v>5</v>
      </c>
      <c r="V10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85.020499999999998</v>
      </c>
      <c r="W109" s="497"/>
      <c r="X109" s="176" t="s">
        <v>860</v>
      </c>
      <c r="Y109" s="547" t="s">
        <v>858</v>
      </c>
      <c r="Z109" s="160" t="s">
        <v>458</v>
      </c>
      <c r="AA109" s="563">
        <v>101400</v>
      </c>
      <c r="AB109" cm="1">
        <f t="array" ref="AB109">ROW()-ROW(Contract_Edits[#Headers])</f>
        <v>85</v>
      </c>
      <c r="AC109">
        <f>IF(Contract_Edits[[#This Row],[RowPos]]&gt;1, Contract_Edits[[#This Row],[RowPos]]-1, 0)</f>
        <v>84</v>
      </c>
      <c r="AD109" s="35">
        <f>IF(N(Contract_Edits[[#This Row],[Dep]])=0, N(Contract_Edits[[#This Row],[Index]]), N(Contract_Edits[[#This Row],[Dep]]))</f>
        <v>180</v>
      </c>
      <c r="AE109" s="35" cm="1">
        <f t="array" ref="AE109">IF(OR(Contract_Edits[[#This Row],[Dep]]=0, TRIM(Contract_Edits[[#This Row],[Dep]])=""),
   0,
   IFERROR(
      _xlfn.XLOOKUP(1, (Contract_Edits[Dep]=Contract_Edits[[#This Row],[Dep]])*(Contract_Edits[RowPos]&lt;Contract_Edits[[#This Row],[RowPos]]), Contract_Edits[RowPos], , 0, -1),
      0
   )
)</f>
        <v>84</v>
      </c>
      <c r="AF109" s="35">
        <f>IF(OR(Contract_Edits[[#This Row],[Dep]]=0,Contract_Edits[[#This Row],[Dep]]=""),0,
   COUNTIFS(Contract_Edits[Dep],Contract_Edits[[#This Row],[Dep]],Contract_Edits[RowPos],"&lt;="&amp;Contract_Edits[[#This Row],[RowPos]],Contract_Edits[Approve],"Yes")
)</f>
        <v>5</v>
      </c>
      <c r="AG109" s="517">
        <f>--(
  ISNUMBER(SEARCH("BASE PARENT", UPPER(CLEAN(TRIM(_xlfn.XLOOKUP(TEXT(Contract_Edits[[#This Row],[Index]],"0"), baseIdxTxt, baseCost, "")))))) +
  ISNUMBER(SEARCH("DEPENDENCY GROUP", UPPER(CLEAN(TRIM(_xlfn.XLOOKUP(TEXT(Contract_Edits[[#This Row],[Index]],"0"), baseIdxTxt, baseCost, ""))))))
)</f>
        <v>0</v>
      </c>
      <c r="AH109" s="517" t="str" cm="1">
        <f t="array" ref="AH109">IF(Contract_Edits[[#This Row],[BaseFlag]]=1,
   10*BaseDepthL(TEXT(Contract_Edits[[#This Row],[Index]],"0"),500,editsIdxTxt,editsParentKeyTxt,baseIdxTxt,baseCost)-5,
   ""
)</f>
        <v/>
      </c>
      <c r="AI109" s="517" cm="1">
        <f t="array" ref="AI10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9" s="517" t="str">
        <f>IF(Contract_Edits[[#This Row],[Dep]]=0,"Root",
   IF(ISNUMBER(MATCH(Contract_Edits[[#This Row],[Dep]],Contract_Edits[Index],0)),"OK","Missing")
)</f>
        <v>OK</v>
      </c>
      <c r="AK109" s="517" t="str">
        <f>IF(AND(Contract_Edits[[#This Row],[Dep]]&lt;&gt;0,
        ISNUMBER(MATCH(Contract_Edits[[#This Row],[Dep]], Contract_Edits[Index], 0)),
        INDEX(Contract_Edits[Dep], MATCH(Contract_Edits[[#This Row],[Dep]], Contract_Edits[Index], 0))=Contract_Edits[[#This Row],[Index]]),
   "2-cycle","")</f>
        <v/>
      </c>
      <c r="AL109" s="517" cm="1">
        <f t="array" ref="AL109">IF(Contract_Edits[[#This Row],[BaseFlag]]&lt;&gt;1,0,
   IF(TEXT(Contract_Edits[[#This Row],[Dep]],"0")=TEXT(Contract_Edits[[#This Row],[Index]],"0"),
      0,
      MAX(0, SUMPRODUCT(--(Contract_Edits[BaseFlag]=1),
                        --(TEXT(Contract_Edits[Dep],"0")=TEXT(Contract_Edits[[#This Row],[Dep]],"0"))) - 1)
   )
)</f>
        <v>0</v>
      </c>
      <c r="AM109" s="517" t="str" cm="1">
        <f t="array" ref="AM109">IF(Contract_Edits[[#This Row],[BaseFlag]]=1,
   TEXT(Contract_Edits[[#This Row],[Index]],"0"),
   NearestBaseL(TEXT(Contract_Edits[[#This Row],[ParentKey]],"0"),500,editsIdxTxt,editsParentKeyTxt,baseIdxTxt,baseCost)
)</f>
        <v>180</v>
      </c>
      <c r="AN109" s="517" cm="1">
        <f t="array" ref="AN109">1+SUMPRODUCT(
  (Contract_Edits[BaseFlag]=1)*
  (TEXT(Contract_Edits[ParentAnchor],"0")=TEXT(Contract_Edits[[#This Row],[ParentAnchor]],"0"))*
  (VALUE(TEXT(Contract_Edits[Index],"0"))&lt;VALUE(TEXT(Contract_Edits[[#This Row],[Index]],"0")))
)</f>
        <v>1</v>
      </c>
      <c r="AO109" s="35"/>
      <c r="AP109" s="35" t="str">
        <f ca="1">IFERROR(+IF(AP$24=#REF!,Milestone_Marker,IF(AND(AP$24&gt;#REF!,AP$24&lt;#REF!+#REF!),#REF!,"")),"")</f>
        <v/>
      </c>
      <c r="AQ109" s="35" t="str">
        <f ca="1">IFERROR(+IF(AQ$24=#REF!,Milestone_Marker,IF(AND(AQ$24&gt;#REF!,AQ$24&lt;#REF!+#REF!),#REF!,"")),"")</f>
        <v/>
      </c>
      <c r="AR109" s="34"/>
      <c r="AS109" s="34"/>
      <c r="AT109" s="34"/>
      <c r="AU109" s="34"/>
      <c r="AV109" s="34"/>
      <c r="AW109" s="34"/>
      <c r="AX109" s="34"/>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row>
    <row r="110" spans="1:81" ht="30">
      <c r="A110" t="s">
        <v>552</v>
      </c>
      <c r="B110" t="s">
        <v>639</v>
      </c>
      <c r="C110" t="s">
        <v>612</v>
      </c>
      <c r="D110" s="458" t="s">
        <v>644</v>
      </c>
      <c r="E110" s="458">
        <v>1</v>
      </c>
      <c r="F110">
        <v>625</v>
      </c>
      <c r="G110">
        <v>625</v>
      </c>
      <c r="H110">
        <v>180</v>
      </c>
      <c r="I110">
        <v>625</v>
      </c>
      <c r="J110">
        <v>74</v>
      </c>
      <c r="K110" s="107"/>
      <c r="L110" s="463">
        <v>74</v>
      </c>
      <c r="M110" s="490">
        <v>2</v>
      </c>
      <c r="N110" s="160">
        <v>0</v>
      </c>
      <c r="O110" s="546" cm="1">
        <f t="array" ref="O11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46093</v>
      </c>
      <c r="P110" s="567" t="s">
        <v>458</v>
      </c>
      <c r="Q110" s="567"/>
      <c r="R110" s="499"/>
      <c r="S110" s="463" cm="1">
        <f t="array" ref="S11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10" s="34">
        <v>1</v>
      </c>
      <c r="U110" s="490">
        <v>6</v>
      </c>
      <c r="V11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85.020600000000002</v>
      </c>
      <c r="W110" s="557"/>
      <c r="X110" s="545"/>
      <c r="Y110" s="547" t="s">
        <v>858</v>
      </c>
      <c r="Z110" s="160" t="s">
        <v>458</v>
      </c>
      <c r="AA110" s="563">
        <v>104800</v>
      </c>
      <c r="AB110" cm="1">
        <f t="array" ref="AB110">ROW()-ROW(Contract_Edits[#Headers])</f>
        <v>86</v>
      </c>
      <c r="AC110">
        <f>IF(Contract_Edits[[#This Row],[RowPos]]&gt;1, Contract_Edits[[#This Row],[RowPos]]-1, 0)</f>
        <v>85</v>
      </c>
      <c r="AD110" s="35">
        <f>IF(N(Contract_Edits[[#This Row],[Dep]])=0, N(Contract_Edits[[#This Row],[Index]]), N(Contract_Edits[[#This Row],[Dep]]))</f>
        <v>180</v>
      </c>
      <c r="AE110" s="35" cm="1">
        <f t="array" ref="AE110">IF(OR(Contract_Edits[[#This Row],[Dep]]=0, TRIM(Contract_Edits[[#This Row],[Dep]])=""),
   0,
   IFERROR(
      _xlfn.XLOOKUP(1, (Contract_Edits[Dep]=Contract_Edits[[#This Row],[Dep]])*(Contract_Edits[RowPos]&lt;Contract_Edits[[#This Row],[RowPos]]), Contract_Edits[RowPos], , 0, -1),
      0
   )
)</f>
        <v>85</v>
      </c>
      <c r="AF110" s="35">
        <f>IF(OR(Contract_Edits[[#This Row],[Dep]]=0,Contract_Edits[[#This Row],[Dep]]=""),0,
   COUNTIFS(Contract_Edits[Dep],Contract_Edits[[#This Row],[Dep]],Contract_Edits[RowPos],"&lt;="&amp;Contract_Edits[[#This Row],[RowPos]],Contract_Edits[Approve],"Yes")
)</f>
        <v>6</v>
      </c>
      <c r="AG110" s="517">
        <f>--(
  ISNUMBER(SEARCH("BASE PARENT", UPPER(CLEAN(TRIM(_xlfn.XLOOKUP(TEXT(Contract_Edits[[#This Row],[Index]],"0"), baseIdxTxt, baseCost, "")))))) +
  ISNUMBER(SEARCH("DEPENDENCY GROUP", UPPER(CLEAN(TRIM(_xlfn.XLOOKUP(TEXT(Contract_Edits[[#This Row],[Index]],"0"), baseIdxTxt, baseCost, ""))))))
)</f>
        <v>0</v>
      </c>
      <c r="AH110" s="517" t="str" cm="1">
        <f t="array" ref="AH110">IF(Contract_Edits[[#This Row],[BaseFlag]]=1,
   10*BaseDepthL(TEXT(Contract_Edits[[#This Row],[Index]],"0"),500,editsIdxTxt,editsParentKeyTxt,baseIdxTxt,baseCost)-5,
   ""
)</f>
        <v/>
      </c>
      <c r="AI110" s="517" cm="1">
        <f t="array" ref="AI11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0" s="517" t="str">
        <f>IF(Contract_Edits[[#This Row],[Dep]]=0,"Root",
   IF(ISNUMBER(MATCH(Contract_Edits[[#This Row],[Dep]],Contract_Edits[Index],0)),"OK","Missing")
)</f>
        <v>OK</v>
      </c>
      <c r="AK110" s="517" t="str">
        <f>IF(AND(Contract_Edits[[#This Row],[Dep]]&lt;&gt;0,
        ISNUMBER(MATCH(Contract_Edits[[#This Row],[Dep]], Contract_Edits[Index], 0)),
        INDEX(Contract_Edits[Dep], MATCH(Contract_Edits[[#This Row],[Dep]], Contract_Edits[Index], 0))=Contract_Edits[[#This Row],[Index]]),
   "2-cycle","")</f>
        <v/>
      </c>
      <c r="AL110" s="517" cm="1">
        <f t="array" ref="AL110">IF(Contract_Edits[[#This Row],[BaseFlag]]&lt;&gt;1,0,
   IF(TEXT(Contract_Edits[[#This Row],[Dep]],"0")=TEXT(Contract_Edits[[#This Row],[Index]],"0"),
      0,
      MAX(0, SUMPRODUCT(--(Contract_Edits[BaseFlag]=1),
                        --(TEXT(Contract_Edits[Dep],"0")=TEXT(Contract_Edits[[#This Row],[Dep]],"0"))) - 1)
   )
)</f>
        <v>0</v>
      </c>
      <c r="AM110" s="517" t="str" cm="1">
        <f t="array" ref="AM110">IF(Contract_Edits[[#This Row],[BaseFlag]]=1,
   TEXT(Contract_Edits[[#This Row],[Index]],"0"),
   NearestBaseL(TEXT(Contract_Edits[[#This Row],[ParentKey]],"0"),500,editsIdxTxt,editsParentKeyTxt,baseIdxTxt,baseCost)
)</f>
        <v>180</v>
      </c>
      <c r="AN110" s="517" cm="1">
        <f t="array" ref="AN110">1+SUMPRODUCT(
  (Contract_Edits[BaseFlag]=1)*
  (TEXT(Contract_Edits[ParentAnchor],"0")=TEXT(Contract_Edits[[#This Row],[ParentAnchor]],"0"))*
  (VALUE(TEXT(Contract_Edits[Index],"0"))&lt;VALUE(TEXT(Contract_Edits[[#This Row],[Index]],"0")))
)</f>
        <v>1</v>
      </c>
      <c r="AO110" s="35"/>
      <c r="AP110" s="35" t="str">
        <f ca="1">IFERROR(+IF(AP$24=#REF!,Milestone_Marker,IF(AND(AP$24&gt;#REF!,AP$24&lt;#REF!+#REF!),#REF!,"")),"")</f>
        <v/>
      </c>
      <c r="AQ110" s="35" t="str">
        <f ca="1">IFERROR(+IF(AQ$24=#REF!,Milestone_Marker,IF(AND(AQ$24&gt;#REF!,AQ$24&lt;#REF!+#REF!),#REF!,"")),"")</f>
        <v/>
      </c>
      <c r="AR110" s="34"/>
      <c r="AS110" s="34"/>
      <c r="AT110" s="34"/>
      <c r="AU110" s="34"/>
      <c r="AV110" s="34"/>
      <c r="AW110" s="34"/>
      <c r="AX110" s="34"/>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row>
    <row r="111" spans="1:81" ht="30">
      <c r="A111" t="s">
        <v>519</v>
      </c>
      <c r="B111" t="s">
        <v>521</v>
      </c>
      <c r="C111" t="s">
        <v>610</v>
      </c>
      <c r="D111" s="458" t="s">
        <v>681</v>
      </c>
      <c r="E111" s="458">
        <v>1</v>
      </c>
      <c r="F111">
        <v>4350</v>
      </c>
      <c r="G111">
        <v>4350</v>
      </c>
      <c r="H111">
        <v>180</v>
      </c>
      <c r="I111"/>
      <c r="J111">
        <v>101</v>
      </c>
      <c r="K111" s="107"/>
      <c r="L111" s="463">
        <v>101</v>
      </c>
      <c r="M111" s="176">
        <v>6</v>
      </c>
      <c r="N111" s="160">
        <v>0</v>
      </c>
      <c r="O111" s="546" cm="1">
        <f t="array" ref="O11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46097</v>
      </c>
      <c r="P111" s="566" t="s">
        <v>797</v>
      </c>
      <c r="Q111" s="566">
        <v>0</v>
      </c>
      <c r="R111" s="22"/>
      <c r="S111" s="463" cm="1">
        <f t="array" ref="S11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11">
        <v>4</v>
      </c>
      <c r="U111" s="176">
        <v>7</v>
      </c>
      <c r="V11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85.020699999999991</v>
      </c>
      <c r="W111" s="497"/>
      <c r="X111" s="176"/>
      <c r="Y111" s="547" t="s">
        <v>858</v>
      </c>
      <c r="Z111" s="160" t="s">
        <v>458</v>
      </c>
      <c r="AA111" s="563">
        <v>101400</v>
      </c>
      <c r="AB111" cm="1">
        <f t="array" ref="AB111">ROW()-ROW(Contract_Edits[#Headers])</f>
        <v>87</v>
      </c>
      <c r="AC111">
        <f>IF(Contract_Edits[[#This Row],[RowPos]]&gt;1, Contract_Edits[[#This Row],[RowPos]]-1, 0)</f>
        <v>86</v>
      </c>
      <c r="AD111" s="35">
        <f>IF(N(Contract_Edits[[#This Row],[Dep]])=0, N(Contract_Edits[[#This Row],[Index]]), N(Contract_Edits[[#This Row],[Dep]]))</f>
        <v>180</v>
      </c>
      <c r="AE111" s="35" cm="1">
        <f t="array" ref="AE111">IF(OR(Contract_Edits[[#This Row],[Dep]]=0, TRIM(Contract_Edits[[#This Row],[Dep]])=""),
   0,
   IFERROR(
      _xlfn.XLOOKUP(1, (Contract_Edits[Dep]=Contract_Edits[[#This Row],[Dep]])*(Contract_Edits[RowPos]&lt;Contract_Edits[[#This Row],[RowPos]]), Contract_Edits[RowPos], , 0, -1),
      0
   )
)</f>
        <v>86</v>
      </c>
      <c r="AF111" s="35">
        <f>IF(OR(Contract_Edits[[#This Row],[Dep]]=0,Contract_Edits[[#This Row],[Dep]]=""),0,
   COUNTIFS(Contract_Edits[Dep],Contract_Edits[[#This Row],[Dep]],Contract_Edits[RowPos],"&lt;="&amp;Contract_Edits[[#This Row],[RowPos]],Contract_Edits[Approve],"Yes")
)</f>
        <v>7</v>
      </c>
      <c r="AG111" s="517">
        <f>--(
  ISNUMBER(SEARCH("BASE PARENT", UPPER(CLEAN(TRIM(_xlfn.XLOOKUP(TEXT(Contract_Edits[[#This Row],[Index]],"0"), baseIdxTxt, baseCost, "")))))) +
  ISNUMBER(SEARCH("DEPENDENCY GROUP", UPPER(CLEAN(TRIM(_xlfn.XLOOKUP(TEXT(Contract_Edits[[#This Row],[Index]],"0"), baseIdxTxt, baseCost, ""))))))
)</f>
        <v>0</v>
      </c>
      <c r="AH111" s="517" t="str" cm="1">
        <f t="array" ref="AH111">IF(Contract_Edits[[#This Row],[BaseFlag]]=1,
   10*BaseDepthL(TEXT(Contract_Edits[[#This Row],[Index]],"0"),500,editsIdxTxt,editsParentKeyTxt,baseIdxTxt,baseCost)-5,
   ""
)</f>
        <v/>
      </c>
      <c r="AI111" s="517" cm="1">
        <f t="array" ref="AI11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1" s="517" t="str">
        <f>IF(Contract_Edits[[#This Row],[Dep]]=0,"Root",
   IF(ISNUMBER(MATCH(Contract_Edits[[#This Row],[Dep]],Contract_Edits[Index],0)),"OK","Missing")
)</f>
        <v>OK</v>
      </c>
      <c r="AK111" s="517" t="str">
        <f>IF(AND(Contract_Edits[[#This Row],[Dep]]&lt;&gt;0,
        ISNUMBER(MATCH(Contract_Edits[[#This Row],[Dep]], Contract_Edits[Index], 0)),
        INDEX(Contract_Edits[Dep], MATCH(Contract_Edits[[#This Row],[Dep]], Contract_Edits[Index], 0))=Contract_Edits[[#This Row],[Index]]),
   "2-cycle","")</f>
        <v/>
      </c>
      <c r="AL111" s="517" cm="1">
        <f t="array" ref="AL111">IF(Contract_Edits[[#This Row],[BaseFlag]]&lt;&gt;1,0,
   IF(TEXT(Contract_Edits[[#This Row],[Dep]],"0")=TEXT(Contract_Edits[[#This Row],[Index]],"0"),
      0,
      MAX(0, SUMPRODUCT(--(Contract_Edits[BaseFlag]=1),
                        --(TEXT(Contract_Edits[Dep],"0")=TEXT(Contract_Edits[[#This Row],[Dep]],"0"))) - 1)
   )
)</f>
        <v>0</v>
      </c>
      <c r="AM111" s="517" t="str" cm="1">
        <f t="array" ref="AM111">IF(Contract_Edits[[#This Row],[BaseFlag]]=1,
   TEXT(Contract_Edits[[#This Row],[Index]],"0"),
   NearestBaseL(TEXT(Contract_Edits[[#This Row],[ParentKey]],"0"),500,editsIdxTxt,editsParentKeyTxt,baseIdxTxt,baseCost)
)</f>
        <v>180</v>
      </c>
      <c r="AN111" s="517" cm="1">
        <f t="array" ref="AN111">1+SUMPRODUCT(
  (Contract_Edits[BaseFlag]=1)*
  (TEXT(Contract_Edits[ParentAnchor],"0")=TEXT(Contract_Edits[[#This Row],[ParentAnchor]],"0"))*
  (VALUE(TEXT(Contract_Edits[Index],"0"))&lt;VALUE(TEXT(Contract_Edits[[#This Row],[Index]],"0")))
)</f>
        <v>1</v>
      </c>
      <c r="AO111" s="35"/>
      <c r="AP111" s="35" t="str">
        <f ca="1">IFERROR(+IF(AP$24=#REF!,Milestone_Marker,IF(AND(AP$24&gt;#REF!,AP$24&lt;#REF!+#REF!),#REF!,"")),"")</f>
        <v/>
      </c>
      <c r="AQ111" s="35" t="str">
        <f ca="1">IFERROR(+IF(AQ$24=#REF!,Milestone_Marker,IF(AND(AQ$24&gt;#REF!,AQ$24&lt;#REF!+#REF!),#REF!,"")),"")</f>
        <v/>
      </c>
      <c r="AR111" s="34"/>
      <c r="AS111" s="34"/>
      <c r="AT111" s="34"/>
      <c r="AU111" s="34"/>
      <c r="AV111" s="34"/>
      <c r="AW111" s="34"/>
      <c r="AX111" s="34"/>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row>
    <row r="112" spans="1:81" ht="15">
      <c r="A112" t="s">
        <v>519</v>
      </c>
      <c r="B112" t="s">
        <v>639</v>
      </c>
      <c r="C112" t="s">
        <v>728</v>
      </c>
      <c r="D112" s="458" t="s">
        <v>729</v>
      </c>
      <c r="E112" s="458">
        <v>0</v>
      </c>
      <c r="F112"/>
      <c r="G112"/>
      <c r="H112">
        <v>180</v>
      </c>
      <c r="I112"/>
      <c r="J112">
        <v>137</v>
      </c>
      <c r="K112" s="107"/>
      <c r="L112" s="463">
        <v>137</v>
      </c>
      <c r="M112" s="176">
        <v>1</v>
      </c>
      <c r="N112" s="160">
        <v>0</v>
      </c>
      <c r="O112" s="546" cm="1">
        <f t="array" ref="O11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46105</v>
      </c>
      <c r="P112" s="566" t="s">
        <v>797</v>
      </c>
      <c r="Q112" s="566">
        <v>0</v>
      </c>
      <c r="R112" s="22"/>
      <c r="S112" s="463" cm="1">
        <f t="array" ref="S11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12">
        <v>1</v>
      </c>
      <c r="U112" s="176">
        <v>8</v>
      </c>
      <c r="V11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85.020799999999994</v>
      </c>
      <c r="W112" s="497"/>
      <c r="X112" s="176" t="s">
        <v>852</v>
      </c>
      <c r="Y112" s="547" t="s">
        <v>858</v>
      </c>
      <c r="Z112" s="160" t="s">
        <v>458</v>
      </c>
      <c r="AA112" s="563"/>
      <c r="AB112" cm="1">
        <f t="array" ref="AB112">ROW()-ROW(Contract_Edits[#Headers])</f>
        <v>88</v>
      </c>
      <c r="AC112">
        <f>IF(Contract_Edits[[#This Row],[RowPos]]&gt;1, Contract_Edits[[#This Row],[RowPos]]-1, 0)</f>
        <v>87</v>
      </c>
      <c r="AD112" s="35">
        <f>IF(N(Contract_Edits[[#This Row],[Dep]])=0, N(Contract_Edits[[#This Row],[Index]]), N(Contract_Edits[[#This Row],[Dep]]))</f>
        <v>180</v>
      </c>
      <c r="AE112" s="35" cm="1">
        <f t="array" ref="AE112">IF(OR(Contract_Edits[[#This Row],[Dep]]=0, TRIM(Contract_Edits[[#This Row],[Dep]])=""),
   0,
   IFERROR(
      _xlfn.XLOOKUP(1, (Contract_Edits[Dep]=Contract_Edits[[#This Row],[Dep]])*(Contract_Edits[RowPos]&lt;Contract_Edits[[#This Row],[RowPos]]), Contract_Edits[RowPos], , 0, -1),
      0
   )
)</f>
        <v>87</v>
      </c>
      <c r="AF112" s="35">
        <f>IF(OR(Contract_Edits[[#This Row],[Dep]]=0,Contract_Edits[[#This Row],[Dep]]=""),0,
   COUNTIFS(Contract_Edits[Dep],Contract_Edits[[#This Row],[Dep]],Contract_Edits[RowPos],"&lt;="&amp;Contract_Edits[[#This Row],[RowPos]],Contract_Edits[Approve],"Yes")
)</f>
        <v>8</v>
      </c>
      <c r="AG112" s="517">
        <f>--(
  ISNUMBER(SEARCH("BASE PARENT", UPPER(CLEAN(TRIM(_xlfn.XLOOKUP(TEXT(Contract_Edits[[#This Row],[Index]],"0"), baseIdxTxt, baseCost, "")))))) +
  ISNUMBER(SEARCH("DEPENDENCY GROUP", UPPER(CLEAN(TRIM(_xlfn.XLOOKUP(TEXT(Contract_Edits[[#This Row],[Index]],"0"), baseIdxTxt, baseCost, ""))))))
)</f>
        <v>0</v>
      </c>
      <c r="AH112" s="517" t="str" cm="1">
        <f t="array" ref="AH112">IF(Contract_Edits[[#This Row],[BaseFlag]]=1,
   10*BaseDepthL(TEXT(Contract_Edits[[#This Row],[Index]],"0"),500,editsIdxTxt,editsParentKeyTxt,baseIdxTxt,baseCost)-5,
   ""
)</f>
        <v/>
      </c>
      <c r="AI112" s="517" cm="1">
        <f t="array" ref="AI11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2" s="517" t="str">
        <f>IF(Contract_Edits[[#This Row],[Dep]]=0,"Root",
   IF(ISNUMBER(MATCH(Contract_Edits[[#This Row],[Dep]],Contract_Edits[Index],0)),"OK","Missing")
)</f>
        <v>OK</v>
      </c>
      <c r="AK112" s="517" t="str">
        <f>IF(AND(Contract_Edits[[#This Row],[Dep]]&lt;&gt;0,
        ISNUMBER(MATCH(Contract_Edits[[#This Row],[Dep]], Contract_Edits[Index], 0)),
        INDEX(Contract_Edits[Dep], MATCH(Contract_Edits[[#This Row],[Dep]], Contract_Edits[Index], 0))=Contract_Edits[[#This Row],[Index]]),
   "2-cycle","")</f>
        <v/>
      </c>
      <c r="AL112" s="517" cm="1">
        <f t="array" ref="AL112">IF(Contract_Edits[[#This Row],[BaseFlag]]&lt;&gt;1,0,
   IF(TEXT(Contract_Edits[[#This Row],[Dep]],"0")=TEXT(Contract_Edits[[#This Row],[Index]],"0"),
      0,
      MAX(0, SUMPRODUCT(--(Contract_Edits[BaseFlag]=1),
                        --(TEXT(Contract_Edits[Dep],"0")=TEXT(Contract_Edits[[#This Row],[Dep]],"0"))) - 1)
   )
)</f>
        <v>0</v>
      </c>
      <c r="AM112" s="517" t="str" cm="1">
        <f t="array" ref="AM112">IF(Contract_Edits[[#This Row],[BaseFlag]]=1,
   TEXT(Contract_Edits[[#This Row],[Index]],"0"),
   NearestBaseL(TEXT(Contract_Edits[[#This Row],[ParentKey]],"0"),500,editsIdxTxt,editsParentKeyTxt,baseIdxTxt,baseCost)
)</f>
        <v>180</v>
      </c>
      <c r="AN112" s="517" cm="1">
        <f t="array" ref="AN112">1+SUMPRODUCT(
  (Contract_Edits[BaseFlag]=1)*
  (TEXT(Contract_Edits[ParentAnchor],"0")=TEXT(Contract_Edits[[#This Row],[ParentAnchor]],"0"))*
  (VALUE(TEXT(Contract_Edits[Index],"0"))&lt;VALUE(TEXT(Contract_Edits[[#This Row],[Index]],"0")))
)</f>
        <v>1</v>
      </c>
      <c r="AO112" s="35"/>
      <c r="AP112" s="35" t="str">
        <f ca="1">IFERROR(+IF(AP$24=#REF!,Milestone_Marker,IF(AND(AP$24&gt;#REF!,AP$24&lt;#REF!+#REF!),#REF!,"")),"")</f>
        <v/>
      </c>
      <c r="AQ112" s="35" t="str">
        <f ca="1">IFERROR(+IF(AQ$24=#REF!,Milestone_Marker,IF(AND(AQ$24&gt;#REF!,AQ$24&lt;#REF!+#REF!),#REF!,"")),"")</f>
        <v/>
      </c>
      <c r="AR112" s="34"/>
      <c r="AS112" s="34"/>
      <c r="AT112" s="34"/>
      <c r="AU112" s="34"/>
      <c r="AV112" s="34"/>
      <c r="AW112" s="34"/>
      <c r="AX112" s="34"/>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row>
    <row r="113" spans="1:81" ht="15">
      <c r="A113" t="s">
        <v>519</v>
      </c>
      <c r="B113" t="s">
        <v>793</v>
      </c>
      <c r="C113" t="s">
        <v>1419</v>
      </c>
      <c r="D113" s="458" t="s">
        <v>1461</v>
      </c>
      <c r="E113" s="458">
        <v>1</v>
      </c>
      <c r="F113"/>
      <c r="G113"/>
      <c r="H113">
        <v>180</v>
      </c>
      <c r="I113"/>
      <c r="J113">
        <v>183</v>
      </c>
      <c r="K113" s="107"/>
      <c r="L113" s="463">
        <v>183</v>
      </c>
      <c r="M113" s="543">
        <v>1</v>
      </c>
      <c r="N113" s="544"/>
      <c r="O113" s="546" cm="1">
        <f t="array" ref="O11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46106</v>
      </c>
      <c r="P113" s="568"/>
      <c r="Q113" s="568"/>
      <c r="R113" s="499"/>
      <c r="S113" s="463" cm="1">
        <f t="array" ref="S11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13" s="34">
        <v>1</v>
      </c>
      <c r="U113" s="490">
        <v>9</v>
      </c>
      <c r="V11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85.020899999999997</v>
      </c>
      <c r="W113" s="557"/>
      <c r="X113" s="545"/>
      <c r="Y113" s="548" t="s">
        <v>858</v>
      </c>
      <c r="Z113" s="160" t="s">
        <v>458</v>
      </c>
      <c r="AA113" s="563">
        <v>102800</v>
      </c>
      <c r="AB113" s="34" cm="1">
        <f t="array" ref="AB113">ROW()-ROW(Contract_Edits[#Headers])</f>
        <v>89</v>
      </c>
      <c r="AC113" s="34">
        <f>IF(Contract_Edits[[#This Row],[RowPos]]&gt;1, Contract_Edits[[#This Row],[RowPos]]-1, 0)</f>
        <v>88</v>
      </c>
      <c r="AD113" s="35">
        <f>IF(N(Contract_Edits[[#This Row],[Dep]])=0, N(Contract_Edits[[#This Row],[Index]]), N(Contract_Edits[[#This Row],[Dep]]))</f>
        <v>180</v>
      </c>
      <c r="AE113" s="35" cm="1">
        <f t="array" ref="AE113">IF(OR(Contract_Edits[[#This Row],[Dep]]=0, TRIM(Contract_Edits[[#This Row],[Dep]])=""),
   0,
   IFERROR(
      _xlfn.XLOOKUP(1, (Contract_Edits[Dep]=Contract_Edits[[#This Row],[Dep]])*(Contract_Edits[RowPos]&lt;Contract_Edits[[#This Row],[RowPos]]), Contract_Edits[RowPos], , 0, -1),
      0
   )
)</f>
        <v>88</v>
      </c>
      <c r="AF113" s="35">
        <f>IF(OR(Contract_Edits[[#This Row],[Dep]]=0,Contract_Edits[[#This Row],[Dep]]=""),0,
   COUNTIFS(Contract_Edits[Dep],Contract_Edits[[#This Row],[Dep]],Contract_Edits[RowPos],"&lt;="&amp;Contract_Edits[[#This Row],[RowPos]],Contract_Edits[Approve],"Yes")
)</f>
        <v>9</v>
      </c>
      <c r="AG113" s="517">
        <f>--(
  ISNUMBER(SEARCH("BASE PARENT", UPPER(CLEAN(TRIM(_xlfn.XLOOKUP(TEXT(Contract_Edits[[#This Row],[Index]],"0"), baseIdxTxt, baseCost, "")))))) +
  ISNUMBER(SEARCH("DEPENDENCY GROUP", UPPER(CLEAN(TRIM(_xlfn.XLOOKUP(TEXT(Contract_Edits[[#This Row],[Index]],"0"), baseIdxTxt, baseCost, ""))))))
)</f>
        <v>0</v>
      </c>
      <c r="AH113" s="517" t="str" cm="1">
        <f t="array" ref="AH113">IF(Contract_Edits[[#This Row],[BaseFlag]]=1,
   10*BaseDepthL(TEXT(Contract_Edits[[#This Row],[Index]],"0"),500,editsIdxTxt,editsParentKeyTxt,baseIdxTxt,baseCost)-5,
   ""
)</f>
        <v/>
      </c>
      <c r="AI113" s="517" cm="1">
        <f t="array" ref="AI11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3" s="517" t="str">
        <f>IF(Contract_Edits[[#This Row],[Dep]]=0,"Root",
   IF(ISNUMBER(MATCH(Contract_Edits[[#This Row],[Dep]],Contract_Edits[Index],0)),"OK","Missing")
)</f>
        <v>OK</v>
      </c>
      <c r="AK113" s="517" t="str">
        <f>IF(AND(Contract_Edits[[#This Row],[Dep]]&lt;&gt;0,
        ISNUMBER(MATCH(Contract_Edits[[#This Row],[Dep]], Contract_Edits[Index], 0)),
        INDEX(Contract_Edits[Dep], MATCH(Contract_Edits[[#This Row],[Dep]], Contract_Edits[Index], 0))=Contract_Edits[[#This Row],[Index]]),
   "2-cycle","")</f>
        <v/>
      </c>
      <c r="AL113" s="517" cm="1">
        <f t="array" ref="AL113">IF(Contract_Edits[[#This Row],[BaseFlag]]&lt;&gt;1,0,
   IF(TEXT(Contract_Edits[[#This Row],[Dep]],"0")=TEXT(Contract_Edits[[#This Row],[Index]],"0"),
      0,
      MAX(0, SUMPRODUCT(--(Contract_Edits[BaseFlag]=1),
                        --(TEXT(Contract_Edits[Dep],"0")=TEXT(Contract_Edits[[#This Row],[Dep]],"0"))) - 1)
   )
)</f>
        <v>0</v>
      </c>
      <c r="AM113" s="517" t="str" cm="1">
        <f t="array" ref="AM113">IF(Contract_Edits[[#This Row],[BaseFlag]]=1,
   TEXT(Contract_Edits[[#This Row],[Index]],"0"),
   NearestBaseL(TEXT(Contract_Edits[[#This Row],[ParentKey]],"0"),500,editsIdxTxt,editsParentKeyTxt,baseIdxTxt,baseCost)
)</f>
        <v>180</v>
      </c>
      <c r="AN113" s="517" cm="1">
        <f t="array" ref="AN113">1+SUMPRODUCT(
  (Contract_Edits[BaseFlag]=1)*
  (TEXT(Contract_Edits[ParentAnchor],"0")=TEXT(Contract_Edits[[#This Row],[ParentAnchor]],"0"))*
  (VALUE(TEXT(Contract_Edits[Index],"0"))&lt;VALUE(TEXT(Contract_Edits[[#This Row],[Index]],"0")))
)</f>
        <v>2</v>
      </c>
      <c r="AO113" s="35"/>
      <c r="AP113" s="35" t="str">
        <f ca="1">IFERROR(+IF(AP$24=#REF!,Milestone_Marker,IF(AND(AP$24&gt;#REF!,AP$24&lt;#REF!+#REF!),#REF!,"")),"")</f>
        <v/>
      </c>
      <c r="AQ113" s="35" t="str">
        <f ca="1">IFERROR(+IF(AQ$24=#REF!,Milestone_Marker,IF(AND(AQ$24&gt;#REF!,AQ$24&lt;#REF!+#REF!),#REF!,"")),"")</f>
        <v/>
      </c>
      <c r="AR113" s="34"/>
      <c r="AS113" s="34"/>
      <c r="AT113" s="34"/>
      <c r="AU113" s="34"/>
      <c r="AV113" s="34"/>
      <c r="AW113" s="34"/>
      <c r="AX113" s="34"/>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row>
    <row r="114" spans="1:81" ht="15">
      <c r="A114" t="s">
        <v>552</v>
      </c>
      <c r="B114" t="s">
        <v>608</v>
      </c>
      <c r="C114" t="s">
        <v>613</v>
      </c>
      <c r="D114" s="458" t="s">
        <v>614</v>
      </c>
      <c r="E114" s="458">
        <v>1</v>
      </c>
      <c r="F114">
        <v>312.5</v>
      </c>
      <c r="G114">
        <v>312.5</v>
      </c>
      <c r="H114">
        <v>180</v>
      </c>
      <c r="I114">
        <v>312.5</v>
      </c>
      <c r="J114">
        <v>52</v>
      </c>
      <c r="K114" s="107"/>
      <c r="L114" s="463">
        <v>52</v>
      </c>
      <c r="M114" s="176">
        <v>1</v>
      </c>
      <c r="N114" s="160">
        <v>0</v>
      </c>
      <c r="O114" s="546" cm="1">
        <f t="array" ref="O11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46107</v>
      </c>
      <c r="P114" s="566" t="s">
        <v>458</v>
      </c>
      <c r="Q114" s="566">
        <v>0</v>
      </c>
      <c r="R114" s="22"/>
      <c r="S114" s="463" cm="1">
        <f t="array" ref="S11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14">
        <v>1</v>
      </c>
      <c r="U114" s="176">
        <v>10</v>
      </c>
      <c r="V11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85.021000000000001</v>
      </c>
      <c r="W114" s="497"/>
      <c r="X114" s="176" t="s">
        <v>852</v>
      </c>
      <c r="Y114" s="547" t="s">
        <v>858</v>
      </c>
      <c r="Z114" s="160" t="s">
        <v>458</v>
      </c>
      <c r="AA114" s="563"/>
      <c r="AB114" cm="1">
        <f t="array" ref="AB114">ROW()-ROW(Contract_Edits[#Headers])</f>
        <v>90</v>
      </c>
      <c r="AC114">
        <f>IF(Contract_Edits[[#This Row],[RowPos]]&gt;1, Contract_Edits[[#This Row],[RowPos]]-1, 0)</f>
        <v>89</v>
      </c>
      <c r="AD114" s="35">
        <f>IF(N(Contract_Edits[[#This Row],[Dep]])=0, N(Contract_Edits[[#This Row],[Index]]), N(Contract_Edits[[#This Row],[Dep]]))</f>
        <v>180</v>
      </c>
      <c r="AE114" s="35" cm="1">
        <f t="array" ref="AE114">IF(OR(Contract_Edits[[#This Row],[Dep]]=0, TRIM(Contract_Edits[[#This Row],[Dep]])=""),
   0,
   IFERROR(
      _xlfn.XLOOKUP(1, (Contract_Edits[Dep]=Contract_Edits[[#This Row],[Dep]])*(Contract_Edits[RowPos]&lt;Contract_Edits[[#This Row],[RowPos]]), Contract_Edits[RowPos], , 0, -1),
      0
   )
)</f>
        <v>89</v>
      </c>
      <c r="AF114" s="35">
        <f>IF(OR(Contract_Edits[[#This Row],[Dep]]=0,Contract_Edits[[#This Row],[Dep]]=""),0,
   COUNTIFS(Contract_Edits[Dep],Contract_Edits[[#This Row],[Dep]],Contract_Edits[RowPos],"&lt;="&amp;Contract_Edits[[#This Row],[RowPos]],Contract_Edits[Approve],"Yes")
)</f>
        <v>10</v>
      </c>
      <c r="AG114" s="517">
        <f>--(
  ISNUMBER(SEARCH("BASE PARENT", UPPER(CLEAN(TRIM(_xlfn.XLOOKUP(TEXT(Contract_Edits[[#This Row],[Index]],"0"), baseIdxTxt, baseCost, "")))))) +
  ISNUMBER(SEARCH("DEPENDENCY GROUP", UPPER(CLEAN(TRIM(_xlfn.XLOOKUP(TEXT(Contract_Edits[[#This Row],[Index]],"0"), baseIdxTxt, baseCost, ""))))))
)</f>
        <v>0</v>
      </c>
      <c r="AH114" s="517" t="str" cm="1">
        <f t="array" ref="AH114">IF(Contract_Edits[[#This Row],[BaseFlag]]=1,
   10*BaseDepthL(TEXT(Contract_Edits[[#This Row],[Index]],"0"),500,editsIdxTxt,editsParentKeyTxt,baseIdxTxt,baseCost)-5,
   ""
)</f>
        <v/>
      </c>
      <c r="AI114" s="517" cm="1">
        <f t="array" ref="AI11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4" s="517" t="str">
        <f>IF(Contract_Edits[[#This Row],[Dep]]=0,"Root",
   IF(ISNUMBER(MATCH(Contract_Edits[[#This Row],[Dep]],Contract_Edits[Index],0)),"OK","Missing")
)</f>
        <v>OK</v>
      </c>
      <c r="AK114" s="517" t="str">
        <f>IF(AND(Contract_Edits[[#This Row],[Dep]]&lt;&gt;0,
        ISNUMBER(MATCH(Contract_Edits[[#This Row],[Dep]], Contract_Edits[Index], 0)),
        INDEX(Contract_Edits[Dep], MATCH(Contract_Edits[[#This Row],[Dep]], Contract_Edits[Index], 0))=Contract_Edits[[#This Row],[Index]]),
   "2-cycle","")</f>
        <v/>
      </c>
      <c r="AL114" s="517" cm="1">
        <f t="array" ref="AL114">IF(Contract_Edits[[#This Row],[BaseFlag]]&lt;&gt;1,0,
   IF(TEXT(Contract_Edits[[#This Row],[Dep]],"0")=TEXT(Contract_Edits[[#This Row],[Index]],"0"),
      0,
      MAX(0, SUMPRODUCT(--(Contract_Edits[BaseFlag]=1),
                        --(TEXT(Contract_Edits[Dep],"0")=TEXT(Contract_Edits[[#This Row],[Dep]],"0"))) - 1)
   )
)</f>
        <v>0</v>
      </c>
      <c r="AM114" s="517" t="str" cm="1">
        <f t="array" ref="AM114">IF(Contract_Edits[[#This Row],[BaseFlag]]=1,
   TEXT(Contract_Edits[[#This Row],[Index]],"0"),
   NearestBaseL(TEXT(Contract_Edits[[#This Row],[ParentKey]],"0"),500,editsIdxTxt,editsParentKeyTxt,baseIdxTxt,baseCost)
)</f>
        <v>180</v>
      </c>
      <c r="AN114" s="517" cm="1">
        <f t="array" ref="AN114">1+SUMPRODUCT(
  (Contract_Edits[BaseFlag]=1)*
  (TEXT(Contract_Edits[ParentAnchor],"0")=TEXT(Contract_Edits[[#This Row],[ParentAnchor]],"0"))*
  (VALUE(TEXT(Contract_Edits[Index],"0"))&lt;VALUE(TEXT(Contract_Edits[[#This Row],[Index]],"0")))
)</f>
        <v>1</v>
      </c>
      <c r="AO114" s="35"/>
      <c r="AP114" s="35" t="str">
        <f ca="1">IFERROR(+IF(AP$24=#REF!,Milestone_Marker,IF(AND(AP$24&gt;#REF!,AP$24&lt;#REF!+#REF!),#REF!,"")),"")</f>
        <v/>
      </c>
      <c r="AQ114" s="35" t="str">
        <f ca="1">IFERROR(+IF(AQ$24=#REF!,Milestone_Marker,IF(AND(AQ$24&gt;#REF!,AQ$24&lt;#REF!+#REF!),#REF!,"")),"")</f>
        <v/>
      </c>
      <c r="AR114" s="34"/>
      <c r="AS114" s="34"/>
      <c r="AT114" s="34"/>
      <c r="AU114" s="34"/>
      <c r="AV114" s="34"/>
      <c r="AW114" s="34"/>
      <c r="AX114" s="3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row>
    <row r="115" spans="1:81" ht="15">
      <c r="A115" t="s">
        <v>467</v>
      </c>
      <c r="B115" t="s">
        <v>517</v>
      </c>
      <c r="C115" t="s">
        <v>1420</v>
      </c>
      <c r="D115" s="458" t="s">
        <v>1468</v>
      </c>
      <c r="E115" s="458">
        <v>1</v>
      </c>
      <c r="F115">
        <v>1359.72</v>
      </c>
      <c r="G115">
        <v>1359.72</v>
      </c>
      <c r="H115">
        <v>180</v>
      </c>
      <c r="I115"/>
      <c r="J115">
        <v>184</v>
      </c>
      <c r="K115" s="107"/>
      <c r="L115" s="463">
        <v>184</v>
      </c>
      <c r="M115" s="543"/>
      <c r="N115" s="544"/>
      <c r="O115" s="546" cm="1">
        <f t="array" ref="O11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46108</v>
      </c>
      <c r="P115" s="568"/>
      <c r="Q115" s="568"/>
      <c r="R115" s="499"/>
      <c r="S115" s="463" cm="1">
        <f t="array" ref="S11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15" s="34">
        <v>1</v>
      </c>
      <c r="U115" s="490">
        <v>11</v>
      </c>
      <c r="V11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85.02109999999999</v>
      </c>
      <c r="W115" s="557"/>
      <c r="X115" s="545"/>
      <c r="Y115" s="548" t="s">
        <v>858</v>
      </c>
      <c r="Z115" s="160" t="s">
        <v>458</v>
      </c>
      <c r="AA115" s="563">
        <v>101400</v>
      </c>
      <c r="AB115" s="34" cm="1">
        <f t="array" ref="AB115">ROW()-ROW(Contract_Edits[#Headers])</f>
        <v>91</v>
      </c>
      <c r="AC115" s="34">
        <f>IF(Contract_Edits[[#This Row],[RowPos]]&gt;1, Contract_Edits[[#This Row],[RowPos]]-1, 0)</f>
        <v>90</v>
      </c>
      <c r="AD115" s="35">
        <f>IF(N(Contract_Edits[[#This Row],[Dep]])=0, N(Contract_Edits[[#This Row],[Index]]), N(Contract_Edits[[#This Row],[Dep]]))</f>
        <v>180</v>
      </c>
      <c r="AE115" s="35"/>
      <c r="AF115" s="35">
        <f>IF(OR(Contract_Edits[[#This Row],[Dep]]=0,Contract_Edits[[#This Row],[Dep]]=""),0,
   COUNTIFS(Contract_Edits[Dep],Contract_Edits[[#This Row],[Dep]],Contract_Edits[RowPos],"&lt;="&amp;Contract_Edits[[#This Row],[RowPos]],Contract_Edits[Approve],"Yes")
)</f>
        <v>11</v>
      </c>
      <c r="AG115" s="517">
        <f>--(
  ISNUMBER(SEARCH("BASE PARENT", UPPER(CLEAN(TRIM(_xlfn.XLOOKUP(TEXT(Contract_Edits[[#This Row],[Index]],"0"), baseIdxTxt, baseCost, "")))))) +
  ISNUMBER(SEARCH("DEPENDENCY GROUP", UPPER(CLEAN(TRIM(_xlfn.XLOOKUP(TEXT(Contract_Edits[[#This Row],[Index]],"0"), baseIdxTxt, baseCost, ""))))))
)</f>
        <v>0</v>
      </c>
      <c r="AH115" s="517" t="str" cm="1">
        <f t="array" ref="AH115">IF(Contract_Edits[[#This Row],[BaseFlag]]=1,
   10*BaseDepthL(TEXT(Contract_Edits[[#This Row],[Index]],"0"),500,editsIdxTxt,editsParentKeyTxt,baseIdxTxt,baseCost)-5,
   ""
)</f>
        <v/>
      </c>
      <c r="AI115" s="517" cm="1">
        <f t="array" ref="AI11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5" s="517" t="str">
        <f>IF(Contract_Edits[[#This Row],[Dep]]=0,"Root",
   IF(ISNUMBER(MATCH(Contract_Edits[[#This Row],[Dep]],Contract_Edits[Index],0)),"OK","Missing")
)</f>
        <v>OK</v>
      </c>
      <c r="AK115" s="517" t="str">
        <f>IF(AND(Contract_Edits[[#This Row],[Dep]]&lt;&gt;0,
        ISNUMBER(MATCH(Contract_Edits[[#This Row],[Dep]], Contract_Edits[Index], 0)),
        INDEX(Contract_Edits[Dep], MATCH(Contract_Edits[[#This Row],[Dep]], Contract_Edits[Index], 0))=Contract_Edits[[#This Row],[Index]]),
   "2-cycle","")</f>
        <v/>
      </c>
      <c r="AL115" s="517" cm="1">
        <f t="array" ref="AL115">IF(Contract_Edits[[#This Row],[BaseFlag]]&lt;&gt;1,0,
   IF(TEXT(Contract_Edits[[#This Row],[Dep]],"0")=TEXT(Contract_Edits[[#This Row],[Index]],"0"),
      0,
      MAX(0, SUMPRODUCT(--(Contract_Edits[BaseFlag]=1),
                        --(TEXT(Contract_Edits[Dep],"0")=TEXT(Contract_Edits[[#This Row],[Dep]],"0"))) - 1)
   )
)</f>
        <v>0</v>
      </c>
      <c r="AM115" s="517" t="str" cm="1">
        <f t="array" ref="AM115">IF(Contract_Edits[[#This Row],[BaseFlag]]=1,
   TEXT(Contract_Edits[[#This Row],[Index]],"0"),
   NearestBaseL(TEXT(Contract_Edits[[#This Row],[ParentKey]],"0"),500,editsIdxTxt,editsParentKeyTxt,baseIdxTxt,baseCost)
)</f>
        <v>180</v>
      </c>
      <c r="AN115" s="517" cm="1">
        <f t="array" ref="AN115">1+SUMPRODUCT(
  (Contract_Edits[BaseFlag]=1)*
  (TEXT(Contract_Edits[ParentAnchor],"0")=TEXT(Contract_Edits[[#This Row],[ParentAnchor]],"0"))*
  (VALUE(TEXT(Contract_Edits[Index],"0"))&lt;VALUE(TEXT(Contract_Edits[[#This Row],[Index]],"0")))
)</f>
        <v>2</v>
      </c>
      <c r="AO115" s="35"/>
      <c r="AP115" s="35" t="str">
        <f ca="1">IFERROR(+IF(AP$24=#REF!,Milestone_Marker,IF(AND(AP$24&gt;#REF!,AP$24&lt;#REF!+#REF!),#REF!,"")),"")</f>
        <v/>
      </c>
      <c r="AQ115" s="35" t="str">
        <f ca="1">IFERROR(+IF(AQ$24=#REF!,Milestone_Marker,IF(AND(AQ$24&gt;#REF!,AQ$24&lt;#REF!+#REF!),#REF!,"")),"")</f>
        <v/>
      </c>
      <c r="AR115" s="34"/>
      <c r="AS115" s="34"/>
      <c r="AT115" s="34"/>
      <c r="AU115" s="34"/>
      <c r="AV115" s="34"/>
      <c r="AW115" s="34"/>
      <c r="AX115" s="34"/>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row>
    <row r="116" spans="1:81" ht="15">
      <c r="A116" t="s">
        <v>747</v>
      </c>
      <c r="B116" t="s">
        <v>744</v>
      </c>
      <c r="C116" t="s">
        <v>596</v>
      </c>
      <c r="D116" s="458" t="s">
        <v>758</v>
      </c>
      <c r="E116" s="458">
        <v>0</v>
      </c>
      <c r="F116"/>
      <c r="G116"/>
      <c r="H116">
        <v>160</v>
      </c>
      <c r="I116"/>
      <c r="J116">
        <v>161</v>
      </c>
      <c r="K116" s="107"/>
      <c r="L116" s="463">
        <v>161</v>
      </c>
      <c r="M116" s="490">
        <v>0</v>
      </c>
      <c r="N116" s="160">
        <v>0</v>
      </c>
      <c r="O116" s="546" cm="1">
        <f t="array" ref="O11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46006</v>
      </c>
      <c r="P116" s="567"/>
      <c r="Q116" s="567"/>
      <c r="R116" s="499"/>
      <c r="S116" s="463" cm="1">
        <f t="array" ref="S11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160</v>
      </c>
      <c r="T116" s="34">
        <v>1</v>
      </c>
      <c r="U116" s="490"/>
      <c r="V11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v>
      </c>
      <c r="W116" s="557"/>
      <c r="X116" s="545"/>
      <c r="Y116" s="548"/>
      <c r="Z116" s="535" t="s">
        <v>458</v>
      </c>
      <c r="AA116" s="544"/>
      <c r="AB116" cm="1">
        <f t="array" ref="AB116">ROW()-ROW(Contract_Edits[#Headers])</f>
        <v>92</v>
      </c>
      <c r="AC116">
        <f>IF(Contract_Edits[[#This Row],[RowPos]]&gt;1, Contract_Edits[[#This Row],[RowPos]]-1, 0)</f>
        <v>91</v>
      </c>
      <c r="AD116" s="35">
        <f>IF(N(Contract_Edits[[#This Row],[Dep]])=0, N(Contract_Edits[[#This Row],[Index]]), N(Contract_Edits[[#This Row],[Dep]]))</f>
        <v>160</v>
      </c>
      <c r="AE116" s="35" cm="1">
        <f t="array" ref="AE116">IF(OR(Contract_Edits[[#This Row],[Dep]]=0, TRIM(Contract_Edits[[#This Row],[Dep]])=""),
   0,
   IFERROR(
      _xlfn.XLOOKUP(1, (Contract_Edits[Dep]=Contract_Edits[[#This Row],[Dep]])*(Contract_Edits[RowPos]&lt;Contract_Edits[[#This Row],[RowPos]]), Contract_Edits[RowPos], , 0, -1),
      0
   )
)</f>
        <v>79</v>
      </c>
      <c r="AF116" s="35">
        <f>IF(OR(Contract_Edits[[#This Row],[Dep]]=0,Contract_Edits[[#This Row],[Dep]]=""),0,
   COUNTIFS(Contract_Edits[Dep],Contract_Edits[[#This Row],[Dep]],Contract_Edits[RowPos],"&lt;="&amp;Contract_Edits[[#This Row],[RowPos]],Contract_Edits[Approve],"Yes")
)</f>
        <v>3</v>
      </c>
      <c r="AG116" s="517">
        <f>--(
  ISNUMBER(SEARCH("BASE PARENT", UPPER(CLEAN(TRIM(_xlfn.XLOOKUP(TEXT(Contract_Edits[[#This Row],[Index]],"0"), baseIdxTxt, baseCost, "")))))) +
  ISNUMBER(SEARCH("DEPENDENCY GROUP", UPPER(CLEAN(TRIM(_xlfn.XLOOKUP(TEXT(Contract_Edits[[#This Row],[Index]],"0"), baseIdxTxt, baseCost, ""))))))
)</f>
        <v>1</v>
      </c>
      <c r="AH116" s="517" cm="1">
        <f t="array" ref="AH116">IF(Contract_Edits[[#This Row],[BaseFlag]]=1,
   10*BaseDepthL(TEXT(Contract_Edits[[#This Row],[Index]],"0"),500,editsIdxTxt,editsParentKeyTxt,baseIdxTxt,baseCost)-5,
   ""
)</f>
        <v>95</v>
      </c>
      <c r="AI116" s="517" cm="1">
        <f t="array" ref="AI11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6" s="517" t="str">
        <f>IF(Contract_Edits[[#This Row],[Dep]]=0,"Root",
   IF(ISNUMBER(MATCH(Contract_Edits[[#This Row],[Dep]],Contract_Edits[Index],0)),"OK","Missing")
)</f>
        <v>OK</v>
      </c>
      <c r="AK116" s="517" t="str">
        <f>IF(AND(Contract_Edits[[#This Row],[Dep]]&lt;&gt;0,
        ISNUMBER(MATCH(Contract_Edits[[#This Row],[Dep]], Contract_Edits[Index], 0)),
        INDEX(Contract_Edits[Dep], MATCH(Contract_Edits[[#This Row],[Dep]], Contract_Edits[Index], 0))=Contract_Edits[[#This Row],[Index]]),
   "2-cycle","")</f>
        <v/>
      </c>
      <c r="AL116" s="517" cm="1">
        <f t="array" ref="AL116">IF(Contract_Edits[[#This Row],[BaseFlag]]&lt;&gt;1,0,
   IF(TEXT(Contract_Edits[[#This Row],[Dep]],"0")=TEXT(Contract_Edits[[#This Row],[Index]],"0"),
      0,
      MAX(0, SUMPRODUCT(--(Contract_Edits[BaseFlag]=1),
                        --(TEXT(Contract_Edits[Dep],"0")=TEXT(Contract_Edits[[#This Row],[Dep]],"0"))) - 1)
   )
)</f>
        <v>0</v>
      </c>
      <c r="AM116" s="517" t="str" cm="1">
        <f t="array" ref="AM116">IF(Contract_Edits[[#This Row],[BaseFlag]]=1,
   TEXT(Contract_Edits[[#This Row],[Index]],"0"),
   NearestBaseL(TEXT(Contract_Edits[[#This Row],[ParentKey]],"0"),500,editsIdxTxt,editsParentKeyTxt,baseIdxTxt,baseCost)
)</f>
        <v>161</v>
      </c>
      <c r="AN116" s="517" cm="1">
        <f t="array" ref="AN116">1+SUMPRODUCT(
  (Contract_Edits[BaseFlag]=1)*
  (TEXT(Contract_Edits[ParentAnchor],"0")=TEXT(Contract_Edits[[#This Row],[ParentAnchor]],"0"))*
  (VALUE(TEXT(Contract_Edits[Index],"0"))&lt;VALUE(TEXT(Contract_Edits[[#This Row],[Index]],"0")))
)</f>
        <v>1</v>
      </c>
      <c r="AO116" s="35"/>
      <c r="AP116" s="35" t="str">
        <f ca="1">IFERROR(+IF(AP$24=#REF!,Milestone_Marker,IF(AND(AP$24&gt;#REF!,AP$24&lt;#REF!+#REF!),#REF!,"")),"")</f>
        <v/>
      </c>
      <c r="AQ116" s="35" t="str">
        <f ca="1">IFERROR(+IF(AQ$24=#REF!,Milestone_Marker,IF(AND(AQ$24&gt;#REF!,AQ$24&lt;#REF!+#REF!),#REF!,"")),"")</f>
        <v/>
      </c>
      <c r="AR116" s="34"/>
      <c r="AS116" s="34"/>
      <c r="AT116" s="34"/>
      <c r="AU116" s="34"/>
      <c r="AV116" s="34"/>
      <c r="AW116" s="34"/>
      <c r="AX116" s="34"/>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row>
    <row r="117" spans="1:81" ht="15">
      <c r="A117" t="s">
        <v>467</v>
      </c>
      <c r="B117" t="s">
        <v>639</v>
      </c>
      <c r="C117" t="s">
        <v>658</v>
      </c>
      <c r="D117" s="458" t="s">
        <v>660</v>
      </c>
      <c r="E117" s="458">
        <v>1</v>
      </c>
      <c r="F117">
        <v>870</v>
      </c>
      <c r="G117">
        <v>870</v>
      </c>
      <c r="H117">
        <v>161</v>
      </c>
      <c r="I117"/>
      <c r="J117">
        <v>85</v>
      </c>
      <c r="K117" s="107"/>
      <c r="L117" s="463">
        <v>85</v>
      </c>
      <c r="M117" s="176">
        <v>0</v>
      </c>
      <c r="N117" s="160">
        <v>0</v>
      </c>
      <c r="O117" s="546" cm="1">
        <f t="array" ref="O11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46006</v>
      </c>
      <c r="P117" s="566" t="s">
        <v>797</v>
      </c>
      <c r="Q117" s="566">
        <v>0</v>
      </c>
      <c r="R117" s="22"/>
      <c r="S117" s="463" cm="1">
        <f t="array" ref="S11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17">
        <v>1</v>
      </c>
      <c r="U117" s="176">
        <v>1</v>
      </c>
      <c r="V11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95.010100000000008</v>
      </c>
      <c r="W117" s="497"/>
      <c r="X117" s="176" t="s">
        <v>866</v>
      </c>
      <c r="Y117" s="547" t="s">
        <v>879</v>
      </c>
      <c r="Z117" s="160" t="s">
        <v>458</v>
      </c>
      <c r="AA117" s="563">
        <v>103600</v>
      </c>
      <c r="AB117" cm="1">
        <f t="array" ref="AB117">ROW()-ROW(Contract_Edits[#Headers])</f>
        <v>93</v>
      </c>
      <c r="AC117">
        <f>IF(Contract_Edits[[#This Row],[RowPos]]&gt;1, Contract_Edits[[#This Row],[RowPos]]-1, 0)</f>
        <v>92</v>
      </c>
      <c r="AD117" s="35">
        <f>IF(N(Contract_Edits[[#This Row],[Dep]])=0, N(Contract_Edits[[#This Row],[Index]]), N(Contract_Edits[[#This Row],[Dep]]))</f>
        <v>161</v>
      </c>
      <c r="AE117" s="35" cm="1">
        <f t="array" ref="AE117">IF(OR(Contract_Edits[[#This Row],[Dep]]=0, TRIM(Contract_Edits[[#This Row],[Dep]])=""),
   0,
   IFERROR(
      _xlfn.XLOOKUP(1, (Contract_Edits[Dep]=Contract_Edits[[#This Row],[Dep]])*(Contract_Edits[RowPos]&lt;Contract_Edits[[#This Row],[RowPos]]), Contract_Edits[RowPos], , 0, -1),
      0
   )
)</f>
        <v>0</v>
      </c>
      <c r="AF117" s="35">
        <f>IF(OR(Contract_Edits[[#This Row],[Dep]]=0,Contract_Edits[[#This Row],[Dep]]=""),0,
   COUNTIFS(Contract_Edits[Dep],Contract_Edits[[#This Row],[Dep]],Contract_Edits[RowPos],"&lt;="&amp;Contract_Edits[[#This Row],[RowPos]],Contract_Edits[Approve],"Yes")
)</f>
        <v>1</v>
      </c>
      <c r="AG117" s="517">
        <f>--(
  ISNUMBER(SEARCH("BASE PARENT", UPPER(CLEAN(TRIM(_xlfn.XLOOKUP(TEXT(Contract_Edits[[#This Row],[Index]],"0"), baseIdxTxt, baseCost, "")))))) +
  ISNUMBER(SEARCH("DEPENDENCY GROUP", UPPER(CLEAN(TRIM(_xlfn.XLOOKUP(TEXT(Contract_Edits[[#This Row],[Index]],"0"), baseIdxTxt, baseCost, ""))))))
)</f>
        <v>0</v>
      </c>
      <c r="AH117" s="517" t="str" cm="1">
        <f t="array" ref="AH117">IF(Contract_Edits[[#This Row],[BaseFlag]]=1,
   10*BaseDepthL(TEXT(Contract_Edits[[#This Row],[Index]],"0"),500,editsIdxTxt,editsParentKeyTxt,baseIdxTxt,baseCost)-5,
   ""
)</f>
        <v/>
      </c>
      <c r="AI117" s="517" cm="1">
        <f t="array" ref="AI11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17" s="517" t="str">
        <f>IF(Contract_Edits[[#This Row],[Dep]]=0,"Root",
   IF(ISNUMBER(MATCH(Contract_Edits[[#This Row],[Dep]],Contract_Edits[Index],0)),"OK","Missing")
)</f>
        <v>OK</v>
      </c>
      <c r="AK117" s="517" t="str">
        <f>IF(AND(Contract_Edits[[#This Row],[Dep]]&lt;&gt;0,
        ISNUMBER(MATCH(Contract_Edits[[#This Row],[Dep]], Contract_Edits[Index], 0)),
        INDEX(Contract_Edits[Dep], MATCH(Contract_Edits[[#This Row],[Dep]], Contract_Edits[Index], 0))=Contract_Edits[[#This Row],[Index]]),
   "2-cycle","")</f>
        <v/>
      </c>
      <c r="AL117" s="517" cm="1">
        <f t="array" ref="AL117">IF(Contract_Edits[[#This Row],[BaseFlag]]&lt;&gt;1,0,
   IF(TEXT(Contract_Edits[[#This Row],[Dep]],"0")=TEXT(Contract_Edits[[#This Row],[Index]],"0"),
      0,
      MAX(0, SUMPRODUCT(--(Contract_Edits[BaseFlag]=1),
                        --(TEXT(Contract_Edits[Dep],"0")=TEXT(Contract_Edits[[#This Row],[Dep]],"0"))) - 1)
   )
)</f>
        <v>0</v>
      </c>
      <c r="AM117" s="517" t="str" cm="1">
        <f t="array" ref="AM117">IF(Contract_Edits[[#This Row],[BaseFlag]]=1,
   TEXT(Contract_Edits[[#This Row],[Index]],"0"),
   NearestBaseL(TEXT(Contract_Edits[[#This Row],[ParentKey]],"0"),500,editsIdxTxt,editsParentKeyTxt,baseIdxTxt,baseCost)
)</f>
        <v>161</v>
      </c>
      <c r="AN117" s="517" cm="1">
        <f t="array" ref="AN117">1+SUMPRODUCT(
  (Contract_Edits[BaseFlag]=1)*
  (TEXT(Contract_Edits[ParentAnchor],"0")=TEXT(Contract_Edits[[#This Row],[ParentAnchor]],"0"))*
  (VALUE(TEXT(Contract_Edits[Index],"0"))&lt;VALUE(TEXT(Contract_Edits[[#This Row],[Index]],"0")))
)</f>
        <v>1</v>
      </c>
      <c r="AO117" s="35"/>
      <c r="AP117" s="35" t="str">
        <f ca="1">IFERROR(+IF(AP$24=#REF!,Milestone_Marker,IF(AND(AP$24&gt;#REF!,AP$24&lt;#REF!+#REF!),#REF!,"")),"")</f>
        <v/>
      </c>
      <c r="AQ117" s="35" t="str">
        <f ca="1">IFERROR(+IF(AQ$24=#REF!,Milestone_Marker,IF(AND(AQ$24&gt;#REF!,AQ$24&lt;#REF!+#REF!),#REF!,"")),"")</f>
        <v/>
      </c>
      <c r="AR117" s="34"/>
      <c r="AS117" s="34"/>
      <c r="AT117" s="34"/>
      <c r="AU117" s="34"/>
      <c r="AV117" s="34"/>
      <c r="AW117" s="34"/>
      <c r="AX117" s="34"/>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row>
    <row r="118" spans="1:81" ht="15">
      <c r="A118" t="s">
        <v>467</v>
      </c>
      <c r="B118" t="s">
        <v>521</v>
      </c>
      <c r="C118" t="s">
        <v>596</v>
      </c>
      <c r="D118" s="458" t="s">
        <v>698</v>
      </c>
      <c r="E118" s="458">
        <v>1</v>
      </c>
      <c r="F118">
        <v>0</v>
      </c>
      <c r="G118">
        <v>0</v>
      </c>
      <c r="H118">
        <v>161</v>
      </c>
      <c r="I118"/>
      <c r="J118">
        <v>115</v>
      </c>
      <c r="K118" s="107"/>
      <c r="L118" s="463">
        <v>115</v>
      </c>
      <c r="M118" s="176">
        <v>1</v>
      </c>
      <c r="N118" s="160">
        <v>0</v>
      </c>
      <c r="O118" s="546" cm="1">
        <f t="array" ref="O11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46006</v>
      </c>
      <c r="P118" s="566" t="s">
        <v>797</v>
      </c>
      <c r="Q118" s="566">
        <v>0</v>
      </c>
      <c r="R118" s="22"/>
      <c r="S118" s="463" cm="1">
        <f t="array" ref="S11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18">
        <v>1</v>
      </c>
      <c r="U118" s="176">
        <v>2</v>
      </c>
      <c r="V11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95.010200000000012</v>
      </c>
      <c r="W118" s="497"/>
      <c r="X118" s="176" t="s">
        <v>866</v>
      </c>
      <c r="Y118" s="547" t="s">
        <v>879</v>
      </c>
      <c r="Z118" s="160" t="s">
        <v>458</v>
      </c>
      <c r="AA118" s="563">
        <v>103600</v>
      </c>
      <c r="AB118" cm="1">
        <f t="array" ref="AB118">ROW()-ROW(Contract_Edits[#Headers])</f>
        <v>94</v>
      </c>
      <c r="AC118">
        <f>IF(Contract_Edits[[#This Row],[RowPos]]&gt;1, Contract_Edits[[#This Row],[RowPos]]-1, 0)</f>
        <v>93</v>
      </c>
      <c r="AD118" s="35">
        <f>IF(N(Contract_Edits[[#This Row],[Dep]])=0, N(Contract_Edits[[#This Row],[Index]]), N(Contract_Edits[[#This Row],[Dep]]))</f>
        <v>161</v>
      </c>
      <c r="AE118" s="35" cm="1">
        <f t="array" ref="AE118">IF(OR(Contract_Edits[[#This Row],[Dep]]=0, TRIM(Contract_Edits[[#This Row],[Dep]])=""),
   0,
   IFERROR(
      _xlfn.XLOOKUP(1, (Contract_Edits[Dep]=Contract_Edits[[#This Row],[Dep]])*(Contract_Edits[RowPos]&lt;Contract_Edits[[#This Row],[RowPos]]), Contract_Edits[RowPos], , 0, -1),
      0
   )
)</f>
        <v>93</v>
      </c>
      <c r="AF118" s="35">
        <f>IF(OR(Contract_Edits[[#This Row],[Dep]]=0,Contract_Edits[[#This Row],[Dep]]=""),0,
   COUNTIFS(Contract_Edits[Dep],Contract_Edits[[#This Row],[Dep]],Contract_Edits[RowPos],"&lt;="&amp;Contract_Edits[[#This Row],[RowPos]],Contract_Edits[Approve],"Yes")
)</f>
        <v>2</v>
      </c>
      <c r="AG118" s="517">
        <f>--(
  ISNUMBER(SEARCH("BASE PARENT", UPPER(CLEAN(TRIM(_xlfn.XLOOKUP(TEXT(Contract_Edits[[#This Row],[Index]],"0"), baseIdxTxt, baseCost, "")))))) +
  ISNUMBER(SEARCH("DEPENDENCY GROUP", UPPER(CLEAN(TRIM(_xlfn.XLOOKUP(TEXT(Contract_Edits[[#This Row],[Index]],"0"), baseIdxTxt, baseCost, ""))))))
)</f>
        <v>0</v>
      </c>
      <c r="AH118" s="517" t="str" cm="1">
        <f t="array" ref="AH118">IF(Contract_Edits[[#This Row],[BaseFlag]]=1,
   10*BaseDepthL(TEXT(Contract_Edits[[#This Row],[Index]],"0"),500,editsIdxTxt,editsParentKeyTxt,baseIdxTxt,baseCost)-5,
   ""
)</f>
        <v/>
      </c>
      <c r="AI118" s="517" cm="1">
        <f t="array" ref="AI11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18" s="517" t="str">
        <f>IF(Contract_Edits[[#This Row],[Dep]]=0,"Root",
   IF(ISNUMBER(MATCH(Contract_Edits[[#This Row],[Dep]],Contract_Edits[Index],0)),"OK","Missing")
)</f>
        <v>OK</v>
      </c>
      <c r="AK118" s="517" t="str">
        <f>IF(AND(Contract_Edits[[#This Row],[Dep]]&lt;&gt;0,
        ISNUMBER(MATCH(Contract_Edits[[#This Row],[Dep]], Contract_Edits[Index], 0)),
        INDEX(Contract_Edits[Dep], MATCH(Contract_Edits[[#This Row],[Dep]], Contract_Edits[Index], 0))=Contract_Edits[[#This Row],[Index]]),
   "2-cycle","")</f>
        <v/>
      </c>
      <c r="AL118" s="517" cm="1">
        <f t="array" ref="AL118">IF(Contract_Edits[[#This Row],[BaseFlag]]&lt;&gt;1,0,
   IF(TEXT(Contract_Edits[[#This Row],[Dep]],"0")=TEXT(Contract_Edits[[#This Row],[Index]],"0"),
      0,
      MAX(0, SUMPRODUCT(--(Contract_Edits[BaseFlag]=1),
                        --(TEXT(Contract_Edits[Dep],"0")=TEXT(Contract_Edits[[#This Row],[Dep]],"0"))) - 1)
   )
)</f>
        <v>0</v>
      </c>
      <c r="AM118" s="517" t="str" cm="1">
        <f t="array" ref="AM118">IF(Contract_Edits[[#This Row],[BaseFlag]]=1,
   TEXT(Contract_Edits[[#This Row],[Index]],"0"),
   NearestBaseL(TEXT(Contract_Edits[[#This Row],[ParentKey]],"0"),500,editsIdxTxt,editsParentKeyTxt,baseIdxTxt,baseCost)
)</f>
        <v>161</v>
      </c>
      <c r="AN118" s="517" cm="1">
        <f t="array" ref="AN118">1+SUMPRODUCT(
  (Contract_Edits[BaseFlag]=1)*
  (TEXT(Contract_Edits[ParentAnchor],"0")=TEXT(Contract_Edits[[#This Row],[ParentAnchor]],"0"))*
  (VALUE(TEXT(Contract_Edits[Index],"0"))&lt;VALUE(TEXT(Contract_Edits[[#This Row],[Index]],"0")))
)</f>
        <v>1</v>
      </c>
      <c r="AO118" s="35"/>
      <c r="AP118" s="35" t="str">
        <f ca="1">IFERROR(+IF(AP$24=#REF!,Milestone_Marker,IF(AND(AP$24&gt;#REF!,AP$24&lt;#REF!+#REF!),#REF!,"")),"")</f>
        <v/>
      </c>
      <c r="AQ118" s="35" t="str">
        <f ca="1">IFERROR(+IF(AQ$24=#REF!,Milestone_Marker,IF(AND(AQ$24&gt;#REF!,AQ$24&lt;#REF!+#REF!),#REF!,"")),"")</f>
        <v/>
      </c>
      <c r="AR118" s="34"/>
      <c r="AS118" s="34"/>
      <c r="AT118" s="34"/>
      <c r="AU118" s="34"/>
      <c r="AV118" s="34"/>
      <c r="AW118" s="34"/>
      <c r="AX118" s="34"/>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row>
    <row r="119" spans="1:81" ht="15">
      <c r="A119" t="s">
        <v>467</v>
      </c>
      <c r="B119" t="s">
        <v>608</v>
      </c>
      <c r="C119" t="s">
        <v>596</v>
      </c>
      <c r="D119" s="458" t="s">
        <v>624</v>
      </c>
      <c r="E119" s="458">
        <v>25</v>
      </c>
      <c r="F119">
        <v>36.25</v>
      </c>
      <c r="G119">
        <v>906.25</v>
      </c>
      <c r="H119">
        <v>161</v>
      </c>
      <c r="I119"/>
      <c r="J119">
        <v>60</v>
      </c>
      <c r="K119" s="107"/>
      <c r="L119" s="463">
        <v>60</v>
      </c>
      <c r="M119" s="176">
        <v>1</v>
      </c>
      <c r="N119" s="160">
        <v>0</v>
      </c>
      <c r="O119" s="546" cm="1">
        <f t="array" ref="O11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46007</v>
      </c>
      <c r="P119" s="566" t="s">
        <v>797</v>
      </c>
      <c r="Q119" s="566">
        <v>0</v>
      </c>
      <c r="R119" s="22"/>
      <c r="S119" s="463" cm="1">
        <f t="array" ref="S11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19">
        <v>1</v>
      </c>
      <c r="U119" s="176">
        <v>3</v>
      </c>
      <c r="V11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95.010300000000001</v>
      </c>
      <c r="W119" s="497"/>
      <c r="X119" s="176" t="s">
        <v>866</v>
      </c>
      <c r="Y119" s="547" t="s">
        <v>879</v>
      </c>
      <c r="Z119" s="160" t="s">
        <v>458</v>
      </c>
      <c r="AA119" s="563">
        <v>103600</v>
      </c>
      <c r="AB119" cm="1">
        <f t="array" ref="AB119">ROW()-ROW(Contract_Edits[#Headers])</f>
        <v>95</v>
      </c>
      <c r="AC119">
        <f>IF(Contract_Edits[[#This Row],[RowPos]]&gt;1, Contract_Edits[[#This Row],[RowPos]]-1, 0)</f>
        <v>94</v>
      </c>
      <c r="AD119" s="35">
        <f>IF(N(Contract_Edits[[#This Row],[Dep]])=0, N(Contract_Edits[[#This Row],[Index]]), N(Contract_Edits[[#This Row],[Dep]]))</f>
        <v>161</v>
      </c>
      <c r="AE119" s="35" cm="1">
        <f t="array" ref="AE119">IF(OR(Contract_Edits[[#This Row],[Dep]]=0, TRIM(Contract_Edits[[#This Row],[Dep]])=""),
   0,
   IFERROR(
      _xlfn.XLOOKUP(1, (Contract_Edits[Dep]=Contract_Edits[[#This Row],[Dep]])*(Contract_Edits[RowPos]&lt;Contract_Edits[[#This Row],[RowPos]]), Contract_Edits[RowPos], , 0, -1),
      0
   )
)</f>
        <v>94</v>
      </c>
      <c r="AF119" s="35">
        <f>IF(OR(Contract_Edits[[#This Row],[Dep]]=0,Contract_Edits[[#This Row],[Dep]]=""),0,
   COUNTIFS(Contract_Edits[Dep],Contract_Edits[[#This Row],[Dep]],Contract_Edits[RowPos],"&lt;="&amp;Contract_Edits[[#This Row],[RowPos]],Contract_Edits[Approve],"Yes")
)</f>
        <v>3</v>
      </c>
      <c r="AG119" s="517">
        <f>--(
  ISNUMBER(SEARCH("BASE PARENT", UPPER(CLEAN(TRIM(_xlfn.XLOOKUP(TEXT(Contract_Edits[[#This Row],[Index]],"0"), baseIdxTxt, baseCost, "")))))) +
  ISNUMBER(SEARCH("DEPENDENCY GROUP", UPPER(CLEAN(TRIM(_xlfn.XLOOKUP(TEXT(Contract_Edits[[#This Row],[Index]],"0"), baseIdxTxt, baseCost, ""))))))
)</f>
        <v>0</v>
      </c>
      <c r="AH119" s="517" t="str" cm="1">
        <f t="array" ref="AH119">IF(Contract_Edits[[#This Row],[BaseFlag]]=1,
   10*BaseDepthL(TEXT(Contract_Edits[[#This Row],[Index]],"0"),500,editsIdxTxt,editsParentKeyTxt,baseIdxTxt,baseCost)-5,
   ""
)</f>
        <v/>
      </c>
      <c r="AI119" s="517" cm="1">
        <f t="array" ref="AI11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19" s="517" t="str">
        <f>IF(Contract_Edits[[#This Row],[Dep]]=0,"Root",
   IF(ISNUMBER(MATCH(Contract_Edits[[#This Row],[Dep]],Contract_Edits[Index],0)),"OK","Missing")
)</f>
        <v>OK</v>
      </c>
      <c r="AK119" s="517" t="str">
        <f>IF(AND(Contract_Edits[[#This Row],[Dep]]&lt;&gt;0,
        ISNUMBER(MATCH(Contract_Edits[[#This Row],[Dep]], Contract_Edits[Index], 0)),
        INDEX(Contract_Edits[Dep], MATCH(Contract_Edits[[#This Row],[Dep]], Contract_Edits[Index], 0))=Contract_Edits[[#This Row],[Index]]),
   "2-cycle","")</f>
        <v/>
      </c>
      <c r="AL119" s="517" cm="1">
        <f t="array" ref="AL119">IF(Contract_Edits[[#This Row],[BaseFlag]]&lt;&gt;1,0,
   IF(TEXT(Contract_Edits[[#This Row],[Dep]],"0")=TEXT(Contract_Edits[[#This Row],[Index]],"0"),
      0,
      MAX(0, SUMPRODUCT(--(Contract_Edits[BaseFlag]=1),
                        --(TEXT(Contract_Edits[Dep],"0")=TEXT(Contract_Edits[[#This Row],[Dep]],"0"))) - 1)
   )
)</f>
        <v>0</v>
      </c>
      <c r="AM119" s="517" t="str" cm="1">
        <f t="array" ref="AM119">IF(Contract_Edits[[#This Row],[BaseFlag]]=1,
   TEXT(Contract_Edits[[#This Row],[Index]],"0"),
   NearestBaseL(TEXT(Contract_Edits[[#This Row],[ParentKey]],"0"),500,editsIdxTxt,editsParentKeyTxt,baseIdxTxt,baseCost)
)</f>
        <v>161</v>
      </c>
      <c r="AN119" s="517" cm="1">
        <f t="array" ref="AN119">1+SUMPRODUCT(
  (Contract_Edits[BaseFlag]=1)*
  (TEXT(Contract_Edits[ParentAnchor],"0")=TEXT(Contract_Edits[[#This Row],[ParentAnchor]],"0"))*
  (VALUE(TEXT(Contract_Edits[Index],"0"))&lt;VALUE(TEXT(Contract_Edits[[#This Row],[Index]],"0")))
)</f>
        <v>1</v>
      </c>
      <c r="AO119" s="35"/>
      <c r="AP119" s="35" t="str">
        <f ca="1">IFERROR(+IF(AP$24=#REF!,Milestone_Marker,IF(AND(AP$24&gt;#REF!,AP$24&lt;#REF!+#REF!),#REF!,"")),"")</f>
        <v/>
      </c>
      <c r="AQ119" s="35" t="str">
        <f ca="1">IFERROR(+IF(AQ$24=#REF!,Milestone_Marker,IF(AND(AQ$24&gt;#REF!,AQ$24&lt;#REF!+#REF!),#REF!,"")),"")</f>
        <v/>
      </c>
      <c r="AR119" s="34"/>
      <c r="AS119" s="34"/>
      <c r="AT119" s="34"/>
      <c r="AU119" s="34"/>
      <c r="AV119" s="34"/>
      <c r="AW119" s="34"/>
      <c r="AX119" s="34"/>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row>
    <row r="120" spans="1:81" ht="30">
      <c r="A120" t="s">
        <v>519</v>
      </c>
      <c r="B120" t="s">
        <v>521</v>
      </c>
      <c r="C120" t="s">
        <v>596</v>
      </c>
      <c r="D120" s="458" t="s">
        <v>697</v>
      </c>
      <c r="E120" s="458">
        <v>1</v>
      </c>
      <c r="F120">
        <v>2320</v>
      </c>
      <c r="G120">
        <v>2320</v>
      </c>
      <c r="H120">
        <v>161</v>
      </c>
      <c r="I120"/>
      <c r="J120">
        <v>114</v>
      </c>
      <c r="K120" s="107"/>
      <c r="L120" s="463">
        <v>114</v>
      </c>
      <c r="M120" s="176">
        <v>4</v>
      </c>
      <c r="N120" s="160">
        <v>0</v>
      </c>
      <c r="O120" s="546" cm="1">
        <f t="array" ref="O12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46008</v>
      </c>
      <c r="P120" s="566" t="s">
        <v>797</v>
      </c>
      <c r="Q120" s="566">
        <v>0</v>
      </c>
      <c r="R120" s="22"/>
      <c r="S120" s="463" cm="1">
        <f t="array" ref="S12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20">
        <v>1</v>
      </c>
      <c r="U120" s="176">
        <v>4</v>
      </c>
      <c r="V12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95.010400000000004</v>
      </c>
      <c r="W120" s="497"/>
      <c r="X120" s="176" t="s">
        <v>852</v>
      </c>
      <c r="Y120" s="547" t="s">
        <v>879</v>
      </c>
      <c r="Z120" s="160" t="s">
        <v>458</v>
      </c>
      <c r="AA120" s="563">
        <v>103600</v>
      </c>
      <c r="AB120" cm="1">
        <f t="array" ref="AB120">ROW()-ROW(Contract_Edits[#Headers])</f>
        <v>96</v>
      </c>
      <c r="AC120">
        <f>IF(Contract_Edits[[#This Row],[RowPos]]&gt;1, Contract_Edits[[#This Row],[RowPos]]-1, 0)</f>
        <v>95</v>
      </c>
      <c r="AD120" s="35">
        <f>IF(N(Contract_Edits[[#This Row],[Dep]])=0, N(Contract_Edits[[#This Row],[Index]]), N(Contract_Edits[[#This Row],[Dep]]))</f>
        <v>161</v>
      </c>
      <c r="AE120" s="35" cm="1">
        <f t="array" ref="AE120">IF(OR(Contract_Edits[[#This Row],[Dep]]=0, TRIM(Contract_Edits[[#This Row],[Dep]])=""),
   0,
   IFERROR(
      _xlfn.XLOOKUP(1, (Contract_Edits[Dep]=Contract_Edits[[#This Row],[Dep]])*(Contract_Edits[RowPos]&lt;Contract_Edits[[#This Row],[RowPos]]), Contract_Edits[RowPos], , 0, -1),
      0
   )
)</f>
        <v>95</v>
      </c>
      <c r="AF120" s="35">
        <f>IF(OR(Contract_Edits[[#This Row],[Dep]]=0,Contract_Edits[[#This Row],[Dep]]=""),0,
   COUNTIFS(Contract_Edits[Dep],Contract_Edits[[#This Row],[Dep]],Contract_Edits[RowPos],"&lt;="&amp;Contract_Edits[[#This Row],[RowPos]],Contract_Edits[Approve],"Yes")
)</f>
        <v>4</v>
      </c>
      <c r="AG120" s="517">
        <f>--(
  ISNUMBER(SEARCH("BASE PARENT", UPPER(CLEAN(TRIM(_xlfn.XLOOKUP(TEXT(Contract_Edits[[#This Row],[Index]],"0"), baseIdxTxt, baseCost, "")))))) +
  ISNUMBER(SEARCH("DEPENDENCY GROUP", UPPER(CLEAN(TRIM(_xlfn.XLOOKUP(TEXT(Contract_Edits[[#This Row],[Index]],"0"), baseIdxTxt, baseCost, ""))))))
)</f>
        <v>0</v>
      </c>
      <c r="AH120" s="517" t="str" cm="1">
        <f t="array" ref="AH120">IF(Contract_Edits[[#This Row],[BaseFlag]]=1,
   10*BaseDepthL(TEXT(Contract_Edits[[#This Row],[Index]],"0"),500,editsIdxTxt,editsParentKeyTxt,baseIdxTxt,baseCost)-5,
   ""
)</f>
        <v/>
      </c>
      <c r="AI120" s="517" cm="1">
        <f t="array" ref="AI12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20" s="517" t="str">
        <f>IF(Contract_Edits[[#This Row],[Dep]]=0,"Root",
   IF(ISNUMBER(MATCH(Contract_Edits[[#This Row],[Dep]],Contract_Edits[Index],0)),"OK","Missing")
)</f>
        <v>OK</v>
      </c>
      <c r="AK120" s="517" t="str">
        <f>IF(AND(Contract_Edits[[#This Row],[Dep]]&lt;&gt;0,
        ISNUMBER(MATCH(Contract_Edits[[#This Row],[Dep]], Contract_Edits[Index], 0)),
        INDEX(Contract_Edits[Dep], MATCH(Contract_Edits[[#This Row],[Dep]], Contract_Edits[Index], 0))=Contract_Edits[[#This Row],[Index]]),
   "2-cycle","")</f>
        <v/>
      </c>
      <c r="AL120" s="517" cm="1">
        <f t="array" ref="AL120">IF(Contract_Edits[[#This Row],[BaseFlag]]&lt;&gt;1,0,
   IF(TEXT(Contract_Edits[[#This Row],[Dep]],"0")=TEXT(Contract_Edits[[#This Row],[Index]],"0"),
      0,
      MAX(0, SUMPRODUCT(--(Contract_Edits[BaseFlag]=1),
                        --(TEXT(Contract_Edits[Dep],"0")=TEXT(Contract_Edits[[#This Row],[Dep]],"0"))) - 1)
   )
)</f>
        <v>0</v>
      </c>
      <c r="AM120" s="517" t="str" cm="1">
        <f t="array" ref="AM120">IF(Contract_Edits[[#This Row],[BaseFlag]]=1,
   TEXT(Contract_Edits[[#This Row],[Index]],"0"),
   NearestBaseL(TEXT(Contract_Edits[[#This Row],[ParentKey]],"0"),500,editsIdxTxt,editsParentKeyTxt,baseIdxTxt,baseCost)
)</f>
        <v>161</v>
      </c>
      <c r="AN120" s="517" cm="1">
        <f t="array" ref="AN120">1+SUMPRODUCT(
  (Contract_Edits[BaseFlag]=1)*
  (TEXT(Contract_Edits[ParentAnchor],"0")=TEXT(Contract_Edits[[#This Row],[ParentAnchor]],"0"))*
  (VALUE(TEXT(Contract_Edits[Index],"0"))&lt;VALUE(TEXT(Contract_Edits[[#This Row],[Index]],"0")))
)</f>
        <v>1</v>
      </c>
      <c r="AO120" s="35"/>
      <c r="AP120" s="35" t="str">
        <f ca="1">IFERROR(+IF(AP$24=#REF!,Milestone_Marker,IF(AND(AP$24&gt;#REF!,AP$24&lt;#REF!+#REF!),#REF!,"")),"")</f>
        <v/>
      </c>
      <c r="AQ120" s="35" t="str">
        <f ca="1">IFERROR(+IF(AQ$24=#REF!,Milestone_Marker,IF(AND(AQ$24&gt;#REF!,AQ$24&lt;#REF!+#REF!),#REF!,"")),"")</f>
        <v/>
      </c>
      <c r="AR120" s="34"/>
      <c r="AS120" s="34"/>
      <c r="AT120" s="34"/>
      <c r="AU120" s="34"/>
      <c r="AV120" s="34"/>
      <c r="AW120" s="34"/>
      <c r="AX120" s="34"/>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row>
    <row r="121" spans="1:81" ht="15">
      <c r="A121" t="s">
        <v>467</v>
      </c>
      <c r="B121" t="s">
        <v>639</v>
      </c>
      <c r="C121" t="s">
        <v>658</v>
      </c>
      <c r="D121" s="458" t="s">
        <v>659</v>
      </c>
      <c r="E121" s="458">
        <v>24</v>
      </c>
      <c r="F121">
        <v>145</v>
      </c>
      <c r="G121">
        <v>3480</v>
      </c>
      <c r="H121">
        <v>161</v>
      </c>
      <c r="I121"/>
      <c r="J121">
        <v>84</v>
      </c>
      <c r="K121" s="107"/>
      <c r="L121" s="463">
        <v>84</v>
      </c>
      <c r="M121" s="176">
        <v>5</v>
      </c>
      <c r="N121" s="160">
        <v>0</v>
      </c>
      <c r="O121" s="546" cm="1">
        <f t="array" ref="O12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46014</v>
      </c>
      <c r="P121" s="566" t="s">
        <v>797</v>
      </c>
      <c r="Q121" s="566">
        <v>0</v>
      </c>
      <c r="R121" s="22"/>
      <c r="S121" s="463" cm="1">
        <f t="array" ref="S12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21">
        <v>1</v>
      </c>
      <c r="U121" s="176">
        <v>5</v>
      </c>
      <c r="V12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95.010500000000008</v>
      </c>
      <c r="W121" s="497"/>
      <c r="X121" s="176" t="s">
        <v>852</v>
      </c>
      <c r="Y121" s="547" t="s">
        <v>879</v>
      </c>
      <c r="Z121" s="160" t="s">
        <v>458</v>
      </c>
      <c r="AA121" s="563">
        <v>103600</v>
      </c>
      <c r="AB121" cm="1">
        <f t="array" ref="AB121">ROW()-ROW(Contract_Edits[#Headers])</f>
        <v>97</v>
      </c>
      <c r="AC121">
        <f>IF(Contract_Edits[[#This Row],[RowPos]]&gt;1, Contract_Edits[[#This Row],[RowPos]]-1, 0)</f>
        <v>96</v>
      </c>
      <c r="AD121" s="35">
        <f>IF(N(Contract_Edits[[#This Row],[Dep]])=0, N(Contract_Edits[[#This Row],[Index]]), N(Contract_Edits[[#This Row],[Dep]]))</f>
        <v>161</v>
      </c>
      <c r="AE121" s="35" cm="1">
        <f t="array" ref="AE121">IF(OR(Contract_Edits[[#This Row],[Dep]]=0, TRIM(Contract_Edits[[#This Row],[Dep]])=""),
   0,
   IFERROR(
      _xlfn.XLOOKUP(1, (Contract_Edits[Dep]=Contract_Edits[[#This Row],[Dep]])*(Contract_Edits[RowPos]&lt;Contract_Edits[[#This Row],[RowPos]]), Contract_Edits[RowPos], , 0, -1),
      0
   )
)</f>
        <v>96</v>
      </c>
      <c r="AF121" s="35">
        <f>IF(OR(Contract_Edits[[#This Row],[Dep]]=0,Contract_Edits[[#This Row],[Dep]]=""),0,
   COUNTIFS(Contract_Edits[Dep],Contract_Edits[[#This Row],[Dep]],Contract_Edits[RowPos],"&lt;="&amp;Contract_Edits[[#This Row],[RowPos]],Contract_Edits[Approve],"Yes")
)</f>
        <v>5</v>
      </c>
      <c r="AG121" s="517">
        <f>--(
  ISNUMBER(SEARCH("BASE PARENT", UPPER(CLEAN(TRIM(_xlfn.XLOOKUP(TEXT(Contract_Edits[[#This Row],[Index]],"0"), baseIdxTxt, baseCost, "")))))) +
  ISNUMBER(SEARCH("DEPENDENCY GROUP", UPPER(CLEAN(TRIM(_xlfn.XLOOKUP(TEXT(Contract_Edits[[#This Row],[Index]],"0"), baseIdxTxt, baseCost, ""))))))
)</f>
        <v>0</v>
      </c>
      <c r="AH121" s="517" t="str" cm="1">
        <f t="array" ref="AH121">IF(Contract_Edits[[#This Row],[BaseFlag]]=1,
   10*BaseDepthL(TEXT(Contract_Edits[[#This Row],[Index]],"0"),500,editsIdxTxt,editsParentKeyTxt,baseIdxTxt,baseCost)-5,
   ""
)</f>
        <v/>
      </c>
      <c r="AI121" s="517" cm="1">
        <f t="array" ref="AI12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21" s="517" t="str">
        <f>IF(Contract_Edits[[#This Row],[Dep]]=0,"Root",
   IF(ISNUMBER(MATCH(Contract_Edits[[#This Row],[Dep]],Contract_Edits[Index],0)),"OK","Missing")
)</f>
        <v>OK</v>
      </c>
      <c r="AK121" s="517" t="str">
        <f>IF(AND(Contract_Edits[[#This Row],[Dep]]&lt;&gt;0,
        ISNUMBER(MATCH(Contract_Edits[[#This Row],[Dep]], Contract_Edits[Index], 0)),
        INDEX(Contract_Edits[Dep], MATCH(Contract_Edits[[#This Row],[Dep]], Contract_Edits[Index], 0))=Contract_Edits[[#This Row],[Index]]),
   "2-cycle","")</f>
        <v/>
      </c>
      <c r="AL121" s="517" cm="1">
        <f t="array" ref="AL121">IF(Contract_Edits[[#This Row],[BaseFlag]]&lt;&gt;1,0,
   IF(TEXT(Contract_Edits[[#This Row],[Dep]],"0")=TEXT(Contract_Edits[[#This Row],[Index]],"0"),
      0,
      MAX(0, SUMPRODUCT(--(Contract_Edits[BaseFlag]=1),
                        --(TEXT(Contract_Edits[Dep],"0")=TEXT(Contract_Edits[[#This Row],[Dep]],"0"))) - 1)
   )
)</f>
        <v>0</v>
      </c>
      <c r="AM121" s="517" t="str" cm="1">
        <f t="array" ref="AM121">IF(Contract_Edits[[#This Row],[BaseFlag]]=1,
   TEXT(Contract_Edits[[#This Row],[Index]],"0"),
   NearestBaseL(TEXT(Contract_Edits[[#This Row],[ParentKey]],"0"),500,editsIdxTxt,editsParentKeyTxt,baseIdxTxt,baseCost)
)</f>
        <v>161</v>
      </c>
      <c r="AN121" s="517" cm="1">
        <f t="array" ref="AN121">1+SUMPRODUCT(
  (Contract_Edits[BaseFlag]=1)*
  (TEXT(Contract_Edits[ParentAnchor],"0")=TEXT(Contract_Edits[[#This Row],[ParentAnchor]],"0"))*
  (VALUE(TEXT(Contract_Edits[Index],"0"))&lt;VALUE(TEXT(Contract_Edits[[#This Row],[Index]],"0")))
)</f>
        <v>1</v>
      </c>
      <c r="AO121" s="35"/>
      <c r="AP121" s="35" t="str">
        <f ca="1">IFERROR(+IF(AP$24=#REF!,Milestone_Marker,IF(AND(AP$24&gt;#REF!,AP$24&lt;#REF!+#REF!),#REF!,"")),"")</f>
        <v/>
      </c>
      <c r="AQ121" s="35" t="str">
        <f ca="1">IFERROR(+IF(AQ$24=#REF!,Milestone_Marker,IF(AND(AQ$24&gt;#REF!,AQ$24&lt;#REF!+#REF!),#REF!,"")),"")</f>
        <v/>
      </c>
      <c r="AR121" s="34"/>
      <c r="AS121" s="34"/>
      <c r="AT121" s="34"/>
      <c r="AU121" s="34"/>
      <c r="AV121" s="34"/>
      <c r="AW121" s="34"/>
      <c r="AX121" s="34"/>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row>
    <row r="122" spans="1:81" ht="30">
      <c r="A122" t="s">
        <v>467</v>
      </c>
      <c r="B122" t="s">
        <v>608</v>
      </c>
      <c r="C122" t="s">
        <v>596</v>
      </c>
      <c r="D122" s="458" t="s">
        <v>623</v>
      </c>
      <c r="E122" s="458">
        <v>1</v>
      </c>
      <c r="F122">
        <v>4640</v>
      </c>
      <c r="G122">
        <v>4640</v>
      </c>
      <c r="H122">
        <v>161</v>
      </c>
      <c r="I122"/>
      <c r="J122">
        <v>59</v>
      </c>
      <c r="K122" s="107"/>
      <c r="L122" s="463">
        <v>59</v>
      </c>
      <c r="M122" s="176">
        <v>3</v>
      </c>
      <c r="N122" s="160">
        <v>0</v>
      </c>
      <c r="O122" s="546" cm="1">
        <f t="array" ref="O12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46021</v>
      </c>
      <c r="P122" s="566" t="s">
        <v>797</v>
      </c>
      <c r="Q122" s="566">
        <v>0</v>
      </c>
      <c r="R122" s="22"/>
      <c r="S122" s="463" cm="1">
        <f t="array" ref="S12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22">
        <v>1</v>
      </c>
      <c r="U122" s="176"/>
      <c r="V12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95.010600000000011</v>
      </c>
      <c r="W122" s="497"/>
      <c r="X122" s="176" t="s">
        <v>852</v>
      </c>
      <c r="Y122" s="547" t="s">
        <v>879</v>
      </c>
      <c r="Z122" s="160" t="s">
        <v>458</v>
      </c>
      <c r="AA122" s="563">
        <v>103600</v>
      </c>
      <c r="AB122" cm="1">
        <f t="array" ref="AB122">ROW()-ROW(Contract_Edits[#Headers])</f>
        <v>98</v>
      </c>
      <c r="AC122">
        <f>IF(Contract_Edits[[#This Row],[RowPos]]&gt;1, Contract_Edits[[#This Row],[RowPos]]-1, 0)</f>
        <v>97</v>
      </c>
      <c r="AD122" s="35">
        <f>IF(N(Contract_Edits[[#This Row],[Dep]])=0, N(Contract_Edits[[#This Row],[Index]]), N(Contract_Edits[[#This Row],[Dep]]))</f>
        <v>161</v>
      </c>
      <c r="AE122" s="35" cm="1">
        <f t="array" ref="AE122">IF(OR(Contract_Edits[[#This Row],[Dep]]=0, TRIM(Contract_Edits[[#This Row],[Dep]])=""),
   0,
   IFERROR(
      _xlfn.XLOOKUP(1, (Contract_Edits[Dep]=Contract_Edits[[#This Row],[Dep]])*(Contract_Edits[RowPos]&lt;Contract_Edits[[#This Row],[RowPos]]), Contract_Edits[RowPos], , 0, -1),
      0
   )
)</f>
        <v>97</v>
      </c>
      <c r="AF122" s="35">
        <f>IF(OR(Contract_Edits[[#This Row],[Dep]]=0,Contract_Edits[[#This Row],[Dep]]=""),0,
   COUNTIFS(Contract_Edits[Dep],Contract_Edits[[#This Row],[Dep]],Contract_Edits[RowPos],"&lt;="&amp;Contract_Edits[[#This Row],[RowPos]],Contract_Edits[Approve],"Yes")
)</f>
        <v>6</v>
      </c>
      <c r="AG122" s="517">
        <f>--(
  ISNUMBER(SEARCH("BASE PARENT", UPPER(CLEAN(TRIM(_xlfn.XLOOKUP(TEXT(Contract_Edits[[#This Row],[Index]],"0"), baseIdxTxt, baseCost, "")))))) +
  ISNUMBER(SEARCH("DEPENDENCY GROUP", UPPER(CLEAN(TRIM(_xlfn.XLOOKUP(TEXT(Contract_Edits[[#This Row],[Index]],"0"), baseIdxTxt, baseCost, ""))))))
)</f>
        <v>0</v>
      </c>
      <c r="AH122" s="517" t="str" cm="1">
        <f t="array" ref="AH122">IF(Contract_Edits[[#This Row],[BaseFlag]]=1,
   10*BaseDepthL(TEXT(Contract_Edits[[#This Row],[Index]],"0"),500,editsIdxTxt,editsParentKeyTxt,baseIdxTxt,baseCost)-5,
   ""
)</f>
        <v/>
      </c>
      <c r="AI122" s="517" cm="1">
        <f t="array" ref="AI12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22" s="517" t="str">
        <f>IF(Contract_Edits[[#This Row],[Dep]]=0,"Root",
   IF(ISNUMBER(MATCH(Contract_Edits[[#This Row],[Dep]],Contract_Edits[Index],0)),"OK","Missing")
)</f>
        <v>OK</v>
      </c>
      <c r="AK122" s="517" t="str">
        <f>IF(AND(Contract_Edits[[#This Row],[Dep]]&lt;&gt;0,
        ISNUMBER(MATCH(Contract_Edits[[#This Row],[Dep]], Contract_Edits[Index], 0)),
        INDEX(Contract_Edits[Dep], MATCH(Contract_Edits[[#This Row],[Dep]], Contract_Edits[Index], 0))=Contract_Edits[[#This Row],[Index]]),
   "2-cycle","")</f>
        <v/>
      </c>
      <c r="AL122" s="517" cm="1">
        <f t="array" ref="AL122">IF(Contract_Edits[[#This Row],[BaseFlag]]&lt;&gt;1,0,
   IF(TEXT(Contract_Edits[[#This Row],[Dep]],"0")=TEXT(Contract_Edits[[#This Row],[Index]],"0"),
      0,
      MAX(0, SUMPRODUCT(--(Contract_Edits[BaseFlag]=1),
                        --(TEXT(Contract_Edits[Dep],"0")=TEXT(Contract_Edits[[#This Row],[Dep]],"0"))) - 1)
   )
)</f>
        <v>0</v>
      </c>
      <c r="AM122" s="517" t="str" cm="1">
        <f t="array" ref="AM122">IF(Contract_Edits[[#This Row],[BaseFlag]]=1,
   TEXT(Contract_Edits[[#This Row],[Index]],"0"),
   NearestBaseL(TEXT(Contract_Edits[[#This Row],[ParentKey]],"0"),500,editsIdxTxt,editsParentKeyTxt,baseIdxTxt,baseCost)
)</f>
        <v>161</v>
      </c>
      <c r="AN122" s="517" cm="1">
        <f t="array" ref="AN122">1+SUMPRODUCT(
  (Contract_Edits[BaseFlag]=1)*
  (TEXT(Contract_Edits[ParentAnchor],"0")=TEXT(Contract_Edits[[#This Row],[ParentAnchor]],"0"))*
  (VALUE(TEXT(Contract_Edits[Index],"0"))&lt;VALUE(TEXT(Contract_Edits[[#This Row],[Index]],"0")))
)</f>
        <v>1</v>
      </c>
      <c r="AO122" s="35"/>
      <c r="AP122" s="35" t="str">
        <f ca="1">IFERROR(+IF(AP$24=#REF!,Milestone_Marker,IF(AND(AP$24&gt;#REF!,AP$24&lt;#REF!+#REF!),#REF!,"")),"")</f>
        <v/>
      </c>
      <c r="AQ122" s="35" t="str">
        <f ca="1">IFERROR(+IF(AQ$24=#REF!,Milestone_Marker,IF(AND(AQ$24&gt;#REF!,AQ$24&lt;#REF!+#REF!),#REF!,"")),"")</f>
        <v/>
      </c>
      <c r="AR122" s="34"/>
      <c r="AS122" s="34"/>
      <c r="AT122" s="34"/>
      <c r="AU122" s="34"/>
      <c r="AV122" s="34"/>
      <c r="AW122" s="34"/>
      <c r="AX122" s="34"/>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row>
    <row r="123" spans="1:81" ht="15">
      <c r="A123" t="s">
        <v>467</v>
      </c>
      <c r="B123" t="s">
        <v>587</v>
      </c>
      <c r="C123" t="s">
        <v>596</v>
      </c>
      <c r="D123" s="458" t="s">
        <v>597</v>
      </c>
      <c r="E123" s="458">
        <v>1</v>
      </c>
      <c r="F123">
        <v>1181.75</v>
      </c>
      <c r="G123">
        <v>1181.75</v>
      </c>
      <c r="H123">
        <v>161</v>
      </c>
      <c r="I123"/>
      <c r="J123">
        <v>42</v>
      </c>
      <c r="K123" s="107"/>
      <c r="L123" s="463">
        <v>42</v>
      </c>
      <c r="M123" s="176">
        <v>1</v>
      </c>
      <c r="N123" s="160">
        <v>0</v>
      </c>
      <c r="O123" s="546" cm="1">
        <f t="array" ref="O12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46024</v>
      </c>
      <c r="P123" s="566" t="s">
        <v>797</v>
      </c>
      <c r="Q123" s="566">
        <v>0</v>
      </c>
      <c r="R123" s="22"/>
      <c r="S123" s="463" cm="1">
        <f t="array" ref="S12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23">
        <v>1</v>
      </c>
      <c r="U123" s="176"/>
      <c r="V12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95.0107</v>
      </c>
      <c r="W123" s="497"/>
      <c r="X123" s="176" t="s">
        <v>852</v>
      </c>
      <c r="Y123" s="547" t="s">
        <v>879</v>
      </c>
      <c r="Z123" s="160" t="s">
        <v>458</v>
      </c>
      <c r="AA123" s="563">
        <v>103600</v>
      </c>
      <c r="AB123" cm="1">
        <f t="array" ref="AB123">ROW()-ROW(Contract_Edits[#Headers])</f>
        <v>99</v>
      </c>
      <c r="AC123">
        <f>IF(Contract_Edits[[#This Row],[RowPos]]&gt;1, Contract_Edits[[#This Row],[RowPos]]-1, 0)</f>
        <v>98</v>
      </c>
      <c r="AD123" s="35">
        <f>IF(N(Contract_Edits[[#This Row],[Dep]])=0, N(Contract_Edits[[#This Row],[Index]]), N(Contract_Edits[[#This Row],[Dep]]))</f>
        <v>161</v>
      </c>
      <c r="AE123" s="35" cm="1">
        <f t="array" ref="AE123">IF(OR(Contract_Edits[[#This Row],[Dep]]=0, TRIM(Contract_Edits[[#This Row],[Dep]])=""),
   0,
   IFERROR(
      _xlfn.XLOOKUP(1, (Contract_Edits[Dep]=Contract_Edits[[#This Row],[Dep]])*(Contract_Edits[RowPos]&lt;Contract_Edits[[#This Row],[RowPos]]), Contract_Edits[RowPos], , 0, -1),
      0
   )
)</f>
        <v>98</v>
      </c>
      <c r="AF123" s="35">
        <f>IF(OR(Contract_Edits[[#This Row],[Dep]]=0,Contract_Edits[[#This Row],[Dep]]=""),0,
   COUNTIFS(Contract_Edits[Dep],Contract_Edits[[#This Row],[Dep]],Contract_Edits[RowPos],"&lt;="&amp;Contract_Edits[[#This Row],[RowPos]],Contract_Edits[Approve],"Yes")
)</f>
        <v>7</v>
      </c>
      <c r="AG123" s="517">
        <f>--(
  ISNUMBER(SEARCH("BASE PARENT", UPPER(CLEAN(TRIM(_xlfn.XLOOKUP(TEXT(Contract_Edits[[#This Row],[Index]],"0"), baseIdxTxt, baseCost, "")))))) +
  ISNUMBER(SEARCH("DEPENDENCY GROUP", UPPER(CLEAN(TRIM(_xlfn.XLOOKUP(TEXT(Contract_Edits[[#This Row],[Index]],"0"), baseIdxTxt, baseCost, ""))))))
)</f>
        <v>0</v>
      </c>
      <c r="AH123" s="517" t="str" cm="1">
        <f t="array" ref="AH123">IF(Contract_Edits[[#This Row],[BaseFlag]]=1,
   10*BaseDepthL(TEXT(Contract_Edits[[#This Row],[Index]],"0"),500,editsIdxTxt,editsParentKeyTxt,baseIdxTxt,baseCost)-5,
   ""
)</f>
        <v/>
      </c>
      <c r="AI123" s="517" cm="1">
        <f t="array" ref="AI12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23" s="517" t="str">
        <f>IF(Contract_Edits[[#This Row],[Dep]]=0,"Root",
   IF(ISNUMBER(MATCH(Contract_Edits[[#This Row],[Dep]],Contract_Edits[Index],0)),"OK","Missing")
)</f>
        <v>OK</v>
      </c>
      <c r="AK123" s="517" t="str">
        <f>IF(AND(Contract_Edits[[#This Row],[Dep]]&lt;&gt;0,
        ISNUMBER(MATCH(Contract_Edits[[#This Row],[Dep]], Contract_Edits[Index], 0)),
        INDEX(Contract_Edits[Dep], MATCH(Contract_Edits[[#This Row],[Dep]], Contract_Edits[Index], 0))=Contract_Edits[[#This Row],[Index]]),
   "2-cycle","")</f>
        <v/>
      </c>
      <c r="AL123" s="517" cm="1">
        <f t="array" ref="AL123">IF(Contract_Edits[[#This Row],[BaseFlag]]&lt;&gt;1,0,
   IF(TEXT(Contract_Edits[[#This Row],[Dep]],"0")=TEXT(Contract_Edits[[#This Row],[Index]],"0"),
      0,
      MAX(0, SUMPRODUCT(--(Contract_Edits[BaseFlag]=1),
                        --(TEXT(Contract_Edits[Dep],"0")=TEXT(Contract_Edits[[#This Row],[Dep]],"0"))) - 1)
   )
)</f>
        <v>0</v>
      </c>
      <c r="AM123" s="517" t="str" cm="1">
        <f t="array" ref="AM123">IF(Contract_Edits[[#This Row],[BaseFlag]]=1,
   TEXT(Contract_Edits[[#This Row],[Index]],"0"),
   NearestBaseL(TEXT(Contract_Edits[[#This Row],[ParentKey]],"0"),500,editsIdxTxt,editsParentKeyTxt,baseIdxTxt,baseCost)
)</f>
        <v>161</v>
      </c>
      <c r="AN123" s="517" cm="1">
        <f t="array" ref="AN123">1+SUMPRODUCT(
  (Contract_Edits[BaseFlag]=1)*
  (TEXT(Contract_Edits[ParentAnchor],"0")=TEXT(Contract_Edits[[#This Row],[ParentAnchor]],"0"))*
  (VALUE(TEXT(Contract_Edits[Index],"0"))&lt;VALUE(TEXT(Contract_Edits[[#This Row],[Index]],"0")))
)</f>
        <v>1</v>
      </c>
      <c r="AO123" s="35"/>
      <c r="AP123" s="35" t="str">
        <f ca="1">IFERROR(+IF(AP$24=#REF!,Milestone_Marker,IF(AND(AP$24&gt;#REF!,AP$24&lt;#REF!+#REF!),#REF!,"")),"")</f>
        <v/>
      </c>
      <c r="AQ123" s="35" t="str">
        <f ca="1">IFERROR(+IF(AQ$24=#REF!,Milestone_Marker,IF(AND(AQ$24&gt;#REF!,AQ$24&lt;#REF!+#REF!),#REF!,"")),"")</f>
        <v/>
      </c>
      <c r="AR123" s="34"/>
      <c r="AS123" s="34"/>
      <c r="AT123" s="34"/>
      <c r="AU123" s="34"/>
      <c r="AV123" s="34"/>
      <c r="AW123" s="34"/>
      <c r="AX123" s="34"/>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row>
    <row r="124" spans="1:81" ht="30">
      <c r="A124" t="s">
        <v>519</v>
      </c>
      <c r="B124" t="s">
        <v>555</v>
      </c>
      <c r="C124" t="s">
        <v>573</v>
      </c>
      <c r="D124" s="458" t="s">
        <v>574</v>
      </c>
      <c r="E124" s="458">
        <v>1</v>
      </c>
      <c r="F124">
        <v>4060</v>
      </c>
      <c r="G124">
        <v>4060</v>
      </c>
      <c r="H124">
        <v>161</v>
      </c>
      <c r="I124"/>
      <c r="J124">
        <v>29</v>
      </c>
      <c r="K124" s="107"/>
      <c r="L124" s="463">
        <v>29</v>
      </c>
      <c r="M124" s="176">
        <v>2</v>
      </c>
      <c r="N124" s="160">
        <v>0</v>
      </c>
      <c r="O124" s="546" cm="1">
        <f t="array" ref="O12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46027</v>
      </c>
      <c r="P124" s="566" t="s">
        <v>797</v>
      </c>
      <c r="Q124" s="566">
        <v>0</v>
      </c>
      <c r="R124" s="22"/>
      <c r="S124" s="463" cm="1">
        <f t="array" ref="S12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24">
        <v>1</v>
      </c>
      <c r="U124" s="176"/>
      <c r="V12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95.010800000000003</v>
      </c>
      <c r="W124" s="497"/>
      <c r="X124" s="176" t="s">
        <v>852</v>
      </c>
      <c r="Y124" s="547" t="s">
        <v>879</v>
      </c>
      <c r="Z124" s="160" t="s">
        <v>458</v>
      </c>
      <c r="AA124" s="563">
        <v>103600</v>
      </c>
      <c r="AB124" cm="1">
        <f t="array" ref="AB124">ROW()-ROW(Contract_Edits[#Headers])</f>
        <v>100</v>
      </c>
      <c r="AC124">
        <f>IF(Contract_Edits[[#This Row],[RowPos]]&gt;1, Contract_Edits[[#This Row],[RowPos]]-1, 0)</f>
        <v>99</v>
      </c>
      <c r="AD124" s="35">
        <f>IF(N(Contract_Edits[[#This Row],[Dep]])=0, N(Contract_Edits[[#This Row],[Index]]), N(Contract_Edits[[#This Row],[Dep]]))</f>
        <v>161</v>
      </c>
      <c r="AE124" s="35" cm="1">
        <f t="array" ref="AE124">IF(OR(Contract_Edits[[#This Row],[Dep]]=0, TRIM(Contract_Edits[[#This Row],[Dep]])=""),
   0,
   IFERROR(
      _xlfn.XLOOKUP(1, (Contract_Edits[Dep]=Contract_Edits[[#This Row],[Dep]])*(Contract_Edits[RowPos]&lt;Contract_Edits[[#This Row],[RowPos]]), Contract_Edits[RowPos], , 0, -1),
      0
   )
)</f>
        <v>99</v>
      </c>
      <c r="AF124" s="35">
        <f>IF(OR(Contract_Edits[[#This Row],[Dep]]=0,Contract_Edits[[#This Row],[Dep]]=""),0,
   COUNTIFS(Contract_Edits[Dep],Contract_Edits[[#This Row],[Dep]],Contract_Edits[RowPos],"&lt;="&amp;Contract_Edits[[#This Row],[RowPos]],Contract_Edits[Approve],"Yes")
)</f>
        <v>8</v>
      </c>
      <c r="AG124" s="517">
        <f>--(
  ISNUMBER(SEARCH("BASE PARENT", UPPER(CLEAN(TRIM(_xlfn.XLOOKUP(TEXT(Contract_Edits[[#This Row],[Index]],"0"), baseIdxTxt, baseCost, "")))))) +
  ISNUMBER(SEARCH("DEPENDENCY GROUP", UPPER(CLEAN(TRIM(_xlfn.XLOOKUP(TEXT(Contract_Edits[[#This Row],[Index]],"0"), baseIdxTxt, baseCost, ""))))))
)</f>
        <v>0</v>
      </c>
      <c r="AH124" s="517" t="str" cm="1">
        <f t="array" ref="AH124">IF(Contract_Edits[[#This Row],[BaseFlag]]=1,
   10*BaseDepthL(TEXT(Contract_Edits[[#This Row],[Index]],"0"),500,editsIdxTxt,editsParentKeyTxt,baseIdxTxt,baseCost)-5,
   ""
)</f>
        <v/>
      </c>
      <c r="AI124" s="517" cm="1">
        <f t="array" ref="AI12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24" s="517" t="str">
        <f>IF(Contract_Edits[[#This Row],[Dep]]=0,"Root",
   IF(ISNUMBER(MATCH(Contract_Edits[[#This Row],[Dep]],Contract_Edits[Index],0)),"OK","Missing")
)</f>
        <v>OK</v>
      </c>
      <c r="AK124" s="517" t="str">
        <f>IF(AND(Contract_Edits[[#This Row],[Dep]]&lt;&gt;0,
        ISNUMBER(MATCH(Contract_Edits[[#This Row],[Dep]], Contract_Edits[Index], 0)),
        INDEX(Contract_Edits[Dep], MATCH(Contract_Edits[[#This Row],[Dep]], Contract_Edits[Index], 0))=Contract_Edits[[#This Row],[Index]]),
   "2-cycle","")</f>
        <v/>
      </c>
      <c r="AL124" s="517" cm="1">
        <f t="array" ref="AL124">IF(Contract_Edits[[#This Row],[BaseFlag]]&lt;&gt;1,0,
   IF(TEXT(Contract_Edits[[#This Row],[Dep]],"0")=TEXT(Contract_Edits[[#This Row],[Index]],"0"),
      0,
      MAX(0, SUMPRODUCT(--(Contract_Edits[BaseFlag]=1),
                        --(TEXT(Contract_Edits[Dep],"0")=TEXT(Contract_Edits[[#This Row],[Dep]],"0"))) - 1)
   )
)</f>
        <v>0</v>
      </c>
      <c r="AM124" s="517" t="str" cm="1">
        <f t="array" ref="AM124">IF(Contract_Edits[[#This Row],[BaseFlag]]=1,
   TEXT(Contract_Edits[[#This Row],[Index]],"0"),
   NearestBaseL(TEXT(Contract_Edits[[#This Row],[ParentKey]],"0"),500,editsIdxTxt,editsParentKeyTxt,baseIdxTxt,baseCost)
)</f>
        <v>161</v>
      </c>
      <c r="AN124" s="517" cm="1">
        <f t="array" ref="AN124">1+SUMPRODUCT(
  (Contract_Edits[BaseFlag]=1)*
  (TEXT(Contract_Edits[ParentAnchor],"0")=TEXT(Contract_Edits[[#This Row],[ParentAnchor]],"0"))*
  (VALUE(TEXT(Contract_Edits[Index],"0"))&lt;VALUE(TEXT(Contract_Edits[[#This Row],[Index]],"0")))
)</f>
        <v>1</v>
      </c>
      <c r="AO124" s="35"/>
      <c r="AP124" s="35" t="str">
        <f ca="1">IFERROR(+IF(AP$24=#REF!,Milestone_Marker,IF(AND(AP$24&gt;#REF!,AP$24&lt;#REF!+#REF!),#REF!,"")),"")</f>
        <v/>
      </c>
      <c r="AQ124" s="35" t="str">
        <f ca="1">IFERROR(+IF(AQ$24=#REF!,Milestone_Marker,IF(AND(AQ$24&gt;#REF!,AQ$24&lt;#REF!+#REF!),#REF!,"")),"")</f>
        <v/>
      </c>
      <c r="AR124" s="34"/>
      <c r="AS124" s="34"/>
      <c r="AT124" s="34"/>
      <c r="AU124" s="34"/>
      <c r="AV124" s="34"/>
      <c r="AW124" s="34"/>
      <c r="AX124" s="3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row>
    <row r="125" spans="1:81" ht="15">
      <c r="A125" t="s">
        <v>747</v>
      </c>
      <c r="B125" t="s">
        <v>744</v>
      </c>
      <c r="C125" t="s">
        <v>759</v>
      </c>
      <c r="D125" s="458" t="s">
        <v>760</v>
      </c>
      <c r="E125" s="458">
        <v>0</v>
      </c>
      <c r="F125"/>
      <c r="G125"/>
      <c r="H125">
        <v>161</v>
      </c>
      <c r="I125"/>
      <c r="J125">
        <v>162</v>
      </c>
      <c r="K125" s="107"/>
      <c r="L125" s="463">
        <v>162</v>
      </c>
      <c r="M125" s="490"/>
      <c r="N125" s="160">
        <v>0</v>
      </c>
      <c r="O125" s="546" cm="1">
        <f t="array" ref="O12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46029</v>
      </c>
      <c r="P125" s="567"/>
      <c r="Q125" s="567"/>
      <c r="R125" s="499"/>
      <c r="S125" s="463" cm="1">
        <f t="array" ref="S12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25" s="34">
        <v>1</v>
      </c>
      <c r="U125" s="490"/>
      <c r="V12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v>
      </c>
      <c r="W125" s="557"/>
      <c r="X125" s="545"/>
      <c r="Y125" s="548"/>
      <c r="Z125" s="535" t="s">
        <v>458</v>
      </c>
      <c r="AA125" s="544"/>
      <c r="AB125" cm="1">
        <f t="array" ref="AB125">ROW()-ROW(Contract_Edits[#Headers])</f>
        <v>101</v>
      </c>
      <c r="AC125">
        <f>IF(Contract_Edits[[#This Row],[RowPos]]&gt;1, Contract_Edits[[#This Row],[RowPos]]-1, 0)</f>
        <v>100</v>
      </c>
      <c r="AD125" s="35">
        <f>IF(N(Contract_Edits[[#This Row],[Dep]])=0, N(Contract_Edits[[#This Row],[Index]]), N(Contract_Edits[[#This Row],[Dep]]))</f>
        <v>161</v>
      </c>
      <c r="AE125" s="35" cm="1">
        <f t="array" ref="AE125">IF(OR(Contract_Edits[[#This Row],[Dep]]=0, TRIM(Contract_Edits[[#This Row],[Dep]])=""),
   0,
   IFERROR(
      _xlfn.XLOOKUP(1, (Contract_Edits[Dep]=Contract_Edits[[#This Row],[Dep]])*(Contract_Edits[RowPos]&lt;Contract_Edits[[#This Row],[RowPos]]), Contract_Edits[RowPos], , 0, -1),
      0
   )
)</f>
        <v>100</v>
      </c>
      <c r="AF125" s="35">
        <f>IF(OR(Contract_Edits[[#This Row],[Dep]]=0,Contract_Edits[[#This Row],[Dep]]=""),0,
   COUNTIFS(Contract_Edits[Dep],Contract_Edits[[#This Row],[Dep]],Contract_Edits[RowPos],"&lt;="&amp;Contract_Edits[[#This Row],[RowPos]],Contract_Edits[Approve],"Yes")
)</f>
        <v>9</v>
      </c>
      <c r="AG125" s="517">
        <f>--(
  ISNUMBER(SEARCH("BASE PARENT", UPPER(CLEAN(TRIM(_xlfn.XLOOKUP(TEXT(Contract_Edits[[#This Row],[Index]],"0"), baseIdxTxt, baseCost, "")))))) +
  ISNUMBER(SEARCH("DEPENDENCY GROUP", UPPER(CLEAN(TRIM(_xlfn.XLOOKUP(TEXT(Contract_Edits[[#This Row],[Index]],"0"), baseIdxTxt, baseCost, ""))))))
)</f>
        <v>1</v>
      </c>
      <c r="AH125" s="517" cm="1">
        <f t="array" ref="AH125">IF(Contract_Edits[[#This Row],[BaseFlag]]=1,
   10*BaseDepthL(TEXT(Contract_Edits[[#This Row],[Index]],"0"),500,editsIdxTxt,editsParentKeyTxt,baseIdxTxt,baseCost)-5,
   ""
)</f>
        <v>105</v>
      </c>
      <c r="AI125" s="517" cm="1">
        <f t="array" ref="AI1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25" s="517" t="str">
        <f>IF(Contract_Edits[[#This Row],[Dep]]=0,"Root",
   IF(ISNUMBER(MATCH(Contract_Edits[[#This Row],[Dep]],Contract_Edits[Index],0)),"OK","Missing")
)</f>
        <v>OK</v>
      </c>
      <c r="AK125" s="517" t="str">
        <f>IF(AND(Contract_Edits[[#This Row],[Dep]]&lt;&gt;0,
        ISNUMBER(MATCH(Contract_Edits[[#This Row],[Dep]], Contract_Edits[Index], 0)),
        INDEX(Contract_Edits[Dep], MATCH(Contract_Edits[[#This Row],[Dep]], Contract_Edits[Index], 0))=Contract_Edits[[#This Row],[Index]]),
   "2-cycle","")</f>
        <v/>
      </c>
      <c r="AL125" s="517" cm="1">
        <f t="array" ref="AL125">IF(Contract_Edits[[#This Row],[BaseFlag]]&lt;&gt;1,0,
   IF(TEXT(Contract_Edits[[#This Row],[Dep]],"0")=TEXT(Contract_Edits[[#This Row],[Index]],"0"),
      0,
      MAX(0, SUMPRODUCT(--(Contract_Edits[BaseFlag]=1),
                        --(TEXT(Contract_Edits[Dep],"0")=TEXT(Contract_Edits[[#This Row],[Dep]],"0"))) - 1)
   )
)</f>
        <v>0</v>
      </c>
      <c r="AM125" s="517" t="str" cm="1">
        <f t="array" ref="AM125">IF(Contract_Edits[[#This Row],[BaseFlag]]=1,
   TEXT(Contract_Edits[[#This Row],[Index]],"0"),
   NearestBaseL(TEXT(Contract_Edits[[#This Row],[ParentKey]],"0"),500,editsIdxTxt,editsParentKeyTxt,baseIdxTxt,baseCost)
)</f>
        <v>162</v>
      </c>
      <c r="AN125" s="517" cm="1">
        <f t="array" ref="AN125">1+SUMPRODUCT(
  (Contract_Edits[BaseFlag]=1)*
  (TEXT(Contract_Edits[ParentAnchor],"0")=TEXT(Contract_Edits[[#This Row],[ParentAnchor]],"0"))*
  (VALUE(TEXT(Contract_Edits[Index],"0"))&lt;VALUE(TEXT(Contract_Edits[[#This Row],[Index]],"0")))
)</f>
        <v>1</v>
      </c>
      <c r="AO125" s="35"/>
      <c r="AP125" s="35" t="str">
        <f ca="1">IFERROR(+IF(AP$24=#REF!,Milestone_Marker,IF(AND(AP$24&gt;#REF!,AP$24&lt;#REF!+#REF!),#REF!,"")),"")</f>
        <v/>
      </c>
      <c r="AQ125" s="35" t="str">
        <f ca="1">IFERROR(+IF(AQ$24=#REF!,Milestone_Marker,IF(AND(AQ$24&gt;#REF!,AQ$24&lt;#REF!+#REF!),#REF!,"")),"")</f>
        <v/>
      </c>
      <c r="AR125" s="34"/>
      <c r="AS125" s="34"/>
      <c r="AT125" s="34"/>
      <c r="AU125" s="34"/>
      <c r="AV125" s="34"/>
      <c r="AW125" s="34"/>
      <c r="AX125" s="34"/>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row>
    <row r="126" spans="1:81" ht="15">
      <c r="A126" t="s">
        <v>552</v>
      </c>
      <c r="B126" t="s">
        <v>608</v>
      </c>
      <c r="C126" t="s">
        <v>577</v>
      </c>
      <c r="D126" s="458" t="s">
        <v>631</v>
      </c>
      <c r="E126" s="458">
        <v>1</v>
      </c>
      <c r="F126">
        <v>312.5</v>
      </c>
      <c r="G126">
        <v>312.5</v>
      </c>
      <c r="H126">
        <v>162</v>
      </c>
      <c r="I126"/>
      <c r="J126">
        <v>65</v>
      </c>
      <c r="K126" s="107"/>
      <c r="L126" s="463">
        <v>65</v>
      </c>
      <c r="M126" s="176">
        <v>1</v>
      </c>
      <c r="N126" s="160">
        <v>0</v>
      </c>
      <c r="O126" s="546" cm="1">
        <f t="array" ref="O12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46029</v>
      </c>
      <c r="P126" s="566" t="s">
        <v>797</v>
      </c>
      <c r="Q126" s="566">
        <v>0</v>
      </c>
      <c r="R126" s="22"/>
      <c r="S126" s="463" cm="1">
        <f t="array" ref="S12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26">
        <v>1</v>
      </c>
      <c r="U126" s="176"/>
      <c r="V12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105.01010000000001</v>
      </c>
      <c r="W126" s="497"/>
      <c r="X126" s="176" t="s">
        <v>852</v>
      </c>
      <c r="Y126" s="547" t="s">
        <v>881</v>
      </c>
      <c r="Z126" s="160" t="s">
        <v>458</v>
      </c>
      <c r="AA126" s="563">
        <v>104800</v>
      </c>
      <c r="AB126" cm="1">
        <f t="array" ref="AB126">ROW()-ROW(Contract_Edits[#Headers])</f>
        <v>102</v>
      </c>
      <c r="AC126">
        <f>IF(Contract_Edits[[#This Row],[RowPos]]&gt;1, Contract_Edits[[#This Row],[RowPos]]-1, 0)</f>
        <v>101</v>
      </c>
      <c r="AD126" s="35">
        <f>IF(N(Contract_Edits[[#This Row],[Dep]])=0, N(Contract_Edits[[#This Row],[Index]]), N(Contract_Edits[[#This Row],[Dep]]))</f>
        <v>162</v>
      </c>
      <c r="AE126" s="35" cm="1">
        <f t="array" ref="AE126">IF(OR(Contract_Edits[[#This Row],[Dep]]=0, TRIM(Contract_Edits[[#This Row],[Dep]])=""),
   0,
   IFERROR(
      _xlfn.XLOOKUP(1, (Contract_Edits[Dep]=Contract_Edits[[#This Row],[Dep]])*(Contract_Edits[RowPos]&lt;Contract_Edits[[#This Row],[RowPos]]), Contract_Edits[RowPos], , 0, -1),
      0
   )
)</f>
        <v>0</v>
      </c>
      <c r="AF126" s="35">
        <f>IF(OR(Contract_Edits[[#This Row],[Dep]]=0,Contract_Edits[[#This Row],[Dep]]=""),0,
   COUNTIFS(Contract_Edits[Dep],Contract_Edits[[#This Row],[Dep]],Contract_Edits[RowPos],"&lt;="&amp;Contract_Edits[[#This Row],[RowPos]],Contract_Edits[Approve],"Yes")
)</f>
        <v>1</v>
      </c>
      <c r="AG126" s="517">
        <f>--(
  ISNUMBER(SEARCH("BASE PARENT", UPPER(CLEAN(TRIM(_xlfn.XLOOKUP(TEXT(Contract_Edits[[#This Row],[Index]],"0"), baseIdxTxt, baseCost, "")))))) +
  ISNUMBER(SEARCH("DEPENDENCY GROUP", UPPER(CLEAN(TRIM(_xlfn.XLOOKUP(TEXT(Contract_Edits[[#This Row],[Index]],"0"), baseIdxTxt, baseCost, ""))))))
)</f>
        <v>0</v>
      </c>
      <c r="AH126" s="517" t="str" cm="1">
        <f t="array" ref="AH126">IF(Contract_Edits[[#This Row],[BaseFlag]]=1,
   10*BaseDepthL(TEXT(Contract_Edits[[#This Row],[Index]],"0"),500,editsIdxTxt,editsParentKeyTxt,baseIdxTxt,baseCost)-5,
   ""
)</f>
        <v/>
      </c>
      <c r="AI126" s="517" cm="1">
        <f t="array" ref="AI1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26" s="517" t="str">
        <f>IF(Contract_Edits[[#This Row],[Dep]]=0,"Root",
   IF(ISNUMBER(MATCH(Contract_Edits[[#This Row],[Dep]],Contract_Edits[Index],0)),"OK","Missing")
)</f>
        <v>OK</v>
      </c>
      <c r="AK126" s="517" t="str">
        <f>IF(AND(Contract_Edits[[#This Row],[Dep]]&lt;&gt;0,
        ISNUMBER(MATCH(Contract_Edits[[#This Row],[Dep]], Contract_Edits[Index], 0)),
        INDEX(Contract_Edits[Dep], MATCH(Contract_Edits[[#This Row],[Dep]], Contract_Edits[Index], 0))=Contract_Edits[[#This Row],[Index]]),
   "2-cycle","")</f>
        <v/>
      </c>
      <c r="AL126" s="517" cm="1">
        <f t="array" ref="AL126">IF(Contract_Edits[[#This Row],[BaseFlag]]&lt;&gt;1,0,
   IF(TEXT(Contract_Edits[[#This Row],[Dep]],"0")=TEXT(Contract_Edits[[#This Row],[Index]],"0"),
      0,
      MAX(0, SUMPRODUCT(--(Contract_Edits[BaseFlag]=1),
                        --(TEXT(Contract_Edits[Dep],"0")=TEXT(Contract_Edits[[#This Row],[Dep]],"0"))) - 1)
   )
)</f>
        <v>0</v>
      </c>
      <c r="AM126" s="517" t="str" cm="1">
        <f t="array" ref="AM126">IF(Contract_Edits[[#This Row],[BaseFlag]]=1,
   TEXT(Contract_Edits[[#This Row],[Index]],"0"),
   NearestBaseL(TEXT(Contract_Edits[[#This Row],[ParentKey]],"0"),500,editsIdxTxt,editsParentKeyTxt,baseIdxTxt,baseCost)
)</f>
        <v>162</v>
      </c>
      <c r="AN126" s="517" cm="1">
        <f t="array" ref="AN126">1+SUMPRODUCT(
  (Contract_Edits[BaseFlag]=1)*
  (TEXT(Contract_Edits[ParentAnchor],"0")=TEXT(Contract_Edits[[#This Row],[ParentAnchor]],"0"))*
  (VALUE(TEXT(Contract_Edits[Index],"0"))&lt;VALUE(TEXT(Contract_Edits[[#This Row],[Index]],"0")))
)</f>
        <v>1</v>
      </c>
      <c r="AO126" s="35"/>
      <c r="AP126" s="35" t="str">
        <f ca="1">IFERROR(+IF(AP$24=#REF!,Milestone_Marker,IF(AND(AP$24&gt;#REF!,AP$24&lt;#REF!+#REF!),#REF!,"")),"")</f>
        <v/>
      </c>
      <c r="AQ126" s="35" t="str">
        <f ca="1">IFERROR(+IF(AQ$24=#REF!,Milestone_Marker,IF(AND(AQ$24&gt;#REF!,AQ$24&lt;#REF!+#REF!),#REF!,"")),"")</f>
        <v/>
      </c>
      <c r="AR126" s="34"/>
      <c r="AS126" s="34"/>
      <c r="AT126" s="34"/>
      <c r="AU126" s="34"/>
      <c r="AV126" s="34"/>
      <c r="AW126" s="34"/>
      <c r="AX126" s="34"/>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row>
    <row r="127" spans="1:81" ht="15">
      <c r="A127" t="s">
        <v>806</v>
      </c>
      <c r="B127" t="s">
        <v>517</v>
      </c>
      <c r="C127" t="s">
        <v>577</v>
      </c>
      <c r="D127" s="458" t="s">
        <v>837</v>
      </c>
      <c r="E127" s="458">
        <v>1</v>
      </c>
      <c r="F127">
        <v>9545.25</v>
      </c>
      <c r="G127">
        <v>9545.25</v>
      </c>
      <c r="H127"/>
      <c r="I127"/>
      <c r="J127">
        <v>904</v>
      </c>
      <c r="K127" s="107"/>
      <c r="L127" s="463">
        <v>904</v>
      </c>
      <c r="M127" s="490"/>
      <c r="N127" s="160">
        <v>0</v>
      </c>
      <c r="O127" s="546" cm="1">
        <f t="array" ref="O12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46030</v>
      </c>
      <c r="P127" s="567" t="s">
        <v>797</v>
      </c>
      <c r="Q127" s="567"/>
      <c r="R127" s="499"/>
      <c r="S127" s="463" cm="1">
        <f t="array" ref="S12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27" s="34">
        <v>1</v>
      </c>
      <c r="U127" s="176"/>
      <c r="V12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105.01020000000001</v>
      </c>
      <c r="W127" s="557"/>
      <c r="X127" s="545" t="s">
        <v>875</v>
      </c>
      <c r="Y127" s="548" t="s">
        <v>880</v>
      </c>
      <c r="Z127" s="160" t="s">
        <v>458</v>
      </c>
      <c r="AA127" s="563">
        <v>104800</v>
      </c>
      <c r="AB127" cm="1">
        <f t="array" ref="AB127">ROW()-ROW(Contract_Edits[#Headers])</f>
        <v>103</v>
      </c>
      <c r="AC127">
        <f>IF(Contract_Edits[[#This Row],[RowPos]]&gt;1, Contract_Edits[[#This Row],[RowPos]]-1, 0)</f>
        <v>102</v>
      </c>
      <c r="AD127" s="35">
        <f>IF(N(Contract_Edits[[#This Row],[Dep]])=0, N(Contract_Edits[[#This Row],[Index]]), N(Contract_Edits[[#This Row],[Dep]]))</f>
        <v>162</v>
      </c>
      <c r="AE127" s="35" cm="1">
        <f t="array" ref="AE127">IF(OR(Contract_Edits[[#This Row],[Dep]]=0, TRIM(Contract_Edits[[#This Row],[Dep]])=""),
   0,
   IFERROR(
      _xlfn.XLOOKUP(1, (Contract_Edits[Dep]=Contract_Edits[[#This Row],[Dep]])*(Contract_Edits[RowPos]&lt;Contract_Edits[[#This Row],[RowPos]]), Contract_Edits[RowPos], , 0, -1),
      0
   )
)</f>
        <v>102</v>
      </c>
      <c r="AF127" s="35">
        <f>IF(OR(Contract_Edits[[#This Row],[Dep]]=0,Contract_Edits[[#This Row],[Dep]]=""),0,
   COUNTIFS(Contract_Edits[Dep],Contract_Edits[[#This Row],[Dep]],Contract_Edits[RowPos],"&lt;="&amp;Contract_Edits[[#This Row],[RowPos]],Contract_Edits[Approve],"Yes")
)</f>
        <v>2</v>
      </c>
      <c r="AG127" s="517">
        <f>--(
  ISNUMBER(SEARCH("BASE PARENT", UPPER(CLEAN(TRIM(_xlfn.XLOOKUP(TEXT(Contract_Edits[[#This Row],[Index]],"0"), baseIdxTxt, baseCost, "")))))) +
  ISNUMBER(SEARCH("DEPENDENCY GROUP", UPPER(CLEAN(TRIM(_xlfn.XLOOKUP(TEXT(Contract_Edits[[#This Row],[Index]],"0"), baseIdxTxt, baseCost, ""))))))
)</f>
        <v>0</v>
      </c>
      <c r="AH127" s="517" t="str" cm="1">
        <f t="array" ref="AH127">IF(Contract_Edits[[#This Row],[BaseFlag]]=1,
   10*BaseDepthL(TEXT(Contract_Edits[[#This Row],[Index]],"0"),500,editsIdxTxt,editsParentKeyTxt,baseIdxTxt,baseCost)-5,
   ""
)</f>
        <v/>
      </c>
      <c r="AI127" s="517" cm="1">
        <f t="array" ref="AI1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27" s="517" t="str">
        <f>IF(Contract_Edits[[#This Row],[Dep]]=0,"Root",
   IF(ISNUMBER(MATCH(Contract_Edits[[#This Row],[Dep]],Contract_Edits[Index],0)),"OK","Missing")
)</f>
        <v>OK</v>
      </c>
      <c r="AK127" s="517" t="str">
        <f>IF(AND(Contract_Edits[[#This Row],[Dep]]&lt;&gt;0,
        ISNUMBER(MATCH(Contract_Edits[[#This Row],[Dep]], Contract_Edits[Index], 0)),
        INDEX(Contract_Edits[Dep], MATCH(Contract_Edits[[#This Row],[Dep]], Contract_Edits[Index], 0))=Contract_Edits[[#This Row],[Index]]),
   "2-cycle","")</f>
        <v/>
      </c>
      <c r="AL127" s="517" cm="1">
        <f t="array" ref="AL127">IF(Contract_Edits[[#This Row],[BaseFlag]]&lt;&gt;1,0,
   IF(TEXT(Contract_Edits[[#This Row],[Dep]],"0")=TEXT(Contract_Edits[[#This Row],[Index]],"0"),
      0,
      MAX(0, SUMPRODUCT(--(Contract_Edits[BaseFlag]=1),
                        --(TEXT(Contract_Edits[Dep],"0")=TEXT(Contract_Edits[[#This Row],[Dep]],"0"))) - 1)
   )
)</f>
        <v>0</v>
      </c>
      <c r="AM127" s="517" t="str" cm="1">
        <f t="array" ref="AM127">IF(Contract_Edits[[#This Row],[BaseFlag]]=1,
   TEXT(Contract_Edits[[#This Row],[Index]],"0"),
   NearestBaseL(TEXT(Contract_Edits[[#This Row],[ParentKey]],"0"),500,editsIdxTxt,editsParentKeyTxt,baseIdxTxt,baseCost)
)</f>
        <v>162</v>
      </c>
      <c r="AN127" s="517" cm="1">
        <f t="array" ref="AN127">1+SUMPRODUCT(
  (Contract_Edits[BaseFlag]=1)*
  (TEXT(Contract_Edits[ParentAnchor],"0")=TEXT(Contract_Edits[[#This Row],[ParentAnchor]],"0"))*
  (VALUE(TEXT(Contract_Edits[Index],"0"))&lt;VALUE(TEXT(Contract_Edits[[#This Row],[Index]],"0")))
)</f>
        <v>2</v>
      </c>
      <c r="AO127" s="35"/>
      <c r="AP127" s="35" t="str">
        <f ca="1">IFERROR(+IF(AP$24=#REF!,Milestone_Marker,IF(AND(AP$24&gt;#REF!,AP$24&lt;#REF!+#REF!),#REF!,"")),"")</f>
        <v/>
      </c>
      <c r="AQ127" s="35" t="str">
        <f ca="1">IFERROR(+IF(AQ$24=#REF!,Milestone_Marker,IF(AND(AQ$24&gt;#REF!,AQ$24&lt;#REF!+#REF!),#REF!,"")),"")</f>
        <v/>
      </c>
      <c r="AR127" s="34"/>
      <c r="AS127" s="34"/>
      <c r="AT127" s="34"/>
      <c r="AU127" s="34"/>
      <c r="AV127" s="34"/>
      <c r="AW127" s="34"/>
      <c r="AX127" s="34"/>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row>
    <row r="128" spans="1:81" ht="15">
      <c r="A128" t="s">
        <v>467</v>
      </c>
      <c r="B128" t="s">
        <v>639</v>
      </c>
      <c r="C128" t="s">
        <v>725</v>
      </c>
      <c r="D128" s="458" t="s">
        <v>726</v>
      </c>
      <c r="E128" s="458">
        <v>1</v>
      </c>
      <c r="F128">
        <v>0</v>
      </c>
      <c r="G128">
        <v>0</v>
      </c>
      <c r="H128">
        <v>162</v>
      </c>
      <c r="I128"/>
      <c r="J128">
        <v>135</v>
      </c>
      <c r="K128" s="107"/>
      <c r="L128" s="463">
        <v>135</v>
      </c>
      <c r="M128" s="490">
        <v>1</v>
      </c>
      <c r="N128" s="160">
        <v>0</v>
      </c>
      <c r="O128" s="546" cm="1">
        <f t="array" ref="O12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46030</v>
      </c>
      <c r="P128" s="567" t="s">
        <v>797</v>
      </c>
      <c r="Q128" s="567"/>
      <c r="R128" s="499"/>
      <c r="S128" s="463" cm="1">
        <f t="array" ref="S12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28" s="34">
        <v>1</v>
      </c>
      <c r="U128" s="490"/>
      <c r="V12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105.0103</v>
      </c>
      <c r="W128" s="557"/>
      <c r="X128" s="545" t="s">
        <v>875</v>
      </c>
      <c r="Y128" s="548" t="s">
        <v>881</v>
      </c>
      <c r="Z128" s="535" t="s">
        <v>458</v>
      </c>
      <c r="AA128" s="563">
        <v>104800</v>
      </c>
      <c r="AB128" cm="1">
        <f t="array" ref="AB128">ROW()-ROW(Contract_Edits[#Headers])</f>
        <v>104</v>
      </c>
      <c r="AC128">
        <f>IF(Contract_Edits[[#This Row],[RowPos]]&gt;1, Contract_Edits[[#This Row],[RowPos]]-1, 0)</f>
        <v>103</v>
      </c>
      <c r="AD128" s="35">
        <f>IF(N(Contract_Edits[[#This Row],[Dep]])=0, N(Contract_Edits[[#This Row],[Index]]), N(Contract_Edits[[#This Row],[Dep]]))</f>
        <v>162</v>
      </c>
      <c r="AE128" s="35" cm="1">
        <f t="array" ref="AE128">IF(OR(Contract_Edits[[#This Row],[Dep]]=0, TRIM(Contract_Edits[[#This Row],[Dep]])=""),
   0,
   IFERROR(
      _xlfn.XLOOKUP(1, (Contract_Edits[Dep]=Contract_Edits[[#This Row],[Dep]])*(Contract_Edits[RowPos]&lt;Contract_Edits[[#This Row],[RowPos]]), Contract_Edits[RowPos], , 0, -1),
      0
   )
)</f>
        <v>103</v>
      </c>
      <c r="AF128" s="35">
        <f>IF(OR(Contract_Edits[[#This Row],[Dep]]=0,Contract_Edits[[#This Row],[Dep]]=""),0,
   COUNTIFS(Contract_Edits[Dep],Contract_Edits[[#This Row],[Dep]],Contract_Edits[RowPos],"&lt;="&amp;Contract_Edits[[#This Row],[RowPos]],Contract_Edits[Approve],"Yes")
)</f>
        <v>3</v>
      </c>
      <c r="AG128" s="517">
        <f>--(
  ISNUMBER(SEARCH("BASE PARENT", UPPER(CLEAN(TRIM(_xlfn.XLOOKUP(TEXT(Contract_Edits[[#This Row],[Index]],"0"), baseIdxTxt, baseCost, "")))))) +
  ISNUMBER(SEARCH("DEPENDENCY GROUP", UPPER(CLEAN(TRIM(_xlfn.XLOOKUP(TEXT(Contract_Edits[[#This Row],[Index]],"0"), baseIdxTxt, baseCost, ""))))))
)</f>
        <v>0</v>
      </c>
      <c r="AH128" s="517" t="str" cm="1">
        <f t="array" ref="AH128">IF(Contract_Edits[[#This Row],[BaseFlag]]=1,
   10*BaseDepthL(TEXT(Contract_Edits[[#This Row],[Index]],"0"),500,editsIdxTxt,editsParentKeyTxt,baseIdxTxt,baseCost)-5,
   ""
)</f>
        <v/>
      </c>
      <c r="AI128" s="517" cm="1">
        <f t="array" ref="AI1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28" s="517" t="str">
        <f>IF(Contract_Edits[[#This Row],[Dep]]=0,"Root",
   IF(ISNUMBER(MATCH(Contract_Edits[[#This Row],[Dep]],Contract_Edits[Index],0)),"OK","Missing")
)</f>
        <v>OK</v>
      </c>
      <c r="AK128" s="517" t="str">
        <f>IF(AND(Contract_Edits[[#This Row],[Dep]]&lt;&gt;0,
        ISNUMBER(MATCH(Contract_Edits[[#This Row],[Dep]], Contract_Edits[Index], 0)),
        INDEX(Contract_Edits[Dep], MATCH(Contract_Edits[[#This Row],[Dep]], Contract_Edits[Index], 0))=Contract_Edits[[#This Row],[Index]]),
   "2-cycle","")</f>
        <v/>
      </c>
      <c r="AL128" s="517" cm="1">
        <f t="array" ref="AL128">IF(Contract_Edits[[#This Row],[BaseFlag]]&lt;&gt;1,0,
   IF(TEXT(Contract_Edits[[#This Row],[Dep]],"0")=TEXT(Contract_Edits[[#This Row],[Index]],"0"),
      0,
      MAX(0, SUMPRODUCT(--(Contract_Edits[BaseFlag]=1),
                        --(TEXT(Contract_Edits[Dep],"0")=TEXT(Contract_Edits[[#This Row],[Dep]],"0"))) - 1)
   )
)</f>
        <v>0</v>
      </c>
      <c r="AM128" s="517" t="str" cm="1">
        <f t="array" ref="AM128">IF(Contract_Edits[[#This Row],[BaseFlag]]=1,
   TEXT(Contract_Edits[[#This Row],[Index]],"0"),
   NearestBaseL(TEXT(Contract_Edits[[#This Row],[ParentKey]],"0"),500,editsIdxTxt,editsParentKeyTxt,baseIdxTxt,baseCost)
)</f>
        <v>162</v>
      </c>
      <c r="AN128" s="517" cm="1">
        <f t="array" ref="AN128">1+SUMPRODUCT(
  (Contract_Edits[BaseFlag]=1)*
  (TEXT(Contract_Edits[ParentAnchor],"0")=TEXT(Contract_Edits[[#This Row],[ParentAnchor]],"0"))*
  (VALUE(TEXT(Contract_Edits[Index],"0"))&lt;VALUE(TEXT(Contract_Edits[[#This Row],[Index]],"0")))
)</f>
        <v>1</v>
      </c>
      <c r="AO128" s="35"/>
      <c r="AP128" s="35" t="str">
        <f ca="1">IFERROR(+IF(AP$24=#REF!,Milestone_Marker,IF(AND(AP$24&gt;#REF!,AP$24&lt;#REF!+#REF!),#REF!,"")),"")</f>
        <v/>
      </c>
      <c r="AQ128" s="35" t="str">
        <f ca="1">IFERROR(+IF(AQ$24=#REF!,Milestone_Marker,IF(AND(AQ$24&gt;#REF!,AQ$24&lt;#REF!+#REF!),#REF!,"")),"")</f>
        <v/>
      </c>
      <c r="AR128" s="34"/>
      <c r="AS128" s="34"/>
      <c r="AT128" s="34"/>
      <c r="AU128" s="34"/>
      <c r="AV128" s="34"/>
      <c r="AW128" s="34"/>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row>
    <row r="129" spans="1:81" ht="30">
      <c r="A129" t="s">
        <v>552</v>
      </c>
      <c r="B129" t="s">
        <v>639</v>
      </c>
      <c r="C129" t="s">
        <v>577</v>
      </c>
      <c r="D129" s="458" t="s">
        <v>664</v>
      </c>
      <c r="E129" s="458">
        <v>1</v>
      </c>
      <c r="F129">
        <v>937.5</v>
      </c>
      <c r="G129">
        <v>937.5</v>
      </c>
      <c r="H129">
        <v>162</v>
      </c>
      <c r="I129"/>
      <c r="J129">
        <v>88</v>
      </c>
      <c r="K129" s="107"/>
      <c r="L129" s="463">
        <v>88</v>
      </c>
      <c r="M129" s="176">
        <v>3</v>
      </c>
      <c r="N129" s="160">
        <v>0</v>
      </c>
      <c r="O129" s="546" cm="1">
        <f t="array" ref="O12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46031</v>
      </c>
      <c r="P129" s="566" t="s">
        <v>797</v>
      </c>
      <c r="Q129" s="566">
        <v>0</v>
      </c>
      <c r="R129" s="22"/>
      <c r="S129" s="463" cm="1">
        <f t="array" ref="S12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29">
        <v>1</v>
      </c>
      <c r="U129" s="176"/>
      <c r="V12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105.0104</v>
      </c>
      <c r="W129" s="497"/>
      <c r="X129" s="176" t="s">
        <v>852</v>
      </c>
      <c r="Y129" s="547" t="s">
        <v>880</v>
      </c>
      <c r="Z129" s="160" t="s">
        <v>458</v>
      </c>
      <c r="AA129" s="563">
        <v>104800</v>
      </c>
      <c r="AB129" cm="1">
        <f t="array" ref="AB129">ROW()-ROW(Contract_Edits[#Headers])</f>
        <v>105</v>
      </c>
      <c r="AC129">
        <f>IF(Contract_Edits[[#This Row],[RowPos]]&gt;1, Contract_Edits[[#This Row],[RowPos]]-1, 0)</f>
        <v>104</v>
      </c>
      <c r="AD129" s="35">
        <f>IF(N(Contract_Edits[[#This Row],[Dep]])=0, N(Contract_Edits[[#This Row],[Index]]), N(Contract_Edits[[#This Row],[Dep]]))</f>
        <v>162</v>
      </c>
      <c r="AE129" s="35" cm="1">
        <f t="array" ref="AE129">IF(OR(Contract_Edits[[#This Row],[Dep]]=0, TRIM(Contract_Edits[[#This Row],[Dep]])=""),
   0,
   IFERROR(
      _xlfn.XLOOKUP(1, (Contract_Edits[Dep]=Contract_Edits[[#This Row],[Dep]])*(Contract_Edits[RowPos]&lt;Contract_Edits[[#This Row],[RowPos]]), Contract_Edits[RowPos], , 0, -1),
      0
   )
)</f>
        <v>104</v>
      </c>
      <c r="AF129" s="35">
        <f>IF(OR(Contract_Edits[[#This Row],[Dep]]=0,Contract_Edits[[#This Row],[Dep]]=""),0,
   COUNTIFS(Contract_Edits[Dep],Contract_Edits[[#This Row],[Dep]],Contract_Edits[RowPos],"&lt;="&amp;Contract_Edits[[#This Row],[RowPos]],Contract_Edits[Approve],"Yes")
)</f>
        <v>4</v>
      </c>
      <c r="AG129" s="517">
        <f>--(
  ISNUMBER(SEARCH("BASE PARENT", UPPER(CLEAN(TRIM(_xlfn.XLOOKUP(TEXT(Contract_Edits[[#This Row],[Index]],"0"), baseIdxTxt, baseCost, "")))))) +
  ISNUMBER(SEARCH("DEPENDENCY GROUP", UPPER(CLEAN(TRIM(_xlfn.XLOOKUP(TEXT(Contract_Edits[[#This Row],[Index]],"0"), baseIdxTxt, baseCost, ""))))))
)</f>
        <v>0</v>
      </c>
      <c r="AH129" s="517" t="str" cm="1">
        <f t="array" ref="AH129">IF(Contract_Edits[[#This Row],[BaseFlag]]=1,
   10*BaseDepthL(TEXT(Contract_Edits[[#This Row],[Index]],"0"),500,editsIdxTxt,editsParentKeyTxt,baseIdxTxt,baseCost)-5,
   ""
)</f>
        <v/>
      </c>
      <c r="AI129" s="517" cm="1">
        <f t="array" ref="AI1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29" s="517" t="str">
        <f>IF(Contract_Edits[[#This Row],[Dep]]=0,"Root",
   IF(ISNUMBER(MATCH(Contract_Edits[[#This Row],[Dep]],Contract_Edits[Index],0)),"OK","Missing")
)</f>
        <v>OK</v>
      </c>
      <c r="AK129" s="517" t="str">
        <f>IF(AND(Contract_Edits[[#This Row],[Dep]]&lt;&gt;0,
        ISNUMBER(MATCH(Contract_Edits[[#This Row],[Dep]], Contract_Edits[Index], 0)),
        INDEX(Contract_Edits[Dep], MATCH(Contract_Edits[[#This Row],[Dep]], Contract_Edits[Index], 0))=Contract_Edits[[#This Row],[Index]]),
   "2-cycle","")</f>
        <v/>
      </c>
      <c r="AL129" s="517" cm="1">
        <f t="array" ref="AL129">IF(Contract_Edits[[#This Row],[BaseFlag]]&lt;&gt;1,0,
   IF(TEXT(Contract_Edits[[#This Row],[Dep]],"0")=TEXT(Contract_Edits[[#This Row],[Index]],"0"),
      0,
      MAX(0, SUMPRODUCT(--(Contract_Edits[BaseFlag]=1),
                        --(TEXT(Contract_Edits[Dep],"0")=TEXT(Contract_Edits[[#This Row],[Dep]],"0"))) - 1)
   )
)</f>
        <v>0</v>
      </c>
      <c r="AM129" s="517" t="str" cm="1">
        <f t="array" ref="AM129">IF(Contract_Edits[[#This Row],[BaseFlag]]=1,
   TEXT(Contract_Edits[[#This Row],[Index]],"0"),
   NearestBaseL(TEXT(Contract_Edits[[#This Row],[ParentKey]],"0"),500,editsIdxTxt,editsParentKeyTxt,baseIdxTxt,baseCost)
)</f>
        <v>162</v>
      </c>
      <c r="AN129" s="517" cm="1">
        <f t="array" ref="AN129">1+SUMPRODUCT(
  (Contract_Edits[BaseFlag]=1)*
  (TEXT(Contract_Edits[ParentAnchor],"0")=TEXT(Contract_Edits[[#This Row],[ParentAnchor]],"0"))*
  (VALUE(TEXT(Contract_Edits[Index],"0"))&lt;VALUE(TEXT(Contract_Edits[[#This Row],[Index]],"0")))
)</f>
        <v>1</v>
      </c>
      <c r="AO129" s="35"/>
      <c r="AP129" s="35" t="str">
        <f ca="1">IFERROR(+IF(AP$24=#REF!,Milestone_Marker,IF(AND(AP$24&gt;#REF!,AP$24&lt;#REF!+#REF!),#REF!,"")),"")</f>
        <v/>
      </c>
      <c r="AQ129" s="35" t="str">
        <f ca="1">IFERROR(+IF(AQ$24=#REF!,Milestone_Marker,IF(AND(AQ$24&gt;#REF!,AQ$24&lt;#REF!+#REF!),#REF!,"")),"")</f>
        <v/>
      </c>
      <c r="AR129" s="34"/>
      <c r="AS129" s="34"/>
      <c r="AT129" s="34"/>
      <c r="AU129" s="34"/>
      <c r="AV129" s="34"/>
      <c r="AW129" s="34"/>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row>
    <row r="130" spans="1:81" ht="15">
      <c r="A130" t="s">
        <v>552</v>
      </c>
      <c r="B130" t="s">
        <v>639</v>
      </c>
      <c r="C130" t="s">
        <v>677</v>
      </c>
      <c r="D130" s="458" t="s">
        <v>678</v>
      </c>
      <c r="E130" s="458">
        <v>1</v>
      </c>
      <c r="F130">
        <v>312.5</v>
      </c>
      <c r="G130">
        <v>312.5</v>
      </c>
      <c r="H130">
        <v>162</v>
      </c>
      <c r="I130"/>
      <c r="J130">
        <v>99</v>
      </c>
      <c r="K130" s="107"/>
      <c r="L130" s="463">
        <v>99</v>
      </c>
      <c r="M130" s="176">
        <v>1</v>
      </c>
      <c r="N130" s="160">
        <v>0</v>
      </c>
      <c r="O130" s="546" cm="1">
        <f t="array" ref="O13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46036</v>
      </c>
      <c r="P130" s="566" t="s">
        <v>797</v>
      </c>
      <c r="Q130" s="566">
        <v>0</v>
      </c>
      <c r="R130" s="22"/>
      <c r="S130" s="463" cm="1">
        <f t="array" ref="S13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30">
        <v>1</v>
      </c>
      <c r="U130" s="176"/>
      <c r="V13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105.01050000000001</v>
      </c>
      <c r="W130" s="497"/>
      <c r="X130" s="176" t="s">
        <v>852</v>
      </c>
      <c r="Y130" s="547" t="s">
        <v>881</v>
      </c>
      <c r="Z130" s="160" t="s">
        <v>458</v>
      </c>
      <c r="AA130" s="563">
        <v>104800</v>
      </c>
      <c r="AB130" cm="1">
        <f t="array" ref="AB130">ROW()-ROW(Contract_Edits[#Headers])</f>
        <v>106</v>
      </c>
      <c r="AC130">
        <f>IF(Contract_Edits[[#This Row],[RowPos]]&gt;1, Contract_Edits[[#This Row],[RowPos]]-1, 0)</f>
        <v>105</v>
      </c>
      <c r="AD130" s="35">
        <f>IF(N(Contract_Edits[[#This Row],[Dep]])=0, N(Contract_Edits[[#This Row],[Index]]), N(Contract_Edits[[#This Row],[Dep]]))</f>
        <v>162</v>
      </c>
      <c r="AE130" s="35" cm="1">
        <f t="array" ref="AE130">IF(OR(Contract_Edits[[#This Row],[Dep]]=0, TRIM(Contract_Edits[[#This Row],[Dep]])=""),
   0,
   IFERROR(
      _xlfn.XLOOKUP(1, (Contract_Edits[Dep]=Contract_Edits[[#This Row],[Dep]])*(Contract_Edits[RowPos]&lt;Contract_Edits[[#This Row],[RowPos]]), Contract_Edits[RowPos], , 0, -1),
      0
   )
)</f>
        <v>105</v>
      </c>
      <c r="AF130" s="35">
        <f>IF(OR(Contract_Edits[[#This Row],[Dep]]=0,Contract_Edits[[#This Row],[Dep]]=""),0,
   COUNTIFS(Contract_Edits[Dep],Contract_Edits[[#This Row],[Dep]],Contract_Edits[RowPos],"&lt;="&amp;Contract_Edits[[#This Row],[RowPos]],Contract_Edits[Approve],"Yes")
)</f>
        <v>5</v>
      </c>
      <c r="AG130" s="517">
        <f>--(
  ISNUMBER(SEARCH("BASE PARENT", UPPER(CLEAN(TRIM(_xlfn.XLOOKUP(TEXT(Contract_Edits[[#This Row],[Index]],"0"), baseIdxTxt, baseCost, "")))))) +
  ISNUMBER(SEARCH("DEPENDENCY GROUP", UPPER(CLEAN(TRIM(_xlfn.XLOOKUP(TEXT(Contract_Edits[[#This Row],[Index]],"0"), baseIdxTxt, baseCost, ""))))))
)</f>
        <v>0</v>
      </c>
      <c r="AH130" s="517" t="str" cm="1">
        <f t="array" ref="AH130">IF(Contract_Edits[[#This Row],[BaseFlag]]=1,
   10*BaseDepthL(TEXT(Contract_Edits[[#This Row],[Index]],"0"),500,editsIdxTxt,editsParentKeyTxt,baseIdxTxt,baseCost)-5,
   ""
)</f>
        <v/>
      </c>
      <c r="AI130" s="517" cm="1">
        <f t="array" ref="AI1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30" s="517" t="str">
        <f>IF(Contract_Edits[[#This Row],[Dep]]=0,"Root",
   IF(ISNUMBER(MATCH(Contract_Edits[[#This Row],[Dep]],Contract_Edits[Index],0)),"OK","Missing")
)</f>
        <v>OK</v>
      </c>
      <c r="AK130" s="517" t="str">
        <f>IF(AND(Contract_Edits[[#This Row],[Dep]]&lt;&gt;0,
        ISNUMBER(MATCH(Contract_Edits[[#This Row],[Dep]], Contract_Edits[Index], 0)),
        INDEX(Contract_Edits[Dep], MATCH(Contract_Edits[[#This Row],[Dep]], Contract_Edits[Index], 0))=Contract_Edits[[#This Row],[Index]]),
   "2-cycle","")</f>
        <v/>
      </c>
      <c r="AL130" s="517" cm="1">
        <f t="array" ref="AL130">IF(Contract_Edits[[#This Row],[BaseFlag]]&lt;&gt;1,0,
   IF(TEXT(Contract_Edits[[#This Row],[Dep]],"0")=TEXT(Contract_Edits[[#This Row],[Index]],"0"),
      0,
      MAX(0, SUMPRODUCT(--(Contract_Edits[BaseFlag]=1),
                        --(TEXT(Contract_Edits[Dep],"0")=TEXT(Contract_Edits[[#This Row],[Dep]],"0"))) - 1)
   )
)</f>
        <v>0</v>
      </c>
      <c r="AM130" s="517" t="str" cm="1">
        <f t="array" ref="AM130">IF(Contract_Edits[[#This Row],[BaseFlag]]=1,
   TEXT(Contract_Edits[[#This Row],[Index]],"0"),
   NearestBaseL(TEXT(Contract_Edits[[#This Row],[ParentKey]],"0"),500,editsIdxTxt,editsParentKeyTxt,baseIdxTxt,baseCost)
)</f>
        <v>162</v>
      </c>
      <c r="AN130" s="517" cm="1">
        <f t="array" ref="AN130">1+SUMPRODUCT(
  (Contract_Edits[BaseFlag]=1)*
  (TEXT(Contract_Edits[ParentAnchor],"0")=TEXT(Contract_Edits[[#This Row],[ParentAnchor]],"0"))*
  (VALUE(TEXT(Contract_Edits[Index],"0"))&lt;VALUE(TEXT(Contract_Edits[[#This Row],[Index]],"0")))
)</f>
        <v>1</v>
      </c>
      <c r="AO130" s="35"/>
      <c r="AP130" s="35" t="str">
        <f ca="1">IFERROR(+IF(AP$24=#REF!,Milestone_Marker,IF(AND(AP$24&gt;#REF!,AP$24&lt;#REF!+#REF!),#REF!,"")),"")</f>
        <v/>
      </c>
      <c r="AQ130" s="35" t="str">
        <f ca="1">IFERROR(+IF(AQ$24=#REF!,Milestone_Marker,IF(AND(AQ$24&gt;#REF!,AQ$24&lt;#REF!+#REF!),#REF!,"")),"")</f>
        <v/>
      </c>
      <c r="AR130" s="34"/>
      <c r="AS130" s="34"/>
      <c r="AT130" s="34"/>
      <c r="AU130" s="34"/>
      <c r="AV130" s="34"/>
      <c r="AW130" s="34"/>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row>
    <row r="131" spans="1:81" ht="15">
      <c r="A131" t="s">
        <v>552</v>
      </c>
      <c r="B131" t="s">
        <v>521</v>
      </c>
      <c r="C131" t="s">
        <v>577</v>
      </c>
      <c r="D131" s="458" t="s">
        <v>699</v>
      </c>
      <c r="E131" s="458">
        <v>1</v>
      </c>
      <c r="F131">
        <v>312.5</v>
      </c>
      <c r="G131">
        <v>312.5</v>
      </c>
      <c r="H131">
        <v>162</v>
      </c>
      <c r="I131"/>
      <c r="J131">
        <v>116</v>
      </c>
      <c r="K131" s="107"/>
      <c r="L131" s="463">
        <v>116</v>
      </c>
      <c r="M131" s="490">
        <v>1</v>
      </c>
      <c r="N131" s="160">
        <v>0</v>
      </c>
      <c r="O131" s="546" cm="1">
        <f t="array" ref="O13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46037</v>
      </c>
      <c r="P131" s="567" t="s">
        <v>797</v>
      </c>
      <c r="Q131" s="567"/>
      <c r="R131" s="499"/>
      <c r="S131" s="463" cm="1">
        <f t="array" ref="S13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31" s="34">
        <v>1</v>
      </c>
      <c r="U131" s="490"/>
      <c r="V13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105.01060000000001</v>
      </c>
      <c r="W131" s="557"/>
      <c r="X131" s="545"/>
      <c r="Y131" s="548" t="s">
        <v>881</v>
      </c>
      <c r="Z131" s="160" t="s">
        <v>458</v>
      </c>
      <c r="AA131" s="563">
        <v>104800</v>
      </c>
      <c r="AB131" cm="1">
        <f t="array" ref="AB131">ROW()-ROW(Contract_Edits[#Headers])</f>
        <v>107</v>
      </c>
      <c r="AC131">
        <f>IF(Contract_Edits[[#This Row],[RowPos]]&gt;1, Contract_Edits[[#This Row],[RowPos]]-1, 0)</f>
        <v>106</v>
      </c>
      <c r="AD131" s="35">
        <f>IF(N(Contract_Edits[[#This Row],[Dep]])=0, N(Contract_Edits[[#This Row],[Index]]), N(Contract_Edits[[#This Row],[Dep]]))</f>
        <v>162</v>
      </c>
      <c r="AE131" s="35" cm="1">
        <f t="array" ref="AE131">IF(OR(Contract_Edits[[#This Row],[Dep]]=0, TRIM(Contract_Edits[[#This Row],[Dep]])=""),
   0,
   IFERROR(
      _xlfn.XLOOKUP(1, (Contract_Edits[Dep]=Contract_Edits[[#This Row],[Dep]])*(Contract_Edits[RowPos]&lt;Contract_Edits[[#This Row],[RowPos]]), Contract_Edits[RowPos], , 0, -1),
      0
   )
)</f>
        <v>106</v>
      </c>
      <c r="AF131" s="35">
        <f>IF(OR(Contract_Edits[[#This Row],[Dep]]=0,Contract_Edits[[#This Row],[Dep]]=""),0,
   COUNTIFS(Contract_Edits[Dep],Contract_Edits[[#This Row],[Dep]],Contract_Edits[RowPos],"&lt;="&amp;Contract_Edits[[#This Row],[RowPos]],Contract_Edits[Approve],"Yes")
)</f>
        <v>6</v>
      </c>
      <c r="AG131" s="517">
        <f>--(
  ISNUMBER(SEARCH("BASE PARENT", UPPER(CLEAN(TRIM(_xlfn.XLOOKUP(TEXT(Contract_Edits[[#This Row],[Index]],"0"), baseIdxTxt, baseCost, "")))))) +
  ISNUMBER(SEARCH("DEPENDENCY GROUP", UPPER(CLEAN(TRIM(_xlfn.XLOOKUP(TEXT(Contract_Edits[[#This Row],[Index]],"0"), baseIdxTxt, baseCost, ""))))))
)</f>
        <v>0</v>
      </c>
      <c r="AH131" s="517" t="str" cm="1">
        <f t="array" ref="AH131">IF(Contract_Edits[[#This Row],[BaseFlag]]=1,
   10*BaseDepthL(TEXT(Contract_Edits[[#This Row],[Index]],"0"),500,editsIdxTxt,editsParentKeyTxt,baseIdxTxt,baseCost)-5,
   ""
)</f>
        <v/>
      </c>
      <c r="AI131" s="517" cm="1">
        <f t="array" ref="AI1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31" s="517" t="str">
        <f>IF(Contract_Edits[[#This Row],[Dep]]=0,"Root",
   IF(ISNUMBER(MATCH(Contract_Edits[[#This Row],[Dep]],Contract_Edits[Index],0)),"OK","Missing")
)</f>
        <v>OK</v>
      </c>
      <c r="AK131" s="517" t="str">
        <f>IF(AND(Contract_Edits[[#This Row],[Dep]]&lt;&gt;0,
        ISNUMBER(MATCH(Contract_Edits[[#This Row],[Dep]], Contract_Edits[Index], 0)),
        INDEX(Contract_Edits[Dep], MATCH(Contract_Edits[[#This Row],[Dep]], Contract_Edits[Index], 0))=Contract_Edits[[#This Row],[Index]]),
   "2-cycle","")</f>
        <v/>
      </c>
      <c r="AL131" s="517" cm="1">
        <f t="array" ref="AL131">IF(Contract_Edits[[#This Row],[BaseFlag]]&lt;&gt;1,0,
   IF(TEXT(Contract_Edits[[#This Row],[Dep]],"0")=TEXT(Contract_Edits[[#This Row],[Index]],"0"),
      0,
      MAX(0, SUMPRODUCT(--(Contract_Edits[BaseFlag]=1),
                        --(TEXT(Contract_Edits[Dep],"0")=TEXT(Contract_Edits[[#This Row],[Dep]],"0"))) - 1)
   )
)</f>
        <v>0</v>
      </c>
      <c r="AM131" s="517" t="str" cm="1">
        <f t="array" ref="AM131">IF(Contract_Edits[[#This Row],[BaseFlag]]=1,
   TEXT(Contract_Edits[[#This Row],[Index]],"0"),
   NearestBaseL(TEXT(Contract_Edits[[#This Row],[ParentKey]],"0"),500,editsIdxTxt,editsParentKeyTxt,baseIdxTxt,baseCost)
)</f>
        <v>162</v>
      </c>
      <c r="AN131" s="517" cm="1">
        <f t="array" ref="AN131">1+SUMPRODUCT(
  (Contract_Edits[BaseFlag]=1)*
  (TEXT(Contract_Edits[ParentAnchor],"0")=TEXT(Contract_Edits[[#This Row],[ParentAnchor]],"0"))*
  (VALUE(TEXT(Contract_Edits[Index],"0"))&lt;VALUE(TEXT(Contract_Edits[[#This Row],[Index]],"0")))
)</f>
        <v>1</v>
      </c>
      <c r="AO131" s="35"/>
      <c r="AP131" s="35" t="str">
        <f ca="1">IFERROR(+IF(AP$24=#REF!,Milestone_Marker,IF(AND(AP$24&gt;#REF!,AP$24&lt;#REF!+#REF!),#REF!,"")),"")</f>
        <v/>
      </c>
      <c r="AQ131" s="35" t="str">
        <f ca="1">IFERROR(+IF(AQ$24=#REF!,Milestone_Marker,IF(AND(AQ$24&gt;#REF!,AQ$24&lt;#REF!+#REF!),#REF!,"")),"")</f>
        <v/>
      </c>
      <c r="AR131" s="34"/>
      <c r="AS131" s="34"/>
      <c r="AT131" s="34"/>
      <c r="AU131" s="34"/>
      <c r="AV131" s="34"/>
      <c r="AW131" s="34"/>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row>
    <row r="132" spans="1:81" ht="30">
      <c r="A132" t="s">
        <v>552</v>
      </c>
      <c r="B132" t="s">
        <v>587</v>
      </c>
      <c r="C132" t="s">
        <v>598</v>
      </c>
      <c r="D132" s="458" t="s">
        <v>599</v>
      </c>
      <c r="E132" s="458">
        <v>1</v>
      </c>
      <c r="F132">
        <v>312.5</v>
      </c>
      <c r="G132">
        <v>312.5</v>
      </c>
      <c r="H132">
        <v>162</v>
      </c>
      <c r="I132"/>
      <c r="J132">
        <v>43</v>
      </c>
      <c r="K132" s="107"/>
      <c r="L132" s="463">
        <v>43</v>
      </c>
      <c r="M132" s="176">
        <v>1</v>
      </c>
      <c r="N132" s="160">
        <v>0</v>
      </c>
      <c r="O132" s="546" cm="1">
        <f t="array" ref="O13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46038</v>
      </c>
      <c r="P132" s="566" t="s">
        <v>797</v>
      </c>
      <c r="Q132" s="566">
        <v>0</v>
      </c>
      <c r="R132" s="22"/>
      <c r="S132" s="463" cm="1">
        <f t="array" ref="S13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32">
        <v>1</v>
      </c>
      <c r="U132" s="176"/>
      <c r="V13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105.0107</v>
      </c>
      <c r="W132" s="497"/>
      <c r="X132" s="176" t="s">
        <v>852</v>
      </c>
      <c r="Y132" s="547" t="s">
        <v>881</v>
      </c>
      <c r="Z132" s="160" t="s">
        <v>458</v>
      </c>
      <c r="AA132" s="563">
        <v>104800</v>
      </c>
      <c r="AB132" cm="1">
        <f t="array" ref="AB132">ROW()-ROW(Contract_Edits[#Headers])</f>
        <v>108</v>
      </c>
      <c r="AC132">
        <f>IF(Contract_Edits[[#This Row],[RowPos]]&gt;1, Contract_Edits[[#This Row],[RowPos]]-1, 0)</f>
        <v>107</v>
      </c>
      <c r="AD132" s="35">
        <f>IF(N(Contract_Edits[[#This Row],[Dep]])=0, N(Contract_Edits[[#This Row],[Index]]), N(Contract_Edits[[#This Row],[Dep]]))</f>
        <v>162</v>
      </c>
      <c r="AE132" s="35" cm="1">
        <f t="array" ref="AE132">IF(OR(Contract_Edits[[#This Row],[Dep]]=0, TRIM(Contract_Edits[[#This Row],[Dep]])=""),
   0,
   IFERROR(
      _xlfn.XLOOKUP(1, (Contract_Edits[Dep]=Contract_Edits[[#This Row],[Dep]])*(Contract_Edits[RowPos]&lt;Contract_Edits[[#This Row],[RowPos]]), Contract_Edits[RowPos], , 0, -1),
      0
   )
)</f>
        <v>107</v>
      </c>
      <c r="AF132" s="35">
        <f>IF(OR(Contract_Edits[[#This Row],[Dep]]=0,Contract_Edits[[#This Row],[Dep]]=""),0,
   COUNTIFS(Contract_Edits[Dep],Contract_Edits[[#This Row],[Dep]],Contract_Edits[RowPos],"&lt;="&amp;Contract_Edits[[#This Row],[RowPos]],Contract_Edits[Approve],"Yes")
)</f>
        <v>7</v>
      </c>
      <c r="AG132" s="517">
        <f>--(
  ISNUMBER(SEARCH("BASE PARENT", UPPER(CLEAN(TRIM(_xlfn.XLOOKUP(TEXT(Contract_Edits[[#This Row],[Index]],"0"), baseIdxTxt, baseCost, "")))))) +
  ISNUMBER(SEARCH("DEPENDENCY GROUP", UPPER(CLEAN(TRIM(_xlfn.XLOOKUP(TEXT(Contract_Edits[[#This Row],[Index]],"0"), baseIdxTxt, baseCost, ""))))))
)</f>
        <v>0</v>
      </c>
      <c r="AH132" s="517" t="str" cm="1">
        <f t="array" ref="AH132">IF(Contract_Edits[[#This Row],[BaseFlag]]=1,
   10*BaseDepthL(TEXT(Contract_Edits[[#This Row],[Index]],"0"),500,editsIdxTxt,editsParentKeyTxt,baseIdxTxt,baseCost)-5,
   ""
)</f>
        <v/>
      </c>
      <c r="AI132" s="517" cm="1">
        <f t="array" ref="AI1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32" s="517" t="str">
        <f>IF(Contract_Edits[[#This Row],[Dep]]=0,"Root",
   IF(ISNUMBER(MATCH(Contract_Edits[[#This Row],[Dep]],Contract_Edits[Index],0)),"OK","Missing")
)</f>
        <v>OK</v>
      </c>
      <c r="AK132" s="517" t="str">
        <f>IF(AND(Contract_Edits[[#This Row],[Dep]]&lt;&gt;0,
        ISNUMBER(MATCH(Contract_Edits[[#This Row],[Dep]], Contract_Edits[Index], 0)),
        INDEX(Contract_Edits[Dep], MATCH(Contract_Edits[[#This Row],[Dep]], Contract_Edits[Index], 0))=Contract_Edits[[#This Row],[Index]]),
   "2-cycle","")</f>
        <v/>
      </c>
      <c r="AL132" s="517" cm="1">
        <f t="array" ref="AL132">IF(Contract_Edits[[#This Row],[BaseFlag]]&lt;&gt;1,0,
   IF(TEXT(Contract_Edits[[#This Row],[Dep]],"0")=TEXT(Contract_Edits[[#This Row],[Index]],"0"),
      0,
      MAX(0, SUMPRODUCT(--(Contract_Edits[BaseFlag]=1),
                        --(TEXT(Contract_Edits[Dep],"0")=TEXT(Contract_Edits[[#This Row],[Dep]],"0"))) - 1)
   )
)</f>
        <v>0</v>
      </c>
      <c r="AM132" s="517" t="str" cm="1">
        <f t="array" ref="AM132">IF(Contract_Edits[[#This Row],[BaseFlag]]=1,
   TEXT(Contract_Edits[[#This Row],[Index]],"0"),
   NearestBaseL(TEXT(Contract_Edits[[#This Row],[ParentKey]],"0"),500,editsIdxTxt,editsParentKeyTxt,baseIdxTxt,baseCost)
)</f>
        <v>162</v>
      </c>
      <c r="AN132" s="517" cm="1">
        <f t="array" ref="AN132">1+SUMPRODUCT(
  (Contract_Edits[BaseFlag]=1)*
  (TEXT(Contract_Edits[ParentAnchor],"0")=TEXT(Contract_Edits[[#This Row],[ParentAnchor]],"0"))*
  (VALUE(TEXT(Contract_Edits[Index],"0"))&lt;VALUE(TEXT(Contract_Edits[[#This Row],[Index]],"0")))
)</f>
        <v>1</v>
      </c>
      <c r="AO132" s="35"/>
      <c r="AP132" s="35" t="str">
        <f ca="1">IFERROR(+IF(AP$24=#REF!,Milestone_Marker,IF(AND(AP$24&gt;#REF!,AP$24&lt;#REF!+#REF!),#REF!,"")),"")</f>
        <v/>
      </c>
      <c r="AQ132" s="35" t="str">
        <f ca="1">IFERROR(+IF(AQ$24=#REF!,Milestone_Marker,IF(AND(AQ$24&gt;#REF!,AQ$24&lt;#REF!+#REF!),#REF!,"")),"")</f>
        <v/>
      </c>
      <c r="AR132" s="34"/>
      <c r="AS132" s="34"/>
      <c r="AT132" s="34"/>
      <c r="AU132" s="34"/>
      <c r="AV132" s="34"/>
      <c r="AW132" s="34"/>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row>
    <row r="133" spans="1:81" ht="30">
      <c r="A133" t="s">
        <v>552</v>
      </c>
      <c r="B133" t="s">
        <v>555</v>
      </c>
      <c r="C133" t="s">
        <v>577</v>
      </c>
      <c r="D133" s="458" t="s">
        <v>578</v>
      </c>
      <c r="E133" s="458">
        <v>1</v>
      </c>
      <c r="F133">
        <v>937.5</v>
      </c>
      <c r="G133">
        <v>937.5</v>
      </c>
      <c r="H133">
        <v>162</v>
      </c>
      <c r="I133"/>
      <c r="J133">
        <v>31</v>
      </c>
      <c r="K133" s="107"/>
      <c r="L133" s="463">
        <v>31</v>
      </c>
      <c r="M133" s="176">
        <v>3</v>
      </c>
      <c r="N133" s="160">
        <v>0</v>
      </c>
      <c r="O133" s="546" cm="1">
        <f t="array" ref="O13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46041</v>
      </c>
      <c r="P133" s="566" t="s">
        <v>797</v>
      </c>
      <c r="Q133" s="566">
        <v>0</v>
      </c>
      <c r="R133" s="22"/>
      <c r="S133" s="463" cm="1">
        <f t="array" ref="S13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33">
        <v>1</v>
      </c>
      <c r="U133" s="176"/>
      <c r="V13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105.0108</v>
      </c>
      <c r="W133" s="497"/>
      <c r="X133" s="176" t="s">
        <v>852</v>
      </c>
      <c r="Y133" s="547" t="s">
        <v>881</v>
      </c>
      <c r="Z133" s="160" t="s">
        <v>458</v>
      </c>
      <c r="AA133" s="563">
        <v>104800</v>
      </c>
      <c r="AB133" cm="1">
        <f t="array" ref="AB133">ROW()-ROW(Contract_Edits[#Headers])</f>
        <v>109</v>
      </c>
      <c r="AC133">
        <f>IF(Contract_Edits[[#This Row],[RowPos]]&gt;1, Contract_Edits[[#This Row],[RowPos]]-1, 0)</f>
        <v>108</v>
      </c>
      <c r="AD133" s="35">
        <f>IF(N(Contract_Edits[[#This Row],[Dep]])=0, N(Contract_Edits[[#This Row],[Index]]), N(Contract_Edits[[#This Row],[Dep]]))</f>
        <v>162</v>
      </c>
      <c r="AE133" s="35" cm="1">
        <f t="array" ref="AE133">IF(OR(Contract_Edits[[#This Row],[Dep]]=0, TRIM(Contract_Edits[[#This Row],[Dep]])=""),
   0,
   IFERROR(
      _xlfn.XLOOKUP(1, (Contract_Edits[Dep]=Contract_Edits[[#This Row],[Dep]])*(Contract_Edits[RowPos]&lt;Contract_Edits[[#This Row],[RowPos]]), Contract_Edits[RowPos], , 0, -1),
      0
   )
)</f>
        <v>108</v>
      </c>
      <c r="AF133" s="35">
        <f>IF(OR(Contract_Edits[[#This Row],[Dep]]=0,Contract_Edits[[#This Row],[Dep]]=""),0,
   COUNTIFS(Contract_Edits[Dep],Contract_Edits[[#This Row],[Dep]],Contract_Edits[RowPos],"&lt;="&amp;Contract_Edits[[#This Row],[RowPos]],Contract_Edits[Approve],"Yes")
)</f>
        <v>8</v>
      </c>
      <c r="AG133" s="517">
        <f>--(
  ISNUMBER(SEARCH("BASE PARENT", UPPER(CLEAN(TRIM(_xlfn.XLOOKUP(TEXT(Contract_Edits[[#This Row],[Index]],"0"), baseIdxTxt, baseCost, "")))))) +
  ISNUMBER(SEARCH("DEPENDENCY GROUP", UPPER(CLEAN(TRIM(_xlfn.XLOOKUP(TEXT(Contract_Edits[[#This Row],[Index]],"0"), baseIdxTxt, baseCost, ""))))))
)</f>
        <v>0</v>
      </c>
      <c r="AH133" s="517" t="str" cm="1">
        <f t="array" ref="AH133">IF(Contract_Edits[[#This Row],[BaseFlag]]=1,
   10*BaseDepthL(TEXT(Contract_Edits[[#This Row],[Index]],"0"),500,editsIdxTxt,editsParentKeyTxt,baseIdxTxt,baseCost)-5,
   ""
)</f>
        <v/>
      </c>
      <c r="AI133" s="517" cm="1">
        <f t="array" ref="AI1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33" s="517" t="str">
        <f>IF(Contract_Edits[[#This Row],[Dep]]=0,"Root",
   IF(ISNUMBER(MATCH(Contract_Edits[[#This Row],[Dep]],Contract_Edits[Index],0)),"OK","Missing")
)</f>
        <v>OK</v>
      </c>
      <c r="AK133" s="517" t="str">
        <f>IF(AND(Contract_Edits[[#This Row],[Dep]]&lt;&gt;0,
        ISNUMBER(MATCH(Contract_Edits[[#This Row],[Dep]], Contract_Edits[Index], 0)),
        INDEX(Contract_Edits[Dep], MATCH(Contract_Edits[[#This Row],[Dep]], Contract_Edits[Index], 0))=Contract_Edits[[#This Row],[Index]]),
   "2-cycle","")</f>
        <v/>
      </c>
      <c r="AL133" s="517" cm="1">
        <f t="array" ref="AL133">IF(Contract_Edits[[#This Row],[BaseFlag]]&lt;&gt;1,0,
   IF(TEXT(Contract_Edits[[#This Row],[Dep]],"0")=TEXT(Contract_Edits[[#This Row],[Index]],"0"),
      0,
      MAX(0, SUMPRODUCT(--(Contract_Edits[BaseFlag]=1),
                        --(TEXT(Contract_Edits[Dep],"0")=TEXT(Contract_Edits[[#This Row],[Dep]],"0"))) - 1)
   )
)</f>
        <v>0</v>
      </c>
      <c r="AM133" s="517" t="str" cm="1">
        <f t="array" ref="AM133">IF(Contract_Edits[[#This Row],[BaseFlag]]=1,
   TEXT(Contract_Edits[[#This Row],[Index]],"0"),
   NearestBaseL(TEXT(Contract_Edits[[#This Row],[ParentKey]],"0"),500,editsIdxTxt,editsParentKeyTxt,baseIdxTxt,baseCost)
)</f>
        <v>162</v>
      </c>
      <c r="AN133" s="517" cm="1">
        <f t="array" ref="AN133">1+SUMPRODUCT(
  (Contract_Edits[BaseFlag]=1)*
  (TEXT(Contract_Edits[ParentAnchor],"0")=TEXT(Contract_Edits[[#This Row],[ParentAnchor]],"0"))*
  (VALUE(TEXT(Contract_Edits[Index],"0"))&lt;VALUE(TEXT(Contract_Edits[[#This Row],[Index]],"0")))
)</f>
        <v>1</v>
      </c>
      <c r="AO133" s="35"/>
      <c r="AP133" s="35" t="str">
        <f ca="1">IFERROR(+IF(AP$24=#REF!,Milestone_Marker,IF(AND(AP$24&gt;#REF!,AP$24&lt;#REF!+#REF!),#REF!,"")),"")</f>
        <v/>
      </c>
      <c r="AQ133" s="35" t="str">
        <f ca="1">IFERROR(+IF(AQ$24=#REF!,Milestone_Marker,IF(AND(AQ$24&gt;#REF!,AQ$24&lt;#REF!+#REF!),#REF!,"")),"")</f>
        <v/>
      </c>
      <c r="AR133" s="34"/>
      <c r="AS133" s="34"/>
      <c r="AT133" s="34"/>
      <c r="AU133" s="34"/>
      <c r="AV133" s="34"/>
      <c r="AW133" s="34"/>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row>
    <row r="134" spans="1:81" ht="15">
      <c r="A134" t="s">
        <v>747</v>
      </c>
      <c r="B134" t="s">
        <v>744</v>
      </c>
      <c r="C134" t="s">
        <v>761</v>
      </c>
      <c r="D134" s="458" t="s">
        <v>762</v>
      </c>
      <c r="E134" s="458">
        <v>0</v>
      </c>
      <c r="F134"/>
      <c r="G134"/>
      <c r="H134">
        <v>162</v>
      </c>
      <c r="I134"/>
      <c r="J134">
        <v>163</v>
      </c>
      <c r="K134" s="107"/>
      <c r="L134" s="463">
        <v>163</v>
      </c>
      <c r="M134" s="490"/>
      <c r="N134" s="160">
        <v>0</v>
      </c>
      <c r="O134" s="546" cm="1">
        <f t="array" ref="O13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46044</v>
      </c>
      <c r="P134" s="567"/>
      <c r="Q134" s="567"/>
      <c r="R134" s="499"/>
      <c r="S134" s="463" cm="1">
        <f t="array" ref="S13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34" s="34">
        <v>1</v>
      </c>
      <c r="U134" s="490"/>
      <c r="V13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v>
      </c>
      <c r="W134" s="557"/>
      <c r="X134" s="545"/>
      <c r="Y134" s="548"/>
      <c r="Z134" s="535" t="s">
        <v>458</v>
      </c>
      <c r="AA134" s="544"/>
      <c r="AB134" cm="1">
        <f t="array" ref="AB134">ROW()-ROW(Contract_Edits[#Headers])</f>
        <v>110</v>
      </c>
      <c r="AC134">
        <f>IF(Contract_Edits[[#This Row],[RowPos]]&gt;1, Contract_Edits[[#This Row],[RowPos]]-1, 0)</f>
        <v>109</v>
      </c>
      <c r="AD134" s="35">
        <f>IF(N(Contract_Edits[[#This Row],[Dep]])=0, N(Contract_Edits[[#This Row],[Index]]), N(Contract_Edits[[#This Row],[Dep]]))</f>
        <v>162</v>
      </c>
      <c r="AE134" s="35" cm="1">
        <f t="array" ref="AE134">IF(OR(Contract_Edits[[#This Row],[Dep]]=0, TRIM(Contract_Edits[[#This Row],[Dep]])=""),
   0,
   IFERROR(
      _xlfn.XLOOKUP(1, (Contract_Edits[Dep]=Contract_Edits[[#This Row],[Dep]])*(Contract_Edits[RowPos]&lt;Contract_Edits[[#This Row],[RowPos]]), Contract_Edits[RowPos], , 0, -1),
      0
   )
)</f>
        <v>109</v>
      </c>
      <c r="AF134" s="35">
        <f>IF(OR(Contract_Edits[[#This Row],[Dep]]=0,Contract_Edits[[#This Row],[Dep]]=""),0,
   COUNTIFS(Contract_Edits[Dep],Contract_Edits[[#This Row],[Dep]],Contract_Edits[RowPos],"&lt;="&amp;Contract_Edits[[#This Row],[RowPos]],Contract_Edits[Approve],"Yes")
)</f>
        <v>9</v>
      </c>
      <c r="AG134" s="517">
        <f>--(
  ISNUMBER(SEARCH("BASE PARENT", UPPER(CLEAN(TRIM(_xlfn.XLOOKUP(TEXT(Contract_Edits[[#This Row],[Index]],"0"), baseIdxTxt, baseCost, "")))))) +
  ISNUMBER(SEARCH("DEPENDENCY GROUP", UPPER(CLEAN(TRIM(_xlfn.XLOOKUP(TEXT(Contract_Edits[[#This Row],[Index]],"0"), baseIdxTxt, baseCost, ""))))))
)</f>
        <v>1</v>
      </c>
      <c r="AH134" s="517" cm="1">
        <f t="array" ref="AH134">IF(Contract_Edits[[#This Row],[BaseFlag]]=1,
   10*BaseDepthL(TEXT(Contract_Edits[[#This Row],[Index]],"0"),500,editsIdxTxt,editsParentKeyTxt,baseIdxTxt,baseCost)-5,
   ""
)</f>
        <v>115</v>
      </c>
      <c r="AI134" s="517" cm="1">
        <f t="array" ref="AI1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34" s="517" t="str">
        <f>IF(Contract_Edits[[#This Row],[Dep]]=0,"Root",
   IF(ISNUMBER(MATCH(Contract_Edits[[#This Row],[Dep]],Contract_Edits[Index],0)),"OK","Missing")
)</f>
        <v>OK</v>
      </c>
      <c r="AK134" s="517" t="str">
        <f>IF(AND(Contract_Edits[[#This Row],[Dep]]&lt;&gt;0,
        ISNUMBER(MATCH(Contract_Edits[[#This Row],[Dep]], Contract_Edits[Index], 0)),
        INDEX(Contract_Edits[Dep], MATCH(Contract_Edits[[#This Row],[Dep]], Contract_Edits[Index], 0))=Contract_Edits[[#This Row],[Index]]),
   "2-cycle","")</f>
        <v/>
      </c>
      <c r="AL134" s="517" cm="1">
        <f t="array" ref="AL134">IF(Contract_Edits[[#This Row],[BaseFlag]]&lt;&gt;1,0,
   IF(TEXT(Contract_Edits[[#This Row],[Dep]],"0")=TEXT(Contract_Edits[[#This Row],[Index]],"0"),
      0,
      MAX(0, SUMPRODUCT(--(Contract_Edits[BaseFlag]=1),
                        --(TEXT(Contract_Edits[Dep],"0")=TEXT(Contract_Edits[[#This Row],[Dep]],"0"))) - 1)
   )
)</f>
        <v>0</v>
      </c>
      <c r="AM134" s="517" t="str" cm="1">
        <f t="array" ref="AM134">IF(Contract_Edits[[#This Row],[BaseFlag]]=1,
   TEXT(Contract_Edits[[#This Row],[Index]],"0"),
   NearestBaseL(TEXT(Contract_Edits[[#This Row],[ParentKey]],"0"),500,editsIdxTxt,editsParentKeyTxt,baseIdxTxt,baseCost)
)</f>
        <v>163</v>
      </c>
      <c r="AN134" s="517" cm="1">
        <f t="array" ref="AN134">1+SUMPRODUCT(
  (Contract_Edits[BaseFlag]=1)*
  (TEXT(Contract_Edits[ParentAnchor],"0")=TEXT(Contract_Edits[[#This Row],[ParentAnchor]],"0"))*
  (VALUE(TEXT(Contract_Edits[Index],"0"))&lt;VALUE(TEXT(Contract_Edits[[#This Row],[Index]],"0")))
)</f>
        <v>1</v>
      </c>
      <c r="AO134" s="35"/>
      <c r="AP134" s="35" t="str">
        <f ca="1">IFERROR(+IF(AP$24=#REF!,Milestone_Marker,IF(AND(AP$24&gt;#REF!,AP$24&lt;#REF!+#REF!),#REF!,"")),"")</f>
        <v/>
      </c>
      <c r="AQ134" s="35" t="str">
        <f ca="1">IFERROR(+IF(AQ$24=#REF!,Milestone_Marker,IF(AND(AQ$24&gt;#REF!,AQ$24&lt;#REF!+#REF!),#REF!,"")),"")</f>
        <v/>
      </c>
      <c r="AR134" s="34"/>
      <c r="AS134" s="34"/>
      <c r="AT134" s="34"/>
      <c r="AU134" s="34"/>
      <c r="AV134" s="34"/>
      <c r="AW134" s="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row>
    <row r="135" spans="1:81" ht="15">
      <c r="A135" t="s">
        <v>806</v>
      </c>
      <c r="B135" t="s">
        <v>517</v>
      </c>
      <c r="C135" t="s">
        <v>763</v>
      </c>
      <c r="D135" s="458" t="s">
        <v>836</v>
      </c>
      <c r="E135" s="458">
        <v>1</v>
      </c>
      <c r="F135">
        <v>3886.5482500000003</v>
      </c>
      <c r="G135">
        <v>3886.5482500000003</v>
      </c>
      <c r="H135"/>
      <c r="I135"/>
      <c r="J135">
        <v>903</v>
      </c>
      <c r="K135" s="107"/>
      <c r="L135" s="463">
        <v>903</v>
      </c>
      <c r="M135" s="490"/>
      <c r="N135" s="160">
        <v>0</v>
      </c>
      <c r="O135" s="546" cm="1">
        <f t="array" ref="O13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46044</v>
      </c>
      <c r="P135" s="567" t="s">
        <v>797</v>
      </c>
      <c r="Q135" s="567"/>
      <c r="R135" s="499"/>
      <c r="S135" s="463" cm="1">
        <f t="array" ref="S13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35" s="34">
        <v>1</v>
      </c>
      <c r="U135" s="176"/>
      <c r="V13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115.01010000000001</v>
      </c>
      <c r="W135" s="557"/>
      <c r="X135" s="545"/>
      <c r="Y135" s="548" t="s">
        <v>882</v>
      </c>
      <c r="Z135" s="160" t="s">
        <v>458</v>
      </c>
      <c r="AA135" s="563">
        <v>103700</v>
      </c>
      <c r="AB135" cm="1">
        <f t="array" ref="AB135">ROW()-ROW(Contract_Edits[#Headers])</f>
        <v>111</v>
      </c>
      <c r="AC135">
        <f>IF(Contract_Edits[[#This Row],[RowPos]]&gt;1, Contract_Edits[[#This Row],[RowPos]]-1, 0)</f>
        <v>110</v>
      </c>
      <c r="AD135" s="35">
        <f>IF(N(Contract_Edits[[#This Row],[Dep]])=0, N(Contract_Edits[[#This Row],[Index]]), N(Contract_Edits[[#This Row],[Dep]]))</f>
        <v>163</v>
      </c>
      <c r="AE135" s="35" cm="1">
        <f t="array" ref="AE135">IF(OR(Contract_Edits[[#This Row],[Dep]]=0, TRIM(Contract_Edits[[#This Row],[Dep]])=""),
   0,
   IFERROR(
      _xlfn.XLOOKUP(1, (Contract_Edits[Dep]=Contract_Edits[[#This Row],[Dep]])*(Contract_Edits[RowPos]&lt;Contract_Edits[[#This Row],[RowPos]]), Contract_Edits[RowPos], , 0, -1),
      0
   )
)</f>
        <v>0</v>
      </c>
      <c r="AF135" s="35">
        <f>IF(OR(Contract_Edits[[#This Row],[Dep]]=0,Contract_Edits[[#This Row],[Dep]]=""),0,
   COUNTIFS(Contract_Edits[Dep],Contract_Edits[[#This Row],[Dep]],Contract_Edits[RowPos],"&lt;="&amp;Contract_Edits[[#This Row],[RowPos]],Contract_Edits[Approve],"Yes")
)</f>
        <v>1</v>
      </c>
      <c r="AG135" s="517">
        <f>--(
  ISNUMBER(SEARCH("BASE PARENT", UPPER(CLEAN(TRIM(_xlfn.XLOOKUP(TEXT(Contract_Edits[[#This Row],[Index]],"0"), baseIdxTxt, baseCost, "")))))) +
  ISNUMBER(SEARCH("DEPENDENCY GROUP", UPPER(CLEAN(TRIM(_xlfn.XLOOKUP(TEXT(Contract_Edits[[#This Row],[Index]],"0"), baseIdxTxt, baseCost, ""))))))
)</f>
        <v>0</v>
      </c>
      <c r="AH135" s="517" t="str" cm="1">
        <f t="array" ref="AH135">IF(Contract_Edits[[#This Row],[BaseFlag]]=1,
   10*BaseDepthL(TEXT(Contract_Edits[[#This Row],[Index]],"0"),500,editsIdxTxt,editsParentKeyTxt,baseIdxTxt,baseCost)-5,
   ""
)</f>
        <v/>
      </c>
      <c r="AI135" s="517" cm="1">
        <f t="array" ref="AI1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35" s="517" t="str">
        <f>IF(Contract_Edits[[#This Row],[Dep]]=0,"Root",
   IF(ISNUMBER(MATCH(Contract_Edits[[#This Row],[Dep]],Contract_Edits[Index],0)),"OK","Missing")
)</f>
        <v>OK</v>
      </c>
      <c r="AK135" s="517" t="str">
        <f>IF(AND(Contract_Edits[[#This Row],[Dep]]&lt;&gt;0,
        ISNUMBER(MATCH(Contract_Edits[[#This Row],[Dep]], Contract_Edits[Index], 0)),
        INDEX(Contract_Edits[Dep], MATCH(Contract_Edits[[#This Row],[Dep]], Contract_Edits[Index], 0))=Contract_Edits[[#This Row],[Index]]),
   "2-cycle","")</f>
        <v/>
      </c>
      <c r="AL135" s="517" cm="1">
        <f t="array" ref="AL135">IF(Contract_Edits[[#This Row],[BaseFlag]]&lt;&gt;1,0,
   IF(TEXT(Contract_Edits[[#This Row],[Dep]],"0")=TEXT(Contract_Edits[[#This Row],[Index]],"0"),
      0,
      MAX(0, SUMPRODUCT(--(Contract_Edits[BaseFlag]=1),
                        --(TEXT(Contract_Edits[Dep],"0")=TEXT(Contract_Edits[[#This Row],[Dep]],"0"))) - 1)
   )
)</f>
        <v>0</v>
      </c>
      <c r="AM135" s="517" t="str" cm="1">
        <f t="array" ref="AM135">IF(Contract_Edits[[#This Row],[BaseFlag]]=1,
   TEXT(Contract_Edits[[#This Row],[Index]],"0"),
   NearestBaseL(TEXT(Contract_Edits[[#This Row],[ParentKey]],"0"),500,editsIdxTxt,editsParentKeyTxt,baseIdxTxt,baseCost)
)</f>
        <v>163</v>
      </c>
      <c r="AN135" s="517" cm="1">
        <f t="array" ref="AN135">1+SUMPRODUCT(
  (Contract_Edits[BaseFlag]=1)*
  (TEXT(Contract_Edits[ParentAnchor],"0")=TEXT(Contract_Edits[[#This Row],[ParentAnchor]],"0"))*
  (VALUE(TEXT(Contract_Edits[Index],"0"))&lt;VALUE(TEXT(Contract_Edits[[#This Row],[Index]],"0")))
)</f>
        <v>2</v>
      </c>
      <c r="AO135" s="35"/>
      <c r="AP135" s="35" t="str">
        <f ca="1">IFERROR(+IF(AP$24=#REF!,Milestone_Marker,IF(AND(AP$24&gt;#REF!,AP$24&lt;#REF!+#REF!),#REF!,"")),"")</f>
        <v/>
      </c>
      <c r="AQ135" s="35" t="str">
        <f ca="1">IFERROR(+IF(AQ$24=#REF!,Milestone_Marker,IF(AND(AQ$24&gt;#REF!,AQ$24&lt;#REF!+#REF!),#REF!,"")),"")</f>
        <v/>
      </c>
      <c r="AR135" s="34"/>
      <c r="AS135" s="34"/>
      <c r="AT135" s="34"/>
      <c r="AU135" s="34"/>
      <c r="AV135" s="34"/>
      <c r="AW135" s="34"/>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row>
    <row r="136" spans="1:81" ht="15">
      <c r="A136" t="s">
        <v>552</v>
      </c>
      <c r="B136" t="s">
        <v>639</v>
      </c>
      <c r="C136" t="s">
        <v>575</v>
      </c>
      <c r="D136" s="458" t="s">
        <v>661</v>
      </c>
      <c r="E136" s="458">
        <v>1</v>
      </c>
      <c r="F136">
        <v>312.5</v>
      </c>
      <c r="G136">
        <v>312.5</v>
      </c>
      <c r="H136">
        <v>163</v>
      </c>
      <c r="I136"/>
      <c r="J136">
        <v>86</v>
      </c>
      <c r="K136" s="107"/>
      <c r="L136" s="463">
        <v>86</v>
      </c>
      <c r="M136" s="176">
        <v>1</v>
      </c>
      <c r="N136" s="160">
        <v>0</v>
      </c>
      <c r="O136" s="546" cm="1">
        <f t="array" ref="O13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46044</v>
      </c>
      <c r="P136" s="566" t="s">
        <v>797</v>
      </c>
      <c r="Q136" s="566">
        <v>0</v>
      </c>
      <c r="R136" s="22"/>
      <c r="S136" s="463" cm="1">
        <f t="array" ref="S13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36">
        <v>1</v>
      </c>
      <c r="U136" s="176"/>
      <c r="V13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115.01020000000001</v>
      </c>
      <c r="W136" s="497"/>
      <c r="X136" s="176" t="s">
        <v>852</v>
      </c>
      <c r="Y136" s="547" t="s">
        <v>882</v>
      </c>
      <c r="Z136" s="160" t="s">
        <v>458</v>
      </c>
      <c r="AA136" s="563">
        <v>103700</v>
      </c>
      <c r="AB136" cm="1">
        <f t="array" ref="AB136">ROW()-ROW(Contract_Edits[#Headers])</f>
        <v>112</v>
      </c>
      <c r="AC136">
        <f>IF(Contract_Edits[[#This Row],[RowPos]]&gt;1, Contract_Edits[[#This Row],[RowPos]]-1, 0)</f>
        <v>111</v>
      </c>
      <c r="AD136" s="35">
        <f>IF(N(Contract_Edits[[#This Row],[Dep]])=0, N(Contract_Edits[[#This Row],[Index]]), N(Contract_Edits[[#This Row],[Dep]]))</f>
        <v>163</v>
      </c>
      <c r="AE136" s="35" cm="1">
        <f t="array" ref="AE136">IF(OR(Contract_Edits[[#This Row],[Dep]]=0, TRIM(Contract_Edits[[#This Row],[Dep]])=""),
   0,
   IFERROR(
      _xlfn.XLOOKUP(1, (Contract_Edits[Dep]=Contract_Edits[[#This Row],[Dep]])*(Contract_Edits[RowPos]&lt;Contract_Edits[[#This Row],[RowPos]]), Contract_Edits[RowPos], , 0, -1),
      0
   )
)</f>
        <v>111</v>
      </c>
      <c r="AF136" s="35">
        <f>IF(OR(Contract_Edits[[#This Row],[Dep]]=0,Contract_Edits[[#This Row],[Dep]]=""),0,
   COUNTIFS(Contract_Edits[Dep],Contract_Edits[[#This Row],[Dep]],Contract_Edits[RowPos],"&lt;="&amp;Contract_Edits[[#This Row],[RowPos]],Contract_Edits[Approve],"Yes")
)</f>
        <v>2</v>
      </c>
      <c r="AG136" s="517">
        <f>--(
  ISNUMBER(SEARCH("BASE PARENT", UPPER(CLEAN(TRIM(_xlfn.XLOOKUP(TEXT(Contract_Edits[[#This Row],[Index]],"0"), baseIdxTxt, baseCost, "")))))) +
  ISNUMBER(SEARCH("DEPENDENCY GROUP", UPPER(CLEAN(TRIM(_xlfn.XLOOKUP(TEXT(Contract_Edits[[#This Row],[Index]],"0"), baseIdxTxt, baseCost, ""))))))
)</f>
        <v>0</v>
      </c>
      <c r="AH136" s="517" t="str" cm="1">
        <f t="array" ref="AH136">IF(Contract_Edits[[#This Row],[BaseFlag]]=1,
   10*BaseDepthL(TEXT(Contract_Edits[[#This Row],[Index]],"0"),500,editsIdxTxt,editsParentKeyTxt,baseIdxTxt,baseCost)-5,
   ""
)</f>
        <v/>
      </c>
      <c r="AI136" s="517" cm="1">
        <f t="array" ref="AI1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36" s="517" t="str">
        <f>IF(Contract_Edits[[#This Row],[Dep]]=0,"Root",
   IF(ISNUMBER(MATCH(Contract_Edits[[#This Row],[Dep]],Contract_Edits[Index],0)),"OK","Missing")
)</f>
        <v>OK</v>
      </c>
      <c r="AK136" s="517" t="str">
        <f>IF(AND(Contract_Edits[[#This Row],[Dep]]&lt;&gt;0,
        ISNUMBER(MATCH(Contract_Edits[[#This Row],[Dep]], Contract_Edits[Index], 0)),
        INDEX(Contract_Edits[Dep], MATCH(Contract_Edits[[#This Row],[Dep]], Contract_Edits[Index], 0))=Contract_Edits[[#This Row],[Index]]),
   "2-cycle","")</f>
        <v/>
      </c>
      <c r="AL136" s="517" cm="1">
        <f t="array" ref="AL136">IF(Contract_Edits[[#This Row],[BaseFlag]]&lt;&gt;1,0,
   IF(TEXT(Contract_Edits[[#This Row],[Dep]],"0")=TEXT(Contract_Edits[[#This Row],[Index]],"0"),
      0,
      MAX(0, SUMPRODUCT(--(Contract_Edits[BaseFlag]=1),
                        --(TEXT(Contract_Edits[Dep],"0")=TEXT(Contract_Edits[[#This Row],[Dep]],"0"))) - 1)
   )
)</f>
        <v>0</v>
      </c>
      <c r="AM136" s="517" t="str" cm="1">
        <f t="array" ref="AM136">IF(Contract_Edits[[#This Row],[BaseFlag]]=1,
   TEXT(Contract_Edits[[#This Row],[Index]],"0"),
   NearestBaseL(TEXT(Contract_Edits[[#This Row],[ParentKey]],"0"),500,editsIdxTxt,editsParentKeyTxt,baseIdxTxt,baseCost)
)</f>
        <v>163</v>
      </c>
      <c r="AN136" s="517" cm="1">
        <f t="array" ref="AN136">1+SUMPRODUCT(
  (Contract_Edits[BaseFlag]=1)*
  (TEXT(Contract_Edits[ParentAnchor],"0")=TEXT(Contract_Edits[[#This Row],[ParentAnchor]],"0"))*
  (VALUE(TEXT(Contract_Edits[Index],"0"))&lt;VALUE(TEXT(Contract_Edits[[#This Row],[Index]],"0")))
)</f>
        <v>1</v>
      </c>
      <c r="AO136" s="35"/>
      <c r="AP136" s="35" t="str">
        <f ca="1">IFERROR(+IF(AP$24=#REF!,Milestone_Marker,IF(AND(AP$24&gt;#REF!,AP$24&lt;#REF!+#REF!),#REF!,"")),"")</f>
        <v/>
      </c>
      <c r="AQ136" s="35" t="str">
        <f ca="1">IFERROR(+IF(AQ$24=#REF!,Milestone_Marker,IF(AND(AQ$24&gt;#REF!,AQ$24&lt;#REF!+#REF!),#REF!,"")),"")</f>
        <v/>
      </c>
      <c r="AR136" s="34"/>
      <c r="AS136" s="34"/>
      <c r="AT136" s="34"/>
      <c r="AU136" s="34"/>
      <c r="AV136" s="34"/>
      <c r="AW136" s="34"/>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row>
    <row r="137" spans="1:81" ht="30">
      <c r="A137" t="s">
        <v>552</v>
      </c>
      <c r="B137" t="s">
        <v>639</v>
      </c>
      <c r="C137" t="s">
        <v>673</v>
      </c>
      <c r="D137" s="458" t="s">
        <v>674</v>
      </c>
      <c r="E137" s="458">
        <v>1</v>
      </c>
      <c r="F137">
        <v>78.125</v>
      </c>
      <c r="G137">
        <v>78.125</v>
      </c>
      <c r="H137">
        <v>163</v>
      </c>
      <c r="I137"/>
      <c r="J137">
        <v>96</v>
      </c>
      <c r="K137" s="107"/>
      <c r="L137" s="463">
        <v>96</v>
      </c>
      <c r="M137" s="176">
        <v>0.25</v>
      </c>
      <c r="N137" s="160">
        <v>0</v>
      </c>
      <c r="O137" s="546" cm="1">
        <f t="array" ref="O13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46045</v>
      </c>
      <c r="P137" s="566" t="s">
        <v>797</v>
      </c>
      <c r="Q137" s="566">
        <v>0</v>
      </c>
      <c r="R137" s="22"/>
      <c r="S137" s="463" cm="1">
        <f t="array" ref="S13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37">
        <v>1</v>
      </c>
      <c r="U137" s="176"/>
      <c r="V13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115.0103</v>
      </c>
      <c r="W137" s="497"/>
      <c r="X137" s="176" t="s">
        <v>852</v>
      </c>
      <c r="Y137" s="547" t="s">
        <v>882</v>
      </c>
      <c r="Z137" s="160" t="s">
        <v>458</v>
      </c>
      <c r="AA137" s="563">
        <v>103700</v>
      </c>
      <c r="AB137" cm="1">
        <f t="array" ref="AB137">ROW()-ROW(Contract_Edits[#Headers])</f>
        <v>113</v>
      </c>
      <c r="AC137">
        <f>IF(Contract_Edits[[#This Row],[RowPos]]&gt;1, Contract_Edits[[#This Row],[RowPos]]-1, 0)</f>
        <v>112</v>
      </c>
      <c r="AD137" s="35">
        <f>IF(N(Contract_Edits[[#This Row],[Dep]])=0, N(Contract_Edits[[#This Row],[Index]]), N(Contract_Edits[[#This Row],[Dep]]))</f>
        <v>163</v>
      </c>
      <c r="AE137" s="35" cm="1">
        <f t="array" ref="AE137">IF(OR(Contract_Edits[[#This Row],[Dep]]=0, TRIM(Contract_Edits[[#This Row],[Dep]])=""),
   0,
   IFERROR(
      _xlfn.XLOOKUP(1, (Contract_Edits[Dep]=Contract_Edits[[#This Row],[Dep]])*(Contract_Edits[RowPos]&lt;Contract_Edits[[#This Row],[RowPos]]), Contract_Edits[RowPos], , 0, -1),
      0
   )
)</f>
        <v>112</v>
      </c>
      <c r="AF137" s="35">
        <f>IF(OR(Contract_Edits[[#This Row],[Dep]]=0,Contract_Edits[[#This Row],[Dep]]=""),0,
   COUNTIFS(Contract_Edits[Dep],Contract_Edits[[#This Row],[Dep]],Contract_Edits[RowPos],"&lt;="&amp;Contract_Edits[[#This Row],[RowPos]],Contract_Edits[Approve],"Yes")
)</f>
        <v>3</v>
      </c>
      <c r="AG137" s="517">
        <f>--(
  ISNUMBER(SEARCH("BASE PARENT", UPPER(CLEAN(TRIM(_xlfn.XLOOKUP(TEXT(Contract_Edits[[#This Row],[Index]],"0"), baseIdxTxt, baseCost, "")))))) +
  ISNUMBER(SEARCH("DEPENDENCY GROUP", UPPER(CLEAN(TRIM(_xlfn.XLOOKUP(TEXT(Contract_Edits[[#This Row],[Index]],"0"), baseIdxTxt, baseCost, ""))))))
)</f>
        <v>0</v>
      </c>
      <c r="AH137" s="517" t="str" cm="1">
        <f t="array" ref="AH137">IF(Contract_Edits[[#This Row],[BaseFlag]]=1,
   10*BaseDepthL(TEXT(Contract_Edits[[#This Row],[Index]],"0"),500,editsIdxTxt,editsParentKeyTxt,baseIdxTxt,baseCost)-5,
   ""
)</f>
        <v/>
      </c>
      <c r="AI137" s="517" cm="1">
        <f t="array" ref="AI1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37" s="517" t="str">
        <f>IF(Contract_Edits[[#This Row],[Dep]]=0,"Root",
   IF(ISNUMBER(MATCH(Contract_Edits[[#This Row],[Dep]],Contract_Edits[Index],0)),"OK","Missing")
)</f>
        <v>OK</v>
      </c>
      <c r="AK137" s="517" t="str">
        <f>IF(AND(Contract_Edits[[#This Row],[Dep]]&lt;&gt;0,
        ISNUMBER(MATCH(Contract_Edits[[#This Row],[Dep]], Contract_Edits[Index], 0)),
        INDEX(Contract_Edits[Dep], MATCH(Contract_Edits[[#This Row],[Dep]], Contract_Edits[Index], 0))=Contract_Edits[[#This Row],[Index]]),
   "2-cycle","")</f>
        <v/>
      </c>
      <c r="AL137" s="517" cm="1">
        <f t="array" ref="AL137">IF(Contract_Edits[[#This Row],[BaseFlag]]&lt;&gt;1,0,
   IF(TEXT(Contract_Edits[[#This Row],[Dep]],"0")=TEXT(Contract_Edits[[#This Row],[Index]],"0"),
      0,
      MAX(0, SUMPRODUCT(--(Contract_Edits[BaseFlag]=1),
                        --(TEXT(Contract_Edits[Dep],"0")=TEXT(Contract_Edits[[#This Row],[Dep]],"0"))) - 1)
   )
)</f>
        <v>0</v>
      </c>
      <c r="AM137" s="517" t="str" cm="1">
        <f t="array" ref="AM137">IF(Contract_Edits[[#This Row],[BaseFlag]]=1,
   TEXT(Contract_Edits[[#This Row],[Index]],"0"),
   NearestBaseL(TEXT(Contract_Edits[[#This Row],[ParentKey]],"0"),500,editsIdxTxt,editsParentKeyTxt,baseIdxTxt,baseCost)
)</f>
        <v>163</v>
      </c>
      <c r="AN137" s="517" cm="1">
        <f t="array" ref="AN137">1+SUMPRODUCT(
  (Contract_Edits[BaseFlag]=1)*
  (TEXT(Contract_Edits[ParentAnchor],"0")=TEXT(Contract_Edits[[#This Row],[ParentAnchor]],"0"))*
  (VALUE(TEXT(Contract_Edits[Index],"0"))&lt;VALUE(TEXT(Contract_Edits[[#This Row],[Index]],"0")))
)</f>
        <v>1</v>
      </c>
      <c r="AO137" s="35"/>
      <c r="AP137" s="35" t="str">
        <f ca="1">IFERROR(+IF(AP$24=#REF!,Milestone_Marker,IF(AND(AP$24&gt;#REF!,AP$24&lt;#REF!+#REF!),#REF!,"")),"")</f>
        <v/>
      </c>
      <c r="AQ137" s="35" t="str">
        <f ca="1">IFERROR(+IF(AQ$24=#REF!,Milestone_Marker,IF(AND(AQ$24&gt;#REF!,AQ$24&lt;#REF!+#REF!),#REF!,"")),"")</f>
        <v/>
      </c>
      <c r="AR137" s="34"/>
      <c r="AS137" s="34"/>
      <c r="AT137" s="34"/>
      <c r="AU137" s="34"/>
      <c r="AV137" s="34"/>
      <c r="AW137" s="34"/>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row>
    <row r="138" spans="1:81" ht="15">
      <c r="A138" t="s">
        <v>519</v>
      </c>
      <c r="B138" t="s">
        <v>521</v>
      </c>
      <c r="C138" t="s">
        <v>684</v>
      </c>
      <c r="D138" s="458" t="s">
        <v>685</v>
      </c>
      <c r="E138" s="458">
        <v>1</v>
      </c>
      <c r="F138">
        <v>435</v>
      </c>
      <c r="G138">
        <v>435</v>
      </c>
      <c r="H138">
        <v>163</v>
      </c>
      <c r="I138"/>
      <c r="J138">
        <v>104</v>
      </c>
      <c r="K138" s="107"/>
      <c r="L138" s="463">
        <v>104</v>
      </c>
      <c r="M138" s="176">
        <v>0</v>
      </c>
      <c r="N138" s="160">
        <v>0</v>
      </c>
      <c r="O138" s="546" cm="1">
        <f t="array" ref="O13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46045</v>
      </c>
      <c r="P138" s="566" t="s">
        <v>797</v>
      </c>
      <c r="Q138" s="566">
        <v>0</v>
      </c>
      <c r="R138" s="22"/>
      <c r="S138" s="463" cm="1">
        <f t="array" ref="S13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38">
        <v>1</v>
      </c>
      <c r="U138" s="176"/>
      <c r="V13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115.0104</v>
      </c>
      <c r="W138" s="497"/>
      <c r="X138" s="176" t="s">
        <v>852</v>
      </c>
      <c r="Y138" s="547" t="s">
        <v>882</v>
      </c>
      <c r="Z138" s="160" t="s">
        <v>458</v>
      </c>
      <c r="AA138" s="563">
        <v>102800</v>
      </c>
      <c r="AB138" cm="1">
        <f t="array" ref="AB138">ROW()-ROW(Contract_Edits[#Headers])</f>
        <v>114</v>
      </c>
      <c r="AC138">
        <f>IF(Contract_Edits[[#This Row],[RowPos]]&gt;1, Contract_Edits[[#This Row],[RowPos]]-1, 0)</f>
        <v>113</v>
      </c>
      <c r="AD138" s="35">
        <f>IF(N(Contract_Edits[[#This Row],[Dep]])=0, N(Contract_Edits[[#This Row],[Index]]), N(Contract_Edits[[#This Row],[Dep]]))</f>
        <v>163</v>
      </c>
      <c r="AE138" s="35" cm="1">
        <f t="array" ref="AE138">IF(OR(Contract_Edits[[#This Row],[Dep]]=0, TRIM(Contract_Edits[[#This Row],[Dep]])=""),
   0,
   IFERROR(
      _xlfn.XLOOKUP(1, (Contract_Edits[Dep]=Contract_Edits[[#This Row],[Dep]])*(Contract_Edits[RowPos]&lt;Contract_Edits[[#This Row],[RowPos]]), Contract_Edits[RowPos], , 0, -1),
      0
   )
)</f>
        <v>113</v>
      </c>
      <c r="AF138" s="35">
        <f>IF(OR(Contract_Edits[[#This Row],[Dep]]=0,Contract_Edits[[#This Row],[Dep]]=""),0,
   COUNTIFS(Contract_Edits[Dep],Contract_Edits[[#This Row],[Dep]],Contract_Edits[RowPos],"&lt;="&amp;Contract_Edits[[#This Row],[RowPos]],Contract_Edits[Approve],"Yes")
)</f>
        <v>4</v>
      </c>
      <c r="AG138" s="517">
        <f>--(
  ISNUMBER(SEARCH("BASE PARENT", UPPER(CLEAN(TRIM(_xlfn.XLOOKUP(TEXT(Contract_Edits[[#This Row],[Index]],"0"), baseIdxTxt, baseCost, "")))))) +
  ISNUMBER(SEARCH("DEPENDENCY GROUP", UPPER(CLEAN(TRIM(_xlfn.XLOOKUP(TEXT(Contract_Edits[[#This Row],[Index]],"0"), baseIdxTxt, baseCost, ""))))))
)</f>
        <v>0</v>
      </c>
      <c r="AH138" s="517" t="str" cm="1">
        <f t="array" ref="AH138">IF(Contract_Edits[[#This Row],[BaseFlag]]=1,
   10*BaseDepthL(TEXT(Contract_Edits[[#This Row],[Index]],"0"),500,editsIdxTxt,editsParentKeyTxt,baseIdxTxt,baseCost)-5,
   ""
)</f>
        <v/>
      </c>
      <c r="AI138" s="517" cm="1">
        <f t="array" ref="AI1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38" s="517" t="str">
        <f>IF(Contract_Edits[[#This Row],[Dep]]=0,"Root",
   IF(ISNUMBER(MATCH(Contract_Edits[[#This Row],[Dep]],Contract_Edits[Index],0)),"OK","Missing")
)</f>
        <v>OK</v>
      </c>
      <c r="AK138" s="517" t="str">
        <f>IF(AND(Contract_Edits[[#This Row],[Dep]]&lt;&gt;0,
        ISNUMBER(MATCH(Contract_Edits[[#This Row],[Dep]], Contract_Edits[Index], 0)),
        INDEX(Contract_Edits[Dep], MATCH(Contract_Edits[[#This Row],[Dep]], Contract_Edits[Index], 0))=Contract_Edits[[#This Row],[Index]]),
   "2-cycle","")</f>
        <v/>
      </c>
      <c r="AL138" s="517" cm="1">
        <f t="array" ref="AL138">IF(Contract_Edits[[#This Row],[BaseFlag]]&lt;&gt;1,0,
   IF(TEXT(Contract_Edits[[#This Row],[Dep]],"0")=TEXT(Contract_Edits[[#This Row],[Index]],"0"),
      0,
      MAX(0, SUMPRODUCT(--(Contract_Edits[BaseFlag]=1),
                        --(TEXT(Contract_Edits[Dep],"0")=TEXT(Contract_Edits[[#This Row],[Dep]],"0"))) - 1)
   )
)</f>
        <v>0</v>
      </c>
      <c r="AM138" s="517" t="str" cm="1">
        <f t="array" ref="AM138">IF(Contract_Edits[[#This Row],[BaseFlag]]=1,
   TEXT(Contract_Edits[[#This Row],[Index]],"0"),
   NearestBaseL(TEXT(Contract_Edits[[#This Row],[ParentKey]],"0"),500,editsIdxTxt,editsParentKeyTxt,baseIdxTxt,baseCost)
)</f>
        <v>163</v>
      </c>
      <c r="AN138" s="517" cm="1">
        <f t="array" ref="AN138">1+SUMPRODUCT(
  (Contract_Edits[BaseFlag]=1)*
  (TEXT(Contract_Edits[ParentAnchor],"0")=TEXT(Contract_Edits[[#This Row],[ParentAnchor]],"0"))*
  (VALUE(TEXT(Contract_Edits[Index],"0"))&lt;VALUE(TEXT(Contract_Edits[[#This Row],[Index]],"0")))
)</f>
        <v>1</v>
      </c>
      <c r="AO138" s="35"/>
      <c r="AP138" s="35" t="str">
        <f ca="1">IFERROR(+IF(AP$24=#REF!,Milestone_Marker,IF(AND(AP$24&gt;#REF!,AP$24&lt;#REF!+#REF!),#REF!,"")),"")</f>
        <v/>
      </c>
      <c r="AQ138" s="35" t="str">
        <f ca="1">IFERROR(+IF(AQ$24=#REF!,Milestone_Marker,IF(AND(AQ$24&gt;#REF!,AQ$24&lt;#REF!+#REF!),#REF!,"")),"")</f>
        <v/>
      </c>
      <c r="AR138" s="34"/>
      <c r="AS138" s="34"/>
      <c r="AT138" s="34"/>
      <c r="AU138" s="34"/>
      <c r="AV138" s="34"/>
      <c r="AW138" s="34"/>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row>
    <row r="139" spans="1:81" ht="15">
      <c r="A139" t="s">
        <v>519</v>
      </c>
      <c r="B139" t="s">
        <v>521</v>
      </c>
      <c r="C139" t="s">
        <v>705</v>
      </c>
      <c r="D139" s="458" t="s">
        <v>706</v>
      </c>
      <c r="E139" s="458">
        <v>1</v>
      </c>
      <c r="F139">
        <v>2610</v>
      </c>
      <c r="G139">
        <v>2610</v>
      </c>
      <c r="H139">
        <v>163</v>
      </c>
      <c r="I139"/>
      <c r="J139">
        <v>120</v>
      </c>
      <c r="K139" s="107"/>
      <c r="L139" s="463">
        <v>120</v>
      </c>
      <c r="M139" s="176">
        <v>1</v>
      </c>
      <c r="N139" s="160">
        <v>0</v>
      </c>
      <c r="O139" s="546" cm="1">
        <f t="array" ref="O13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46045</v>
      </c>
      <c r="P139" s="566" t="s">
        <v>797</v>
      </c>
      <c r="Q139" s="566">
        <v>0</v>
      </c>
      <c r="R139" s="22"/>
      <c r="S139" s="463" cm="1">
        <f t="array" ref="S13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39">
        <v>1</v>
      </c>
      <c r="U139" s="176"/>
      <c r="V13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115.01050000000001</v>
      </c>
      <c r="W139" s="497"/>
      <c r="X139" s="176" t="s">
        <v>852</v>
      </c>
      <c r="Y139" s="547" t="s">
        <v>882</v>
      </c>
      <c r="Z139" s="160" t="s">
        <v>458</v>
      </c>
      <c r="AA139" s="563">
        <v>102900</v>
      </c>
      <c r="AB139" cm="1">
        <f t="array" ref="AB139">ROW()-ROW(Contract_Edits[#Headers])</f>
        <v>115</v>
      </c>
      <c r="AC139">
        <f>IF(Contract_Edits[[#This Row],[RowPos]]&gt;1, Contract_Edits[[#This Row],[RowPos]]-1, 0)</f>
        <v>114</v>
      </c>
      <c r="AD139" s="35">
        <f>IF(N(Contract_Edits[[#This Row],[Dep]])=0, N(Contract_Edits[[#This Row],[Index]]), N(Contract_Edits[[#This Row],[Dep]]))</f>
        <v>163</v>
      </c>
      <c r="AE139" s="35" cm="1">
        <f t="array" ref="AE139">IF(OR(Contract_Edits[[#This Row],[Dep]]=0, TRIM(Contract_Edits[[#This Row],[Dep]])=""),
   0,
   IFERROR(
      _xlfn.XLOOKUP(1, (Contract_Edits[Dep]=Contract_Edits[[#This Row],[Dep]])*(Contract_Edits[RowPos]&lt;Contract_Edits[[#This Row],[RowPos]]), Contract_Edits[RowPos], , 0, -1),
      0
   )
)</f>
        <v>114</v>
      </c>
      <c r="AF139" s="35">
        <f>IF(OR(Contract_Edits[[#This Row],[Dep]]=0,Contract_Edits[[#This Row],[Dep]]=""),0,
   COUNTIFS(Contract_Edits[Dep],Contract_Edits[[#This Row],[Dep]],Contract_Edits[RowPos],"&lt;="&amp;Contract_Edits[[#This Row],[RowPos]],Contract_Edits[Approve],"Yes")
)</f>
        <v>5</v>
      </c>
      <c r="AG139" s="517">
        <f>--(
  ISNUMBER(SEARCH("BASE PARENT", UPPER(CLEAN(TRIM(_xlfn.XLOOKUP(TEXT(Contract_Edits[[#This Row],[Index]],"0"), baseIdxTxt, baseCost, "")))))) +
  ISNUMBER(SEARCH("DEPENDENCY GROUP", UPPER(CLEAN(TRIM(_xlfn.XLOOKUP(TEXT(Contract_Edits[[#This Row],[Index]],"0"), baseIdxTxt, baseCost, ""))))))
)</f>
        <v>0</v>
      </c>
      <c r="AH139" s="517" t="str" cm="1">
        <f t="array" ref="AH139">IF(Contract_Edits[[#This Row],[BaseFlag]]=1,
   10*BaseDepthL(TEXT(Contract_Edits[[#This Row],[Index]],"0"),500,editsIdxTxt,editsParentKeyTxt,baseIdxTxt,baseCost)-5,
   ""
)</f>
        <v/>
      </c>
      <c r="AI139" s="517" cm="1">
        <f t="array" ref="AI1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39" s="517" t="str">
        <f>IF(Contract_Edits[[#This Row],[Dep]]=0,"Root",
   IF(ISNUMBER(MATCH(Contract_Edits[[#This Row],[Dep]],Contract_Edits[Index],0)),"OK","Missing")
)</f>
        <v>OK</v>
      </c>
      <c r="AK139" s="517" t="str">
        <f>IF(AND(Contract_Edits[[#This Row],[Dep]]&lt;&gt;0,
        ISNUMBER(MATCH(Contract_Edits[[#This Row],[Dep]], Contract_Edits[Index], 0)),
        INDEX(Contract_Edits[Dep], MATCH(Contract_Edits[[#This Row],[Dep]], Contract_Edits[Index], 0))=Contract_Edits[[#This Row],[Index]]),
   "2-cycle","")</f>
        <v/>
      </c>
      <c r="AL139" s="517" cm="1">
        <f t="array" ref="AL139">IF(Contract_Edits[[#This Row],[BaseFlag]]&lt;&gt;1,0,
   IF(TEXT(Contract_Edits[[#This Row],[Dep]],"0")=TEXT(Contract_Edits[[#This Row],[Index]],"0"),
      0,
      MAX(0, SUMPRODUCT(--(Contract_Edits[BaseFlag]=1),
                        --(TEXT(Contract_Edits[Dep],"0")=TEXT(Contract_Edits[[#This Row],[Dep]],"0"))) - 1)
   )
)</f>
        <v>0</v>
      </c>
      <c r="AM139" s="517" t="str" cm="1">
        <f t="array" ref="AM139">IF(Contract_Edits[[#This Row],[BaseFlag]]=1,
   TEXT(Contract_Edits[[#This Row],[Index]],"0"),
   NearestBaseL(TEXT(Contract_Edits[[#This Row],[ParentKey]],"0"),500,editsIdxTxt,editsParentKeyTxt,baseIdxTxt,baseCost)
)</f>
        <v>163</v>
      </c>
      <c r="AN139" s="517" cm="1">
        <f t="array" ref="AN139">1+SUMPRODUCT(
  (Contract_Edits[BaseFlag]=1)*
  (TEXT(Contract_Edits[ParentAnchor],"0")=TEXT(Contract_Edits[[#This Row],[ParentAnchor]],"0"))*
  (VALUE(TEXT(Contract_Edits[Index],"0"))&lt;VALUE(TEXT(Contract_Edits[[#This Row],[Index]],"0")))
)</f>
        <v>1</v>
      </c>
      <c r="AO139" s="35"/>
      <c r="AP139" s="35" t="str">
        <f ca="1">IFERROR(+IF(AP$24=#REF!,Milestone_Marker,IF(AND(AP$24&gt;#REF!,AP$24&lt;#REF!+#REF!),#REF!,"")),"")</f>
        <v/>
      </c>
      <c r="AQ139" s="35" t="str">
        <f ca="1">IFERROR(+IF(AQ$24=#REF!,Milestone_Marker,IF(AND(AQ$24&gt;#REF!,AQ$24&lt;#REF!+#REF!),#REF!,"")),"")</f>
        <v/>
      </c>
      <c r="AR139" s="34"/>
      <c r="AS139" s="34"/>
      <c r="AT139" s="34"/>
      <c r="AU139" s="34"/>
      <c r="AV139" s="34"/>
      <c r="AW139" s="34"/>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row>
    <row r="140" spans="1:81" ht="30">
      <c r="A140" t="s">
        <v>467</v>
      </c>
      <c r="B140" t="s">
        <v>608</v>
      </c>
      <c r="C140" t="s">
        <v>628</v>
      </c>
      <c r="D140" s="458" t="s">
        <v>629</v>
      </c>
      <c r="E140" s="458">
        <v>1</v>
      </c>
      <c r="F140">
        <v>0</v>
      </c>
      <c r="G140">
        <v>0</v>
      </c>
      <c r="H140">
        <v>163</v>
      </c>
      <c r="I140"/>
      <c r="J140">
        <v>63</v>
      </c>
      <c r="K140" s="107"/>
      <c r="L140" s="463">
        <v>63</v>
      </c>
      <c r="M140" s="490"/>
      <c r="N140" s="160">
        <v>0</v>
      </c>
      <c r="O140" s="546" cm="1">
        <f t="array" ref="O14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46048</v>
      </c>
      <c r="P140" s="567" t="s">
        <v>797</v>
      </c>
      <c r="Q140" s="567"/>
      <c r="R140" s="499"/>
      <c r="S140" s="463" cm="1">
        <f t="array" ref="S14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0" s="34">
        <v>1</v>
      </c>
      <c r="U140" s="490"/>
      <c r="V14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115.01060000000001</v>
      </c>
      <c r="W140" s="557"/>
      <c r="X140" s="545" t="s">
        <v>883</v>
      </c>
      <c r="Y140" s="548" t="s">
        <v>882</v>
      </c>
      <c r="Z140" s="160" t="s">
        <v>458</v>
      </c>
      <c r="AA140" s="563">
        <v>103700</v>
      </c>
      <c r="AB140" cm="1">
        <f t="array" ref="AB140">ROW()-ROW(Contract_Edits[#Headers])</f>
        <v>116</v>
      </c>
      <c r="AC140">
        <f>IF(Contract_Edits[[#This Row],[RowPos]]&gt;1, Contract_Edits[[#This Row],[RowPos]]-1, 0)</f>
        <v>115</v>
      </c>
      <c r="AD140" s="35">
        <f>IF(N(Contract_Edits[[#This Row],[Dep]])=0, N(Contract_Edits[[#This Row],[Index]]), N(Contract_Edits[[#This Row],[Dep]]))</f>
        <v>163</v>
      </c>
      <c r="AE140" s="35" cm="1">
        <f t="array" ref="AE140">IF(OR(Contract_Edits[[#This Row],[Dep]]=0, TRIM(Contract_Edits[[#This Row],[Dep]])=""),
   0,
   IFERROR(
      _xlfn.XLOOKUP(1, (Contract_Edits[Dep]=Contract_Edits[[#This Row],[Dep]])*(Contract_Edits[RowPos]&lt;Contract_Edits[[#This Row],[RowPos]]), Contract_Edits[RowPos], , 0, -1),
      0
   )
)</f>
        <v>115</v>
      </c>
      <c r="AF140" s="35">
        <f>IF(OR(Contract_Edits[[#This Row],[Dep]]=0,Contract_Edits[[#This Row],[Dep]]=""),0,
   COUNTIFS(Contract_Edits[Dep],Contract_Edits[[#This Row],[Dep]],Contract_Edits[RowPos],"&lt;="&amp;Contract_Edits[[#This Row],[RowPos]],Contract_Edits[Approve],"Yes")
)</f>
        <v>6</v>
      </c>
      <c r="AG140" s="517">
        <f>--(
  ISNUMBER(SEARCH("BASE PARENT", UPPER(CLEAN(TRIM(_xlfn.XLOOKUP(TEXT(Contract_Edits[[#This Row],[Index]],"0"), baseIdxTxt, baseCost, "")))))) +
  ISNUMBER(SEARCH("DEPENDENCY GROUP", UPPER(CLEAN(TRIM(_xlfn.XLOOKUP(TEXT(Contract_Edits[[#This Row],[Index]],"0"), baseIdxTxt, baseCost, ""))))))
)</f>
        <v>0</v>
      </c>
      <c r="AH140" s="517" t="str" cm="1">
        <f t="array" ref="AH140">IF(Contract_Edits[[#This Row],[BaseFlag]]=1,
   10*BaseDepthL(TEXT(Contract_Edits[[#This Row],[Index]],"0"),500,editsIdxTxt,editsParentKeyTxt,baseIdxTxt,baseCost)-5,
   ""
)</f>
        <v/>
      </c>
      <c r="AI140" s="517" cm="1">
        <f t="array" ref="AI1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0" s="517" t="str">
        <f>IF(Contract_Edits[[#This Row],[Dep]]=0,"Root",
   IF(ISNUMBER(MATCH(Contract_Edits[[#This Row],[Dep]],Contract_Edits[Index],0)),"OK","Missing")
)</f>
        <v>OK</v>
      </c>
      <c r="AK140" s="517" t="str">
        <f>IF(AND(Contract_Edits[[#This Row],[Dep]]&lt;&gt;0,
        ISNUMBER(MATCH(Contract_Edits[[#This Row],[Dep]], Contract_Edits[Index], 0)),
        INDEX(Contract_Edits[Dep], MATCH(Contract_Edits[[#This Row],[Dep]], Contract_Edits[Index], 0))=Contract_Edits[[#This Row],[Index]]),
   "2-cycle","")</f>
        <v/>
      </c>
      <c r="AL140" s="517" cm="1">
        <f t="array" ref="AL140">IF(Contract_Edits[[#This Row],[BaseFlag]]&lt;&gt;1,0,
   IF(TEXT(Contract_Edits[[#This Row],[Dep]],"0")=TEXT(Contract_Edits[[#This Row],[Index]],"0"),
      0,
      MAX(0, SUMPRODUCT(--(Contract_Edits[BaseFlag]=1),
                        --(TEXT(Contract_Edits[Dep],"0")=TEXT(Contract_Edits[[#This Row],[Dep]],"0"))) - 1)
   )
)</f>
        <v>0</v>
      </c>
      <c r="AM140" s="517" t="str" cm="1">
        <f t="array" ref="AM140">IF(Contract_Edits[[#This Row],[BaseFlag]]=1,
   TEXT(Contract_Edits[[#This Row],[Index]],"0"),
   NearestBaseL(TEXT(Contract_Edits[[#This Row],[ParentKey]],"0"),500,editsIdxTxt,editsParentKeyTxt,baseIdxTxt,baseCost)
)</f>
        <v>163</v>
      </c>
      <c r="AN140" s="517" cm="1">
        <f t="array" ref="AN140">1+SUMPRODUCT(
  (Contract_Edits[BaseFlag]=1)*
  (TEXT(Contract_Edits[ParentAnchor],"0")=TEXT(Contract_Edits[[#This Row],[ParentAnchor]],"0"))*
  (VALUE(TEXT(Contract_Edits[Index],"0"))&lt;VALUE(TEXT(Contract_Edits[[#This Row],[Index]],"0")))
)</f>
        <v>1</v>
      </c>
      <c r="AO140" s="35"/>
      <c r="AP140" s="35" t="str">
        <f ca="1">IFERROR(+IF(AP$24=#REF!,Milestone_Marker,IF(AND(AP$24&gt;#REF!,AP$24&lt;#REF!+#REF!),#REF!,"")),"")</f>
        <v/>
      </c>
      <c r="AQ140" s="35" t="str">
        <f ca="1">IFERROR(+IF(AQ$24=#REF!,Milestone_Marker,IF(AND(AQ$24&gt;#REF!,AQ$24&lt;#REF!+#REF!),#REF!,"")),"")</f>
        <v/>
      </c>
      <c r="AR140" s="34"/>
      <c r="AS140" s="34"/>
      <c r="AT140" s="34"/>
      <c r="AU140" s="34"/>
      <c r="AV140" s="34"/>
      <c r="AW140" s="34"/>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row>
    <row r="141" spans="1:81" ht="15">
      <c r="A141" t="s">
        <v>552</v>
      </c>
      <c r="B141" t="s">
        <v>608</v>
      </c>
      <c r="C141" t="s">
        <v>575</v>
      </c>
      <c r="D141" s="458" t="s">
        <v>627</v>
      </c>
      <c r="E141" s="458">
        <v>1</v>
      </c>
      <c r="F141">
        <v>312.5</v>
      </c>
      <c r="G141">
        <v>312.5</v>
      </c>
      <c r="H141">
        <v>163</v>
      </c>
      <c r="I141"/>
      <c r="J141">
        <v>62</v>
      </c>
      <c r="K141" s="107"/>
      <c r="L141" s="463">
        <v>62</v>
      </c>
      <c r="M141" s="176">
        <v>1</v>
      </c>
      <c r="N141" s="160">
        <v>0</v>
      </c>
      <c r="O141" s="546" cm="1">
        <f t="array" ref="O14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46048</v>
      </c>
      <c r="P141" s="566" t="s">
        <v>797</v>
      </c>
      <c r="Q141" s="566">
        <v>0</v>
      </c>
      <c r="R141" s="22"/>
      <c r="S141" s="463" cm="1">
        <f t="array" ref="S14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1">
        <v>1</v>
      </c>
      <c r="U141" s="176"/>
      <c r="V14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115.0107</v>
      </c>
      <c r="W141" s="497"/>
      <c r="X141" s="176" t="s">
        <v>852</v>
      </c>
      <c r="Y141" s="547" t="s">
        <v>882</v>
      </c>
      <c r="Z141" s="160" t="s">
        <v>458</v>
      </c>
      <c r="AA141" s="563">
        <v>103700</v>
      </c>
      <c r="AB141" cm="1">
        <f t="array" ref="AB141">ROW()-ROW(Contract_Edits[#Headers])</f>
        <v>117</v>
      </c>
      <c r="AC141">
        <f>IF(Contract_Edits[[#This Row],[RowPos]]&gt;1, Contract_Edits[[#This Row],[RowPos]]-1, 0)</f>
        <v>116</v>
      </c>
      <c r="AD141" s="35">
        <f>IF(N(Contract_Edits[[#This Row],[Dep]])=0, N(Contract_Edits[[#This Row],[Index]]), N(Contract_Edits[[#This Row],[Dep]]))</f>
        <v>163</v>
      </c>
      <c r="AE141" s="35" cm="1">
        <f t="array" ref="AE141">IF(OR(Contract_Edits[[#This Row],[Dep]]=0, TRIM(Contract_Edits[[#This Row],[Dep]])=""),
   0,
   IFERROR(
      _xlfn.XLOOKUP(1, (Contract_Edits[Dep]=Contract_Edits[[#This Row],[Dep]])*(Contract_Edits[RowPos]&lt;Contract_Edits[[#This Row],[RowPos]]), Contract_Edits[RowPos], , 0, -1),
      0
   )
)</f>
        <v>116</v>
      </c>
      <c r="AF141" s="35">
        <f>IF(OR(Contract_Edits[[#This Row],[Dep]]=0,Contract_Edits[[#This Row],[Dep]]=""),0,
   COUNTIFS(Contract_Edits[Dep],Contract_Edits[[#This Row],[Dep]],Contract_Edits[RowPos],"&lt;="&amp;Contract_Edits[[#This Row],[RowPos]],Contract_Edits[Approve],"Yes")
)</f>
        <v>7</v>
      </c>
      <c r="AG141" s="517">
        <f>--(
  ISNUMBER(SEARCH("BASE PARENT", UPPER(CLEAN(TRIM(_xlfn.XLOOKUP(TEXT(Contract_Edits[[#This Row],[Index]],"0"), baseIdxTxt, baseCost, "")))))) +
  ISNUMBER(SEARCH("DEPENDENCY GROUP", UPPER(CLEAN(TRIM(_xlfn.XLOOKUP(TEXT(Contract_Edits[[#This Row],[Index]],"0"), baseIdxTxt, baseCost, ""))))))
)</f>
        <v>0</v>
      </c>
      <c r="AH141" s="517" t="str" cm="1">
        <f t="array" ref="AH141">IF(Contract_Edits[[#This Row],[BaseFlag]]=1,
   10*BaseDepthL(TEXT(Contract_Edits[[#This Row],[Index]],"0"),500,editsIdxTxt,editsParentKeyTxt,baseIdxTxt,baseCost)-5,
   ""
)</f>
        <v/>
      </c>
      <c r="AI141" s="517" cm="1">
        <f t="array" ref="AI1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1" s="517" t="str">
        <f>IF(Contract_Edits[[#This Row],[Dep]]=0,"Root",
   IF(ISNUMBER(MATCH(Contract_Edits[[#This Row],[Dep]],Contract_Edits[Index],0)),"OK","Missing")
)</f>
        <v>OK</v>
      </c>
      <c r="AK141" s="517" t="str">
        <f>IF(AND(Contract_Edits[[#This Row],[Dep]]&lt;&gt;0,
        ISNUMBER(MATCH(Contract_Edits[[#This Row],[Dep]], Contract_Edits[Index], 0)),
        INDEX(Contract_Edits[Dep], MATCH(Contract_Edits[[#This Row],[Dep]], Contract_Edits[Index], 0))=Contract_Edits[[#This Row],[Index]]),
   "2-cycle","")</f>
        <v/>
      </c>
      <c r="AL141" s="517" cm="1">
        <f t="array" ref="AL141">IF(Contract_Edits[[#This Row],[BaseFlag]]&lt;&gt;1,0,
   IF(TEXT(Contract_Edits[[#This Row],[Dep]],"0")=TEXT(Contract_Edits[[#This Row],[Index]],"0"),
      0,
      MAX(0, SUMPRODUCT(--(Contract_Edits[BaseFlag]=1),
                        --(TEXT(Contract_Edits[Dep],"0")=TEXT(Contract_Edits[[#This Row],[Dep]],"0"))) - 1)
   )
)</f>
        <v>0</v>
      </c>
      <c r="AM141" s="517" t="str" cm="1">
        <f t="array" ref="AM141">IF(Contract_Edits[[#This Row],[BaseFlag]]=1,
   TEXT(Contract_Edits[[#This Row],[Index]],"0"),
   NearestBaseL(TEXT(Contract_Edits[[#This Row],[ParentKey]],"0"),500,editsIdxTxt,editsParentKeyTxt,baseIdxTxt,baseCost)
)</f>
        <v>163</v>
      </c>
      <c r="AN141" s="517" cm="1">
        <f t="array" ref="AN141">1+SUMPRODUCT(
  (Contract_Edits[BaseFlag]=1)*
  (TEXT(Contract_Edits[ParentAnchor],"0")=TEXT(Contract_Edits[[#This Row],[ParentAnchor]],"0"))*
  (VALUE(TEXT(Contract_Edits[Index],"0"))&lt;VALUE(TEXT(Contract_Edits[[#This Row],[Index]],"0")))
)</f>
        <v>1</v>
      </c>
      <c r="AO141" s="35"/>
      <c r="AP141" s="35" t="str">
        <f ca="1">IFERROR(+IF(AP$24=#REF!,Milestone_Marker,IF(AND(AP$24&gt;#REF!,AP$24&lt;#REF!+#REF!),#REF!,"")),"")</f>
        <v/>
      </c>
      <c r="AQ141" s="35" t="str">
        <f ca="1">IFERROR(+IF(AQ$24=#REF!,Milestone_Marker,IF(AND(AQ$24&gt;#REF!,AQ$24&lt;#REF!+#REF!),#REF!,"")),"")</f>
        <v/>
      </c>
      <c r="AR141" s="34"/>
      <c r="AS141" s="34"/>
      <c r="AT141" s="34"/>
      <c r="AU141" s="34"/>
      <c r="AV141" s="34"/>
      <c r="AW141" s="34"/>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row>
    <row r="142" spans="1:81" ht="15">
      <c r="A142" t="s">
        <v>519</v>
      </c>
      <c r="B142" t="s">
        <v>521</v>
      </c>
      <c r="C142" t="s">
        <v>684</v>
      </c>
      <c r="D142" s="458" t="s">
        <v>686</v>
      </c>
      <c r="E142" s="458">
        <v>1</v>
      </c>
      <c r="F142">
        <v>2320</v>
      </c>
      <c r="G142">
        <v>2320</v>
      </c>
      <c r="H142">
        <v>163</v>
      </c>
      <c r="I142"/>
      <c r="J142">
        <v>105</v>
      </c>
      <c r="K142" s="107"/>
      <c r="L142" s="463">
        <v>105</v>
      </c>
      <c r="M142" s="176">
        <v>0</v>
      </c>
      <c r="N142" s="160">
        <v>0</v>
      </c>
      <c r="O142" s="546" cm="1">
        <f t="array" ref="O14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46049</v>
      </c>
      <c r="P142" s="566" t="s">
        <v>797</v>
      </c>
      <c r="Q142" s="566">
        <v>0</v>
      </c>
      <c r="R142" s="22"/>
      <c r="S142" s="463" cm="1">
        <f t="array" ref="S14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2">
        <v>1</v>
      </c>
      <c r="U142" s="176"/>
      <c r="V14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115.0108</v>
      </c>
      <c r="W142" s="497"/>
      <c r="X142" s="176" t="s">
        <v>859</v>
      </c>
      <c r="Y142" s="547" t="s">
        <v>882</v>
      </c>
      <c r="Z142" s="160" t="s">
        <v>458</v>
      </c>
      <c r="AA142" s="563">
        <v>102800</v>
      </c>
      <c r="AB142" cm="1">
        <f t="array" ref="AB142">ROW()-ROW(Contract_Edits[#Headers])</f>
        <v>118</v>
      </c>
      <c r="AC142">
        <f>IF(Contract_Edits[[#This Row],[RowPos]]&gt;1, Contract_Edits[[#This Row],[RowPos]]-1, 0)</f>
        <v>117</v>
      </c>
      <c r="AD142" s="35">
        <f>IF(N(Contract_Edits[[#This Row],[Dep]])=0, N(Contract_Edits[[#This Row],[Index]]), N(Contract_Edits[[#This Row],[Dep]]))</f>
        <v>163</v>
      </c>
      <c r="AE142" s="35" cm="1">
        <f t="array" ref="AE142">IF(OR(Contract_Edits[[#This Row],[Dep]]=0, TRIM(Contract_Edits[[#This Row],[Dep]])=""),
   0,
   IFERROR(
      _xlfn.XLOOKUP(1, (Contract_Edits[Dep]=Contract_Edits[[#This Row],[Dep]])*(Contract_Edits[RowPos]&lt;Contract_Edits[[#This Row],[RowPos]]), Contract_Edits[RowPos], , 0, -1),
      0
   )
)</f>
        <v>117</v>
      </c>
      <c r="AF142" s="35">
        <f>IF(OR(Contract_Edits[[#This Row],[Dep]]=0,Contract_Edits[[#This Row],[Dep]]=""),0,
   COUNTIFS(Contract_Edits[Dep],Contract_Edits[[#This Row],[Dep]],Contract_Edits[RowPos],"&lt;="&amp;Contract_Edits[[#This Row],[RowPos]],Contract_Edits[Approve],"Yes")
)</f>
        <v>8</v>
      </c>
      <c r="AG142" s="517">
        <f>--(
  ISNUMBER(SEARCH("BASE PARENT", UPPER(CLEAN(TRIM(_xlfn.XLOOKUP(TEXT(Contract_Edits[[#This Row],[Index]],"0"), baseIdxTxt, baseCost, "")))))) +
  ISNUMBER(SEARCH("DEPENDENCY GROUP", UPPER(CLEAN(TRIM(_xlfn.XLOOKUP(TEXT(Contract_Edits[[#This Row],[Index]],"0"), baseIdxTxt, baseCost, ""))))))
)</f>
        <v>0</v>
      </c>
      <c r="AH142" s="517" t="str" cm="1">
        <f t="array" ref="AH142">IF(Contract_Edits[[#This Row],[BaseFlag]]=1,
   10*BaseDepthL(TEXT(Contract_Edits[[#This Row],[Index]],"0"),500,editsIdxTxt,editsParentKeyTxt,baseIdxTxt,baseCost)-5,
   ""
)</f>
        <v/>
      </c>
      <c r="AI142" s="517" cm="1">
        <f t="array" ref="AI1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2" s="517" t="str">
        <f>IF(Contract_Edits[[#This Row],[Dep]]=0,"Root",
   IF(ISNUMBER(MATCH(Contract_Edits[[#This Row],[Dep]],Contract_Edits[Index],0)),"OK","Missing")
)</f>
        <v>OK</v>
      </c>
      <c r="AK142" s="517" t="str">
        <f>IF(AND(Contract_Edits[[#This Row],[Dep]]&lt;&gt;0,
        ISNUMBER(MATCH(Contract_Edits[[#This Row],[Dep]], Contract_Edits[Index], 0)),
        INDEX(Contract_Edits[Dep], MATCH(Contract_Edits[[#This Row],[Dep]], Contract_Edits[Index], 0))=Contract_Edits[[#This Row],[Index]]),
   "2-cycle","")</f>
        <v/>
      </c>
      <c r="AL142" s="517" cm="1">
        <f t="array" ref="AL142">IF(Contract_Edits[[#This Row],[BaseFlag]]&lt;&gt;1,0,
   IF(TEXT(Contract_Edits[[#This Row],[Dep]],"0")=TEXT(Contract_Edits[[#This Row],[Index]],"0"),
      0,
      MAX(0, SUMPRODUCT(--(Contract_Edits[BaseFlag]=1),
                        --(TEXT(Contract_Edits[Dep],"0")=TEXT(Contract_Edits[[#This Row],[Dep]],"0"))) - 1)
   )
)</f>
        <v>0</v>
      </c>
      <c r="AM142" s="517" t="str" cm="1">
        <f t="array" ref="AM142">IF(Contract_Edits[[#This Row],[BaseFlag]]=1,
   TEXT(Contract_Edits[[#This Row],[Index]],"0"),
   NearestBaseL(TEXT(Contract_Edits[[#This Row],[ParentKey]],"0"),500,editsIdxTxt,editsParentKeyTxt,baseIdxTxt,baseCost)
)</f>
        <v>163</v>
      </c>
      <c r="AN142" s="517" cm="1">
        <f t="array" ref="AN142">1+SUMPRODUCT(
  (Contract_Edits[BaseFlag]=1)*
  (TEXT(Contract_Edits[ParentAnchor],"0")=TEXT(Contract_Edits[[#This Row],[ParentAnchor]],"0"))*
  (VALUE(TEXT(Contract_Edits[Index],"0"))&lt;VALUE(TEXT(Contract_Edits[[#This Row],[Index]],"0")))
)</f>
        <v>1</v>
      </c>
      <c r="AO142" s="35"/>
      <c r="AP142" s="35" t="str">
        <f ca="1">IFERROR(+IF(AP$24=#REF!,Milestone_Marker,IF(AND(AP$24&gt;#REF!,AP$24&lt;#REF!+#REF!),#REF!,"")),"")</f>
        <v/>
      </c>
      <c r="AQ142" s="35" t="str">
        <f ca="1">IFERROR(+IF(AQ$24=#REF!,Milestone_Marker,IF(AND(AQ$24&gt;#REF!,AQ$24&lt;#REF!+#REF!),#REF!,"")),"")</f>
        <v/>
      </c>
      <c r="AR142" s="34"/>
      <c r="AS142" s="34"/>
      <c r="AT142" s="34"/>
      <c r="AU142" s="34"/>
      <c r="AV142" s="34"/>
      <c r="AW142" s="34"/>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row>
    <row r="143" spans="1:81" ht="15">
      <c r="A143" t="s">
        <v>467</v>
      </c>
      <c r="B143" t="s">
        <v>639</v>
      </c>
      <c r="C143" t="s">
        <v>662</v>
      </c>
      <c r="D143" s="458" t="s">
        <v>663</v>
      </c>
      <c r="E143" s="458">
        <v>1</v>
      </c>
      <c r="F143">
        <v>0</v>
      </c>
      <c r="G143">
        <v>0</v>
      </c>
      <c r="H143">
        <v>163</v>
      </c>
      <c r="I143"/>
      <c r="J143">
        <v>87</v>
      </c>
      <c r="K143" s="107"/>
      <c r="L143" s="463">
        <v>87</v>
      </c>
      <c r="M143" s="176">
        <v>1</v>
      </c>
      <c r="N143" s="160">
        <v>0</v>
      </c>
      <c r="O143" s="546" cm="1">
        <f t="array" ref="O14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46049</v>
      </c>
      <c r="P143" s="566" t="s">
        <v>797</v>
      </c>
      <c r="Q143" s="566">
        <v>0</v>
      </c>
      <c r="R143" s="22"/>
      <c r="S143" s="463" cm="1">
        <f t="array" ref="S14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3">
        <v>1</v>
      </c>
      <c r="U143" s="176"/>
      <c r="V14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115.01090000000001</v>
      </c>
      <c r="W143" s="497"/>
      <c r="X143" s="176" t="s">
        <v>866</v>
      </c>
      <c r="Y143" s="547" t="s">
        <v>882</v>
      </c>
      <c r="Z143" s="160" t="s">
        <v>458</v>
      </c>
      <c r="AA143" s="563">
        <v>103700</v>
      </c>
      <c r="AB143" cm="1">
        <f t="array" ref="AB143">ROW()-ROW(Contract_Edits[#Headers])</f>
        <v>119</v>
      </c>
      <c r="AC143">
        <f>IF(Contract_Edits[[#This Row],[RowPos]]&gt;1, Contract_Edits[[#This Row],[RowPos]]-1, 0)</f>
        <v>118</v>
      </c>
      <c r="AD143" s="35">
        <f>IF(N(Contract_Edits[[#This Row],[Dep]])=0, N(Contract_Edits[[#This Row],[Index]]), N(Contract_Edits[[#This Row],[Dep]]))</f>
        <v>163</v>
      </c>
      <c r="AE143" s="35" cm="1">
        <f t="array" ref="AE143">IF(OR(Contract_Edits[[#This Row],[Dep]]=0, TRIM(Contract_Edits[[#This Row],[Dep]])=""),
   0,
   IFERROR(
      _xlfn.XLOOKUP(1, (Contract_Edits[Dep]=Contract_Edits[[#This Row],[Dep]])*(Contract_Edits[RowPos]&lt;Contract_Edits[[#This Row],[RowPos]]), Contract_Edits[RowPos], , 0, -1),
      0
   )
)</f>
        <v>118</v>
      </c>
      <c r="AF143" s="35">
        <f>IF(OR(Contract_Edits[[#This Row],[Dep]]=0,Contract_Edits[[#This Row],[Dep]]=""),0,
   COUNTIFS(Contract_Edits[Dep],Contract_Edits[[#This Row],[Dep]],Contract_Edits[RowPos],"&lt;="&amp;Contract_Edits[[#This Row],[RowPos]],Contract_Edits[Approve],"Yes")
)</f>
        <v>9</v>
      </c>
      <c r="AG143" s="517">
        <f>--(
  ISNUMBER(SEARCH("BASE PARENT", UPPER(CLEAN(TRIM(_xlfn.XLOOKUP(TEXT(Contract_Edits[[#This Row],[Index]],"0"), baseIdxTxt, baseCost, "")))))) +
  ISNUMBER(SEARCH("DEPENDENCY GROUP", UPPER(CLEAN(TRIM(_xlfn.XLOOKUP(TEXT(Contract_Edits[[#This Row],[Index]],"0"), baseIdxTxt, baseCost, ""))))))
)</f>
        <v>0</v>
      </c>
      <c r="AH143" s="517" t="str" cm="1">
        <f t="array" ref="AH143">IF(Contract_Edits[[#This Row],[BaseFlag]]=1,
   10*BaseDepthL(TEXT(Contract_Edits[[#This Row],[Index]],"0"),500,editsIdxTxt,editsParentKeyTxt,baseIdxTxt,baseCost)-5,
   ""
)</f>
        <v/>
      </c>
      <c r="AI143" s="517" cm="1">
        <f t="array" ref="AI1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3" s="517" t="str">
        <f>IF(Contract_Edits[[#This Row],[Dep]]=0,"Root",
   IF(ISNUMBER(MATCH(Contract_Edits[[#This Row],[Dep]],Contract_Edits[Index],0)),"OK","Missing")
)</f>
        <v>OK</v>
      </c>
      <c r="AK143" s="517" t="str">
        <f>IF(AND(Contract_Edits[[#This Row],[Dep]]&lt;&gt;0,
        ISNUMBER(MATCH(Contract_Edits[[#This Row],[Dep]], Contract_Edits[Index], 0)),
        INDEX(Contract_Edits[Dep], MATCH(Contract_Edits[[#This Row],[Dep]], Contract_Edits[Index], 0))=Contract_Edits[[#This Row],[Index]]),
   "2-cycle","")</f>
        <v/>
      </c>
      <c r="AL143" s="517" cm="1">
        <f t="array" ref="AL143">IF(Contract_Edits[[#This Row],[BaseFlag]]&lt;&gt;1,0,
   IF(TEXT(Contract_Edits[[#This Row],[Dep]],"0")=TEXT(Contract_Edits[[#This Row],[Index]],"0"),
      0,
      MAX(0, SUMPRODUCT(--(Contract_Edits[BaseFlag]=1),
                        --(TEXT(Contract_Edits[Dep],"0")=TEXT(Contract_Edits[[#This Row],[Dep]],"0"))) - 1)
   )
)</f>
        <v>0</v>
      </c>
      <c r="AM143" s="517" t="str" cm="1">
        <f t="array" ref="AM143">IF(Contract_Edits[[#This Row],[BaseFlag]]=1,
   TEXT(Contract_Edits[[#This Row],[Index]],"0"),
   NearestBaseL(TEXT(Contract_Edits[[#This Row],[ParentKey]],"0"),500,editsIdxTxt,editsParentKeyTxt,baseIdxTxt,baseCost)
)</f>
        <v>163</v>
      </c>
      <c r="AN143" s="517" cm="1">
        <f t="array" ref="AN143">1+SUMPRODUCT(
  (Contract_Edits[BaseFlag]=1)*
  (TEXT(Contract_Edits[ParentAnchor],"0")=TEXT(Contract_Edits[[#This Row],[ParentAnchor]],"0"))*
  (VALUE(TEXT(Contract_Edits[Index],"0"))&lt;VALUE(TEXT(Contract_Edits[[#This Row],[Index]],"0")))
)</f>
        <v>1</v>
      </c>
      <c r="AO143" s="35"/>
      <c r="AP143" s="35" t="str">
        <f ca="1">IFERROR(+IF(AP$24=#REF!,Milestone_Marker,IF(AND(AP$24&gt;#REF!,AP$24&lt;#REF!+#REF!),#REF!,"")),"")</f>
        <v/>
      </c>
      <c r="AQ143" s="35" t="str">
        <f ca="1">IFERROR(+IF(AQ$24=#REF!,Milestone_Marker,IF(AND(AQ$24&gt;#REF!,AQ$24&lt;#REF!+#REF!),#REF!,"")),"")</f>
        <v/>
      </c>
      <c r="AR143" s="34"/>
      <c r="AS143" s="34"/>
      <c r="AT143" s="34"/>
      <c r="AU143" s="34"/>
      <c r="AV143" s="34"/>
      <c r="AW143" s="34"/>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row>
    <row r="144" spans="1:81" ht="15">
      <c r="A144" t="s">
        <v>519</v>
      </c>
      <c r="B144" t="s">
        <v>639</v>
      </c>
      <c r="C144" t="s">
        <v>612</v>
      </c>
      <c r="D144" s="458" t="s">
        <v>743</v>
      </c>
      <c r="E144" s="458">
        <v>1</v>
      </c>
      <c r="F144">
        <v>9425</v>
      </c>
      <c r="G144">
        <v>9425</v>
      </c>
      <c r="H144">
        <v>163</v>
      </c>
      <c r="I144"/>
      <c r="J144">
        <v>148</v>
      </c>
      <c r="K144" s="107"/>
      <c r="L144" s="463">
        <v>148</v>
      </c>
      <c r="M144" s="176">
        <v>1</v>
      </c>
      <c r="N144" s="160">
        <v>0</v>
      </c>
      <c r="O144" s="546" cm="1">
        <f t="array" ref="O14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46050</v>
      </c>
      <c r="P144" s="566" t="s">
        <v>797</v>
      </c>
      <c r="Q144" s="566">
        <v>0</v>
      </c>
      <c r="R144" s="22"/>
      <c r="S144" s="463" cm="1">
        <f t="array" ref="S14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4">
        <v>1</v>
      </c>
      <c r="U144" s="176">
        <v>10</v>
      </c>
      <c r="V14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115.01100000000001</v>
      </c>
      <c r="W144" s="497"/>
      <c r="X144" s="176"/>
      <c r="Y144" s="547" t="s">
        <v>882</v>
      </c>
      <c r="Z144" s="160" t="s">
        <v>458</v>
      </c>
      <c r="AA144" s="563"/>
      <c r="AB144" cm="1">
        <f t="array" ref="AB144">ROW()-ROW(Contract_Edits[#Headers])</f>
        <v>120</v>
      </c>
      <c r="AC144">
        <f>IF(Contract_Edits[[#This Row],[RowPos]]&gt;1, Contract_Edits[[#This Row],[RowPos]]-1, 0)</f>
        <v>119</v>
      </c>
      <c r="AD144" s="35">
        <f>IF(N(Contract_Edits[[#This Row],[Dep]])=0, N(Contract_Edits[[#This Row],[Index]]), N(Contract_Edits[[#This Row],[Dep]]))</f>
        <v>163</v>
      </c>
      <c r="AE144" s="35" cm="1">
        <f t="array" ref="AE144">IF(OR(Contract_Edits[[#This Row],[Dep]]=0, TRIM(Contract_Edits[[#This Row],[Dep]])=""),
   0,
   IFERROR(
      _xlfn.XLOOKUP(1, (Contract_Edits[Dep]=Contract_Edits[[#This Row],[Dep]])*(Contract_Edits[RowPos]&lt;Contract_Edits[[#This Row],[RowPos]]), Contract_Edits[RowPos], , 0, -1),
      0
   )
)</f>
        <v>119</v>
      </c>
      <c r="AF144" s="35">
        <f>IF(OR(Contract_Edits[[#This Row],[Dep]]=0,Contract_Edits[[#This Row],[Dep]]=""),0,
   COUNTIFS(Contract_Edits[Dep],Contract_Edits[[#This Row],[Dep]],Contract_Edits[RowPos],"&lt;="&amp;Contract_Edits[[#This Row],[RowPos]],Contract_Edits[Approve],"Yes")
)</f>
        <v>10</v>
      </c>
      <c r="AG144" s="517">
        <f>--(
  ISNUMBER(SEARCH("BASE PARENT", UPPER(CLEAN(TRIM(_xlfn.XLOOKUP(TEXT(Contract_Edits[[#This Row],[Index]],"0"), baseIdxTxt, baseCost, "")))))) +
  ISNUMBER(SEARCH("DEPENDENCY GROUP", UPPER(CLEAN(TRIM(_xlfn.XLOOKUP(TEXT(Contract_Edits[[#This Row],[Index]],"0"), baseIdxTxt, baseCost, ""))))))
)</f>
        <v>0</v>
      </c>
      <c r="AH144" s="517" t="str" cm="1">
        <f t="array" ref="AH144">IF(Contract_Edits[[#This Row],[BaseFlag]]=1,
   10*BaseDepthL(TEXT(Contract_Edits[[#This Row],[Index]],"0"),500,editsIdxTxt,editsParentKeyTxt,baseIdxTxt,baseCost)-5,
   ""
)</f>
        <v/>
      </c>
      <c r="AI144" s="517" cm="1">
        <f t="array" ref="AI1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4" s="517" t="str">
        <f>IF(Contract_Edits[[#This Row],[Dep]]=0,"Root",
   IF(ISNUMBER(MATCH(Contract_Edits[[#This Row],[Dep]],Contract_Edits[Index],0)),"OK","Missing")
)</f>
        <v>OK</v>
      </c>
      <c r="AK144" s="517" t="str">
        <f>IF(AND(Contract_Edits[[#This Row],[Dep]]&lt;&gt;0,
        ISNUMBER(MATCH(Contract_Edits[[#This Row],[Dep]], Contract_Edits[Index], 0)),
        INDEX(Contract_Edits[Dep], MATCH(Contract_Edits[[#This Row],[Dep]], Contract_Edits[Index], 0))=Contract_Edits[[#This Row],[Index]]),
   "2-cycle","")</f>
        <v/>
      </c>
      <c r="AL144" s="517" cm="1">
        <f t="array" ref="AL144">IF(Contract_Edits[[#This Row],[BaseFlag]]&lt;&gt;1,0,
   IF(TEXT(Contract_Edits[[#This Row],[Dep]],"0")=TEXT(Contract_Edits[[#This Row],[Index]],"0"),
      0,
      MAX(0, SUMPRODUCT(--(Contract_Edits[BaseFlag]=1),
                        --(TEXT(Contract_Edits[Dep],"0")=TEXT(Contract_Edits[[#This Row],[Dep]],"0"))) - 1)
   )
)</f>
        <v>0</v>
      </c>
      <c r="AM144" s="517" t="str" cm="1">
        <f t="array" ref="AM144">IF(Contract_Edits[[#This Row],[BaseFlag]]=1,
   TEXT(Contract_Edits[[#This Row],[Index]],"0"),
   NearestBaseL(TEXT(Contract_Edits[[#This Row],[ParentKey]],"0"),500,editsIdxTxt,editsParentKeyTxt,baseIdxTxt,baseCost)
)</f>
        <v>163</v>
      </c>
      <c r="AN144" s="517" cm="1">
        <f t="array" ref="AN144">1+SUMPRODUCT(
  (Contract_Edits[BaseFlag]=1)*
  (TEXT(Contract_Edits[ParentAnchor],"0")=TEXT(Contract_Edits[[#This Row],[ParentAnchor]],"0"))*
  (VALUE(TEXT(Contract_Edits[Index],"0"))&lt;VALUE(TEXT(Contract_Edits[[#This Row],[Index]],"0")))
)</f>
        <v>1</v>
      </c>
      <c r="AO144" s="35"/>
      <c r="AP144" s="35" t="str">
        <f ca="1">IFERROR(+IF(AP$24=#REF!,Milestone_Marker,IF(AND(AP$24&gt;#REF!,AP$24&lt;#REF!+#REF!),#REF!,"")),"")</f>
        <v/>
      </c>
      <c r="AQ144" s="35" t="str">
        <f ca="1">IFERROR(+IF(AQ$24=#REF!,Milestone_Marker,IF(AND(AQ$24&gt;#REF!,AQ$24&lt;#REF!+#REF!),#REF!,"")),"")</f>
        <v/>
      </c>
      <c r="AR144" s="34"/>
      <c r="AS144" s="34"/>
      <c r="AT144" s="34"/>
      <c r="AU144" s="34"/>
      <c r="AV144" s="34"/>
      <c r="AW144" s="3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row>
    <row r="145" spans="1:81" ht="15">
      <c r="A145" t="s">
        <v>519</v>
      </c>
      <c r="B145" t="s">
        <v>521</v>
      </c>
      <c r="C145" t="s">
        <v>700</v>
      </c>
      <c r="D145" s="458" t="s">
        <v>701</v>
      </c>
      <c r="E145" s="458">
        <v>0</v>
      </c>
      <c r="F145">
        <v>398.75</v>
      </c>
      <c r="G145">
        <v>0</v>
      </c>
      <c r="H145">
        <v>163</v>
      </c>
      <c r="I145"/>
      <c r="J145">
        <v>117</v>
      </c>
      <c r="K145" s="107"/>
      <c r="L145" s="463">
        <v>117</v>
      </c>
      <c r="M145" s="176">
        <v>1</v>
      </c>
      <c r="N145" s="160">
        <v>0</v>
      </c>
      <c r="O145" s="546" cm="1">
        <f t="array" ref="O14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46051</v>
      </c>
      <c r="P145" s="566" t="s">
        <v>797</v>
      </c>
      <c r="Q145" s="566">
        <v>0</v>
      </c>
      <c r="R145" s="22"/>
      <c r="S145" s="463" cm="1">
        <f t="array" ref="S14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5">
        <v>1</v>
      </c>
      <c r="U145" s="176"/>
      <c r="V14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115.0111</v>
      </c>
      <c r="W145" s="497"/>
      <c r="X145" s="176" t="s">
        <v>852</v>
      </c>
      <c r="Y145" s="547" t="s">
        <v>882</v>
      </c>
      <c r="Z145" s="160" t="s">
        <v>458</v>
      </c>
      <c r="AA145" s="563"/>
      <c r="AB145" cm="1">
        <f t="array" ref="AB145">ROW()-ROW(Contract_Edits[#Headers])</f>
        <v>121</v>
      </c>
      <c r="AC145">
        <f>IF(Contract_Edits[[#This Row],[RowPos]]&gt;1, Contract_Edits[[#This Row],[RowPos]]-1, 0)</f>
        <v>120</v>
      </c>
      <c r="AD145" s="35">
        <f>IF(N(Contract_Edits[[#This Row],[Dep]])=0, N(Contract_Edits[[#This Row],[Index]]), N(Contract_Edits[[#This Row],[Dep]]))</f>
        <v>163</v>
      </c>
      <c r="AE145" s="35" cm="1">
        <f t="array" ref="AE145">IF(OR(Contract_Edits[[#This Row],[Dep]]=0, TRIM(Contract_Edits[[#This Row],[Dep]])=""),
   0,
   IFERROR(
      _xlfn.XLOOKUP(1, (Contract_Edits[Dep]=Contract_Edits[[#This Row],[Dep]])*(Contract_Edits[RowPos]&lt;Contract_Edits[[#This Row],[RowPos]]), Contract_Edits[RowPos], , 0, -1),
      0
   )
)</f>
        <v>120</v>
      </c>
      <c r="AF145" s="35">
        <f>IF(OR(Contract_Edits[[#This Row],[Dep]]=0,Contract_Edits[[#This Row],[Dep]]=""),0,
   COUNTIFS(Contract_Edits[Dep],Contract_Edits[[#This Row],[Dep]],Contract_Edits[RowPos],"&lt;="&amp;Contract_Edits[[#This Row],[RowPos]],Contract_Edits[Approve],"Yes")
)</f>
        <v>11</v>
      </c>
      <c r="AG145" s="517">
        <f>--(
  ISNUMBER(SEARCH("BASE PARENT", UPPER(CLEAN(TRIM(_xlfn.XLOOKUP(TEXT(Contract_Edits[[#This Row],[Index]],"0"), baseIdxTxt, baseCost, "")))))) +
  ISNUMBER(SEARCH("DEPENDENCY GROUP", UPPER(CLEAN(TRIM(_xlfn.XLOOKUP(TEXT(Contract_Edits[[#This Row],[Index]],"0"), baseIdxTxt, baseCost, ""))))))
)</f>
        <v>0</v>
      </c>
      <c r="AH145" s="517" t="str" cm="1">
        <f t="array" ref="AH145">IF(Contract_Edits[[#This Row],[BaseFlag]]=1,
   10*BaseDepthL(TEXT(Contract_Edits[[#This Row],[Index]],"0"),500,editsIdxTxt,editsParentKeyTxt,baseIdxTxt,baseCost)-5,
   ""
)</f>
        <v/>
      </c>
      <c r="AI145" s="517" cm="1">
        <f t="array" ref="AI1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5" s="517" t="str">
        <f>IF(Contract_Edits[[#This Row],[Dep]]=0,"Root",
   IF(ISNUMBER(MATCH(Contract_Edits[[#This Row],[Dep]],Contract_Edits[Index],0)),"OK","Missing")
)</f>
        <v>OK</v>
      </c>
      <c r="AK145" s="517" t="str">
        <f>IF(AND(Contract_Edits[[#This Row],[Dep]]&lt;&gt;0,
        ISNUMBER(MATCH(Contract_Edits[[#This Row],[Dep]], Contract_Edits[Index], 0)),
        INDEX(Contract_Edits[Dep], MATCH(Contract_Edits[[#This Row],[Dep]], Contract_Edits[Index], 0))=Contract_Edits[[#This Row],[Index]]),
   "2-cycle","")</f>
        <v/>
      </c>
      <c r="AL145" s="517" cm="1">
        <f t="array" ref="AL145">IF(Contract_Edits[[#This Row],[BaseFlag]]&lt;&gt;1,0,
   IF(TEXT(Contract_Edits[[#This Row],[Dep]],"0")=TEXT(Contract_Edits[[#This Row],[Index]],"0"),
      0,
      MAX(0, SUMPRODUCT(--(Contract_Edits[BaseFlag]=1),
                        --(TEXT(Contract_Edits[Dep],"0")=TEXT(Contract_Edits[[#This Row],[Dep]],"0"))) - 1)
   )
)</f>
        <v>0</v>
      </c>
      <c r="AM145" s="517" t="str" cm="1">
        <f t="array" ref="AM145">IF(Contract_Edits[[#This Row],[BaseFlag]]=1,
   TEXT(Contract_Edits[[#This Row],[Index]],"0"),
   NearestBaseL(TEXT(Contract_Edits[[#This Row],[ParentKey]],"0"),500,editsIdxTxt,editsParentKeyTxt,baseIdxTxt,baseCost)
)</f>
        <v>163</v>
      </c>
      <c r="AN145" s="517" cm="1">
        <f t="array" ref="AN145">1+SUMPRODUCT(
  (Contract_Edits[BaseFlag]=1)*
  (TEXT(Contract_Edits[ParentAnchor],"0")=TEXT(Contract_Edits[[#This Row],[ParentAnchor]],"0"))*
  (VALUE(TEXT(Contract_Edits[Index],"0"))&lt;VALUE(TEXT(Contract_Edits[[#This Row],[Index]],"0")))
)</f>
        <v>1</v>
      </c>
      <c r="AO145" s="35"/>
      <c r="AP145" s="35" t="str">
        <f ca="1">IFERROR(+IF(AP$24=#REF!,Milestone_Marker,IF(AND(AP$24&gt;#REF!,AP$24&lt;#REF!+#REF!),#REF!,"")),"")</f>
        <v/>
      </c>
      <c r="AQ145" s="35" t="str">
        <f ca="1">IFERROR(+IF(AQ$24=#REF!,Milestone_Marker,IF(AND(AQ$24&gt;#REF!,AQ$24&lt;#REF!+#REF!),#REF!,"")),"")</f>
        <v/>
      </c>
      <c r="AR145" s="34"/>
      <c r="AS145" s="34"/>
      <c r="AT145" s="34"/>
      <c r="AU145" s="34"/>
      <c r="AV145" s="34"/>
      <c r="AW145" s="34"/>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row>
    <row r="146" spans="1:81" ht="15">
      <c r="A146" t="s">
        <v>519</v>
      </c>
      <c r="B146" t="s">
        <v>521</v>
      </c>
      <c r="C146" t="s">
        <v>575</v>
      </c>
      <c r="D146" s="458" t="s">
        <v>703</v>
      </c>
      <c r="E146" s="458">
        <v>0</v>
      </c>
      <c r="F146">
        <v>435</v>
      </c>
      <c r="G146">
        <v>0</v>
      </c>
      <c r="H146">
        <v>163</v>
      </c>
      <c r="I146"/>
      <c r="J146">
        <v>118</v>
      </c>
      <c r="K146" s="107"/>
      <c r="L146" s="463">
        <v>118</v>
      </c>
      <c r="M146" s="176">
        <v>0</v>
      </c>
      <c r="N146" s="160">
        <v>0</v>
      </c>
      <c r="O146" s="546" cm="1">
        <f t="array" ref="O14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46052</v>
      </c>
      <c r="P146" s="566" t="s">
        <v>797</v>
      </c>
      <c r="Q146" s="566">
        <v>0</v>
      </c>
      <c r="R146" s="22"/>
      <c r="S146" s="463" cm="1">
        <f t="array" ref="S14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6">
        <v>1</v>
      </c>
      <c r="U146" s="176"/>
      <c r="V14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115.0112</v>
      </c>
      <c r="W146" s="497"/>
      <c r="X146" s="176" t="s">
        <v>902</v>
      </c>
      <c r="Y146" s="547" t="s">
        <v>882</v>
      </c>
      <c r="Z146" s="160" t="s">
        <v>458</v>
      </c>
      <c r="AA146" s="563"/>
      <c r="AB146" cm="1">
        <f t="array" ref="AB146">ROW()-ROW(Contract_Edits[#Headers])</f>
        <v>122</v>
      </c>
      <c r="AC146">
        <f>IF(Contract_Edits[[#This Row],[RowPos]]&gt;1, Contract_Edits[[#This Row],[RowPos]]-1, 0)</f>
        <v>121</v>
      </c>
      <c r="AD146" s="35">
        <f>IF(N(Contract_Edits[[#This Row],[Dep]])=0, N(Contract_Edits[[#This Row],[Index]]), N(Contract_Edits[[#This Row],[Dep]]))</f>
        <v>163</v>
      </c>
      <c r="AE146" s="35" cm="1">
        <f t="array" ref="AE146">IF(OR(Contract_Edits[[#This Row],[Dep]]=0, TRIM(Contract_Edits[[#This Row],[Dep]])=""),
   0,
   IFERROR(
      _xlfn.XLOOKUP(1, (Contract_Edits[Dep]=Contract_Edits[[#This Row],[Dep]])*(Contract_Edits[RowPos]&lt;Contract_Edits[[#This Row],[RowPos]]), Contract_Edits[RowPos], , 0, -1),
      0
   )
)</f>
        <v>121</v>
      </c>
      <c r="AF146" s="35">
        <f>IF(OR(Contract_Edits[[#This Row],[Dep]]=0,Contract_Edits[[#This Row],[Dep]]=""),0,
   COUNTIFS(Contract_Edits[Dep],Contract_Edits[[#This Row],[Dep]],Contract_Edits[RowPos],"&lt;="&amp;Contract_Edits[[#This Row],[RowPos]],Contract_Edits[Approve],"Yes")
)</f>
        <v>12</v>
      </c>
      <c r="AG146" s="517">
        <f>--(
  ISNUMBER(SEARCH("BASE PARENT", UPPER(CLEAN(TRIM(_xlfn.XLOOKUP(TEXT(Contract_Edits[[#This Row],[Index]],"0"), baseIdxTxt, baseCost, "")))))) +
  ISNUMBER(SEARCH("DEPENDENCY GROUP", UPPER(CLEAN(TRIM(_xlfn.XLOOKUP(TEXT(Contract_Edits[[#This Row],[Index]],"0"), baseIdxTxt, baseCost, ""))))))
)</f>
        <v>0</v>
      </c>
      <c r="AH146" s="517" t="str" cm="1">
        <f t="array" ref="AH146">IF(Contract_Edits[[#This Row],[BaseFlag]]=1,
   10*BaseDepthL(TEXT(Contract_Edits[[#This Row],[Index]],"0"),500,editsIdxTxt,editsParentKeyTxt,baseIdxTxt,baseCost)-5,
   ""
)</f>
        <v/>
      </c>
      <c r="AI146" s="517" cm="1">
        <f t="array" ref="AI1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6" s="517" t="str">
        <f>IF(Contract_Edits[[#This Row],[Dep]]=0,"Root",
   IF(ISNUMBER(MATCH(Contract_Edits[[#This Row],[Dep]],Contract_Edits[Index],0)),"OK","Missing")
)</f>
        <v>OK</v>
      </c>
      <c r="AK146" s="517" t="str">
        <f>IF(AND(Contract_Edits[[#This Row],[Dep]]&lt;&gt;0,
        ISNUMBER(MATCH(Contract_Edits[[#This Row],[Dep]], Contract_Edits[Index], 0)),
        INDEX(Contract_Edits[Dep], MATCH(Contract_Edits[[#This Row],[Dep]], Contract_Edits[Index], 0))=Contract_Edits[[#This Row],[Index]]),
   "2-cycle","")</f>
        <v/>
      </c>
      <c r="AL146" s="517" cm="1">
        <f t="array" ref="AL146">IF(Contract_Edits[[#This Row],[BaseFlag]]&lt;&gt;1,0,
   IF(TEXT(Contract_Edits[[#This Row],[Dep]],"0")=TEXT(Contract_Edits[[#This Row],[Index]],"0"),
      0,
      MAX(0, SUMPRODUCT(--(Contract_Edits[BaseFlag]=1),
                        --(TEXT(Contract_Edits[Dep],"0")=TEXT(Contract_Edits[[#This Row],[Dep]],"0"))) - 1)
   )
)</f>
        <v>0</v>
      </c>
      <c r="AM146" s="517" t="str" cm="1">
        <f t="array" ref="AM146">IF(Contract_Edits[[#This Row],[BaseFlag]]=1,
   TEXT(Contract_Edits[[#This Row],[Index]],"0"),
   NearestBaseL(TEXT(Contract_Edits[[#This Row],[ParentKey]],"0"),500,editsIdxTxt,editsParentKeyTxt,baseIdxTxt,baseCost)
)</f>
        <v>163</v>
      </c>
      <c r="AN146" s="517" cm="1">
        <f t="array" ref="AN146">1+SUMPRODUCT(
  (Contract_Edits[BaseFlag]=1)*
  (TEXT(Contract_Edits[ParentAnchor],"0")=TEXT(Contract_Edits[[#This Row],[ParentAnchor]],"0"))*
  (VALUE(TEXT(Contract_Edits[Index],"0"))&lt;VALUE(TEXT(Contract_Edits[[#This Row],[Index]],"0")))
)</f>
        <v>1</v>
      </c>
      <c r="AO146" s="35"/>
      <c r="AP146" s="35" t="str">
        <f ca="1">IFERROR(+IF(AP$24=#REF!,Milestone_Marker,IF(AND(AP$24&gt;#REF!,AP$24&lt;#REF!+#REF!),#REF!,"")),"")</f>
        <v/>
      </c>
      <c r="AQ146" s="35" t="str">
        <f ca="1">IFERROR(+IF(AQ$24=#REF!,Milestone_Marker,IF(AND(AQ$24&gt;#REF!,AQ$24&lt;#REF!+#REF!),#REF!,"")),"")</f>
        <v/>
      </c>
      <c r="AR146" s="34"/>
      <c r="AS146" s="34"/>
      <c r="AT146" s="34"/>
      <c r="AU146" s="34"/>
      <c r="AV146" s="34"/>
      <c r="AW146" s="34"/>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row>
    <row r="147" spans="1:81" ht="15">
      <c r="A147" t="s">
        <v>747</v>
      </c>
      <c r="B147" t="s">
        <v>744</v>
      </c>
      <c r="C147" t="s">
        <v>763</v>
      </c>
      <c r="D147" s="458" t="s">
        <v>594</v>
      </c>
      <c r="E147" s="458">
        <v>0</v>
      </c>
      <c r="F147"/>
      <c r="G147"/>
      <c r="H147">
        <v>163</v>
      </c>
      <c r="I147"/>
      <c r="J147">
        <v>164</v>
      </c>
      <c r="K147" s="107"/>
      <c r="L147" s="463">
        <v>164</v>
      </c>
      <c r="M147" s="490"/>
      <c r="N147" s="160">
        <v>0</v>
      </c>
      <c r="O147" s="546" cm="1">
        <f t="array" ref="O14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46052</v>
      </c>
      <c r="P147" s="567" t="s">
        <v>797</v>
      </c>
      <c r="Q147" s="567"/>
      <c r="R147" s="499"/>
      <c r="S147" s="463" cm="1">
        <f t="array" ref="S14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7" s="34">
        <v>1</v>
      </c>
      <c r="U147" s="490"/>
      <c r="V14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v>
      </c>
      <c r="W147" s="557"/>
      <c r="X147" s="545"/>
      <c r="Y147" s="548"/>
      <c r="Z147" s="535" t="s">
        <v>458</v>
      </c>
      <c r="AA147" s="563">
        <v>104300</v>
      </c>
      <c r="AB147" cm="1">
        <f t="array" ref="AB147">ROW()-ROW(Contract_Edits[#Headers])</f>
        <v>123</v>
      </c>
      <c r="AC147">
        <f>IF(Contract_Edits[[#This Row],[RowPos]]&gt;1, Contract_Edits[[#This Row],[RowPos]]-1, 0)</f>
        <v>122</v>
      </c>
      <c r="AD147" s="35">
        <f>IF(N(Contract_Edits[[#This Row],[Dep]])=0, N(Contract_Edits[[#This Row],[Index]]), N(Contract_Edits[[#This Row],[Dep]]))</f>
        <v>163</v>
      </c>
      <c r="AE147" s="35" cm="1">
        <f t="array" ref="AE147">IF(OR(Contract_Edits[[#This Row],[Dep]]=0, TRIM(Contract_Edits[[#This Row],[Dep]])=""),
   0,
   IFERROR(
      _xlfn.XLOOKUP(1, (Contract_Edits[Dep]=Contract_Edits[[#This Row],[Dep]])*(Contract_Edits[RowPos]&lt;Contract_Edits[[#This Row],[RowPos]]), Contract_Edits[RowPos], , 0, -1),
      0
   )
)</f>
        <v>122</v>
      </c>
      <c r="AF147" s="35">
        <f>IF(OR(Contract_Edits[[#This Row],[Dep]]=0,Contract_Edits[[#This Row],[Dep]]=""),0,
   COUNTIFS(Contract_Edits[Dep],Contract_Edits[[#This Row],[Dep]],Contract_Edits[RowPos],"&lt;="&amp;Contract_Edits[[#This Row],[RowPos]],Contract_Edits[Approve],"Yes")
)</f>
        <v>13</v>
      </c>
      <c r="AG147" s="517">
        <f>--(
  ISNUMBER(SEARCH("BASE PARENT", UPPER(CLEAN(TRIM(_xlfn.XLOOKUP(TEXT(Contract_Edits[[#This Row],[Index]],"0"), baseIdxTxt, baseCost, "")))))) +
  ISNUMBER(SEARCH("DEPENDENCY GROUP", UPPER(CLEAN(TRIM(_xlfn.XLOOKUP(TEXT(Contract_Edits[[#This Row],[Index]],"0"), baseIdxTxt, baseCost, ""))))))
)</f>
        <v>1</v>
      </c>
      <c r="AH147" s="517" cm="1">
        <f t="array" ref="AH147">IF(Contract_Edits[[#This Row],[BaseFlag]]=1,
   10*BaseDepthL(TEXT(Contract_Edits[[#This Row],[Index]],"0"),500,editsIdxTxt,editsParentKeyTxt,baseIdxTxt,baseCost)-5,
   ""
)</f>
        <v>125</v>
      </c>
      <c r="AI147" s="517" cm="1">
        <f t="array" ref="AI1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7" s="517" t="str">
        <f>IF(Contract_Edits[[#This Row],[Dep]]=0,"Root",
   IF(ISNUMBER(MATCH(Contract_Edits[[#This Row],[Dep]],Contract_Edits[Index],0)),"OK","Missing")
)</f>
        <v>OK</v>
      </c>
      <c r="AK147" s="517" t="str">
        <f>IF(AND(Contract_Edits[[#This Row],[Dep]]&lt;&gt;0,
        ISNUMBER(MATCH(Contract_Edits[[#This Row],[Dep]], Contract_Edits[Index], 0)),
        INDEX(Contract_Edits[Dep], MATCH(Contract_Edits[[#This Row],[Dep]], Contract_Edits[Index], 0))=Contract_Edits[[#This Row],[Index]]),
   "2-cycle","")</f>
        <v/>
      </c>
      <c r="AL147" s="517" cm="1">
        <f t="array" ref="AL147">IF(Contract_Edits[[#This Row],[BaseFlag]]&lt;&gt;1,0,
   IF(TEXT(Contract_Edits[[#This Row],[Dep]],"0")=TEXT(Contract_Edits[[#This Row],[Index]],"0"),
      0,
      MAX(0, SUMPRODUCT(--(Contract_Edits[BaseFlag]=1),
                        --(TEXT(Contract_Edits[Dep],"0")=TEXT(Contract_Edits[[#This Row],[Dep]],"0"))) - 1)
   )
)</f>
        <v>0</v>
      </c>
      <c r="AM147" s="517" t="str" cm="1">
        <f t="array" ref="AM147">IF(Contract_Edits[[#This Row],[BaseFlag]]=1,
   TEXT(Contract_Edits[[#This Row],[Index]],"0"),
   NearestBaseL(TEXT(Contract_Edits[[#This Row],[ParentKey]],"0"),500,editsIdxTxt,editsParentKeyTxt,baseIdxTxt,baseCost)
)</f>
        <v>164</v>
      </c>
      <c r="AN147" s="517" cm="1">
        <f t="array" ref="AN147">1+SUMPRODUCT(
  (Contract_Edits[BaseFlag]=1)*
  (TEXT(Contract_Edits[ParentAnchor],"0")=TEXT(Contract_Edits[[#This Row],[ParentAnchor]],"0"))*
  (VALUE(TEXT(Contract_Edits[Index],"0"))&lt;VALUE(TEXT(Contract_Edits[[#This Row],[Index]],"0")))
)</f>
        <v>1</v>
      </c>
      <c r="AO147" s="35"/>
      <c r="AP147" s="35" t="str">
        <f ca="1">IFERROR(+IF(AP$24=#REF!,Milestone_Marker,IF(AND(AP$24&gt;#REF!,AP$24&lt;#REF!+#REF!),#REF!,"")),"")</f>
        <v/>
      </c>
      <c r="AQ147" s="35" t="str">
        <f ca="1">IFERROR(+IF(AQ$24=#REF!,Milestone_Marker,IF(AND(AQ$24&gt;#REF!,AQ$24&lt;#REF!+#REF!),#REF!,"")),"")</f>
        <v/>
      </c>
      <c r="AR147" s="34"/>
      <c r="AS147" s="34"/>
      <c r="AT147" s="34"/>
      <c r="AU147" s="34"/>
      <c r="AV147" s="34"/>
      <c r="AW147" s="34"/>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row>
    <row r="148" spans="1:81" ht="15">
      <c r="A148" t="s">
        <v>806</v>
      </c>
      <c r="B148" t="s">
        <v>517</v>
      </c>
      <c r="C148" t="s">
        <v>594</v>
      </c>
      <c r="D148" s="458" t="s">
        <v>841</v>
      </c>
      <c r="E148" s="458">
        <v>1</v>
      </c>
      <c r="F148">
        <v>515.63654999999994</v>
      </c>
      <c r="G148">
        <v>515.63654999999994</v>
      </c>
      <c r="H148"/>
      <c r="I148"/>
      <c r="J148">
        <v>907</v>
      </c>
      <c r="K148" s="107"/>
      <c r="L148" s="463">
        <v>907</v>
      </c>
      <c r="M148" s="490"/>
      <c r="N148" s="160">
        <v>0</v>
      </c>
      <c r="O148" s="546" cm="1">
        <f t="array" ref="O14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46052</v>
      </c>
      <c r="P148" s="567" t="s">
        <v>797</v>
      </c>
      <c r="Q148" s="567"/>
      <c r="R148" s="499"/>
      <c r="S148" s="463" cm="1">
        <f t="array" ref="S14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48" s="34">
        <v>1</v>
      </c>
      <c r="U148" s="176"/>
      <c r="V14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125.01010000000001</v>
      </c>
      <c r="W148" s="557"/>
      <c r="X148" s="545"/>
      <c r="Y148" s="548" t="s">
        <v>884</v>
      </c>
      <c r="Z148" s="160" t="s">
        <v>458</v>
      </c>
      <c r="AA148" s="563">
        <v>104300</v>
      </c>
      <c r="AB148" cm="1">
        <f t="array" ref="AB148">ROW()-ROW(Contract_Edits[#Headers])</f>
        <v>124</v>
      </c>
      <c r="AC148">
        <f>IF(Contract_Edits[[#This Row],[RowPos]]&gt;1, Contract_Edits[[#This Row],[RowPos]]-1, 0)</f>
        <v>123</v>
      </c>
      <c r="AD148" s="35">
        <f>IF(N(Contract_Edits[[#This Row],[Dep]])=0, N(Contract_Edits[[#This Row],[Index]]), N(Contract_Edits[[#This Row],[Dep]]))</f>
        <v>164</v>
      </c>
      <c r="AE148" s="35" cm="1">
        <f t="array" ref="AE148">IF(OR(Contract_Edits[[#This Row],[Dep]]=0, TRIM(Contract_Edits[[#This Row],[Dep]])=""),
   0,
   IFERROR(
      _xlfn.XLOOKUP(1, (Contract_Edits[Dep]=Contract_Edits[[#This Row],[Dep]])*(Contract_Edits[RowPos]&lt;Contract_Edits[[#This Row],[RowPos]]), Contract_Edits[RowPos], , 0, -1),
      0
   )
)</f>
        <v>0</v>
      </c>
      <c r="AF148" s="35">
        <f>IF(OR(Contract_Edits[[#This Row],[Dep]]=0,Contract_Edits[[#This Row],[Dep]]=""),0,
   COUNTIFS(Contract_Edits[Dep],Contract_Edits[[#This Row],[Dep]],Contract_Edits[RowPos],"&lt;="&amp;Contract_Edits[[#This Row],[RowPos]],Contract_Edits[Approve],"Yes")
)</f>
        <v>1</v>
      </c>
      <c r="AG148" s="517">
        <f>--(
  ISNUMBER(SEARCH("BASE PARENT", UPPER(CLEAN(TRIM(_xlfn.XLOOKUP(TEXT(Contract_Edits[[#This Row],[Index]],"0"), baseIdxTxt, baseCost, "")))))) +
  ISNUMBER(SEARCH("DEPENDENCY GROUP", UPPER(CLEAN(TRIM(_xlfn.XLOOKUP(TEXT(Contract_Edits[[#This Row],[Index]],"0"), baseIdxTxt, baseCost, ""))))))
)</f>
        <v>0</v>
      </c>
      <c r="AH148" s="517" t="str" cm="1">
        <f t="array" ref="AH148">IF(Contract_Edits[[#This Row],[BaseFlag]]=1,
   10*BaseDepthL(TEXT(Contract_Edits[[#This Row],[Index]],"0"),500,editsIdxTxt,editsParentKeyTxt,baseIdxTxt,baseCost)-5,
   ""
)</f>
        <v/>
      </c>
      <c r="AI148" s="517" cm="1">
        <f t="array" ref="AI1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48" s="517" t="str">
        <f>IF(Contract_Edits[[#This Row],[Dep]]=0,"Root",
   IF(ISNUMBER(MATCH(Contract_Edits[[#This Row],[Dep]],Contract_Edits[Index],0)),"OK","Missing")
)</f>
        <v>OK</v>
      </c>
      <c r="AK148" s="517" t="str">
        <f>IF(AND(Contract_Edits[[#This Row],[Dep]]&lt;&gt;0,
        ISNUMBER(MATCH(Contract_Edits[[#This Row],[Dep]], Contract_Edits[Index], 0)),
        INDEX(Contract_Edits[Dep], MATCH(Contract_Edits[[#This Row],[Dep]], Contract_Edits[Index], 0))=Contract_Edits[[#This Row],[Index]]),
   "2-cycle","")</f>
        <v/>
      </c>
      <c r="AL148" s="517" cm="1">
        <f t="array" ref="AL148">IF(Contract_Edits[[#This Row],[BaseFlag]]&lt;&gt;1,0,
   IF(TEXT(Contract_Edits[[#This Row],[Dep]],"0")=TEXT(Contract_Edits[[#This Row],[Index]],"0"),
      0,
      MAX(0, SUMPRODUCT(--(Contract_Edits[BaseFlag]=1),
                        --(TEXT(Contract_Edits[Dep],"0")=TEXT(Contract_Edits[[#This Row],[Dep]],"0"))) - 1)
   )
)</f>
        <v>0</v>
      </c>
      <c r="AM148" s="517" t="str" cm="1">
        <f t="array" ref="AM148">IF(Contract_Edits[[#This Row],[BaseFlag]]=1,
   TEXT(Contract_Edits[[#This Row],[Index]],"0"),
   NearestBaseL(TEXT(Contract_Edits[[#This Row],[ParentKey]],"0"),500,editsIdxTxt,editsParentKeyTxt,baseIdxTxt,baseCost)
)</f>
        <v>164</v>
      </c>
      <c r="AN148" s="517" cm="1">
        <f t="array" ref="AN148">1+SUMPRODUCT(
  (Contract_Edits[BaseFlag]=1)*
  (TEXT(Contract_Edits[ParentAnchor],"0")=TEXT(Contract_Edits[[#This Row],[ParentAnchor]],"0"))*
  (VALUE(TEXT(Contract_Edits[Index],"0"))&lt;VALUE(TEXT(Contract_Edits[[#This Row],[Index]],"0")))
)</f>
        <v>2</v>
      </c>
      <c r="AO148" s="35"/>
      <c r="AP148" s="35" t="str">
        <f ca="1">IFERROR(+IF(AP$24=#REF!,Milestone_Marker,IF(AND(AP$24&gt;#REF!,AP$24&lt;#REF!+#REF!),#REF!,"")),"")</f>
        <v/>
      </c>
      <c r="AQ148" s="35" t="str">
        <f ca="1">IFERROR(+IF(AQ$24=#REF!,Milestone_Marker,IF(AND(AQ$24&gt;#REF!,AQ$24&lt;#REF!+#REF!),#REF!,"")),"")</f>
        <v/>
      </c>
      <c r="AR148" s="190"/>
      <c r="AS148" s="490"/>
      <c r="AT148" s="34"/>
      <c r="AU148" s="34"/>
      <c r="AV148" s="34"/>
      <c r="AW148" s="34"/>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row>
    <row r="149" spans="1:81" ht="30">
      <c r="A149" t="s">
        <v>519</v>
      </c>
      <c r="B149" t="s">
        <v>639</v>
      </c>
      <c r="C149" t="s">
        <v>583</v>
      </c>
      <c r="D149" s="458" t="s">
        <v>727</v>
      </c>
      <c r="E149" s="458">
        <v>1</v>
      </c>
      <c r="F149">
        <v>1812.5</v>
      </c>
      <c r="G149">
        <v>1812.5</v>
      </c>
      <c r="H149">
        <v>164</v>
      </c>
      <c r="I149"/>
      <c r="J149">
        <v>136</v>
      </c>
      <c r="K149" s="107"/>
      <c r="L149" s="463">
        <v>136</v>
      </c>
      <c r="M149" s="490">
        <v>2</v>
      </c>
      <c r="N149" s="160">
        <v>0</v>
      </c>
      <c r="O149" s="546" cm="1">
        <f t="array" ref="O14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46052</v>
      </c>
      <c r="P149" s="567" t="s">
        <v>797</v>
      </c>
      <c r="Q149" s="567"/>
      <c r="R149" s="499"/>
      <c r="S149" s="463" cm="1">
        <f t="array" ref="S14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49" s="34">
        <v>1</v>
      </c>
      <c r="U149" s="490"/>
      <c r="V14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125.01020000000001</v>
      </c>
      <c r="W149" s="557"/>
      <c r="X149" s="545"/>
      <c r="Y149" s="548" t="s">
        <v>885</v>
      </c>
      <c r="Z149" s="160" t="s">
        <v>458</v>
      </c>
      <c r="AA149" s="563">
        <v>104300</v>
      </c>
      <c r="AB149" cm="1">
        <f t="array" ref="AB149">ROW()-ROW(Contract_Edits[#Headers])</f>
        <v>125</v>
      </c>
      <c r="AC149">
        <f>IF(Contract_Edits[[#This Row],[RowPos]]&gt;1, Contract_Edits[[#This Row],[RowPos]]-1, 0)</f>
        <v>124</v>
      </c>
      <c r="AD149" s="35">
        <f>IF(N(Contract_Edits[[#This Row],[Dep]])=0, N(Contract_Edits[[#This Row],[Index]]), N(Contract_Edits[[#This Row],[Dep]]))</f>
        <v>164</v>
      </c>
      <c r="AE149" s="35" cm="1">
        <f t="array" ref="AE149">IF(OR(Contract_Edits[[#This Row],[Dep]]=0, TRIM(Contract_Edits[[#This Row],[Dep]])=""),
   0,
   IFERROR(
      _xlfn.XLOOKUP(1, (Contract_Edits[Dep]=Contract_Edits[[#This Row],[Dep]])*(Contract_Edits[RowPos]&lt;Contract_Edits[[#This Row],[RowPos]]), Contract_Edits[RowPos], , 0, -1),
      0
   )
)</f>
        <v>124</v>
      </c>
      <c r="AF149" s="35">
        <f>IF(OR(Contract_Edits[[#This Row],[Dep]]=0,Contract_Edits[[#This Row],[Dep]]=""),0,
   COUNTIFS(Contract_Edits[Dep],Contract_Edits[[#This Row],[Dep]],Contract_Edits[RowPos],"&lt;="&amp;Contract_Edits[[#This Row],[RowPos]],Contract_Edits[Approve],"Yes")
)</f>
        <v>2</v>
      </c>
      <c r="AG149" s="517">
        <f>--(
  ISNUMBER(SEARCH("BASE PARENT", UPPER(CLEAN(TRIM(_xlfn.XLOOKUP(TEXT(Contract_Edits[[#This Row],[Index]],"0"), baseIdxTxt, baseCost, "")))))) +
  ISNUMBER(SEARCH("DEPENDENCY GROUP", UPPER(CLEAN(TRIM(_xlfn.XLOOKUP(TEXT(Contract_Edits[[#This Row],[Index]],"0"), baseIdxTxt, baseCost, ""))))))
)</f>
        <v>0</v>
      </c>
      <c r="AH149" s="517" t="str" cm="1">
        <f t="array" ref="AH149">IF(Contract_Edits[[#This Row],[BaseFlag]]=1,
   10*BaseDepthL(TEXT(Contract_Edits[[#This Row],[Index]],"0"),500,editsIdxTxt,editsParentKeyTxt,baseIdxTxt,baseCost)-5,
   ""
)</f>
        <v/>
      </c>
      <c r="AI149" s="517" cm="1">
        <f t="array" ref="AI1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49" s="517" t="str">
        <f>IF(Contract_Edits[[#This Row],[Dep]]=0,"Root",
   IF(ISNUMBER(MATCH(Contract_Edits[[#This Row],[Dep]],Contract_Edits[Index],0)),"OK","Missing")
)</f>
        <v>OK</v>
      </c>
      <c r="AK149" s="517" t="str">
        <f>IF(AND(Contract_Edits[[#This Row],[Dep]]&lt;&gt;0,
        ISNUMBER(MATCH(Contract_Edits[[#This Row],[Dep]], Contract_Edits[Index], 0)),
        INDEX(Contract_Edits[Dep], MATCH(Contract_Edits[[#This Row],[Dep]], Contract_Edits[Index], 0))=Contract_Edits[[#This Row],[Index]]),
   "2-cycle","")</f>
        <v/>
      </c>
      <c r="AL149" s="517" cm="1">
        <f t="array" ref="AL149">IF(Contract_Edits[[#This Row],[BaseFlag]]&lt;&gt;1,0,
   IF(TEXT(Contract_Edits[[#This Row],[Dep]],"0")=TEXT(Contract_Edits[[#This Row],[Index]],"0"),
      0,
      MAX(0, SUMPRODUCT(--(Contract_Edits[BaseFlag]=1),
                        --(TEXT(Contract_Edits[Dep],"0")=TEXT(Contract_Edits[[#This Row],[Dep]],"0"))) - 1)
   )
)</f>
        <v>0</v>
      </c>
      <c r="AM149" s="517" t="str" cm="1">
        <f t="array" ref="AM149">IF(Contract_Edits[[#This Row],[BaseFlag]]=1,
   TEXT(Contract_Edits[[#This Row],[Index]],"0"),
   NearestBaseL(TEXT(Contract_Edits[[#This Row],[ParentKey]],"0"),500,editsIdxTxt,editsParentKeyTxt,baseIdxTxt,baseCost)
)</f>
        <v>164</v>
      </c>
      <c r="AN149" s="517" cm="1">
        <f t="array" ref="AN149">1+SUMPRODUCT(
  (Contract_Edits[BaseFlag]=1)*
  (TEXT(Contract_Edits[ParentAnchor],"0")=TEXT(Contract_Edits[[#This Row],[ParentAnchor]],"0"))*
  (VALUE(TEXT(Contract_Edits[Index],"0"))&lt;VALUE(TEXT(Contract_Edits[[#This Row],[Index]],"0")))
)</f>
        <v>1</v>
      </c>
      <c r="AO149" s="35"/>
      <c r="AP149" s="35" t="str">
        <f ca="1">IFERROR(+IF(AP$24=#REF!,Milestone_Marker,IF(AND(AP$24&gt;#REF!,AP$24&lt;#REF!+#REF!),#REF!,"")),"")</f>
        <v/>
      </c>
      <c r="AQ149" s="35" t="str">
        <f ca="1">IFERROR(+IF(AQ$24=#REF!,Milestone_Marker,IF(AND(AQ$24&gt;#REF!,AQ$24&lt;#REF!+#REF!),#REF!,"")),"")</f>
        <v/>
      </c>
      <c r="AR149" s="490"/>
      <c r="AS149" s="490"/>
      <c r="AT149" s="34"/>
      <c r="AU149" s="34"/>
      <c r="AV149" s="34"/>
      <c r="AW149" s="34"/>
      <c r="AX149" s="34"/>
      <c r="AY149" s="34"/>
      <c r="AZ149" s="34"/>
      <c r="BA149" s="34"/>
      <c r="BB149" s="34"/>
      <c r="BC149"/>
      <c r="BD149"/>
      <c r="BE149"/>
      <c r="BF149"/>
      <c r="BG149"/>
      <c r="BH149"/>
      <c r="BI149"/>
      <c r="BJ149"/>
      <c r="BK149"/>
      <c r="BL149"/>
      <c r="BM149"/>
      <c r="BN149"/>
      <c r="BO149"/>
      <c r="BP149"/>
      <c r="BQ149"/>
      <c r="BR149"/>
      <c r="BS149"/>
      <c r="BT149"/>
      <c r="BU149"/>
      <c r="BV149"/>
      <c r="BW149"/>
      <c r="BX149"/>
      <c r="BY149"/>
      <c r="BZ149"/>
      <c r="CA149"/>
      <c r="CB149"/>
      <c r="CC149"/>
    </row>
    <row r="150" spans="1:81" ht="30">
      <c r="A150" t="s">
        <v>519</v>
      </c>
      <c r="B150" t="s">
        <v>521</v>
      </c>
      <c r="C150" t="s">
        <v>583</v>
      </c>
      <c r="D150" s="458" t="s">
        <v>709</v>
      </c>
      <c r="E150" s="458">
        <v>1</v>
      </c>
      <c r="F150">
        <v>870</v>
      </c>
      <c r="G150">
        <v>870</v>
      </c>
      <c r="H150">
        <v>164</v>
      </c>
      <c r="I150"/>
      <c r="J150">
        <v>123</v>
      </c>
      <c r="K150" s="107"/>
      <c r="L150" s="463">
        <v>123</v>
      </c>
      <c r="M150" s="176">
        <v>1</v>
      </c>
      <c r="N150" s="160">
        <v>0</v>
      </c>
      <c r="O150" s="546" cm="1">
        <f t="array" ref="O15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46056</v>
      </c>
      <c r="P150" s="566" t="s">
        <v>797</v>
      </c>
      <c r="Q150" s="566">
        <v>0</v>
      </c>
      <c r="R150" s="22"/>
      <c r="S150" s="463" cm="1">
        <f t="array" ref="S15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0">
        <v>1</v>
      </c>
      <c r="U150" s="176"/>
      <c r="V15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125.0103</v>
      </c>
      <c r="W150" s="497"/>
      <c r="X150" s="176" t="s">
        <v>852</v>
      </c>
      <c r="Y150" s="547" t="s">
        <v>885</v>
      </c>
      <c r="Z150" s="160" t="s">
        <v>458</v>
      </c>
      <c r="AA150" s="563">
        <v>104300</v>
      </c>
      <c r="AB150" cm="1">
        <f t="array" ref="AB150">ROW()-ROW(Contract_Edits[#Headers])</f>
        <v>126</v>
      </c>
      <c r="AC150">
        <f>IF(Contract_Edits[[#This Row],[RowPos]]&gt;1, Contract_Edits[[#This Row],[RowPos]]-1, 0)</f>
        <v>125</v>
      </c>
      <c r="AD150" s="35">
        <f>IF(N(Contract_Edits[[#This Row],[Dep]])=0, N(Contract_Edits[[#This Row],[Index]]), N(Contract_Edits[[#This Row],[Dep]]))</f>
        <v>164</v>
      </c>
      <c r="AE150" s="35" cm="1">
        <f t="array" ref="AE150">IF(OR(Contract_Edits[[#This Row],[Dep]]=0, TRIM(Contract_Edits[[#This Row],[Dep]])=""),
   0,
   IFERROR(
      _xlfn.XLOOKUP(1, (Contract_Edits[Dep]=Contract_Edits[[#This Row],[Dep]])*(Contract_Edits[RowPos]&lt;Contract_Edits[[#This Row],[RowPos]]), Contract_Edits[RowPos], , 0, -1),
      0
   )
)</f>
        <v>125</v>
      </c>
      <c r="AF150" s="35">
        <f>IF(OR(Contract_Edits[[#This Row],[Dep]]=0,Contract_Edits[[#This Row],[Dep]]=""),0,
   COUNTIFS(Contract_Edits[Dep],Contract_Edits[[#This Row],[Dep]],Contract_Edits[RowPos],"&lt;="&amp;Contract_Edits[[#This Row],[RowPos]],Contract_Edits[Approve],"Yes")
)</f>
        <v>3</v>
      </c>
      <c r="AG150" s="517">
        <f>--(
  ISNUMBER(SEARCH("BASE PARENT", UPPER(CLEAN(TRIM(_xlfn.XLOOKUP(TEXT(Contract_Edits[[#This Row],[Index]],"0"), baseIdxTxt, baseCost, "")))))) +
  ISNUMBER(SEARCH("DEPENDENCY GROUP", UPPER(CLEAN(TRIM(_xlfn.XLOOKUP(TEXT(Contract_Edits[[#This Row],[Index]],"0"), baseIdxTxt, baseCost, ""))))))
)</f>
        <v>0</v>
      </c>
      <c r="AH150" s="517" t="str" cm="1">
        <f t="array" ref="AH150">IF(Contract_Edits[[#This Row],[BaseFlag]]=1,
   10*BaseDepthL(TEXT(Contract_Edits[[#This Row],[Index]],"0"),500,editsIdxTxt,editsParentKeyTxt,baseIdxTxt,baseCost)-5,
   ""
)</f>
        <v/>
      </c>
      <c r="AI150" s="517" cm="1">
        <f t="array" ref="AI1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0" s="517" t="str">
        <f>IF(Contract_Edits[[#This Row],[Dep]]=0,"Root",
   IF(ISNUMBER(MATCH(Contract_Edits[[#This Row],[Dep]],Contract_Edits[Index],0)),"OK","Missing")
)</f>
        <v>OK</v>
      </c>
      <c r="AK150" s="517" t="str">
        <f>IF(AND(Contract_Edits[[#This Row],[Dep]]&lt;&gt;0,
        ISNUMBER(MATCH(Contract_Edits[[#This Row],[Dep]], Contract_Edits[Index], 0)),
        INDEX(Contract_Edits[Dep], MATCH(Contract_Edits[[#This Row],[Dep]], Contract_Edits[Index], 0))=Contract_Edits[[#This Row],[Index]]),
   "2-cycle","")</f>
        <v/>
      </c>
      <c r="AL150" s="517" cm="1">
        <f t="array" ref="AL150">IF(Contract_Edits[[#This Row],[BaseFlag]]&lt;&gt;1,0,
   IF(TEXT(Contract_Edits[[#This Row],[Dep]],"0")=TEXT(Contract_Edits[[#This Row],[Index]],"0"),
      0,
      MAX(0, SUMPRODUCT(--(Contract_Edits[BaseFlag]=1),
                        --(TEXT(Contract_Edits[Dep],"0")=TEXT(Contract_Edits[[#This Row],[Dep]],"0"))) - 1)
   )
)</f>
        <v>0</v>
      </c>
      <c r="AM150" s="517" t="str" cm="1">
        <f t="array" ref="AM150">IF(Contract_Edits[[#This Row],[BaseFlag]]=1,
   TEXT(Contract_Edits[[#This Row],[Index]],"0"),
   NearestBaseL(TEXT(Contract_Edits[[#This Row],[ParentKey]],"0"),500,editsIdxTxt,editsParentKeyTxt,baseIdxTxt,baseCost)
)</f>
        <v>164</v>
      </c>
      <c r="AN150" s="517" cm="1">
        <f t="array" ref="AN150">1+SUMPRODUCT(
  (Contract_Edits[BaseFlag]=1)*
  (TEXT(Contract_Edits[ParentAnchor],"0")=TEXT(Contract_Edits[[#This Row],[ParentAnchor]],"0"))*
  (VALUE(TEXT(Contract_Edits[Index],"0"))&lt;VALUE(TEXT(Contract_Edits[[#This Row],[Index]],"0")))
)</f>
        <v>1</v>
      </c>
      <c r="AO150" s="35"/>
      <c r="AP150" s="35" t="str">
        <f ca="1">IFERROR(+IF(AP$24=#REF!,Milestone_Marker,IF(AND(AP$24&gt;#REF!,AP$24&lt;#REF!+#REF!),#REF!,"")),"")</f>
        <v/>
      </c>
      <c r="AQ150" s="35" t="str">
        <f ca="1">IFERROR(+IF(AQ$24=#REF!,Milestone_Marker,IF(AND(AQ$24&gt;#REF!,AQ$24&lt;#REF!+#REF!),#REF!,"")),"")</f>
        <v/>
      </c>
      <c r="AR150" s="490"/>
      <c r="AS150" s="490"/>
      <c r="AT150" s="34"/>
      <c r="AU150" s="34"/>
      <c r="AV150" s="34"/>
      <c r="AW150" s="34"/>
      <c r="AX150" s="34"/>
      <c r="AY150" s="34"/>
      <c r="AZ150" s="34"/>
      <c r="BA150" s="34"/>
      <c r="BB150" s="34"/>
      <c r="BC150"/>
      <c r="BD150"/>
      <c r="BE150"/>
      <c r="BF150"/>
      <c r="BG150"/>
      <c r="BH150"/>
      <c r="BI150"/>
      <c r="BJ150"/>
      <c r="BK150"/>
      <c r="BL150"/>
      <c r="BM150"/>
      <c r="BN150"/>
      <c r="BO150"/>
      <c r="BP150"/>
      <c r="BQ150"/>
      <c r="BR150"/>
      <c r="BS150"/>
      <c r="BT150"/>
      <c r="BU150"/>
      <c r="BV150"/>
      <c r="BW150"/>
      <c r="BX150"/>
      <c r="BY150"/>
      <c r="BZ150"/>
      <c r="CA150"/>
      <c r="CB150"/>
      <c r="CC150"/>
    </row>
    <row r="151" spans="1:81" ht="15">
      <c r="A151" t="s">
        <v>519</v>
      </c>
      <c r="B151" t="s">
        <v>608</v>
      </c>
      <c r="C151" t="s">
        <v>583</v>
      </c>
      <c r="D151" s="458" t="s">
        <v>635</v>
      </c>
      <c r="E151" s="458">
        <v>1</v>
      </c>
      <c r="F151">
        <v>2610</v>
      </c>
      <c r="G151">
        <v>2610</v>
      </c>
      <c r="H151">
        <v>164</v>
      </c>
      <c r="I151"/>
      <c r="J151">
        <v>69</v>
      </c>
      <c r="K151" s="107"/>
      <c r="L151" s="463">
        <v>69</v>
      </c>
      <c r="M151" s="176">
        <v>1</v>
      </c>
      <c r="N151" s="160">
        <v>0</v>
      </c>
      <c r="O151" s="546" cm="1">
        <f t="array" ref="O15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46057</v>
      </c>
      <c r="P151" s="566" t="s">
        <v>797</v>
      </c>
      <c r="Q151" s="566">
        <v>0</v>
      </c>
      <c r="R151" s="22"/>
      <c r="S151" s="463" cm="1">
        <f t="array" ref="S15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1">
        <v>1</v>
      </c>
      <c r="U151" s="176"/>
      <c r="V15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125.0104</v>
      </c>
      <c r="W151" s="497"/>
      <c r="X151" s="176" t="s">
        <v>852</v>
      </c>
      <c r="Y151" s="547" t="s">
        <v>885</v>
      </c>
      <c r="Z151" s="160" t="s">
        <v>458</v>
      </c>
      <c r="AA151" s="563">
        <v>104300</v>
      </c>
      <c r="AB151" cm="1">
        <f t="array" ref="AB151">ROW()-ROW(Contract_Edits[#Headers])</f>
        <v>127</v>
      </c>
      <c r="AC151">
        <f>IF(Contract_Edits[[#This Row],[RowPos]]&gt;1, Contract_Edits[[#This Row],[RowPos]]-1, 0)</f>
        <v>126</v>
      </c>
      <c r="AD151" s="35">
        <f>IF(N(Contract_Edits[[#This Row],[Dep]])=0, N(Contract_Edits[[#This Row],[Index]]), N(Contract_Edits[[#This Row],[Dep]]))</f>
        <v>164</v>
      </c>
      <c r="AE151" s="35" cm="1">
        <f t="array" ref="AE151">IF(OR(Contract_Edits[[#This Row],[Dep]]=0, TRIM(Contract_Edits[[#This Row],[Dep]])=""),
   0,
   IFERROR(
      _xlfn.XLOOKUP(1, (Contract_Edits[Dep]=Contract_Edits[[#This Row],[Dep]])*(Contract_Edits[RowPos]&lt;Contract_Edits[[#This Row],[RowPos]]), Contract_Edits[RowPos], , 0, -1),
      0
   )
)</f>
        <v>126</v>
      </c>
      <c r="AF151" s="35">
        <f>IF(OR(Contract_Edits[[#This Row],[Dep]]=0,Contract_Edits[[#This Row],[Dep]]=""),0,
   COUNTIFS(Contract_Edits[Dep],Contract_Edits[[#This Row],[Dep]],Contract_Edits[RowPos],"&lt;="&amp;Contract_Edits[[#This Row],[RowPos]],Contract_Edits[Approve],"Yes")
)</f>
        <v>4</v>
      </c>
      <c r="AG151" s="517">
        <f>--(
  ISNUMBER(SEARCH("BASE PARENT", UPPER(CLEAN(TRIM(_xlfn.XLOOKUP(TEXT(Contract_Edits[[#This Row],[Index]],"0"), baseIdxTxt, baseCost, "")))))) +
  ISNUMBER(SEARCH("DEPENDENCY GROUP", UPPER(CLEAN(TRIM(_xlfn.XLOOKUP(TEXT(Contract_Edits[[#This Row],[Index]],"0"), baseIdxTxt, baseCost, ""))))))
)</f>
        <v>0</v>
      </c>
      <c r="AH151" s="517" t="str" cm="1">
        <f t="array" ref="AH151">IF(Contract_Edits[[#This Row],[BaseFlag]]=1,
   10*BaseDepthL(TEXT(Contract_Edits[[#This Row],[Index]],"0"),500,editsIdxTxt,editsParentKeyTxt,baseIdxTxt,baseCost)-5,
   ""
)</f>
        <v/>
      </c>
      <c r="AI151" s="517" cm="1">
        <f t="array" ref="AI1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1" s="517" t="str">
        <f>IF(Contract_Edits[[#This Row],[Dep]]=0,"Root",
   IF(ISNUMBER(MATCH(Contract_Edits[[#This Row],[Dep]],Contract_Edits[Index],0)),"OK","Missing")
)</f>
        <v>OK</v>
      </c>
      <c r="AK151" s="517" t="str">
        <f>IF(AND(Contract_Edits[[#This Row],[Dep]]&lt;&gt;0,
        ISNUMBER(MATCH(Contract_Edits[[#This Row],[Dep]], Contract_Edits[Index], 0)),
        INDEX(Contract_Edits[Dep], MATCH(Contract_Edits[[#This Row],[Dep]], Contract_Edits[Index], 0))=Contract_Edits[[#This Row],[Index]]),
   "2-cycle","")</f>
        <v/>
      </c>
      <c r="AL151" s="517" cm="1">
        <f t="array" ref="AL151">IF(Contract_Edits[[#This Row],[BaseFlag]]&lt;&gt;1,0,
   IF(TEXT(Contract_Edits[[#This Row],[Dep]],"0")=TEXT(Contract_Edits[[#This Row],[Index]],"0"),
      0,
      MAX(0, SUMPRODUCT(--(Contract_Edits[BaseFlag]=1),
                        --(TEXT(Contract_Edits[Dep],"0")=TEXT(Contract_Edits[[#This Row],[Dep]],"0"))) - 1)
   )
)</f>
        <v>0</v>
      </c>
      <c r="AM151" s="517" t="str" cm="1">
        <f t="array" ref="AM151">IF(Contract_Edits[[#This Row],[BaseFlag]]=1,
   TEXT(Contract_Edits[[#This Row],[Index]],"0"),
   NearestBaseL(TEXT(Contract_Edits[[#This Row],[ParentKey]],"0"),500,editsIdxTxt,editsParentKeyTxt,baseIdxTxt,baseCost)
)</f>
        <v>164</v>
      </c>
      <c r="AN151" s="517" cm="1">
        <f t="array" ref="AN151">1+SUMPRODUCT(
  (Contract_Edits[BaseFlag]=1)*
  (TEXT(Contract_Edits[ParentAnchor],"0")=TEXT(Contract_Edits[[#This Row],[ParentAnchor]],"0"))*
  (VALUE(TEXT(Contract_Edits[Index],"0"))&lt;VALUE(TEXT(Contract_Edits[[#This Row],[Index]],"0")))
)</f>
        <v>1</v>
      </c>
      <c r="AO151" s="35"/>
      <c r="AP151" s="35" t="str">
        <f ca="1">IFERROR(+IF(AP$24=#REF!,Milestone_Marker,IF(AND(AP$24&gt;#REF!,AP$24&lt;#REF!+#REF!),#REF!,"")),"")</f>
        <v/>
      </c>
      <c r="AQ151" s="35" t="str">
        <f ca="1">IFERROR(+IF(AQ$24=#REF!,Milestone_Marker,IF(AND(AQ$24&gt;#REF!,AQ$24&lt;#REF!+#REF!),#REF!,"")),"")</f>
        <v/>
      </c>
      <c r="AR151" s="490"/>
      <c r="AS151" s="490"/>
      <c r="AT151" s="34"/>
      <c r="AU151" s="34"/>
      <c r="AV151" s="34"/>
      <c r="AW151" s="34"/>
      <c r="AX151" s="34"/>
      <c r="AY151" s="34"/>
      <c r="AZ151" s="34"/>
      <c r="BA151" s="34"/>
      <c r="BB151" s="34"/>
      <c r="BC151"/>
      <c r="BD151"/>
      <c r="BE151"/>
      <c r="BF151"/>
      <c r="BG151"/>
      <c r="BH151"/>
      <c r="BI151"/>
      <c r="BJ151"/>
      <c r="BK151"/>
      <c r="BL151"/>
      <c r="BM151"/>
      <c r="BN151"/>
      <c r="BO151"/>
      <c r="BP151"/>
      <c r="BQ151"/>
      <c r="BR151"/>
      <c r="BS151"/>
      <c r="BT151"/>
      <c r="BU151"/>
      <c r="BV151"/>
      <c r="BW151"/>
      <c r="BX151"/>
      <c r="BY151"/>
      <c r="BZ151"/>
      <c r="CA151"/>
      <c r="CB151"/>
      <c r="CC151"/>
    </row>
    <row r="152" spans="1:81" ht="15">
      <c r="A152" t="s">
        <v>519</v>
      </c>
      <c r="B152" t="s">
        <v>587</v>
      </c>
      <c r="C152" t="s">
        <v>583</v>
      </c>
      <c r="D152" s="458" t="s">
        <v>605</v>
      </c>
      <c r="E152" s="458">
        <v>1</v>
      </c>
      <c r="F152">
        <v>507.5</v>
      </c>
      <c r="G152">
        <v>507.5</v>
      </c>
      <c r="H152">
        <v>164</v>
      </c>
      <c r="I152"/>
      <c r="J152">
        <v>47</v>
      </c>
      <c r="K152" s="107"/>
      <c r="L152" s="463">
        <v>47</v>
      </c>
      <c r="M152" s="176">
        <v>1</v>
      </c>
      <c r="N152" s="160">
        <v>0</v>
      </c>
      <c r="O152" s="546" cm="1">
        <f t="array" ref="O15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46058</v>
      </c>
      <c r="P152" s="566" t="s">
        <v>797</v>
      </c>
      <c r="Q152" s="566">
        <v>0</v>
      </c>
      <c r="R152" s="22"/>
      <c r="S152" s="463" cm="1">
        <f t="array" ref="S15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2">
        <v>1</v>
      </c>
      <c r="U152" s="176"/>
      <c r="V15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125.01050000000001</v>
      </c>
      <c r="W152" s="497"/>
      <c r="X152" s="176" t="s">
        <v>852</v>
      </c>
      <c r="Y152" s="547" t="s">
        <v>885</v>
      </c>
      <c r="Z152" s="160" t="s">
        <v>458</v>
      </c>
      <c r="AA152" s="563">
        <v>104300</v>
      </c>
      <c r="AB152" cm="1">
        <f t="array" ref="AB152">ROW()-ROW(Contract_Edits[#Headers])</f>
        <v>128</v>
      </c>
      <c r="AC152">
        <f>IF(Contract_Edits[[#This Row],[RowPos]]&gt;1, Contract_Edits[[#This Row],[RowPos]]-1, 0)</f>
        <v>127</v>
      </c>
      <c r="AD152" s="35">
        <f>IF(N(Contract_Edits[[#This Row],[Dep]])=0, N(Contract_Edits[[#This Row],[Index]]), N(Contract_Edits[[#This Row],[Dep]]))</f>
        <v>164</v>
      </c>
      <c r="AE152" s="35" cm="1">
        <f t="array" ref="AE152">IF(OR(Contract_Edits[[#This Row],[Dep]]=0, TRIM(Contract_Edits[[#This Row],[Dep]])=""),
   0,
   IFERROR(
      _xlfn.XLOOKUP(1, (Contract_Edits[Dep]=Contract_Edits[[#This Row],[Dep]])*(Contract_Edits[RowPos]&lt;Contract_Edits[[#This Row],[RowPos]]), Contract_Edits[RowPos], , 0, -1),
      0
   )
)</f>
        <v>127</v>
      </c>
      <c r="AF152" s="35">
        <f>IF(OR(Contract_Edits[[#This Row],[Dep]]=0,Contract_Edits[[#This Row],[Dep]]=""),0,
   COUNTIFS(Contract_Edits[Dep],Contract_Edits[[#This Row],[Dep]],Contract_Edits[RowPos],"&lt;="&amp;Contract_Edits[[#This Row],[RowPos]],Contract_Edits[Approve],"Yes")
)</f>
        <v>5</v>
      </c>
      <c r="AG152" s="517">
        <f>--(
  ISNUMBER(SEARCH("BASE PARENT", UPPER(CLEAN(TRIM(_xlfn.XLOOKUP(TEXT(Contract_Edits[[#This Row],[Index]],"0"), baseIdxTxt, baseCost, "")))))) +
  ISNUMBER(SEARCH("DEPENDENCY GROUP", UPPER(CLEAN(TRIM(_xlfn.XLOOKUP(TEXT(Contract_Edits[[#This Row],[Index]],"0"), baseIdxTxt, baseCost, ""))))))
)</f>
        <v>0</v>
      </c>
      <c r="AH152" s="517" t="str" cm="1">
        <f t="array" ref="AH152">IF(Contract_Edits[[#This Row],[BaseFlag]]=1,
   10*BaseDepthL(TEXT(Contract_Edits[[#This Row],[Index]],"0"),500,editsIdxTxt,editsParentKeyTxt,baseIdxTxt,baseCost)-5,
   ""
)</f>
        <v/>
      </c>
      <c r="AI152" s="517" cm="1">
        <f t="array" ref="AI1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2" s="517" t="str">
        <f>IF(Contract_Edits[[#This Row],[Dep]]=0,"Root",
   IF(ISNUMBER(MATCH(Contract_Edits[[#This Row],[Dep]],Contract_Edits[Index],0)),"OK","Missing")
)</f>
        <v>OK</v>
      </c>
      <c r="AK152" s="517" t="str">
        <f>IF(AND(Contract_Edits[[#This Row],[Dep]]&lt;&gt;0,
        ISNUMBER(MATCH(Contract_Edits[[#This Row],[Dep]], Contract_Edits[Index], 0)),
        INDEX(Contract_Edits[Dep], MATCH(Contract_Edits[[#This Row],[Dep]], Contract_Edits[Index], 0))=Contract_Edits[[#This Row],[Index]]),
   "2-cycle","")</f>
        <v/>
      </c>
      <c r="AL152" s="517" cm="1">
        <f t="array" ref="AL152">IF(Contract_Edits[[#This Row],[BaseFlag]]&lt;&gt;1,0,
   IF(TEXT(Contract_Edits[[#This Row],[Dep]],"0")=TEXT(Contract_Edits[[#This Row],[Index]],"0"),
      0,
      MAX(0, SUMPRODUCT(--(Contract_Edits[BaseFlag]=1),
                        --(TEXT(Contract_Edits[Dep],"0")=TEXT(Contract_Edits[[#This Row],[Dep]],"0"))) - 1)
   )
)</f>
        <v>0</v>
      </c>
      <c r="AM152" s="517" t="str" cm="1">
        <f t="array" ref="AM152">IF(Contract_Edits[[#This Row],[BaseFlag]]=1,
   TEXT(Contract_Edits[[#This Row],[Index]],"0"),
   NearestBaseL(TEXT(Contract_Edits[[#This Row],[ParentKey]],"0"),500,editsIdxTxt,editsParentKeyTxt,baseIdxTxt,baseCost)
)</f>
        <v>164</v>
      </c>
      <c r="AN152" s="517" cm="1">
        <f t="array" ref="AN152">1+SUMPRODUCT(
  (Contract_Edits[BaseFlag]=1)*
  (TEXT(Contract_Edits[ParentAnchor],"0")=TEXT(Contract_Edits[[#This Row],[ParentAnchor]],"0"))*
  (VALUE(TEXT(Contract_Edits[Index],"0"))&lt;VALUE(TEXT(Contract_Edits[[#This Row],[Index]],"0")))
)</f>
        <v>1</v>
      </c>
      <c r="AO152" s="35"/>
      <c r="AP152" s="35" t="str">
        <f ca="1">IFERROR(+IF(AP$24=#REF!,Milestone_Marker,IF(AND(AP$24&gt;#REF!,AP$24&lt;#REF!+#REF!),#REF!,"")),"")</f>
        <v/>
      </c>
      <c r="AQ152" s="35" t="str">
        <f ca="1">IFERROR(+IF(AQ$24=#REF!,Milestone_Marker,IF(AND(AQ$24&gt;#REF!,AQ$24&lt;#REF!+#REF!),#REF!,"")),"")</f>
        <v/>
      </c>
      <c r="AR152" s="490"/>
      <c r="AS152" s="490"/>
      <c r="AT152" s="34"/>
      <c r="AU152" s="34"/>
      <c r="AV152" s="34"/>
      <c r="AW152" s="34"/>
      <c r="AX152" s="34"/>
      <c r="AY152" s="34"/>
      <c r="AZ152" s="34"/>
      <c r="BA152" s="34"/>
      <c r="BB152" s="34"/>
      <c r="BC152"/>
      <c r="BD152"/>
      <c r="BE152"/>
      <c r="BF152"/>
      <c r="BG152"/>
      <c r="BH152"/>
      <c r="BI152"/>
      <c r="BJ152"/>
      <c r="BK152"/>
      <c r="BL152"/>
      <c r="BM152"/>
      <c r="BN152"/>
      <c r="BO152"/>
      <c r="BP152"/>
      <c r="BQ152"/>
      <c r="BR152"/>
      <c r="BS152"/>
      <c r="BT152"/>
      <c r="BU152"/>
      <c r="BV152"/>
      <c r="BW152"/>
      <c r="BX152"/>
      <c r="BY152"/>
      <c r="BZ152"/>
      <c r="CA152"/>
      <c r="CB152"/>
      <c r="CC152"/>
    </row>
    <row r="153" spans="1:81" ht="30">
      <c r="A153" t="s">
        <v>519</v>
      </c>
      <c r="B153" t="s">
        <v>555</v>
      </c>
      <c r="C153" t="s">
        <v>583</v>
      </c>
      <c r="D153" s="458" t="s">
        <v>584</v>
      </c>
      <c r="E153" s="458">
        <v>1</v>
      </c>
      <c r="F153">
        <v>1885</v>
      </c>
      <c r="G153">
        <v>1885</v>
      </c>
      <c r="H153">
        <v>164</v>
      </c>
      <c r="I153"/>
      <c r="J153">
        <v>34</v>
      </c>
      <c r="K153" s="107"/>
      <c r="L153" s="463">
        <v>34</v>
      </c>
      <c r="M153" s="176">
        <v>1</v>
      </c>
      <c r="N153" s="160">
        <v>0</v>
      </c>
      <c r="O153" s="546" cm="1">
        <f t="array" ref="O15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46059</v>
      </c>
      <c r="P153" s="566" t="s">
        <v>797</v>
      </c>
      <c r="Q153" s="566">
        <v>0</v>
      </c>
      <c r="R153" s="22"/>
      <c r="S153" s="463" cm="1">
        <f t="array" ref="S15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3">
        <v>1</v>
      </c>
      <c r="U153" s="176"/>
      <c r="V15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125.01060000000001</v>
      </c>
      <c r="W153" s="497"/>
      <c r="X153" s="176" t="s">
        <v>852</v>
      </c>
      <c r="Y153" s="547" t="s">
        <v>885</v>
      </c>
      <c r="Z153" s="160" t="s">
        <v>458</v>
      </c>
      <c r="AA153" s="563">
        <v>104300</v>
      </c>
      <c r="AB153" cm="1">
        <f t="array" ref="AB153">ROW()-ROW(Contract_Edits[#Headers])</f>
        <v>129</v>
      </c>
      <c r="AC153">
        <f>IF(Contract_Edits[[#This Row],[RowPos]]&gt;1, Contract_Edits[[#This Row],[RowPos]]-1, 0)</f>
        <v>128</v>
      </c>
      <c r="AD153" s="35">
        <f>IF(N(Contract_Edits[[#This Row],[Dep]])=0, N(Contract_Edits[[#This Row],[Index]]), N(Contract_Edits[[#This Row],[Dep]]))</f>
        <v>164</v>
      </c>
      <c r="AE153" s="35" cm="1">
        <f t="array" ref="AE153">IF(OR(Contract_Edits[[#This Row],[Dep]]=0, TRIM(Contract_Edits[[#This Row],[Dep]])=""),
   0,
   IFERROR(
      _xlfn.XLOOKUP(1, (Contract_Edits[Dep]=Contract_Edits[[#This Row],[Dep]])*(Contract_Edits[RowPos]&lt;Contract_Edits[[#This Row],[RowPos]]), Contract_Edits[RowPos], , 0, -1),
      0
   )
)</f>
        <v>128</v>
      </c>
      <c r="AF153" s="35">
        <f>IF(OR(Contract_Edits[[#This Row],[Dep]]=0,Contract_Edits[[#This Row],[Dep]]=""),0,
   COUNTIFS(Contract_Edits[Dep],Contract_Edits[[#This Row],[Dep]],Contract_Edits[RowPos],"&lt;="&amp;Contract_Edits[[#This Row],[RowPos]],Contract_Edits[Approve],"Yes")
)</f>
        <v>6</v>
      </c>
      <c r="AG153" s="517">
        <f>--(
  ISNUMBER(SEARCH("BASE PARENT", UPPER(CLEAN(TRIM(_xlfn.XLOOKUP(TEXT(Contract_Edits[[#This Row],[Index]],"0"), baseIdxTxt, baseCost, "")))))) +
  ISNUMBER(SEARCH("DEPENDENCY GROUP", UPPER(CLEAN(TRIM(_xlfn.XLOOKUP(TEXT(Contract_Edits[[#This Row],[Index]],"0"), baseIdxTxt, baseCost, ""))))))
)</f>
        <v>0</v>
      </c>
      <c r="AH153" s="517" t="str" cm="1">
        <f t="array" ref="AH153">IF(Contract_Edits[[#This Row],[BaseFlag]]=1,
   10*BaseDepthL(TEXT(Contract_Edits[[#This Row],[Index]],"0"),500,editsIdxTxt,editsParentKeyTxt,baseIdxTxt,baseCost)-5,
   ""
)</f>
        <v/>
      </c>
      <c r="AI153" s="517" cm="1">
        <f t="array" ref="AI1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3" s="517" t="str">
        <f>IF(Contract_Edits[[#This Row],[Dep]]=0,"Root",
   IF(ISNUMBER(MATCH(Contract_Edits[[#This Row],[Dep]],Contract_Edits[Index],0)),"OK","Missing")
)</f>
        <v>OK</v>
      </c>
      <c r="AK153" s="517" t="str">
        <f>IF(AND(Contract_Edits[[#This Row],[Dep]]&lt;&gt;0,
        ISNUMBER(MATCH(Contract_Edits[[#This Row],[Dep]], Contract_Edits[Index], 0)),
        INDEX(Contract_Edits[Dep], MATCH(Contract_Edits[[#This Row],[Dep]], Contract_Edits[Index], 0))=Contract_Edits[[#This Row],[Index]]),
   "2-cycle","")</f>
        <v/>
      </c>
      <c r="AL153" s="517" cm="1">
        <f t="array" ref="AL153">IF(Contract_Edits[[#This Row],[BaseFlag]]&lt;&gt;1,0,
   IF(TEXT(Contract_Edits[[#This Row],[Dep]],"0")=TEXT(Contract_Edits[[#This Row],[Index]],"0"),
      0,
      MAX(0, SUMPRODUCT(--(Contract_Edits[BaseFlag]=1),
                        --(TEXT(Contract_Edits[Dep],"0")=TEXT(Contract_Edits[[#This Row],[Dep]],"0"))) - 1)
   )
)</f>
        <v>0</v>
      </c>
      <c r="AM153" s="517" t="str" cm="1">
        <f t="array" ref="AM153">IF(Contract_Edits[[#This Row],[BaseFlag]]=1,
   TEXT(Contract_Edits[[#This Row],[Index]],"0"),
   NearestBaseL(TEXT(Contract_Edits[[#This Row],[ParentKey]],"0"),500,editsIdxTxt,editsParentKeyTxt,baseIdxTxt,baseCost)
)</f>
        <v>164</v>
      </c>
      <c r="AN153" s="517" cm="1">
        <f t="array" ref="AN153">1+SUMPRODUCT(
  (Contract_Edits[BaseFlag]=1)*
  (TEXT(Contract_Edits[ParentAnchor],"0")=TEXT(Contract_Edits[[#This Row],[ParentAnchor]],"0"))*
  (VALUE(TEXT(Contract_Edits[Index],"0"))&lt;VALUE(TEXT(Contract_Edits[[#This Row],[Index]],"0")))
)</f>
        <v>1</v>
      </c>
      <c r="AO153" s="190"/>
      <c r="AP153" s="190"/>
      <c r="AQ153" s="190"/>
      <c r="AR153" s="490"/>
      <c r="AS153" s="490"/>
      <c r="BB153" s="34"/>
      <c r="BC153" s="34"/>
      <c r="BD153" s="34"/>
      <c r="BE153" s="34"/>
      <c r="BF153" s="34"/>
      <c r="BY153"/>
      <c r="BZ153"/>
      <c r="CA153"/>
      <c r="CB153"/>
      <c r="CC153"/>
    </row>
    <row r="154" spans="1:81" ht="15">
      <c r="A154" t="s">
        <v>519</v>
      </c>
      <c r="B154" t="s">
        <v>555</v>
      </c>
      <c r="C154" t="s">
        <v>581</v>
      </c>
      <c r="D154" s="458" t="s">
        <v>582</v>
      </c>
      <c r="E154" s="458">
        <v>1</v>
      </c>
      <c r="F154">
        <v>580</v>
      </c>
      <c r="G154">
        <v>580</v>
      </c>
      <c r="H154">
        <v>164</v>
      </c>
      <c r="I154"/>
      <c r="J154">
        <v>33</v>
      </c>
      <c r="K154" s="107"/>
      <c r="L154" s="463">
        <v>33</v>
      </c>
      <c r="M154" s="176">
        <v>1</v>
      </c>
      <c r="N154" s="160">
        <v>0</v>
      </c>
      <c r="O154" s="546" cm="1">
        <f t="array" ref="O15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46062</v>
      </c>
      <c r="P154" s="566" t="s">
        <v>797</v>
      </c>
      <c r="Q154" s="566">
        <v>0</v>
      </c>
      <c r="R154" s="22"/>
      <c r="S154" s="463" cm="1">
        <f t="array" ref="S15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4">
        <v>1</v>
      </c>
      <c r="U154" s="176"/>
      <c r="V15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125.0107</v>
      </c>
      <c r="W154" s="497"/>
      <c r="X154" s="176" t="s">
        <v>852</v>
      </c>
      <c r="Y154" s="547" t="s">
        <v>885</v>
      </c>
      <c r="Z154" s="160" t="s">
        <v>458</v>
      </c>
      <c r="AA154" s="563"/>
      <c r="AB154" cm="1">
        <f t="array" ref="AB154">ROW()-ROW(Contract_Edits[#Headers])</f>
        <v>130</v>
      </c>
      <c r="AC154">
        <f>IF(Contract_Edits[[#This Row],[RowPos]]&gt;1, Contract_Edits[[#This Row],[RowPos]]-1, 0)</f>
        <v>129</v>
      </c>
      <c r="AD154" s="35">
        <f>IF(N(Contract_Edits[[#This Row],[Dep]])=0, N(Contract_Edits[[#This Row],[Index]]), N(Contract_Edits[[#This Row],[Dep]]))</f>
        <v>164</v>
      </c>
      <c r="AE154" s="35" cm="1">
        <f t="array" ref="AE154">IF(OR(Contract_Edits[[#This Row],[Dep]]=0, TRIM(Contract_Edits[[#This Row],[Dep]])=""),
   0,
   IFERROR(
      _xlfn.XLOOKUP(1, (Contract_Edits[Dep]=Contract_Edits[[#This Row],[Dep]])*(Contract_Edits[RowPos]&lt;Contract_Edits[[#This Row],[RowPos]]), Contract_Edits[RowPos], , 0, -1),
      0
   )
)</f>
        <v>129</v>
      </c>
      <c r="AF154" s="35">
        <f>IF(OR(Contract_Edits[[#This Row],[Dep]]=0,Contract_Edits[[#This Row],[Dep]]=""),0,
   COUNTIFS(Contract_Edits[Dep],Contract_Edits[[#This Row],[Dep]],Contract_Edits[RowPos],"&lt;="&amp;Contract_Edits[[#This Row],[RowPos]],Contract_Edits[Approve],"Yes")
)</f>
        <v>7</v>
      </c>
      <c r="AG154" s="517">
        <f>--(
  ISNUMBER(SEARCH("BASE PARENT", UPPER(CLEAN(TRIM(_xlfn.XLOOKUP(TEXT(Contract_Edits[[#This Row],[Index]],"0"), baseIdxTxt, baseCost, "")))))) +
  ISNUMBER(SEARCH("DEPENDENCY GROUP", UPPER(CLEAN(TRIM(_xlfn.XLOOKUP(TEXT(Contract_Edits[[#This Row],[Index]],"0"), baseIdxTxt, baseCost, ""))))))
)</f>
        <v>0</v>
      </c>
      <c r="AH154" s="517" t="str" cm="1">
        <f t="array" ref="AH154">IF(Contract_Edits[[#This Row],[BaseFlag]]=1,
   10*BaseDepthL(TEXT(Contract_Edits[[#This Row],[Index]],"0"),500,editsIdxTxt,editsParentKeyTxt,baseIdxTxt,baseCost)-5,
   ""
)</f>
        <v/>
      </c>
      <c r="AI154" s="517" cm="1">
        <f t="array" ref="AI1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4" s="517" t="str">
        <f>IF(Contract_Edits[[#This Row],[Dep]]=0,"Root",
   IF(ISNUMBER(MATCH(Contract_Edits[[#This Row],[Dep]],Contract_Edits[Index],0)),"OK","Missing")
)</f>
        <v>OK</v>
      </c>
      <c r="AK154" s="517" t="str">
        <f>IF(AND(Contract_Edits[[#This Row],[Dep]]&lt;&gt;0,
        ISNUMBER(MATCH(Contract_Edits[[#This Row],[Dep]], Contract_Edits[Index], 0)),
        INDEX(Contract_Edits[Dep], MATCH(Contract_Edits[[#This Row],[Dep]], Contract_Edits[Index], 0))=Contract_Edits[[#This Row],[Index]]),
   "2-cycle","")</f>
        <v/>
      </c>
      <c r="AL154" s="517" cm="1">
        <f t="array" ref="AL154">IF(Contract_Edits[[#This Row],[BaseFlag]]&lt;&gt;1,0,
   IF(TEXT(Contract_Edits[[#This Row],[Dep]],"0")=TEXT(Contract_Edits[[#This Row],[Index]],"0"),
      0,
      MAX(0, SUMPRODUCT(--(Contract_Edits[BaseFlag]=1),
                        --(TEXT(Contract_Edits[Dep],"0")=TEXT(Contract_Edits[[#This Row],[Dep]],"0"))) - 1)
   )
)</f>
        <v>0</v>
      </c>
      <c r="AM154" s="517" t="str" cm="1">
        <f t="array" ref="AM154">IF(Contract_Edits[[#This Row],[BaseFlag]]=1,
   TEXT(Contract_Edits[[#This Row],[Index]],"0"),
   NearestBaseL(TEXT(Contract_Edits[[#This Row],[ParentKey]],"0"),500,editsIdxTxt,editsParentKeyTxt,baseIdxTxt,baseCost)
)</f>
        <v>164</v>
      </c>
      <c r="AN154" s="517" cm="1">
        <f t="array" ref="AN154">1+SUMPRODUCT(
  (Contract_Edits[BaseFlag]=1)*
  (TEXT(Contract_Edits[ParentAnchor],"0")=TEXT(Contract_Edits[[#This Row],[ParentAnchor]],"0"))*
  (VALUE(TEXT(Contract_Edits[Index],"0"))&lt;VALUE(TEXT(Contract_Edits[[#This Row],[Index]],"0")))
)</f>
        <v>1</v>
      </c>
      <c r="AO154" s="190"/>
      <c r="AP154" s="190"/>
      <c r="AQ154" s="190"/>
      <c r="AR154" s="490"/>
      <c r="AS154" s="490"/>
      <c r="AW154" s="829"/>
      <c r="AX154" s="829"/>
      <c r="AY154" s="829"/>
      <c r="AZ154" s="829"/>
      <c r="BB154" s="34"/>
      <c r="BC154" s="34"/>
      <c r="BD154" s="34"/>
      <c r="BE154" s="34"/>
      <c r="BF154" s="34"/>
      <c r="BY154"/>
      <c r="BZ154"/>
      <c r="CA154"/>
      <c r="CB154"/>
      <c r="CC154"/>
    </row>
    <row r="155" spans="1:81" ht="15">
      <c r="A155" t="s">
        <v>467</v>
      </c>
      <c r="B155" t="s">
        <v>793</v>
      </c>
      <c r="C155" t="s">
        <v>583</v>
      </c>
      <c r="D155" s="458" t="s">
        <v>1460</v>
      </c>
      <c r="E155" s="458">
        <v>1</v>
      </c>
      <c r="F155"/>
      <c r="G155"/>
      <c r="H155">
        <v>164</v>
      </c>
      <c r="I155"/>
      <c r="J155">
        <v>194</v>
      </c>
      <c r="K155" s="107"/>
      <c r="L155" s="463">
        <v>194</v>
      </c>
      <c r="M155" s="543"/>
      <c r="N155" s="544"/>
      <c r="O155" s="546" cm="1">
        <f t="array" ref="O15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46063</v>
      </c>
      <c r="P155" s="568"/>
      <c r="Q155" s="568"/>
      <c r="R155" s="499"/>
      <c r="S155" s="463" cm="1">
        <f t="array" ref="S15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5" s="34"/>
      <c r="U155" s="490"/>
      <c r="V15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125.0108</v>
      </c>
      <c r="W155" s="557"/>
      <c r="X155" s="545"/>
      <c r="Y155" s="548" t="s">
        <v>885</v>
      </c>
      <c r="Z155" s="160" t="s">
        <v>458</v>
      </c>
      <c r="AA155" s="563"/>
      <c r="AB155" s="34" cm="1">
        <f t="array" ref="AB155">ROW()-ROW(Contract_Edits[#Headers])</f>
        <v>131</v>
      </c>
      <c r="AC155" s="34">
        <f>IF(Contract_Edits[[#This Row],[RowPos]]&gt;1, Contract_Edits[[#This Row],[RowPos]]-1, 0)</f>
        <v>130</v>
      </c>
      <c r="AD155" s="35">
        <f>IF(N(Contract_Edits[[#This Row],[Dep]])=0, N(Contract_Edits[[#This Row],[Index]]), N(Contract_Edits[[#This Row],[Dep]]))</f>
        <v>164</v>
      </c>
      <c r="AE155" s="35" cm="1">
        <f t="array" ref="AE155">IF(OR(Contract_Edits[[#This Row],[Dep]]=0, TRIM(Contract_Edits[[#This Row],[Dep]])=""),
   0,
   IFERROR(
      _xlfn.XLOOKUP(1, (Contract_Edits[Dep]=Contract_Edits[[#This Row],[Dep]])*(Contract_Edits[RowPos]&lt;Contract_Edits[[#This Row],[RowPos]]), Contract_Edits[RowPos], , 0, -1),
      0
   )
)</f>
        <v>130</v>
      </c>
      <c r="AF155" s="35">
        <f>IF(OR(Contract_Edits[[#This Row],[Dep]]=0,Contract_Edits[[#This Row],[Dep]]=""),0,
   COUNTIFS(Contract_Edits[Dep],Contract_Edits[[#This Row],[Dep]],Contract_Edits[RowPos],"&lt;="&amp;Contract_Edits[[#This Row],[RowPos]],Contract_Edits[Approve],"Yes")
)</f>
        <v>8</v>
      </c>
      <c r="AG155" s="517">
        <f>--(
  ISNUMBER(SEARCH("BASE PARENT", UPPER(CLEAN(TRIM(_xlfn.XLOOKUP(TEXT(Contract_Edits[[#This Row],[Index]],"0"), baseIdxTxt, baseCost, "")))))) +
  ISNUMBER(SEARCH("DEPENDENCY GROUP", UPPER(CLEAN(TRIM(_xlfn.XLOOKUP(TEXT(Contract_Edits[[#This Row],[Index]],"0"), baseIdxTxt, baseCost, ""))))))
)</f>
        <v>0</v>
      </c>
      <c r="AH155" s="517" t="str" cm="1">
        <f t="array" ref="AH155">IF(Contract_Edits[[#This Row],[BaseFlag]]=1,
   10*BaseDepthL(TEXT(Contract_Edits[[#This Row],[Index]],"0"),500,editsIdxTxt,editsParentKeyTxt,baseIdxTxt,baseCost)-5,
   ""
)</f>
        <v/>
      </c>
      <c r="AI155" s="517" cm="1">
        <f t="array" ref="AI1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5" s="517" t="str">
        <f>IF(Contract_Edits[[#This Row],[Dep]]=0,"Root",
   IF(ISNUMBER(MATCH(Contract_Edits[[#This Row],[Dep]],Contract_Edits[Index],0)),"OK","Missing")
)</f>
        <v>OK</v>
      </c>
      <c r="AK155" s="517" t="str">
        <f>IF(AND(Contract_Edits[[#This Row],[Dep]]&lt;&gt;0,
        ISNUMBER(MATCH(Contract_Edits[[#This Row],[Dep]], Contract_Edits[Index], 0)),
        INDEX(Contract_Edits[Dep], MATCH(Contract_Edits[[#This Row],[Dep]], Contract_Edits[Index], 0))=Contract_Edits[[#This Row],[Index]]),
   "2-cycle","")</f>
        <v/>
      </c>
      <c r="AL155" s="517" cm="1">
        <f t="array" ref="AL155">IF(Contract_Edits[[#This Row],[BaseFlag]]&lt;&gt;1,0,
   IF(TEXT(Contract_Edits[[#This Row],[Dep]],"0")=TEXT(Contract_Edits[[#This Row],[Index]],"0"),
      0,
      MAX(0, SUMPRODUCT(--(Contract_Edits[BaseFlag]=1),
                        --(TEXT(Contract_Edits[Dep],"0")=TEXT(Contract_Edits[[#This Row],[Dep]],"0"))) - 1)
   )
)</f>
        <v>0</v>
      </c>
      <c r="AM155" s="517" t="str" cm="1">
        <f t="array" ref="AM155">IF(Contract_Edits[[#This Row],[BaseFlag]]=1,
   TEXT(Contract_Edits[[#This Row],[Index]],"0"),
   NearestBaseL(TEXT(Contract_Edits[[#This Row],[ParentKey]],"0"),500,editsIdxTxt,editsParentKeyTxt,baseIdxTxt,baseCost)
)</f>
        <v>164</v>
      </c>
      <c r="AN155" s="517" cm="1">
        <f t="array" ref="AN155">1+SUMPRODUCT(
  (Contract_Edits[BaseFlag]=1)*
  (TEXT(Contract_Edits[ParentAnchor],"0")=TEXT(Contract_Edits[[#This Row],[ParentAnchor]],"0"))*
  (VALUE(TEXT(Contract_Edits[Index],"0"))&lt;VALUE(TEXT(Contract_Edits[[#This Row],[Index]],"0")))
)</f>
        <v>2</v>
      </c>
      <c r="AO155" s="190"/>
      <c r="AP155" s="190"/>
      <c r="AQ155" s="190"/>
      <c r="AR155" s="490"/>
      <c r="AS155" s="490"/>
      <c r="BC155" s="34"/>
      <c r="BD155" s="34"/>
      <c r="BE155" s="34"/>
      <c r="BF155" s="34"/>
      <c r="BZ155"/>
      <c r="CA155"/>
      <c r="CB155"/>
      <c r="CC155"/>
    </row>
    <row r="156" spans="1:81" ht="15">
      <c r="A156" t="s">
        <v>747</v>
      </c>
      <c r="B156" t="s">
        <v>744</v>
      </c>
      <c r="C156" t="s">
        <v>763</v>
      </c>
      <c r="D156" s="458" t="s">
        <v>568</v>
      </c>
      <c r="E156" s="458">
        <v>0</v>
      </c>
      <c r="F156"/>
      <c r="G156"/>
      <c r="H156">
        <v>164</v>
      </c>
      <c r="I156"/>
      <c r="J156">
        <v>165</v>
      </c>
      <c r="K156" s="107"/>
      <c r="L156" s="463">
        <v>165</v>
      </c>
      <c r="M156" s="490"/>
      <c r="N156" s="160">
        <v>0</v>
      </c>
      <c r="O156" s="546" cm="1">
        <f t="array" ref="O15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46063</v>
      </c>
      <c r="P156" s="567"/>
      <c r="Q156" s="567"/>
      <c r="R156" s="499"/>
      <c r="S156" s="463" cm="1">
        <f t="array" ref="S15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6" s="34">
        <v>1</v>
      </c>
      <c r="U156" s="490"/>
      <c r="V15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v>
      </c>
      <c r="W156" s="557"/>
      <c r="X156" s="545"/>
      <c r="Y156" s="548"/>
      <c r="Z156" s="535" t="s">
        <v>458</v>
      </c>
      <c r="AA156" s="563">
        <v>104200</v>
      </c>
      <c r="AB156" cm="1">
        <f t="array" ref="AB156">ROW()-ROW(Contract_Edits[#Headers])</f>
        <v>132</v>
      </c>
      <c r="AC156">
        <f>IF(Contract_Edits[[#This Row],[RowPos]]&gt;1, Contract_Edits[[#This Row],[RowPos]]-1, 0)</f>
        <v>131</v>
      </c>
      <c r="AD156" s="35">
        <f>IF(N(Contract_Edits[[#This Row],[Dep]])=0, N(Contract_Edits[[#This Row],[Index]]), N(Contract_Edits[[#This Row],[Dep]]))</f>
        <v>164</v>
      </c>
      <c r="AE156" s="35" cm="1">
        <f t="array" ref="AE156">IF(OR(Contract_Edits[[#This Row],[Dep]]=0, TRIM(Contract_Edits[[#This Row],[Dep]])=""),
   0,
   IFERROR(
      _xlfn.XLOOKUP(1, (Contract_Edits[Dep]=Contract_Edits[[#This Row],[Dep]])*(Contract_Edits[RowPos]&lt;Contract_Edits[[#This Row],[RowPos]]), Contract_Edits[RowPos], , 0, -1),
      0
   )
)</f>
        <v>131</v>
      </c>
      <c r="AF156" s="35">
        <f>IF(OR(Contract_Edits[[#This Row],[Dep]]=0,Contract_Edits[[#This Row],[Dep]]=""),0,
   COUNTIFS(Contract_Edits[Dep],Contract_Edits[[#This Row],[Dep]],Contract_Edits[RowPos],"&lt;="&amp;Contract_Edits[[#This Row],[RowPos]],Contract_Edits[Approve],"Yes")
)</f>
        <v>9</v>
      </c>
      <c r="AG156" s="517">
        <f>--(
  ISNUMBER(SEARCH("BASE PARENT", UPPER(CLEAN(TRIM(_xlfn.XLOOKUP(TEXT(Contract_Edits[[#This Row],[Index]],"0"), baseIdxTxt, baseCost, "")))))) +
  ISNUMBER(SEARCH("DEPENDENCY GROUP", UPPER(CLEAN(TRIM(_xlfn.XLOOKUP(TEXT(Contract_Edits[[#This Row],[Index]],"0"), baseIdxTxt, baseCost, ""))))))
)</f>
        <v>1</v>
      </c>
      <c r="AH156" s="517" cm="1">
        <f t="array" ref="AH156">IF(Contract_Edits[[#This Row],[BaseFlag]]=1,
   10*BaseDepthL(TEXT(Contract_Edits[[#This Row],[Index]],"0"),500,editsIdxTxt,editsParentKeyTxt,baseIdxTxt,baseCost)-5,
   ""
)</f>
        <v>135</v>
      </c>
      <c r="AI156" s="517" cm="1">
        <f t="array" ref="AI1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6" s="517" t="str">
        <f>IF(Contract_Edits[[#This Row],[Dep]]=0,"Root",
   IF(ISNUMBER(MATCH(Contract_Edits[[#This Row],[Dep]],Contract_Edits[Index],0)),"OK","Missing")
)</f>
        <v>OK</v>
      </c>
      <c r="AK156" s="517" t="str">
        <f>IF(AND(Contract_Edits[[#This Row],[Dep]]&lt;&gt;0,
        ISNUMBER(MATCH(Contract_Edits[[#This Row],[Dep]], Contract_Edits[Index], 0)),
        INDEX(Contract_Edits[Dep], MATCH(Contract_Edits[[#This Row],[Dep]], Contract_Edits[Index], 0))=Contract_Edits[[#This Row],[Index]]),
   "2-cycle","")</f>
        <v/>
      </c>
      <c r="AL156" s="517" cm="1">
        <f t="array" ref="AL156">IF(Contract_Edits[[#This Row],[BaseFlag]]&lt;&gt;1,0,
   IF(TEXT(Contract_Edits[[#This Row],[Dep]],"0")=TEXT(Contract_Edits[[#This Row],[Index]],"0"),
      0,
      MAX(0, SUMPRODUCT(--(Contract_Edits[BaseFlag]=1),
                        --(TEXT(Contract_Edits[Dep],"0")=TEXT(Contract_Edits[[#This Row],[Dep]],"0"))) - 1)
   )
)</f>
        <v>0</v>
      </c>
      <c r="AM156" s="517" t="str" cm="1">
        <f t="array" ref="AM156">IF(Contract_Edits[[#This Row],[BaseFlag]]=1,
   TEXT(Contract_Edits[[#This Row],[Index]],"0"),
   NearestBaseL(TEXT(Contract_Edits[[#This Row],[ParentKey]],"0"),500,editsIdxTxt,editsParentKeyTxt,baseIdxTxt,baseCost)
)</f>
        <v>165</v>
      </c>
      <c r="AN156" s="517" cm="1">
        <f t="array" ref="AN156">1+SUMPRODUCT(
  (Contract_Edits[BaseFlag]=1)*
  (TEXT(Contract_Edits[ParentAnchor],"0")=TEXT(Contract_Edits[[#This Row],[ParentAnchor]],"0"))*
  (VALUE(TEXT(Contract_Edits[Index],"0"))&lt;VALUE(TEXT(Contract_Edits[[#This Row],[Index]],"0")))
)</f>
        <v>1</v>
      </c>
      <c r="AO156" s="190"/>
      <c r="AP156" s="190"/>
      <c r="AQ156" s="190"/>
      <c r="AR156" s="490"/>
      <c r="AS156" s="490"/>
      <c r="BC156" s="34"/>
      <c r="BD156" s="34"/>
      <c r="BE156" s="34"/>
      <c r="BF156" s="34"/>
      <c r="BZ156"/>
      <c r="CA156"/>
      <c r="CB156"/>
      <c r="CC156"/>
    </row>
    <row r="157" spans="1:81" ht="15">
      <c r="A157" t="s">
        <v>519</v>
      </c>
      <c r="B157" t="s">
        <v>521</v>
      </c>
      <c r="C157" t="s">
        <v>756</v>
      </c>
      <c r="D157" s="458" t="s">
        <v>778</v>
      </c>
      <c r="E157" s="458">
        <v>1</v>
      </c>
      <c r="F157">
        <v>0</v>
      </c>
      <c r="G157">
        <v>0</v>
      </c>
      <c r="H157">
        <v>165</v>
      </c>
      <c r="I157"/>
      <c r="J157">
        <v>179</v>
      </c>
      <c r="K157" s="107"/>
      <c r="L157" s="463">
        <v>179</v>
      </c>
      <c r="M157" s="490"/>
      <c r="N157" s="160">
        <v>0</v>
      </c>
      <c r="O157" s="546" cm="1">
        <f t="array" ref="O15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46063</v>
      </c>
      <c r="P157" s="567" t="s">
        <v>797</v>
      </c>
      <c r="Q157" s="567"/>
      <c r="R157" s="499"/>
      <c r="S157" s="463" cm="1">
        <f t="array" ref="S15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57" s="34">
        <v>1</v>
      </c>
      <c r="U157" s="490"/>
      <c r="V15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135.01009999999999</v>
      </c>
      <c r="W157" s="557"/>
      <c r="X157" s="545"/>
      <c r="Y157" s="548" t="s">
        <v>886</v>
      </c>
      <c r="Z157" s="160" t="s">
        <v>458</v>
      </c>
      <c r="AA157" s="563">
        <v>104200</v>
      </c>
      <c r="AB157" cm="1">
        <f t="array" ref="AB157">ROW()-ROW(Contract_Edits[#Headers])</f>
        <v>133</v>
      </c>
      <c r="AC157">
        <f>IF(Contract_Edits[[#This Row],[RowPos]]&gt;1, Contract_Edits[[#This Row],[RowPos]]-1, 0)</f>
        <v>132</v>
      </c>
      <c r="AD157" s="35">
        <f>IF(N(Contract_Edits[[#This Row],[Dep]])=0, N(Contract_Edits[[#This Row],[Index]]), N(Contract_Edits[[#This Row],[Dep]]))</f>
        <v>165</v>
      </c>
      <c r="AE157" s="35" cm="1">
        <f t="array" ref="AE157">IF(OR(Contract_Edits[[#This Row],[Dep]]=0, TRIM(Contract_Edits[[#This Row],[Dep]])=""),
   0,
   IFERROR(
      _xlfn.XLOOKUP(1, (Contract_Edits[Dep]=Contract_Edits[[#This Row],[Dep]])*(Contract_Edits[RowPos]&lt;Contract_Edits[[#This Row],[RowPos]]), Contract_Edits[RowPos], , 0, -1),
      0
   )
)</f>
        <v>0</v>
      </c>
      <c r="AF157" s="35">
        <f>IF(OR(Contract_Edits[[#This Row],[Dep]]=0,Contract_Edits[[#This Row],[Dep]]=""),0,
   COUNTIFS(Contract_Edits[Dep],Contract_Edits[[#This Row],[Dep]],Contract_Edits[RowPos],"&lt;="&amp;Contract_Edits[[#This Row],[RowPos]],Contract_Edits[Approve],"Yes")
)</f>
        <v>1</v>
      </c>
      <c r="AG157" s="517">
        <f>--(
  ISNUMBER(SEARCH("BASE PARENT", UPPER(CLEAN(TRIM(_xlfn.XLOOKUP(TEXT(Contract_Edits[[#This Row],[Index]],"0"), baseIdxTxt, baseCost, "")))))) +
  ISNUMBER(SEARCH("DEPENDENCY GROUP", UPPER(CLEAN(TRIM(_xlfn.XLOOKUP(TEXT(Contract_Edits[[#This Row],[Index]],"0"), baseIdxTxt, baseCost, ""))))))
)</f>
        <v>0</v>
      </c>
      <c r="AH157" s="517" t="str" cm="1">
        <f t="array" ref="AH157">IF(Contract_Edits[[#This Row],[BaseFlag]]=1,
   10*BaseDepthL(TEXT(Contract_Edits[[#This Row],[Index]],"0"),500,editsIdxTxt,editsParentKeyTxt,baseIdxTxt,baseCost)-5,
   ""
)</f>
        <v/>
      </c>
      <c r="AI157" s="517" cm="1">
        <f t="array" ref="AI1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57" s="517" t="str">
        <f>IF(Contract_Edits[[#This Row],[Dep]]=0,"Root",
   IF(ISNUMBER(MATCH(Contract_Edits[[#This Row],[Dep]],Contract_Edits[Index],0)),"OK","Missing")
)</f>
        <v>OK</v>
      </c>
      <c r="AK157" s="517" t="str">
        <f>IF(AND(Contract_Edits[[#This Row],[Dep]]&lt;&gt;0,
        ISNUMBER(MATCH(Contract_Edits[[#This Row],[Dep]], Contract_Edits[Index], 0)),
        INDEX(Contract_Edits[Dep], MATCH(Contract_Edits[[#This Row],[Dep]], Contract_Edits[Index], 0))=Contract_Edits[[#This Row],[Index]]),
   "2-cycle","")</f>
        <v/>
      </c>
      <c r="AL157" s="517" cm="1">
        <f t="array" ref="AL157">IF(Contract_Edits[[#This Row],[BaseFlag]]&lt;&gt;1,0,
   IF(TEXT(Contract_Edits[[#This Row],[Dep]],"0")=TEXT(Contract_Edits[[#This Row],[Index]],"0"),
      0,
      MAX(0, SUMPRODUCT(--(Contract_Edits[BaseFlag]=1),
                        --(TEXT(Contract_Edits[Dep],"0")=TEXT(Contract_Edits[[#This Row],[Dep]],"0"))) - 1)
   )
)</f>
        <v>0</v>
      </c>
      <c r="AM157" s="517" t="str" cm="1">
        <f t="array" ref="AM157">IF(Contract_Edits[[#This Row],[BaseFlag]]=1,
   TEXT(Contract_Edits[[#This Row],[Index]],"0"),
   NearestBaseL(TEXT(Contract_Edits[[#This Row],[ParentKey]],"0"),500,editsIdxTxt,editsParentKeyTxt,baseIdxTxt,baseCost)
)</f>
        <v>165</v>
      </c>
      <c r="AN157" s="517" cm="1">
        <f t="array" ref="AN157">1+SUMPRODUCT(
  (Contract_Edits[BaseFlag]=1)*
  (TEXT(Contract_Edits[ParentAnchor],"0")=TEXT(Contract_Edits[[#This Row],[ParentAnchor]],"0"))*
  (VALUE(TEXT(Contract_Edits[Index],"0"))&lt;VALUE(TEXT(Contract_Edits[[#This Row],[Index]],"0")))
)</f>
        <v>2</v>
      </c>
      <c r="AO157" s="190"/>
      <c r="AP157" s="190"/>
      <c r="AQ157" s="190"/>
      <c r="AR157" s="190"/>
      <c r="BC157" s="34"/>
      <c r="BD157" s="34"/>
      <c r="BE157" s="34"/>
      <c r="BF157" s="34"/>
      <c r="BZ157"/>
      <c r="CA157"/>
      <c r="CB157"/>
      <c r="CC157"/>
    </row>
    <row r="158" spans="1:81" ht="30">
      <c r="A158" t="s">
        <v>519</v>
      </c>
      <c r="B158" t="s">
        <v>555</v>
      </c>
      <c r="C158" t="s">
        <v>579</v>
      </c>
      <c r="D158" s="458" t="s">
        <v>580</v>
      </c>
      <c r="E158" s="458">
        <v>1</v>
      </c>
      <c r="F158">
        <v>2175</v>
      </c>
      <c r="G158">
        <v>2175</v>
      </c>
      <c r="H158">
        <v>165</v>
      </c>
      <c r="I158"/>
      <c r="J158">
        <v>32</v>
      </c>
      <c r="K158" s="107"/>
      <c r="L158" s="463">
        <v>32</v>
      </c>
      <c r="M158" s="176">
        <v>1</v>
      </c>
      <c r="N158" s="160">
        <v>0</v>
      </c>
      <c r="O158" s="546" cm="1">
        <f t="array" ref="O15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46063</v>
      </c>
      <c r="P158" s="566" t="s">
        <v>797</v>
      </c>
      <c r="Q158" s="566">
        <v>0</v>
      </c>
      <c r="R158" s="22"/>
      <c r="S158" s="463" cm="1">
        <f t="array" ref="S15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58">
        <v>1</v>
      </c>
      <c r="U158" s="176"/>
      <c r="V15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135.0102</v>
      </c>
      <c r="W158" s="497"/>
      <c r="X158" s="176" t="s">
        <v>852</v>
      </c>
      <c r="Y158" s="547" t="s">
        <v>886</v>
      </c>
      <c r="Z158" s="160" t="s">
        <v>458</v>
      </c>
      <c r="AA158" s="563">
        <v>104200</v>
      </c>
      <c r="AB158" cm="1">
        <f t="array" ref="AB158">ROW()-ROW(Contract_Edits[#Headers])</f>
        <v>134</v>
      </c>
      <c r="AC158">
        <f>IF(Contract_Edits[[#This Row],[RowPos]]&gt;1, Contract_Edits[[#This Row],[RowPos]]-1, 0)</f>
        <v>133</v>
      </c>
      <c r="AD158" s="35">
        <f>IF(N(Contract_Edits[[#This Row],[Dep]])=0, N(Contract_Edits[[#This Row],[Index]]), N(Contract_Edits[[#This Row],[Dep]]))</f>
        <v>165</v>
      </c>
      <c r="AE158" s="35" cm="1">
        <f t="array" ref="AE158">IF(OR(Contract_Edits[[#This Row],[Dep]]=0, TRIM(Contract_Edits[[#This Row],[Dep]])=""),
   0,
   IFERROR(
      _xlfn.XLOOKUP(1, (Contract_Edits[Dep]=Contract_Edits[[#This Row],[Dep]])*(Contract_Edits[RowPos]&lt;Contract_Edits[[#This Row],[RowPos]]), Contract_Edits[RowPos], , 0, -1),
      0
   )
)</f>
        <v>133</v>
      </c>
      <c r="AF158" s="35">
        <f>IF(OR(Contract_Edits[[#This Row],[Dep]]=0,Contract_Edits[[#This Row],[Dep]]=""),0,
   COUNTIFS(Contract_Edits[Dep],Contract_Edits[[#This Row],[Dep]],Contract_Edits[RowPos],"&lt;="&amp;Contract_Edits[[#This Row],[RowPos]],Contract_Edits[Approve],"Yes")
)</f>
        <v>2</v>
      </c>
      <c r="AG158" s="517">
        <f>--(
  ISNUMBER(SEARCH("BASE PARENT", UPPER(CLEAN(TRIM(_xlfn.XLOOKUP(TEXT(Contract_Edits[[#This Row],[Index]],"0"), baseIdxTxt, baseCost, "")))))) +
  ISNUMBER(SEARCH("DEPENDENCY GROUP", UPPER(CLEAN(TRIM(_xlfn.XLOOKUP(TEXT(Contract_Edits[[#This Row],[Index]],"0"), baseIdxTxt, baseCost, ""))))))
)</f>
        <v>0</v>
      </c>
      <c r="AH158" s="517" t="str" cm="1">
        <f t="array" ref="AH158">IF(Contract_Edits[[#This Row],[BaseFlag]]=1,
   10*BaseDepthL(TEXT(Contract_Edits[[#This Row],[Index]],"0"),500,editsIdxTxt,editsParentKeyTxt,baseIdxTxt,baseCost)-5,
   ""
)</f>
        <v/>
      </c>
      <c r="AI158" s="517" cm="1">
        <f t="array" ref="AI1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58" s="517" t="str">
        <f>IF(Contract_Edits[[#This Row],[Dep]]=0,"Root",
   IF(ISNUMBER(MATCH(Contract_Edits[[#This Row],[Dep]],Contract_Edits[Index],0)),"OK","Missing")
)</f>
        <v>OK</v>
      </c>
      <c r="AK158" s="517" t="str">
        <f>IF(AND(Contract_Edits[[#This Row],[Dep]]&lt;&gt;0,
        ISNUMBER(MATCH(Contract_Edits[[#This Row],[Dep]], Contract_Edits[Index], 0)),
        INDEX(Contract_Edits[Dep], MATCH(Contract_Edits[[#This Row],[Dep]], Contract_Edits[Index], 0))=Contract_Edits[[#This Row],[Index]]),
   "2-cycle","")</f>
        <v/>
      </c>
      <c r="AL158" s="517" cm="1">
        <f t="array" ref="AL158">IF(Contract_Edits[[#This Row],[BaseFlag]]&lt;&gt;1,0,
   IF(TEXT(Contract_Edits[[#This Row],[Dep]],"0")=TEXT(Contract_Edits[[#This Row],[Index]],"0"),
      0,
      MAX(0, SUMPRODUCT(--(Contract_Edits[BaseFlag]=1),
                        --(TEXT(Contract_Edits[Dep],"0")=TEXT(Contract_Edits[[#This Row],[Dep]],"0"))) - 1)
   )
)</f>
        <v>0</v>
      </c>
      <c r="AM158" s="517" t="str" cm="1">
        <f t="array" ref="AM158">IF(Contract_Edits[[#This Row],[BaseFlag]]=1,
   TEXT(Contract_Edits[[#This Row],[Index]],"0"),
   NearestBaseL(TEXT(Contract_Edits[[#This Row],[ParentKey]],"0"),500,editsIdxTxt,editsParentKeyTxt,baseIdxTxt,baseCost)
)</f>
        <v>165</v>
      </c>
      <c r="AN158" s="517" cm="1">
        <f t="array" ref="AN158">1+SUMPRODUCT(
  (Contract_Edits[BaseFlag]=1)*
  (TEXT(Contract_Edits[ParentAnchor],"0")=TEXT(Contract_Edits[[#This Row],[ParentAnchor]],"0"))*
  (VALUE(TEXT(Contract_Edits[Index],"0"))&lt;VALUE(TEXT(Contract_Edits[[#This Row],[Index]],"0")))
)</f>
        <v>1</v>
      </c>
      <c r="AO158" s="190"/>
      <c r="AP158" s="190"/>
      <c r="AQ158" s="190"/>
      <c r="AR158" s="190"/>
      <c r="BC158" s="34"/>
      <c r="BD158" s="34"/>
      <c r="BE158" s="34"/>
      <c r="BF158" s="34"/>
      <c r="BZ158"/>
      <c r="CA158"/>
      <c r="CB158"/>
      <c r="CC158"/>
    </row>
    <row r="159" spans="1:81" ht="15">
      <c r="A159" t="s">
        <v>806</v>
      </c>
      <c r="B159" t="s">
        <v>517</v>
      </c>
      <c r="C159" t="s">
        <v>568</v>
      </c>
      <c r="D159" s="458" t="s">
        <v>835</v>
      </c>
      <c r="E159" s="458">
        <v>1</v>
      </c>
      <c r="F159">
        <v>1066.00065</v>
      </c>
      <c r="G159">
        <v>1066.00065</v>
      </c>
      <c r="H159"/>
      <c r="I159"/>
      <c r="J159">
        <v>902</v>
      </c>
      <c r="K159" s="107"/>
      <c r="L159" s="463">
        <v>902</v>
      </c>
      <c r="M159" s="490"/>
      <c r="N159" s="160">
        <v>0</v>
      </c>
      <c r="O159" s="546" cm="1">
        <f t="array" ref="O15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46064</v>
      </c>
      <c r="P159" s="567" t="s">
        <v>797</v>
      </c>
      <c r="Q159" s="567"/>
      <c r="R159" s="499"/>
      <c r="S159" s="463" cm="1">
        <f t="array" ref="S15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59" s="34">
        <v>1</v>
      </c>
      <c r="U159" s="176"/>
      <c r="V15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135.0103</v>
      </c>
      <c r="W159" s="557"/>
      <c r="X159" s="545"/>
      <c r="Y159" s="548" t="s">
        <v>886</v>
      </c>
      <c r="Z159" s="160" t="s">
        <v>458</v>
      </c>
      <c r="AA159" s="563">
        <v>104200</v>
      </c>
      <c r="AB159" cm="1">
        <f t="array" ref="AB159">ROW()-ROW(Contract_Edits[#Headers])</f>
        <v>135</v>
      </c>
      <c r="AC159">
        <f>IF(Contract_Edits[[#This Row],[RowPos]]&gt;1, Contract_Edits[[#This Row],[RowPos]]-1, 0)</f>
        <v>134</v>
      </c>
      <c r="AD159" s="35">
        <f>IF(N(Contract_Edits[[#This Row],[Dep]])=0, N(Contract_Edits[[#This Row],[Index]]), N(Contract_Edits[[#This Row],[Dep]]))</f>
        <v>165</v>
      </c>
      <c r="AE159" s="35" cm="1">
        <f t="array" ref="AE159">IF(OR(Contract_Edits[[#This Row],[Dep]]=0, TRIM(Contract_Edits[[#This Row],[Dep]])=""),
   0,
   IFERROR(
      _xlfn.XLOOKUP(1, (Contract_Edits[Dep]=Contract_Edits[[#This Row],[Dep]])*(Contract_Edits[RowPos]&lt;Contract_Edits[[#This Row],[RowPos]]), Contract_Edits[RowPos], , 0, -1),
      0
   )
)</f>
        <v>134</v>
      </c>
      <c r="AF159" s="35">
        <f>IF(OR(Contract_Edits[[#This Row],[Dep]]=0,Contract_Edits[[#This Row],[Dep]]=""),0,
   COUNTIFS(Contract_Edits[Dep],Contract_Edits[[#This Row],[Dep]],Contract_Edits[RowPos],"&lt;="&amp;Contract_Edits[[#This Row],[RowPos]],Contract_Edits[Approve],"Yes")
)</f>
        <v>3</v>
      </c>
      <c r="AG159" s="517">
        <f>--(
  ISNUMBER(SEARCH("BASE PARENT", UPPER(CLEAN(TRIM(_xlfn.XLOOKUP(TEXT(Contract_Edits[[#This Row],[Index]],"0"), baseIdxTxt, baseCost, "")))))) +
  ISNUMBER(SEARCH("DEPENDENCY GROUP", UPPER(CLEAN(TRIM(_xlfn.XLOOKUP(TEXT(Contract_Edits[[#This Row],[Index]],"0"), baseIdxTxt, baseCost, ""))))))
)</f>
        <v>0</v>
      </c>
      <c r="AH159" s="517" t="str" cm="1">
        <f t="array" ref="AH159">IF(Contract_Edits[[#This Row],[BaseFlag]]=1,
   10*BaseDepthL(TEXT(Contract_Edits[[#This Row],[Index]],"0"),500,editsIdxTxt,editsParentKeyTxt,baseIdxTxt,baseCost)-5,
   ""
)</f>
        <v/>
      </c>
      <c r="AI159" s="517" cm="1">
        <f t="array" ref="AI1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59" s="517" t="str">
        <f>IF(Contract_Edits[[#This Row],[Dep]]=0,"Root",
   IF(ISNUMBER(MATCH(Contract_Edits[[#This Row],[Dep]],Contract_Edits[Index],0)),"OK","Missing")
)</f>
        <v>OK</v>
      </c>
      <c r="AK159" s="517" t="str">
        <f>IF(AND(Contract_Edits[[#This Row],[Dep]]&lt;&gt;0,
        ISNUMBER(MATCH(Contract_Edits[[#This Row],[Dep]], Contract_Edits[Index], 0)),
        INDEX(Contract_Edits[Dep], MATCH(Contract_Edits[[#This Row],[Dep]], Contract_Edits[Index], 0))=Contract_Edits[[#This Row],[Index]]),
   "2-cycle","")</f>
        <v/>
      </c>
      <c r="AL159" s="517" cm="1">
        <f t="array" ref="AL159">IF(Contract_Edits[[#This Row],[BaseFlag]]&lt;&gt;1,0,
   IF(TEXT(Contract_Edits[[#This Row],[Dep]],"0")=TEXT(Contract_Edits[[#This Row],[Index]],"0"),
      0,
      MAX(0, SUMPRODUCT(--(Contract_Edits[BaseFlag]=1),
                        --(TEXT(Contract_Edits[Dep],"0")=TEXT(Contract_Edits[[#This Row],[Dep]],"0"))) - 1)
   )
)</f>
        <v>0</v>
      </c>
      <c r="AM159" s="517" t="str" cm="1">
        <f t="array" ref="AM159">IF(Contract_Edits[[#This Row],[BaseFlag]]=1,
   TEXT(Contract_Edits[[#This Row],[Index]],"0"),
   NearestBaseL(TEXT(Contract_Edits[[#This Row],[ParentKey]],"0"),500,editsIdxTxt,editsParentKeyTxt,baseIdxTxt,baseCost)
)</f>
        <v>165</v>
      </c>
      <c r="AN159" s="517" cm="1">
        <f t="array" ref="AN159">1+SUMPRODUCT(
  (Contract_Edits[BaseFlag]=1)*
  (TEXT(Contract_Edits[ParentAnchor],"0")=TEXT(Contract_Edits[[#This Row],[ParentAnchor]],"0"))*
  (VALUE(TEXT(Contract_Edits[Index],"0"))&lt;VALUE(TEXT(Contract_Edits[[#This Row],[Index]],"0")))
)</f>
        <v>2</v>
      </c>
      <c r="AO159" s="190"/>
      <c r="AP159" s="190"/>
      <c r="AQ159" s="190"/>
      <c r="AR159" s="190"/>
      <c r="BC159" s="34"/>
      <c r="BD159" s="34"/>
      <c r="BE159" s="34"/>
      <c r="BF159" s="34"/>
      <c r="BZ159"/>
      <c r="CA159"/>
      <c r="CB159"/>
      <c r="CC159"/>
    </row>
    <row r="160" spans="1:81" ht="45">
      <c r="A160" t="s">
        <v>519</v>
      </c>
      <c r="B160" t="s">
        <v>639</v>
      </c>
      <c r="C160" t="s">
        <v>579</v>
      </c>
      <c r="D160" s="458" t="s">
        <v>668</v>
      </c>
      <c r="E160" s="458">
        <v>1</v>
      </c>
      <c r="F160">
        <v>2755</v>
      </c>
      <c r="G160">
        <v>2755</v>
      </c>
      <c r="H160">
        <v>165</v>
      </c>
      <c r="I160"/>
      <c r="J160">
        <v>91</v>
      </c>
      <c r="K160" s="107"/>
      <c r="L160" s="463">
        <v>91</v>
      </c>
      <c r="M160" s="176">
        <v>1</v>
      </c>
      <c r="N160" s="160">
        <v>0</v>
      </c>
      <c r="O160" s="546" cm="1">
        <f t="array" ref="O16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46064</v>
      </c>
      <c r="P160" s="566" t="s">
        <v>797</v>
      </c>
      <c r="Q160" s="566">
        <v>0</v>
      </c>
      <c r="R160" s="22"/>
      <c r="S160" s="463" cm="1">
        <f t="array" ref="S16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60">
        <v>1</v>
      </c>
      <c r="U160" s="176"/>
      <c r="V16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135.0104</v>
      </c>
      <c r="W160" s="497"/>
      <c r="X160" s="176" t="s">
        <v>852</v>
      </c>
      <c r="Y160" s="547" t="s">
        <v>886</v>
      </c>
      <c r="Z160" s="160" t="s">
        <v>458</v>
      </c>
      <c r="AA160" s="563">
        <v>104200</v>
      </c>
      <c r="AB160" cm="1">
        <f t="array" ref="AB160">ROW()-ROW(Contract_Edits[#Headers])</f>
        <v>136</v>
      </c>
      <c r="AC160">
        <f>IF(Contract_Edits[[#This Row],[RowPos]]&gt;1, Contract_Edits[[#This Row],[RowPos]]-1, 0)</f>
        <v>135</v>
      </c>
      <c r="AD160" s="35">
        <f>IF(N(Contract_Edits[[#This Row],[Dep]])=0, N(Contract_Edits[[#This Row],[Index]]), N(Contract_Edits[[#This Row],[Dep]]))</f>
        <v>165</v>
      </c>
      <c r="AE160" s="35" cm="1">
        <f t="array" ref="AE160">IF(OR(Contract_Edits[[#This Row],[Dep]]=0, TRIM(Contract_Edits[[#This Row],[Dep]])=""),
   0,
   IFERROR(
      _xlfn.XLOOKUP(1, (Contract_Edits[Dep]=Contract_Edits[[#This Row],[Dep]])*(Contract_Edits[RowPos]&lt;Contract_Edits[[#This Row],[RowPos]]), Contract_Edits[RowPos], , 0, -1),
      0
   )
)</f>
        <v>135</v>
      </c>
      <c r="AF160" s="35">
        <f>IF(OR(Contract_Edits[[#This Row],[Dep]]=0,Contract_Edits[[#This Row],[Dep]]=""),0,
   COUNTIFS(Contract_Edits[Dep],Contract_Edits[[#This Row],[Dep]],Contract_Edits[RowPos],"&lt;="&amp;Contract_Edits[[#This Row],[RowPos]],Contract_Edits[Approve],"Yes")
)</f>
        <v>4</v>
      </c>
      <c r="AG160" s="517">
        <f>--(
  ISNUMBER(SEARCH("BASE PARENT", UPPER(CLEAN(TRIM(_xlfn.XLOOKUP(TEXT(Contract_Edits[[#This Row],[Index]],"0"), baseIdxTxt, baseCost, "")))))) +
  ISNUMBER(SEARCH("DEPENDENCY GROUP", UPPER(CLEAN(TRIM(_xlfn.XLOOKUP(TEXT(Contract_Edits[[#This Row],[Index]],"0"), baseIdxTxt, baseCost, ""))))))
)</f>
        <v>0</v>
      </c>
      <c r="AH160" s="517" t="str" cm="1">
        <f t="array" ref="AH160">IF(Contract_Edits[[#This Row],[BaseFlag]]=1,
   10*BaseDepthL(TEXT(Contract_Edits[[#This Row],[Index]],"0"),500,editsIdxTxt,editsParentKeyTxt,baseIdxTxt,baseCost)-5,
   ""
)</f>
        <v/>
      </c>
      <c r="AI160" s="517" cm="1">
        <f t="array" ref="AI1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60" s="517" t="str">
        <f>IF(Contract_Edits[[#This Row],[Dep]]=0,"Root",
   IF(ISNUMBER(MATCH(Contract_Edits[[#This Row],[Dep]],Contract_Edits[Index],0)),"OK","Missing")
)</f>
        <v>OK</v>
      </c>
      <c r="AK160" s="517" t="str">
        <f>IF(AND(Contract_Edits[[#This Row],[Dep]]&lt;&gt;0,
        ISNUMBER(MATCH(Contract_Edits[[#This Row],[Dep]], Contract_Edits[Index], 0)),
        INDEX(Contract_Edits[Dep], MATCH(Contract_Edits[[#This Row],[Dep]], Contract_Edits[Index], 0))=Contract_Edits[[#This Row],[Index]]),
   "2-cycle","")</f>
        <v/>
      </c>
      <c r="AL160" s="517" cm="1">
        <f t="array" ref="AL160">IF(Contract_Edits[[#This Row],[BaseFlag]]&lt;&gt;1,0,
   IF(TEXT(Contract_Edits[[#This Row],[Dep]],"0")=TEXT(Contract_Edits[[#This Row],[Index]],"0"),
      0,
      MAX(0, SUMPRODUCT(--(Contract_Edits[BaseFlag]=1),
                        --(TEXT(Contract_Edits[Dep],"0")=TEXT(Contract_Edits[[#This Row],[Dep]],"0"))) - 1)
   )
)</f>
        <v>0</v>
      </c>
      <c r="AM160" s="517" t="str" cm="1">
        <f t="array" ref="AM160">IF(Contract_Edits[[#This Row],[BaseFlag]]=1,
   TEXT(Contract_Edits[[#This Row],[Index]],"0"),
   NearestBaseL(TEXT(Contract_Edits[[#This Row],[ParentKey]],"0"),500,editsIdxTxt,editsParentKeyTxt,baseIdxTxt,baseCost)
)</f>
        <v>165</v>
      </c>
      <c r="AN160" s="517" cm="1">
        <f t="array" ref="AN160">1+SUMPRODUCT(
  (Contract_Edits[BaseFlag]=1)*
  (TEXT(Contract_Edits[ParentAnchor],"0")=TEXT(Contract_Edits[[#This Row],[ParentAnchor]],"0"))*
  (VALUE(TEXT(Contract_Edits[Index],"0"))&lt;VALUE(TEXT(Contract_Edits[[#This Row],[Index]],"0")))
)</f>
        <v>1</v>
      </c>
      <c r="AO160" s="190"/>
      <c r="AP160" s="190"/>
      <c r="AQ160" s="190"/>
      <c r="AR160" s="190"/>
      <c r="BC160" s="34"/>
      <c r="BD160" s="34"/>
      <c r="BE160" s="34"/>
      <c r="BF160" s="34"/>
      <c r="BZ160"/>
      <c r="CA160"/>
      <c r="CB160"/>
      <c r="CC160"/>
    </row>
    <row r="161" spans="1:81" ht="30">
      <c r="A161" t="s">
        <v>519</v>
      </c>
      <c r="B161" t="s">
        <v>608</v>
      </c>
      <c r="C161" t="s">
        <v>579</v>
      </c>
      <c r="D161" s="458" t="s">
        <v>633</v>
      </c>
      <c r="E161" s="458">
        <v>1</v>
      </c>
      <c r="F161">
        <v>1450</v>
      </c>
      <c r="G161">
        <v>1450</v>
      </c>
      <c r="H161">
        <v>165</v>
      </c>
      <c r="I161"/>
      <c r="J161">
        <v>67</v>
      </c>
      <c r="K161" s="107"/>
      <c r="L161" s="463">
        <v>67</v>
      </c>
      <c r="M161" s="176">
        <v>1</v>
      </c>
      <c r="N161" s="160">
        <v>0</v>
      </c>
      <c r="O161" s="546" cm="1">
        <f t="array" ref="O16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46065</v>
      </c>
      <c r="P161" s="566" t="s">
        <v>797</v>
      </c>
      <c r="Q161" s="566">
        <v>0</v>
      </c>
      <c r="R161" s="22"/>
      <c r="S161" s="463" cm="1">
        <f t="array" ref="S16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61">
        <v>1</v>
      </c>
      <c r="U161" s="176"/>
      <c r="V16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135.01049999999998</v>
      </c>
      <c r="W161" s="497"/>
      <c r="X161" s="176" t="s">
        <v>852</v>
      </c>
      <c r="Y161" s="547" t="s">
        <v>886</v>
      </c>
      <c r="Z161" s="160" t="s">
        <v>458</v>
      </c>
      <c r="AA161" s="563">
        <v>104200</v>
      </c>
      <c r="AB161" cm="1">
        <f t="array" ref="AB161">ROW()-ROW(Contract_Edits[#Headers])</f>
        <v>137</v>
      </c>
      <c r="AC161">
        <f>IF(Contract_Edits[[#This Row],[RowPos]]&gt;1, Contract_Edits[[#This Row],[RowPos]]-1, 0)</f>
        <v>136</v>
      </c>
      <c r="AD161" s="35">
        <f>IF(N(Contract_Edits[[#This Row],[Dep]])=0, N(Contract_Edits[[#This Row],[Index]]), N(Contract_Edits[[#This Row],[Dep]]))</f>
        <v>165</v>
      </c>
      <c r="AE161" s="35" cm="1">
        <f t="array" ref="AE161">IF(OR(Contract_Edits[[#This Row],[Dep]]=0, TRIM(Contract_Edits[[#This Row],[Dep]])=""),
   0,
   IFERROR(
      _xlfn.XLOOKUP(1, (Contract_Edits[Dep]=Contract_Edits[[#This Row],[Dep]])*(Contract_Edits[RowPos]&lt;Contract_Edits[[#This Row],[RowPos]]), Contract_Edits[RowPos], , 0, -1),
      0
   )
)</f>
        <v>136</v>
      </c>
      <c r="AF161" s="35">
        <f>IF(OR(Contract_Edits[[#This Row],[Dep]]=0,Contract_Edits[[#This Row],[Dep]]=""),0,
   COUNTIFS(Contract_Edits[Dep],Contract_Edits[[#This Row],[Dep]],Contract_Edits[RowPos],"&lt;="&amp;Contract_Edits[[#This Row],[RowPos]],Contract_Edits[Approve],"Yes")
)</f>
        <v>5</v>
      </c>
      <c r="AG161" s="517">
        <f>--(
  ISNUMBER(SEARCH("BASE PARENT", UPPER(CLEAN(TRIM(_xlfn.XLOOKUP(TEXT(Contract_Edits[[#This Row],[Index]],"0"), baseIdxTxt, baseCost, "")))))) +
  ISNUMBER(SEARCH("DEPENDENCY GROUP", UPPER(CLEAN(TRIM(_xlfn.XLOOKUP(TEXT(Contract_Edits[[#This Row],[Index]],"0"), baseIdxTxt, baseCost, ""))))))
)</f>
        <v>0</v>
      </c>
      <c r="AH161" s="517" t="str" cm="1">
        <f t="array" ref="AH161">IF(Contract_Edits[[#This Row],[BaseFlag]]=1,
   10*BaseDepthL(TEXT(Contract_Edits[[#This Row],[Index]],"0"),500,editsIdxTxt,editsParentKeyTxt,baseIdxTxt,baseCost)-5,
   ""
)</f>
        <v/>
      </c>
      <c r="AI161" s="517" cm="1">
        <f t="array" ref="AI1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61" s="517" t="str">
        <f>IF(Contract_Edits[[#This Row],[Dep]]=0,"Root",
   IF(ISNUMBER(MATCH(Contract_Edits[[#This Row],[Dep]],Contract_Edits[Index],0)),"OK","Missing")
)</f>
        <v>OK</v>
      </c>
      <c r="AK161" s="517" t="str">
        <f>IF(AND(Contract_Edits[[#This Row],[Dep]]&lt;&gt;0,
        ISNUMBER(MATCH(Contract_Edits[[#This Row],[Dep]], Contract_Edits[Index], 0)),
        INDEX(Contract_Edits[Dep], MATCH(Contract_Edits[[#This Row],[Dep]], Contract_Edits[Index], 0))=Contract_Edits[[#This Row],[Index]]),
   "2-cycle","")</f>
        <v/>
      </c>
      <c r="AL161" s="517" cm="1">
        <f t="array" ref="AL161">IF(Contract_Edits[[#This Row],[BaseFlag]]&lt;&gt;1,0,
   IF(TEXT(Contract_Edits[[#This Row],[Dep]],"0")=TEXT(Contract_Edits[[#This Row],[Index]],"0"),
      0,
      MAX(0, SUMPRODUCT(--(Contract_Edits[BaseFlag]=1),
                        --(TEXT(Contract_Edits[Dep],"0")=TEXT(Contract_Edits[[#This Row],[Dep]],"0"))) - 1)
   )
)</f>
        <v>0</v>
      </c>
      <c r="AM161" s="517" t="str" cm="1">
        <f t="array" ref="AM161">IF(Contract_Edits[[#This Row],[BaseFlag]]=1,
   TEXT(Contract_Edits[[#This Row],[Index]],"0"),
   NearestBaseL(TEXT(Contract_Edits[[#This Row],[ParentKey]],"0"),500,editsIdxTxt,editsParentKeyTxt,baseIdxTxt,baseCost)
)</f>
        <v>165</v>
      </c>
      <c r="AN161" s="517" cm="1">
        <f t="array" ref="AN161">1+SUMPRODUCT(
  (Contract_Edits[BaseFlag]=1)*
  (TEXT(Contract_Edits[ParentAnchor],"0")=TEXT(Contract_Edits[[#This Row],[ParentAnchor]],"0"))*
  (VALUE(TEXT(Contract_Edits[Index],"0"))&lt;VALUE(TEXT(Contract_Edits[[#This Row],[Index]],"0")))
)</f>
        <v>1</v>
      </c>
      <c r="AO161" s="190"/>
      <c r="AP161" s="190"/>
      <c r="AQ161" s="190"/>
      <c r="AR161" s="190"/>
      <c r="BC161" s="34"/>
      <c r="BD161" s="34"/>
      <c r="BE161" s="34"/>
      <c r="BF161" s="34"/>
      <c r="BZ161"/>
      <c r="CA161"/>
      <c r="CB161"/>
      <c r="CC161"/>
    </row>
    <row r="162" spans="1:81" ht="15">
      <c r="A162" t="s">
        <v>519</v>
      </c>
      <c r="B162" t="s">
        <v>793</v>
      </c>
      <c r="C162" t="s">
        <v>579</v>
      </c>
      <c r="D162" s="458" t="s">
        <v>1515</v>
      </c>
      <c r="E162" s="458">
        <v>1</v>
      </c>
      <c r="F162"/>
      <c r="G162"/>
      <c r="H162">
        <v>165</v>
      </c>
      <c r="I162"/>
      <c r="J162">
        <v>209</v>
      </c>
      <c r="K162" s="107"/>
      <c r="L162" s="463">
        <v>209</v>
      </c>
      <c r="M162" s="543"/>
      <c r="N162" s="544"/>
      <c r="O162" s="546" cm="1">
        <f t="array" ref="O16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46066</v>
      </c>
      <c r="P162" s="568"/>
      <c r="Q162" s="568"/>
      <c r="R162" s="499"/>
      <c r="S162" s="463" cm="1">
        <f t="array" ref="S16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62" s="34"/>
      <c r="U162" s="490"/>
      <c r="V16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135.01059999999998</v>
      </c>
      <c r="W162" s="557"/>
      <c r="X162" s="545"/>
      <c r="Y162" s="548" t="s">
        <v>886</v>
      </c>
      <c r="Z162" s="160" t="s">
        <v>458</v>
      </c>
      <c r="AA162" s="563"/>
      <c r="AB162" s="34" cm="1">
        <f t="array" ref="AB162">ROW()-ROW(Contract_Edits[#Headers])</f>
        <v>138</v>
      </c>
      <c r="AC162" s="34">
        <f>IF(Contract_Edits[[#This Row],[RowPos]]&gt;1, Contract_Edits[[#This Row],[RowPos]]-1, 0)</f>
        <v>137</v>
      </c>
      <c r="AD162" s="35">
        <f>IF(N(Contract_Edits[[#This Row],[Dep]])=0, N(Contract_Edits[[#This Row],[Index]]), N(Contract_Edits[[#This Row],[Dep]]))</f>
        <v>165</v>
      </c>
      <c r="AE162" s="35" cm="1">
        <f t="array" ref="AE162">IF(OR(Contract_Edits[[#This Row],[Dep]]=0, TRIM(Contract_Edits[[#This Row],[Dep]])=""),
   0,
   IFERROR(
      _xlfn.XLOOKUP(1, (Contract_Edits[Dep]=Contract_Edits[[#This Row],[Dep]])*(Contract_Edits[RowPos]&lt;Contract_Edits[[#This Row],[RowPos]]), Contract_Edits[RowPos], , 0, -1),
      0
   )
)</f>
        <v>137</v>
      </c>
      <c r="AF162" s="35">
        <f>IF(OR(Contract_Edits[[#This Row],[Dep]]=0,Contract_Edits[[#This Row],[Dep]]=""),0,
   COUNTIFS(Contract_Edits[Dep],Contract_Edits[[#This Row],[Dep]],Contract_Edits[RowPos],"&lt;="&amp;Contract_Edits[[#This Row],[RowPos]],Contract_Edits[Approve],"Yes")
)</f>
        <v>6</v>
      </c>
      <c r="AG162" s="517">
        <f>--(
  ISNUMBER(SEARCH("BASE PARENT", UPPER(CLEAN(TRIM(_xlfn.XLOOKUP(TEXT(Contract_Edits[[#This Row],[Index]],"0"), baseIdxTxt, baseCost, "")))))) +
  ISNUMBER(SEARCH("DEPENDENCY GROUP", UPPER(CLEAN(TRIM(_xlfn.XLOOKUP(TEXT(Contract_Edits[[#This Row],[Index]],"0"), baseIdxTxt, baseCost, ""))))))
)</f>
        <v>0</v>
      </c>
      <c r="AH162" s="517" t="str" cm="1">
        <f t="array" ref="AH162">IF(Contract_Edits[[#This Row],[BaseFlag]]=1,
   10*BaseDepthL(TEXT(Contract_Edits[[#This Row],[Index]],"0"),500,editsIdxTxt,editsParentKeyTxt,baseIdxTxt,baseCost)-5,
   ""
)</f>
        <v/>
      </c>
      <c r="AI162" s="517" cm="1">
        <f t="array" ref="AI1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62" s="517" t="str">
        <f>IF(Contract_Edits[[#This Row],[Dep]]=0,"Root",
   IF(ISNUMBER(MATCH(Contract_Edits[[#This Row],[Dep]],Contract_Edits[Index],0)),"OK","Missing")
)</f>
        <v>OK</v>
      </c>
      <c r="AK162" s="517" t="str">
        <f>IF(AND(Contract_Edits[[#This Row],[Dep]]&lt;&gt;0,
        ISNUMBER(MATCH(Contract_Edits[[#This Row],[Dep]], Contract_Edits[Index], 0)),
        INDEX(Contract_Edits[Dep], MATCH(Contract_Edits[[#This Row],[Dep]], Contract_Edits[Index], 0))=Contract_Edits[[#This Row],[Index]]),
   "2-cycle","")</f>
        <v/>
      </c>
      <c r="AL162" s="517" cm="1">
        <f t="array" ref="AL162">IF(Contract_Edits[[#This Row],[BaseFlag]]&lt;&gt;1,0,
   IF(TEXT(Contract_Edits[[#This Row],[Dep]],"0")=TEXT(Contract_Edits[[#This Row],[Index]],"0"),
      0,
      MAX(0, SUMPRODUCT(--(Contract_Edits[BaseFlag]=1),
                        --(TEXT(Contract_Edits[Dep],"0")=TEXT(Contract_Edits[[#This Row],[Dep]],"0"))) - 1)
   )
)</f>
        <v>0</v>
      </c>
      <c r="AM162" s="517" t="str" cm="1">
        <f t="array" ref="AM162">IF(Contract_Edits[[#This Row],[BaseFlag]]=1,
   TEXT(Contract_Edits[[#This Row],[Index]],"0"),
   NearestBaseL(TEXT(Contract_Edits[[#This Row],[ParentKey]],"0"),500,editsIdxTxt,editsParentKeyTxt,baseIdxTxt,baseCost)
)</f>
        <v>165</v>
      </c>
      <c r="AN162" s="517" cm="1">
        <f t="array" ref="AN162">1+SUMPRODUCT(
  (Contract_Edits[BaseFlag]=1)*
  (TEXT(Contract_Edits[ParentAnchor],"0")=TEXT(Contract_Edits[[#This Row],[ParentAnchor]],"0"))*
  (VALUE(TEXT(Contract_Edits[Index],"0"))&lt;VALUE(TEXT(Contract_Edits[[#This Row],[Index]],"0")))
)</f>
        <v>2</v>
      </c>
      <c r="AO162" s="190"/>
      <c r="AP162" s="190"/>
      <c r="AQ162" s="190"/>
      <c r="AR162" s="190"/>
      <c r="BC162" s="34"/>
      <c r="BD162" s="34"/>
      <c r="BE162" s="34"/>
      <c r="BF162" s="34"/>
      <c r="BZ162"/>
      <c r="CA162"/>
      <c r="CB162"/>
      <c r="CC162"/>
    </row>
    <row r="163" spans="1:81" ht="15">
      <c r="A163" t="s">
        <v>467</v>
      </c>
      <c r="B163" t="s">
        <v>793</v>
      </c>
      <c r="C163" t="s">
        <v>579</v>
      </c>
      <c r="D163" s="458" t="s">
        <v>1517</v>
      </c>
      <c r="E163" s="458">
        <v>1</v>
      </c>
      <c r="F163"/>
      <c r="G163"/>
      <c r="H163">
        <v>165</v>
      </c>
      <c r="I163"/>
      <c r="J163">
        <v>210</v>
      </c>
      <c r="K163" s="107"/>
      <c r="L163" s="463">
        <v>210</v>
      </c>
      <c r="M163" s="543"/>
      <c r="N163" s="544"/>
      <c r="O163" s="546" cm="1">
        <f t="array" ref="O16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46066</v>
      </c>
      <c r="P163" s="568"/>
      <c r="Q163" s="568"/>
      <c r="R163" s="499"/>
      <c r="S163" s="463" cm="1">
        <f t="array" ref="S16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63" s="34"/>
      <c r="U163" s="490"/>
      <c r="V16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135.01069999999999</v>
      </c>
      <c r="W163" s="557"/>
      <c r="X163" s="545"/>
      <c r="Y163" s="548" t="s">
        <v>886</v>
      </c>
      <c r="Z163" s="160" t="s">
        <v>458</v>
      </c>
      <c r="AA163" s="563"/>
      <c r="AB163" s="34" cm="1">
        <f t="array" ref="AB163">ROW()-ROW(Contract_Edits[#Headers])</f>
        <v>139</v>
      </c>
      <c r="AC163" s="34">
        <f>IF(Contract_Edits[[#This Row],[RowPos]]&gt;1, Contract_Edits[[#This Row],[RowPos]]-1, 0)</f>
        <v>138</v>
      </c>
      <c r="AD163" s="35">
        <f>IF(N(Contract_Edits[[#This Row],[Dep]])=0, N(Contract_Edits[[#This Row],[Index]]), N(Contract_Edits[[#This Row],[Dep]]))</f>
        <v>165</v>
      </c>
      <c r="AE163" s="35" cm="1">
        <f t="array" ref="AE163">IF(OR(Contract_Edits[[#This Row],[Dep]]=0, TRIM(Contract_Edits[[#This Row],[Dep]])=""),
   0,
   IFERROR(
      _xlfn.XLOOKUP(1, (Contract_Edits[Dep]=Contract_Edits[[#This Row],[Dep]])*(Contract_Edits[RowPos]&lt;Contract_Edits[[#This Row],[RowPos]]), Contract_Edits[RowPos], , 0, -1),
      0
   )
)</f>
        <v>138</v>
      </c>
      <c r="AF163" s="35">
        <f>IF(OR(Contract_Edits[[#This Row],[Dep]]=0,Contract_Edits[[#This Row],[Dep]]=""),0,
   COUNTIFS(Contract_Edits[Dep],Contract_Edits[[#This Row],[Dep]],Contract_Edits[RowPos],"&lt;="&amp;Contract_Edits[[#This Row],[RowPos]],Contract_Edits[Approve],"Yes")
)</f>
        <v>7</v>
      </c>
      <c r="AG163" s="517">
        <f>--(
  ISNUMBER(SEARCH("BASE PARENT", UPPER(CLEAN(TRIM(_xlfn.XLOOKUP(TEXT(Contract_Edits[[#This Row],[Index]],"0"), baseIdxTxt, baseCost, "")))))) +
  ISNUMBER(SEARCH("DEPENDENCY GROUP", UPPER(CLEAN(TRIM(_xlfn.XLOOKUP(TEXT(Contract_Edits[[#This Row],[Index]],"0"), baseIdxTxt, baseCost, ""))))))
)</f>
        <v>0</v>
      </c>
      <c r="AH163" s="517" t="str" cm="1">
        <f t="array" ref="AH163">IF(Contract_Edits[[#This Row],[BaseFlag]]=1,
   10*BaseDepthL(TEXT(Contract_Edits[[#This Row],[Index]],"0"),500,editsIdxTxt,editsParentKeyTxt,baseIdxTxt,baseCost)-5,
   ""
)</f>
        <v/>
      </c>
      <c r="AI163" s="517" cm="1">
        <f t="array" ref="AI1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63" s="517" t="str">
        <f>IF(Contract_Edits[[#This Row],[Dep]]=0,"Root",
   IF(ISNUMBER(MATCH(Contract_Edits[[#This Row],[Dep]],Contract_Edits[Index],0)),"OK","Missing")
)</f>
        <v>OK</v>
      </c>
      <c r="AK163" s="517" t="str">
        <f>IF(AND(Contract_Edits[[#This Row],[Dep]]&lt;&gt;0,
        ISNUMBER(MATCH(Contract_Edits[[#This Row],[Dep]], Contract_Edits[Index], 0)),
        INDEX(Contract_Edits[Dep], MATCH(Contract_Edits[[#This Row],[Dep]], Contract_Edits[Index], 0))=Contract_Edits[[#This Row],[Index]]),
   "2-cycle","")</f>
        <v/>
      </c>
      <c r="AL163" s="517" cm="1">
        <f t="array" ref="AL163">IF(Contract_Edits[[#This Row],[BaseFlag]]&lt;&gt;1,0,
   IF(TEXT(Contract_Edits[[#This Row],[Dep]],"0")=TEXT(Contract_Edits[[#This Row],[Index]],"0"),
      0,
      MAX(0, SUMPRODUCT(--(Contract_Edits[BaseFlag]=1),
                        --(TEXT(Contract_Edits[Dep],"0")=TEXT(Contract_Edits[[#This Row],[Dep]],"0"))) - 1)
   )
)</f>
        <v>0</v>
      </c>
      <c r="AM163" s="517" t="str" cm="1">
        <f t="array" ref="AM163">IF(Contract_Edits[[#This Row],[BaseFlag]]=1,
   TEXT(Contract_Edits[[#This Row],[Index]],"0"),
   NearestBaseL(TEXT(Contract_Edits[[#This Row],[ParentKey]],"0"),500,editsIdxTxt,editsParentKeyTxt,baseIdxTxt,baseCost)
)</f>
        <v>165</v>
      </c>
      <c r="AN163" s="517" cm="1">
        <f t="array" ref="AN163">1+SUMPRODUCT(
  (Contract_Edits[BaseFlag]=1)*
  (TEXT(Contract_Edits[ParentAnchor],"0")=TEXT(Contract_Edits[[#This Row],[ParentAnchor]],"0"))*
  (VALUE(TEXT(Contract_Edits[Index],"0"))&lt;VALUE(TEXT(Contract_Edits[[#This Row],[Index]],"0")))
)</f>
        <v>2</v>
      </c>
      <c r="AO163" s="190"/>
      <c r="AP163" s="190"/>
      <c r="AQ163" s="190"/>
      <c r="AR163" s="190"/>
      <c r="BC163" s="34"/>
      <c r="BD163" s="34"/>
      <c r="BE163" s="34"/>
      <c r="BF163" s="34"/>
      <c r="BZ163"/>
      <c r="CA163"/>
      <c r="CB163"/>
      <c r="CC163"/>
    </row>
    <row r="164" spans="1:81" ht="15">
      <c r="A164" t="s">
        <v>747</v>
      </c>
      <c r="B164" t="s">
        <v>744</v>
      </c>
      <c r="C164" t="s">
        <v>763</v>
      </c>
      <c r="D164" s="458" t="s">
        <v>527</v>
      </c>
      <c r="E164" s="458">
        <v>0</v>
      </c>
      <c r="F164"/>
      <c r="G164"/>
      <c r="H164">
        <v>165</v>
      </c>
      <c r="I164"/>
      <c r="J164">
        <v>166</v>
      </c>
      <c r="K164" s="107"/>
      <c r="L164" s="463">
        <v>166</v>
      </c>
      <c r="M164" s="490"/>
      <c r="N164" s="160">
        <v>0</v>
      </c>
      <c r="O164" s="546" cm="1">
        <f t="array" ref="O16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46066</v>
      </c>
      <c r="P164" s="567"/>
      <c r="Q164" s="567"/>
      <c r="R164" s="499"/>
      <c r="S164" s="463" cm="1">
        <f t="array" ref="S16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64" s="34">
        <v>1</v>
      </c>
      <c r="U164" s="490"/>
      <c r="V16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145.01</v>
      </c>
      <c r="W164" s="557"/>
      <c r="X164" s="545"/>
      <c r="Y164" s="548"/>
      <c r="Z164" s="535" t="s">
        <v>458</v>
      </c>
      <c r="AA164" s="544"/>
      <c r="AB164" cm="1">
        <f t="array" ref="AB164">ROW()-ROW(Contract_Edits[#Headers])</f>
        <v>140</v>
      </c>
      <c r="AC164">
        <f>IF(Contract_Edits[[#This Row],[RowPos]]&gt;1, Contract_Edits[[#This Row],[RowPos]]-1, 0)</f>
        <v>139</v>
      </c>
      <c r="AD164" s="35">
        <f>IF(N(Contract_Edits[[#This Row],[Dep]])=0, N(Contract_Edits[[#This Row],[Index]]), N(Contract_Edits[[#This Row],[Dep]]))</f>
        <v>165</v>
      </c>
      <c r="AE164" s="35" cm="1">
        <f t="array" ref="AE164">IF(OR(Contract_Edits[[#This Row],[Dep]]=0, TRIM(Contract_Edits[[#This Row],[Dep]])=""),
   0,
   IFERROR(
      _xlfn.XLOOKUP(1, (Contract_Edits[Dep]=Contract_Edits[[#This Row],[Dep]])*(Contract_Edits[RowPos]&lt;Contract_Edits[[#This Row],[RowPos]]), Contract_Edits[RowPos], , 0, -1),
      0
   )
)</f>
        <v>139</v>
      </c>
      <c r="AF164" s="35">
        <f>IF(OR(Contract_Edits[[#This Row],[Dep]]=0,Contract_Edits[[#This Row],[Dep]]=""),0,
   COUNTIFS(Contract_Edits[Dep],Contract_Edits[[#This Row],[Dep]],Contract_Edits[RowPos],"&lt;="&amp;Contract_Edits[[#This Row],[RowPos]],Contract_Edits[Approve],"Yes")
)</f>
        <v>8</v>
      </c>
      <c r="AG164" s="517">
        <f>--(
  ISNUMBER(SEARCH("BASE PARENT", UPPER(CLEAN(TRIM(_xlfn.XLOOKUP(TEXT(Contract_Edits[[#This Row],[Index]],"0"), baseIdxTxt, baseCost, "")))))) +
  ISNUMBER(SEARCH("DEPENDENCY GROUP", UPPER(CLEAN(TRIM(_xlfn.XLOOKUP(TEXT(Contract_Edits[[#This Row],[Index]],"0"), baseIdxTxt, baseCost, ""))))))
)</f>
        <v>1</v>
      </c>
      <c r="AH164" s="517" cm="1">
        <f t="array" ref="AH164">IF(Contract_Edits[[#This Row],[BaseFlag]]=1,
   10*BaseDepthL(TEXT(Contract_Edits[[#This Row],[Index]],"0"),500,editsIdxTxt,editsParentKeyTxt,baseIdxTxt,baseCost)-5,
   ""
)</f>
        <v>145</v>
      </c>
      <c r="AI164" s="517" cm="1">
        <f t="array" ref="AI1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64" s="517" t="str">
        <f>IF(Contract_Edits[[#This Row],[Dep]]=0,"Root",
   IF(ISNUMBER(MATCH(Contract_Edits[[#This Row],[Dep]],Contract_Edits[Index],0)),"OK","Missing")
)</f>
        <v>OK</v>
      </c>
      <c r="AK164" s="517" t="str">
        <f>IF(AND(Contract_Edits[[#This Row],[Dep]]&lt;&gt;0,
        ISNUMBER(MATCH(Contract_Edits[[#This Row],[Dep]], Contract_Edits[Index], 0)),
        INDEX(Contract_Edits[Dep], MATCH(Contract_Edits[[#This Row],[Dep]], Contract_Edits[Index], 0))=Contract_Edits[[#This Row],[Index]]),
   "2-cycle","")</f>
        <v/>
      </c>
      <c r="AL164" s="517" cm="1">
        <f t="array" ref="AL164">IF(Contract_Edits[[#This Row],[BaseFlag]]&lt;&gt;1,0,
   IF(TEXT(Contract_Edits[[#This Row],[Dep]],"0")=TEXT(Contract_Edits[[#This Row],[Index]],"0"),
      0,
      MAX(0, SUMPRODUCT(--(Contract_Edits[BaseFlag]=1),
                        --(TEXT(Contract_Edits[Dep],"0")=TEXT(Contract_Edits[[#This Row],[Dep]],"0"))) - 1)
   )
)</f>
        <v>0</v>
      </c>
      <c r="AM164" s="517" t="str" cm="1">
        <f t="array" ref="AM164">IF(Contract_Edits[[#This Row],[BaseFlag]]=1,
   TEXT(Contract_Edits[[#This Row],[Index]],"0"),
   NearestBaseL(TEXT(Contract_Edits[[#This Row],[ParentKey]],"0"),500,editsIdxTxt,editsParentKeyTxt,baseIdxTxt,baseCost)
)</f>
        <v>166</v>
      </c>
      <c r="AN164" s="517" cm="1">
        <f t="array" ref="AN164">1+SUMPRODUCT(
  (Contract_Edits[BaseFlag]=1)*
  (TEXT(Contract_Edits[ParentAnchor],"0")=TEXT(Contract_Edits[[#This Row],[ParentAnchor]],"0"))*
  (VALUE(TEXT(Contract_Edits[Index],"0"))&lt;VALUE(TEXT(Contract_Edits[[#This Row],[Index]],"0")))
)</f>
        <v>1</v>
      </c>
      <c r="AO164" s="190"/>
      <c r="AP164" s="190"/>
      <c r="AQ164" s="190"/>
      <c r="AR164" s="190"/>
      <c r="BC164" s="34"/>
      <c r="BD164" s="34"/>
      <c r="BE164" s="34"/>
      <c r="BF164" s="34"/>
      <c r="BZ164"/>
      <c r="CA164"/>
      <c r="CB164"/>
      <c r="CC164"/>
    </row>
    <row r="165" spans="1:81" ht="15">
      <c r="A165" t="s">
        <v>519</v>
      </c>
      <c r="B165" t="s">
        <v>639</v>
      </c>
      <c r="C165" t="s">
        <v>581</v>
      </c>
      <c r="D165" s="458" t="s">
        <v>669</v>
      </c>
      <c r="E165" s="458">
        <v>1</v>
      </c>
      <c r="F165">
        <v>8700</v>
      </c>
      <c r="G165">
        <v>8700</v>
      </c>
      <c r="H165">
        <v>166</v>
      </c>
      <c r="I165"/>
      <c r="J165">
        <v>92</v>
      </c>
      <c r="K165" s="107"/>
      <c r="L165" s="463">
        <v>92</v>
      </c>
      <c r="M165" s="176">
        <v>1</v>
      </c>
      <c r="N165" s="160">
        <v>0</v>
      </c>
      <c r="O165" s="546" cm="1">
        <f t="array" ref="O16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46066</v>
      </c>
      <c r="P165" s="566" t="s">
        <v>797</v>
      </c>
      <c r="Q165" s="566">
        <v>0</v>
      </c>
      <c r="R165" s="22"/>
      <c r="S165" s="463" cm="1">
        <f t="array" ref="S16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166</v>
      </c>
      <c r="T165">
        <v>1</v>
      </c>
      <c r="U165" s="176"/>
      <c r="V16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145.01009999999999</v>
      </c>
      <c r="W165" s="497"/>
      <c r="X165" s="176" t="s">
        <v>852</v>
      </c>
      <c r="Y165" s="547" t="s">
        <v>887</v>
      </c>
      <c r="Z165" s="160" t="s">
        <v>458</v>
      </c>
      <c r="AA165" s="563">
        <v>102600</v>
      </c>
      <c r="AB165" cm="1">
        <f t="array" ref="AB165">ROW()-ROW(Contract_Edits[#Headers])</f>
        <v>141</v>
      </c>
      <c r="AC165">
        <f>IF(Contract_Edits[[#This Row],[RowPos]]&gt;1, Contract_Edits[[#This Row],[RowPos]]-1, 0)</f>
        <v>140</v>
      </c>
      <c r="AD165" s="35">
        <f>IF(N(Contract_Edits[[#This Row],[Dep]])=0, N(Contract_Edits[[#This Row],[Index]]), N(Contract_Edits[[#This Row],[Dep]]))</f>
        <v>166</v>
      </c>
      <c r="AE165" s="35" cm="1">
        <f t="array" ref="AE165">IF(OR(Contract_Edits[[#This Row],[Dep]]=0, TRIM(Contract_Edits[[#This Row],[Dep]])=""),
   0,
   IFERROR(
      _xlfn.XLOOKUP(1, (Contract_Edits[Dep]=Contract_Edits[[#This Row],[Dep]])*(Contract_Edits[RowPos]&lt;Contract_Edits[[#This Row],[RowPos]]), Contract_Edits[RowPos], , 0, -1),
      0
   )
)</f>
        <v>0</v>
      </c>
      <c r="AF165" s="35">
        <f>IF(OR(Contract_Edits[[#This Row],[Dep]]=0,Contract_Edits[[#This Row],[Dep]]=""),0,
   COUNTIFS(Contract_Edits[Dep],Contract_Edits[[#This Row],[Dep]],Contract_Edits[RowPos],"&lt;="&amp;Contract_Edits[[#This Row],[RowPos]],Contract_Edits[Approve],"Yes")
)</f>
        <v>1</v>
      </c>
      <c r="AG165" s="517">
        <f>--(
  ISNUMBER(SEARCH("BASE PARENT", UPPER(CLEAN(TRIM(_xlfn.XLOOKUP(TEXT(Contract_Edits[[#This Row],[Index]],"0"), baseIdxTxt, baseCost, "")))))) +
  ISNUMBER(SEARCH("DEPENDENCY GROUP", UPPER(CLEAN(TRIM(_xlfn.XLOOKUP(TEXT(Contract_Edits[[#This Row],[Index]],"0"), baseIdxTxt, baseCost, ""))))))
)</f>
        <v>0</v>
      </c>
      <c r="AH165" s="517" t="str" cm="1">
        <f t="array" ref="AH165">IF(Contract_Edits[[#This Row],[BaseFlag]]=1,
   10*BaseDepthL(TEXT(Contract_Edits[[#This Row],[Index]],"0"),500,editsIdxTxt,editsParentKeyTxt,baseIdxTxt,baseCost)-5,
   ""
)</f>
        <v/>
      </c>
      <c r="AI165" s="517" cm="1">
        <f t="array" ref="AI1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J165" s="517" t="str">
        <f>IF(Contract_Edits[[#This Row],[Dep]]=0,"Root",
   IF(ISNUMBER(MATCH(Contract_Edits[[#This Row],[Dep]],Contract_Edits[Index],0)),"OK","Missing")
)</f>
        <v>OK</v>
      </c>
      <c r="AK165" s="517" t="str">
        <f>IF(AND(Contract_Edits[[#This Row],[Dep]]&lt;&gt;0,
        ISNUMBER(MATCH(Contract_Edits[[#This Row],[Dep]], Contract_Edits[Index], 0)),
        INDEX(Contract_Edits[Dep], MATCH(Contract_Edits[[#This Row],[Dep]], Contract_Edits[Index], 0))=Contract_Edits[[#This Row],[Index]]),
   "2-cycle","")</f>
        <v/>
      </c>
      <c r="AL165" s="517" cm="1">
        <f t="array" ref="AL165">IF(Contract_Edits[[#This Row],[BaseFlag]]&lt;&gt;1,0,
   IF(TEXT(Contract_Edits[[#This Row],[Dep]],"0")=TEXT(Contract_Edits[[#This Row],[Index]],"0"),
      0,
      MAX(0, SUMPRODUCT(--(Contract_Edits[BaseFlag]=1),
                        --(TEXT(Contract_Edits[Dep],"0")=TEXT(Contract_Edits[[#This Row],[Dep]],"0"))) - 1)
   )
)</f>
        <v>0</v>
      </c>
      <c r="AM165" s="517" t="str" cm="1">
        <f t="array" ref="AM165">IF(Contract_Edits[[#This Row],[BaseFlag]]=1,
   TEXT(Contract_Edits[[#This Row],[Index]],"0"),
   NearestBaseL(TEXT(Contract_Edits[[#This Row],[ParentKey]],"0"),500,editsIdxTxt,editsParentKeyTxt,baseIdxTxt,baseCost)
)</f>
        <v>166</v>
      </c>
      <c r="AN165" s="517" cm="1">
        <f t="array" ref="AN165">1+SUMPRODUCT(
  (Contract_Edits[BaseFlag]=1)*
  (TEXT(Contract_Edits[ParentAnchor],"0")=TEXT(Contract_Edits[[#This Row],[ParentAnchor]],"0"))*
  (VALUE(TEXT(Contract_Edits[Index],"0"))&lt;VALUE(TEXT(Contract_Edits[[#This Row],[Index]],"0")))
)</f>
        <v>1</v>
      </c>
      <c r="AO165" s="190"/>
      <c r="AP165" s="190"/>
      <c r="AQ165" s="190"/>
      <c r="AR165" s="190"/>
      <c r="BC165" s="34"/>
      <c r="BD165" s="34"/>
      <c r="BE165" s="34"/>
      <c r="BF165" s="34"/>
      <c r="BZ165"/>
      <c r="CA165"/>
      <c r="CB165"/>
      <c r="CC165"/>
    </row>
    <row r="166" spans="1:81" ht="15">
      <c r="A166" t="s">
        <v>519</v>
      </c>
      <c r="B166" t="s">
        <v>608</v>
      </c>
      <c r="C166" t="s">
        <v>581</v>
      </c>
      <c r="D166" s="458" t="s">
        <v>634</v>
      </c>
      <c r="E166" s="458">
        <v>1</v>
      </c>
      <c r="F166">
        <v>362.5</v>
      </c>
      <c r="G166">
        <v>362.5</v>
      </c>
      <c r="H166">
        <v>166</v>
      </c>
      <c r="I166"/>
      <c r="J166">
        <v>68</v>
      </c>
      <c r="K166" s="107"/>
      <c r="L166" s="463">
        <v>68</v>
      </c>
      <c r="M166" s="176">
        <v>1</v>
      </c>
      <c r="N166" s="160">
        <v>0</v>
      </c>
      <c r="O166" s="546" cm="1">
        <f t="array" ref="O16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46069</v>
      </c>
      <c r="P166" s="566" t="s">
        <v>797</v>
      </c>
      <c r="Q166" s="566">
        <v>0</v>
      </c>
      <c r="R166" s="22"/>
      <c r="S166" s="463" cm="1">
        <f t="array" ref="S16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166</v>
      </c>
      <c r="T166">
        <v>1</v>
      </c>
      <c r="U166" s="176"/>
      <c r="V16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145.0102</v>
      </c>
      <c r="W166" s="497"/>
      <c r="X166" s="176" t="s">
        <v>852</v>
      </c>
      <c r="Y166" s="547" t="s">
        <v>887</v>
      </c>
      <c r="Z166" s="160" t="s">
        <v>458</v>
      </c>
      <c r="AA166" s="563">
        <v>102600</v>
      </c>
      <c r="AB166" cm="1">
        <f t="array" ref="AB166">ROW()-ROW(Contract_Edits[#Headers])</f>
        <v>142</v>
      </c>
      <c r="AC166">
        <f>IF(Contract_Edits[[#This Row],[RowPos]]&gt;1, Contract_Edits[[#This Row],[RowPos]]-1, 0)</f>
        <v>141</v>
      </c>
      <c r="AD166" s="35">
        <f>IF(N(Contract_Edits[[#This Row],[Dep]])=0, N(Contract_Edits[[#This Row],[Index]]), N(Contract_Edits[[#This Row],[Dep]]))</f>
        <v>166</v>
      </c>
      <c r="AE166" s="35" cm="1">
        <f t="array" ref="AE166">IF(OR(Contract_Edits[[#This Row],[Dep]]=0, TRIM(Contract_Edits[[#This Row],[Dep]])=""),
   0,
   IFERROR(
      _xlfn.XLOOKUP(1, (Contract_Edits[Dep]=Contract_Edits[[#This Row],[Dep]])*(Contract_Edits[RowPos]&lt;Contract_Edits[[#This Row],[RowPos]]), Contract_Edits[RowPos], , 0, -1),
      0
   )
)</f>
        <v>141</v>
      </c>
      <c r="AF166" s="35">
        <f>IF(OR(Contract_Edits[[#This Row],[Dep]]=0,Contract_Edits[[#This Row],[Dep]]=""),0,
   COUNTIFS(Contract_Edits[Dep],Contract_Edits[[#This Row],[Dep]],Contract_Edits[RowPos],"&lt;="&amp;Contract_Edits[[#This Row],[RowPos]],Contract_Edits[Approve],"Yes")
)</f>
        <v>2</v>
      </c>
      <c r="AG166" s="517">
        <f>--(
  ISNUMBER(SEARCH("BASE PARENT", UPPER(CLEAN(TRIM(_xlfn.XLOOKUP(TEXT(Contract_Edits[[#This Row],[Index]],"0"), baseIdxTxt, baseCost, "")))))) +
  ISNUMBER(SEARCH("DEPENDENCY GROUP", UPPER(CLEAN(TRIM(_xlfn.XLOOKUP(TEXT(Contract_Edits[[#This Row],[Index]],"0"), baseIdxTxt, baseCost, ""))))))
)</f>
        <v>0</v>
      </c>
      <c r="AH166" s="517" t="str" cm="1">
        <f t="array" ref="AH166">IF(Contract_Edits[[#This Row],[BaseFlag]]=1,
   10*BaseDepthL(TEXT(Contract_Edits[[#This Row],[Index]],"0"),500,editsIdxTxt,editsParentKeyTxt,baseIdxTxt,baseCost)-5,
   ""
)</f>
        <v/>
      </c>
      <c r="AI166" s="517" cm="1">
        <f t="array" ref="AI1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J166" s="517" t="str">
        <f>IF(Contract_Edits[[#This Row],[Dep]]=0,"Root",
   IF(ISNUMBER(MATCH(Contract_Edits[[#This Row],[Dep]],Contract_Edits[Index],0)),"OK","Missing")
)</f>
        <v>OK</v>
      </c>
      <c r="AK166" s="517" t="str">
        <f>IF(AND(Contract_Edits[[#This Row],[Dep]]&lt;&gt;0,
        ISNUMBER(MATCH(Contract_Edits[[#This Row],[Dep]], Contract_Edits[Index], 0)),
        INDEX(Contract_Edits[Dep], MATCH(Contract_Edits[[#This Row],[Dep]], Contract_Edits[Index], 0))=Contract_Edits[[#This Row],[Index]]),
   "2-cycle","")</f>
        <v/>
      </c>
      <c r="AL166" s="517" cm="1">
        <f t="array" ref="AL166">IF(Contract_Edits[[#This Row],[BaseFlag]]&lt;&gt;1,0,
   IF(TEXT(Contract_Edits[[#This Row],[Dep]],"0")=TEXT(Contract_Edits[[#This Row],[Index]],"0"),
      0,
      MAX(0, SUMPRODUCT(--(Contract_Edits[BaseFlag]=1),
                        --(TEXT(Contract_Edits[Dep],"0")=TEXT(Contract_Edits[[#This Row],[Dep]],"0"))) - 1)
   )
)</f>
        <v>0</v>
      </c>
      <c r="AM166" s="517" t="str" cm="1">
        <f t="array" ref="AM166">IF(Contract_Edits[[#This Row],[BaseFlag]]=1,
   TEXT(Contract_Edits[[#This Row],[Index]],"0"),
   NearestBaseL(TEXT(Contract_Edits[[#This Row],[ParentKey]],"0"),500,editsIdxTxt,editsParentKeyTxt,baseIdxTxt,baseCost)
)</f>
        <v>166</v>
      </c>
      <c r="AN166" s="517" cm="1">
        <f t="array" ref="AN166">1+SUMPRODUCT(
  (Contract_Edits[BaseFlag]=1)*
  (TEXT(Contract_Edits[ParentAnchor],"0")=TEXT(Contract_Edits[[#This Row],[ParentAnchor]],"0"))*
  (VALUE(TEXT(Contract_Edits[Index],"0"))&lt;VALUE(TEXT(Contract_Edits[[#This Row],[Index]],"0")))
)</f>
        <v>1</v>
      </c>
      <c r="AO166" s="190"/>
      <c r="AP166" s="190"/>
      <c r="AQ166" s="190"/>
      <c r="AR166" s="190"/>
      <c r="BC166" s="34"/>
      <c r="BD166" s="34"/>
      <c r="BE166" s="34"/>
      <c r="BF166" s="34"/>
      <c r="BZ166"/>
      <c r="CA166"/>
      <c r="CB166"/>
      <c r="CC166"/>
    </row>
    <row r="167" spans="1:81" ht="15">
      <c r="A167" t="s">
        <v>747</v>
      </c>
      <c r="B167" t="s">
        <v>744</v>
      </c>
      <c r="C167" t="s">
        <v>527</v>
      </c>
      <c r="D167" s="458" t="s">
        <v>761</v>
      </c>
      <c r="E167" s="458">
        <v>0</v>
      </c>
      <c r="F167"/>
      <c r="G167"/>
      <c r="H167">
        <v>166</v>
      </c>
      <c r="I167"/>
      <c r="J167">
        <v>167</v>
      </c>
      <c r="K167" s="107"/>
      <c r="L167" s="463">
        <v>167</v>
      </c>
      <c r="M167" s="490"/>
      <c r="N167" s="160">
        <v>0</v>
      </c>
      <c r="O167" s="546" cm="1">
        <f t="array" ref="O16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46070</v>
      </c>
      <c r="P167" s="567"/>
      <c r="Q167" s="567"/>
      <c r="R167" s="499"/>
      <c r="S167" s="463" cm="1">
        <f t="array" ref="S16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166</v>
      </c>
      <c r="T167" s="34">
        <v>1</v>
      </c>
      <c r="U167" s="490"/>
      <c r="V16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155.01</v>
      </c>
      <c r="W167" s="557"/>
      <c r="X167" s="545"/>
      <c r="Y167" s="548"/>
      <c r="Z167" s="535" t="s">
        <v>458</v>
      </c>
      <c r="AA167" s="544"/>
      <c r="AB167" cm="1">
        <f t="array" ref="AB167">ROW()-ROW(Contract_Edits[#Headers])</f>
        <v>143</v>
      </c>
      <c r="AC167">
        <f>IF(Contract_Edits[[#This Row],[RowPos]]&gt;1, Contract_Edits[[#This Row],[RowPos]]-1, 0)</f>
        <v>142</v>
      </c>
      <c r="AD167" s="35">
        <f>IF(N(Contract_Edits[[#This Row],[Dep]])=0, N(Contract_Edits[[#This Row],[Index]]), N(Contract_Edits[[#This Row],[Dep]]))</f>
        <v>166</v>
      </c>
      <c r="AE167" s="35" cm="1">
        <f t="array" ref="AE167">IF(OR(Contract_Edits[[#This Row],[Dep]]=0, TRIM(Contract_Edits[[#This Row],[Dep]])=""),
   0,
   IFERROR(
      _xlfn.XLOOKUP(1, (Contract_Edits[Dep]=Contract_Edits[[#This Row],[Dep]])*(Contract_Edits[RowPos]&lt;Contract_Edits[[#This Row],[RowPos]]), Contract_Edits[RowPos], , 0, -1),
      0
   )
)</f>
        <v>142</v>
      </c>
      <c r="AF167" s="35">
        <f>IF(OR(Contract_Edits[[#This Row],[Dep]]=0,Contract_Edits[[#This Row],[Dep]]=""),0,
   COUNTIFS(Contract_Edits[Dep],Contract_Edits[[#This Row],[Dep]],Contract_Edits[RowPos],"&lt;="&amp;Contract_Edits[[#This Row],[RowPos]],Contract_Edits[Approve],"Yes")
)</f>
        <v>3</v>
      </c>
      <c r="AG167" s="517">
        <f>--(
  ISNUMBER(SEARCH("BASE PARENT", UPPER(CLEAN(TRIM(_xlfn.XLOOKUP(TEXT(Contract_Edits[[#This Row],[Index]],"0"), baseIdxTxt, baseCost, "")))))) +
  ISNUMBER(SEARCH("DEPENDENCY GROUP", UPPER(CLEAN(TRIM(_xlfn.XLOOKUP(TEXT(Contract_Edits[[#This Row],[Index]],"0"), baseIdxTxt, baseCost, ""))))))
)</f>
        <v>1</v>
      </c>
      <c r="AH167" s="517" cm="1">
        <f t="array" ref="AH167">IF(Contract_Edits[[#This Row],[BaseFlag]]=1,
   10*BaseDepthL(TEXT(Contract_Edits[[#This Row],[Index]],"0"),500,editsIdxTxt,editsParentKeyTxt,baseIdxTxt,baseCost)-5,
   ""
)</f>
        <v>155</v>
      </c>
      <c r="AI167" s="517" cm="1">
        <f t="array" ref="AI1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J167" s="517" t="str">
        <f>IF(Contract_Edits[[#This Row],[Dep]]=0,"Root",
   IF(ISNUMBER(MATCH(Contract_Edits[[#This Row],[Dep]],Contract_Edits[Index],0)),"OK","Missing")
)</f>
        <v>OK</v>
      </c>
      <c r="AK167" s="517" t="str">
        <f>IF(AND(Contract_Edits[[#This Row],[Dep]]&lt;&gt;0,
        ISNUMBER(MATCH(Contract_Edits[[#This Row],[Dep]], Contract_Edits[Index], 0)),
        INDEX(Contract_Edits[Dep], MATCH(Contract_Edits[[#This Row],[Dep]], Contract_Edits[Index], 0))=Contract_Edits[[#This Row],[Index]]),
   "2-cycle","")</f>
        <v/>
      </c>
      <c r="AL167" s="517" cm="1">
        <f t="array" ref="AL167">IF(Contract_Edits[[#This Row],[BaseFlag]]&lt;&gt;1,0,
   IF(TEXT(Contract_Edits[[#This Row],[Dep]],"0")=TEXT(Contract_Edits[[#This Row],[Index]],"0"),
      0,
      MAX(0, SUMPRODUCT(--(Contract_Edits[BaseFlag]=1),
                        --(TEXT(Contract_Edits[Dep],"0")=TEXT(Contract_Edits[[#This Row],[Dep]],"0"))) - 1)
   )
)</f>
        <v>0</v>
      </c>
      <c r="AM167" s="517" t="str" cm="1">
        <f t="array" ref="AM167">IF(Contract_Edits[[#This Row],[BaseFlag]]=1,
   TEXT(Contract_Edits[[#This Row],[Index]],"0"),
   NearestBaseL(TEXT(Contract_Edits[[#This Row],[ParentKey]],"0"),500,editsIdxTxt,editsParentKeyTxt,baseIdxTxt,baseCost)
)</f>
        <v>167</v>
      </c>
      <c r="AN167" s="517" cm="1">
        <f t="array" ref="AN167">1+SUMPRODUCT(
  (Contract_Edits[BaseFlag]=1)*
  (TEXT(Contract_Edits[ParentAnchor],"0")=TEXT(Contract_Edits[[#This Row],[ParentAnchor]],"0"))*
  (VALUE(TEXT(Contract_Edits[Index],"0"))&lt;VALUE(TEXT(Contract_Edits[[#This Row],[Index]],"0")))
)</f>
        <v>1</v>
      </c>
      <c r="AO167" s="190"/>
      <c r="AP167" s="190"/>
      <c r="AQ167" s="190"/>
      <c r="AR167" s="190"/>
      <c r="BC167" s="34"/>
      <c r="BD167" s="34"/>
      <c r="BE167" s="34"/>
      <c r="BF167" s="34"/>
      <c r="BZ167"/>
      <c r="CA167"/>
      <c r="CB167"/>
      <c r="CC167"/>
    </row>
    <row r="168" spans="1:81" ht="15">
      <c r="A168" t="s">
        <v>806</v>
      </c>
      <c r="B168" t="s">
        <v>517</v>
      </c>
      <c r="C168" t="s">
        <v>527</v>
      </c>
      <c r="D168" s="458" t="s">
        <v>847</v>
      </c>
      <c r="E168" s="458">
        <v>1</v>
      </c>
      <c r="F168">
        <v>16125</v>
      </c>
      <c r="G168">
        <v>16125</v>
      </c>
      <c r="H168"/>
      <c r="I168"/>
      <c r="J168">
        <v>911</v>
      </c>
      <c r="K168" s="107"/>
      <c r="L168" s="463">
        <v>911</v>
      </c>
      <c r="M168" s="490"/>
      <c r="N168" s="160">
        <v>0</v>
      </c>
      <c r="O168" s="546" cm="1">
        <f t="array" ref="O16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46070</v>
      </c>
      <c r="P168" s="567" t="s">
        <v>797</v>
      </c>
      <c r="Q168" s="567"/>
      <c r="R168" s="499"/>
      <c r="S168" s="463" cm="1">
        <f t="array" ref="S16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167</v>
      </c>
      <c r="T168" s="34">
        <v>1</v>
      </c>
      <c r="U168" s="176"/>
      <c r="V16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155.01009999999999</v>
      </c>
      <c r="W168" s="557"/>
      <c r="X168" s="545"/>
      <c r="Y168" s="548" t="s">
        <v>888</v>
      </c>
      <c r="Z168" s="160" t="s">
        <v>458</v>
      </c>
      <c r="AA168" s="563">
        <v>104400</v>
      </c>
      <c r="AB168" cm="1">
        <f t="array" ref="AB168">ROW()-ROW(Contract_Edits[#Headers])</f>
        <v>144</v>
      </c>
      <c r="AC168">
        <f>IF(Contract_Edits[[#This Row],[RowPos]]&gt;1, Contract_Edits[[#This Row],[RowPos]]-1, 0)</f>
        <v>143</v>
      </c>
      <c r="AD168" s="35">
        <f>IF(N(Contract_Edits[[#This Row],[Dep]])=0, N(Contract_Edits[[#This Row],[Index]]), N(Contract_Edits[[#This Row],[Dep]]))</f>
        <v>167</v>
      </c>
      <c r="AE168" s="35" cm="1">
        <f t="array" ref="AE168">IF(OR(Contract_Edits[[#This Row],[Dep]]=0, TRIM(Contract_Edits[[#This Row],[Dep]])=""),
   0,
   IFERROR(
      _xlfn.XLOOKUP(1, (Contract_Edits[Dep]=Contract_Edits[[#This Row],[Dep]])*(Contract_Edits[RowPos]&lt;Contract_Edits[[#This Row],[RowPos]]), Contract_Edits[RowPos], , 0, -1),
      0
   )
)</f>
        <v>0</v>
      </c>
      <c r="AF168" s="35">
        <f>IF(OR(Contract_Edits[[#This Row],[Dep]]=0,Contract_Edits[[#This Row],[Dep]]=""),0,
   COUNTIFS(Contract_Edits[Dep],Contract_Edits[[#This Row],[Dep]],Contract_Edits[RowPos],"&lt;="&amp;Contract_Edits[[#This Row],[RowPos]],Contract_Edits[Approve],"Yes")
)</f>
        <v>1</v>
      </c>
      <c r="AG168" s="517">
        <f>--(
  ISNUMBER(SEARCH("BASE PARENT", UPPER(CLEAN(TRIM(_xlfn.XLOOKUP(TEXT(Contract_Edits[[#This Row],[Index]],"0"), baseIdxTxt, baseCost, "")))))) +
  ISNUMBER(SEARCH("DEPENDENCY GROUP", UPPER(CLEAN(TRIM(_xlfn.XLOOKUP(TEXT(Contract_Edits[[#This Row],[Index]],"0"), baseIdxTxt, baseCost, ""))))))
)</f>
        <v>0</v>
      </c>
      <c r="AH168" s="517" t="str" cm="1">
        <f t="array" ref="AH168">IF(Contract_Edits[[#This Row],[BaseFlag]]=1,
   10*BaseDepthL(TEXT(Contract_Edits[[#This Row],[Index]],"0"),500,editsIdxTxt,editsParentKeyTxt,baseIdxTxt,baseCost)-5,
   ""
)</f>
        <v/>
      </c>
      <c r="AI168" s="517" cm="1">
        <f t="array" ref="AI1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J168" s="517" t="str">
        <f>IF(Contract_Edits[[#This Row],[Dep]]=0,"Root",
   IF(ISNUMBER(MATCH(Contract_Edits[[#This Row],[Dep]],Contract_Edits[Index],0)),"OK","Missing")
)</f>
        <v>OK</v>
      </c>
      <c r="AK168" s="517" t="str">
        <f>IF(AND(Contract_Edits[[#This Row],[Dep]]&lt;&gt;0,
        ISNUMBER(MATCH(Contract_Edits[[#This Row],[Dep]], Contract_Edits[Index], 0)),
        INDEX(Contract_Edits[Dep], MATCH(Contract_Edits[[#This Row],[Dep]], Contract_Edits[Index], 0))=Contract_Edits[[#This Row],[Index]]),
   "2-cycle","")</f>
        <v/>
      </c>
      <c r="AL168" s="517" cm="1">
        <f t="array" ref="AL168">IF(Contract_Edits[[#This Row],[BaseFlag]]&lt;&gt;1,0,
   IF(TEXT(Contract_Edits[[#This Row],[Dep]],"0")=TEXT(Contract_Edits[[#This Row],[Index]],"0"),
      0,
      MAX(0, SUMPRODUCT(--(Contract_Edits[BaseFlag]=1),
                        --(TEXT(Contract_Edits[Dep],"0")=TEXT(Contract_Edits[[#This Row],[Dep]],"0"))) - 1)
   )
)</f>
        <v>0</v>
      </c>
      <c r="AM168" s="517" t="str" cm="1">
        <f t="array" ref="AM168">IF(Contract_Edits[[#This Row],[BaseFlag]]=1,
   TEXT(Contract_Edits[[#This Row],[Index]],"0"),
   NearestBaseL(TEXT(Contract_Edits[[#This Row],[ParentKey]],"0"),500,editsIdxTxt,editsParentKeyTxt,baseIdxTxt,baseCost)
)</f>
        <v>167</v>
      </c>
      <c r="AN168" s="517" cm="1">
        <f t="array" ref="AN168">1+SUMPRODUCT(
  (Contract_Edits[BaseFlag]=1)*
  (TEXT(Contract_Edits[ParentAnchor],"0")=TEXT(Contract_Edits[[#This Row],[ParentAnchor]],"0"))*
  (VALUE(TEXT(Contract_Edits[Index],"0"))&lt;VALUE(TEXT(Contract_Edits[[#This Row],[Index]],"0")))
)</f>
        <v>2</v>
      </c>
      <c r="AO168" s="190"/>
      <c r="AP168" s="190"/>
      <c r="AQ168" s="190"/>
      <c r="AR168" s="190"/>
      <c r="BC168" s="34"/>
      <c r="BD168" s="34"/>
      <c r="BE168" s="34"/>
      <c r="BF168" s="34"/>
      <c r="BZ168"/>
      <c r="CA168"/>
      <c r="CB168"/>
      <c r="CC168"/>
    </row>
    <row r="169" spans="1:81" ht="15">
      <c r="A169" t="s">
        <v>747</v>
      </c>
      <c r="B169" t="s">
        <v>744</v>
      </c>
      <c r="C169" t="s">
        <v>665</v>
      </c>
      <c r="D169" s="458" t="s">
        <v>764</v>
      </c>
      <c r="E169" s="458">
        <v>0</v>
      </c>
      <c r="F169"/>
      <c r="G169"/>
      <c r="H169">
        <v>167</v>
      </c>
      <c r="I169"/>
      <c r="J169">
        <v>168</v>
      </c>
      <c r="K169" s="107"/>
      <c r="L169" s="463">
        <v>168</v>
      </c>
      <c r="M169" s="490"/>
      <c r="N169" s="160">
        <v>0</v>
      </c>
      <c r="O169" s="546" cm="1">
        <f t="array" ref="O16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46070</v>
      </c>
      <c r="P169" s="567"/>
      <c r="Q169" s="567"/>
      <c r="R169" s="499"/>
      <c r="S169" s="463" cm="1">
        <f t="array" ref="S16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167</v>
      </c>
      <c r="T169" s="34">
        <v>1</v>
      </c>
      <c r="U169" s="490"/>
      <c r="V16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v>
      </c>
      <c r="W169" s="557"/>
      <c r="X169" s="545"/>
      <c r="Y169" s="548"/>
      <c r="Z169" s="535" t="s">
        <v>458</v>
      </c>
      <c r="AA169" s="563">
        <v>104400</v>
      </c>
      <c r="AB169" cm="1">
        <f t="array" ref="AB169">ROW()-ROW(Contract_Edits[#Headers])</f>
        <v>145</v>
      </c>
      <c r="AC169">
        <f>IF(Contract_Edits[[#This Row],[RowPos]]&gt;1, Contract_Edits[[#This Row],[RowPos]]-1, 0)</f>
        <v>144</v>
      </c>
      <c r="AD169" s="35">
        <f>IF(N(Contract_Edits[[#This Row],[Dep]])=0, N(Contract_Edits[[#This Row],[Index]]), N(Contract_Edits[[#This Row],[Dep]]))</f>
        <v>167</v>
      </c>
      <c r="AE169" s="35" cm="1">
        <f t="array" ref="AE169">IF(OR(Contract_Edits[[#This Row],[Dep]]=0, TRIM(Contract_Edits[[#This Row],[Dep]])=""),
   0,
   IFERROR(
      _xlfn.XLOOKUP(1, (Contract_Edits[Dep]=Contract_Edits[[#This Row],[Dep]])*(Contract_Edits[RowPos]&lt;Contract_Edits[[#This Row],[RowPos]]), Contract_Edits[RowPos], , 0, -1),
      0
   )
)</f>
        <v>144</v>
      </c>
      <c r="AF169" s="35">
        <f>IF(OR(Contract_Edits[[#This Row],[Dep]]=0,Contract_Edits[[#This Row],[Dep]]=""),0,
   COUNTIFS(Contract_Edits[Dep],Contract_Edits[[#This Row],[Dep]],Contract_Edits[RowPos],"&lt;="&amp;Contract_Edits[[#This Row],[RowPos]],Contract_Edits[Approve],"Yes")
)</f>
        <v>2</v>
      </c>
      <c r="AG169" s="517">
        <f>--(
  ISNUMBER(SEARCH("BASE PARENT", UPPER(CLEAN(TRIM(_xlfn.XLOOKUP(TEXT(Contract_Edits[[#This Row],[Index]],"0"), baseIdxTxt, baseCost, "")))))) +
  ISNUMBER(SEARCH("DEPENDENCY GROUP", UPPER(CLEAN(TRIM(_xlfn.XLOOKUP(TEXT(Contract_Edits[[#This Row],[Index]],"0"), baseIdxTxt, baseCost, ""))))))
)</f>
        <v>1</v>
      </c>
      <c r="AH169" s="517" cm="1">
        <f t="array" ref="AH169">IF(Contract_Edits[[#This Row],[BaseFlag]]=1,
   10*BaseDepthL(TEXT(Contract_Edits[[#This Row],[Index]],"0"),500,editsIdxTxt,editsParentKeyTxt,baseIdxTxt,baseCost)-5,
   ""
)</f>
        <v>165</v>
      </c>
      <c r="AI169" s="517" cm="1">
        <f t="array" ref="AI1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J169" s="517" t="str">
        <f>IF(Contract_Edits[[#This Row],[Dep]]=0,"Root",
   IF(ISNUMBER(MATCH(Contract_Edits[[#This Row],[Dep]],Contract_Edits[Index],0)),"OK","Missing")
)</f>
        <v>OK</v>
      </c>
      <c r="AK169" s="517" t="str">
        <f>IF(AND(Contract_Edits[[#This Row],[Dep]]&lt;&gt;0,
        ISNUMBER(MATCH(Contract_Edits[[#This Row],[Dep]], Contract_Edits[Index], 0)),
        INDEX(Contract_Edits[Dep], MATCH(Contract_Edits[[#This Row],[Dep]], Contract_Edits[Index], 0))=Contract_Edits[[#This Row],[Index]]),
   "2-cycle","")</f>
        <v/>
      </c>
      <c r="AL169" s="517" cm="1">
        <f t="array" ref="AL169">IF(Contract_Edits[[#This Row],[BaseFlag]]&lt;&gt;1,0,
   IF(TEXT(Contract_Edits[[#This Row],[Dep]],"0")=TEXT(Contract_Edits[[#This Row],[Index]],"0"),
      0,
      MAX(0, SUMPRODUCT(--(Contract_Edits[BaseFlag]=1),
                        --(TEXT(Contract_Edits[Dep],"0")=TEXT(Contract_Edits[[#This Row],[Dep]],"0"))) - 1)
   )
)</f>
        <v>0</v>
      </c>
      <c r="AM169" s="517" t="str" cm="1">
        <f t="array" ref="AM169">IF(Contract_Edits[[#This Row],[BaseFlag]]=1,
   TEXT(Contract_Edits[[#This Row],[Index]],"0"),
   NearestBaseL(TEXT(Contract_Edits[[#This Row],[ParentKey]],"0"),500,editsIdxTxt,editsParentKeyTxt,baseIdxTxt,baseCost)
)</f>
        <v>168</v>
      </c>
      <c r="AN169" s="517" cm="1">
        <f t="array" ref="AN169">1+SUMPRODUCT(
  (Contract_Edits[BaseFlag]=1)*
  (TEXT(Contract_Edits[ParentAnchor],"0")=TEXT(Contract_Edits[[#This Row],[ParentAnchor]],"0"))*
  (VALUE(TEXT(Contract_Edits[Index],"0"))&lt;VALUE(TEXT(Contract_Edits[[#This Row],[Index]],"0")))
)</f>
        <v>1</v>
      </c>
      <c r="AO169" s="190"/>
      <c r="AP169" s="190"/>
      <c r="AQ169" s="190"/>
      <c r="AR169" s="190"/>
      <c r="BC169" s="34"/>
      <c r="BD169" s="34"/>
      <c r="BE169" s="34"/>
      <c r="BF169" s="34"/>
      <c r="BZ169"/>
      <c r="CA169"/>
      <c r="CB169"/>
      <c r="CC169"/>
    </row>
    <row r="170" spans="1:81" ht="15">
      <c r="A170" t="s">
        <v>467</v>
      </c>
      <c r="B170" t="s">
        <v>523</v>
      </c>
      <c r="C170" t="s">
        <v>665</v>
      </c>
      <c r="D170" s="458" t="s">
        <v>708</v>
      </c>
      <c r="E170" s="458">
        <v>1</v>
      </c>
      <c r="F170">
        <v>0</v>
      </c>
      <c r="G170">
        <v>0</v>
      </c>
      <c r="H170">
        <v>168</v>
      </c>
      <c r="I170"/>
      <c r="J170">
        <v>121</v>
      </c>
      <c r="K170" s="107"/>
      <c r="L170" s="463">
        <v>121</v>
      </c>
      <c r="M170" s="176">
        <v>2</v>
      </c>
      <c r="N170" s="160">
        <v>0</v>
      </c>
      <c r="O170" s="546" cm="1">
        <f t="array" ref="O17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46070</v>
      </c>
      <c r="P170" s="566" t="s">
        <v>797</v>
      </c>
      <c r="Q170" s="566">
        <v>0</v>
      </c>
      <c r="R170" s="22"/>
      <c r="S170" s="463" cm="1">
        <f t="array" ref="S17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0">
        <v>1</v>
      </c>
      <c r="U170" s="176"/>
      <c r="V17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165.01009999999999</v>
      </c>
      <c r="W170" s="497"/>
      <c r="X170" s="176" t="s">
        <v>890</v>
      </c>
      <c r="Y170" s="547" t="s">
        <v>889</v>
      </c>
      <c r="Z170" s="160" t="s">
        <v>458</v>
      </c>
      <c r="AA170" s="563">
        <v>104400</v>
      </c>
      <c r="AB170" cm="1">
        <f t="array" ref="AB170">ROW()-ROW(Contract_Edits[#Headers])</f>
        <v>146</v>
      </c>
      <c r="AC170">
        <f>IF(Contract_Edits[[#This Row],[RowPos]]&gt;1, Contract_Edits[[#This Row],[RowPos]]-1, 0)</f>
        <v>145</v>
      </c>
      <c r="AD170" s="35">
        <f>IF(N(Contract_Edits[[#This Row],[Dep]])=0, N(Contract_Edits[[#This Row],[Index]]), N(Contract_Edits[[#This Row],[Dep]]))</f>
        <v>168</v>
      </c>
      <c r="AE170" s="35" cm="1">
        <f t="array" ref="AE170">IF(OR(Contract_Edits[[#This Row],[Dep]]=0, TRIM(Contract_Edits[[#This Row],[Dep]])=""),
   0,
   IFERROR(
      _xlfn.XLOOKUP(1, (Contract_Edits[Dep]=Contract_Edits[[#This Row],[Dep]])*(Contract_Edits[RowPos]&lt;Contract_Edits[[#This Row],[RowPos]]), Contract_Edits[RowPos], , 0, -1),
      0
   )
)</f>
        <v>0</v>
      </c>
      <c r="AF170" s="35">
        <f>IF(OR(Contract_Edits[[#This Row],[Dep]]=0,Contract_Edits[[#This Row],[Dep]]=""),0,
   COUNTIFS(Contract_Edits[Dep],Contract_Edits[[#This Row],[Dep]],Contract_Edits[RowPos],"&lt;="&amp;Contract_Edits[[#This Row],[RowPos]],Contract_Edits[Approve],"Yes")
)</f>
        <v>1</v>
      </c>
      <c r="AG170" s="517">
        <f>--(
  ISNUMBER(SEARCH("BASE PARENT", UPPER(CLEAN(TRIM(_xlfn.XLOOKUP(TEXT(Contract_Edits[[#This Row],[Index]],"0"), baseIdxTxt, baseCost, "")))))) +
  ISNUMBER(SEARCH("DEPENDENCY GROUP", UPPER(CLEAN(TRIM(_xlfn.XLOOKUP(TEXT(Contract_Edits[[#This Row],[Index]],"0"), baseIdxTxt, baseCost, ""))))))
)</f>
        <v>0</v>
      </c>
      <c r="AH170" s="517" t="str" cm="1">
        <f t="array" ref="AH170">IF(Contract_Edits[[#This Row],[BaseFlag]]=1,
   10*BaseDepthL(TEXT(Contract_Edits[[#This Row],[Index]],"0"),500,editsIdxTxt,editsParentKeyTxt,baseIdxTxt,baseCost)-5,
   ""
)</f>
        <v/>
      </c>
      <c r="AI170" s="517" cm="1">
        <f t="array" ref="AI1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0" s="517" t="str">
        <f>IF(Contract_Edits[[#This Row],[Dep]]=0,"Root",
   IF(ISNUMBER(MATCH(Contract_Edits[[#This Row],[Dep]],Contract_Edits[Index],0)),"OK","Missing")
)</f>
        <v>OK</v>
      </c>
      <c r="AK170" s="517" t="str">
        <f>IF(AND(Contract_Edits[[#This Row],[Dep]]&lt;&gt;0,
        ISNUMBER(MATCH(Contract_Edits[[#This Row],[Dep]], Contract_Edits[Index], 0)),
        INDEX(Contract_Edits[Dep], MATCH(Contract_Edits[[#This Row],[Dep]], Contract_Edits[Index], 0))=Contract_Edits[[#This Row],[Index]]),
   "2-cycle","")</f>
        <v/>
      </c>
      <c r="AL170" s="517" cm="1">
        <f t="array" ref="AL170">IF(Contract_Edits[[#This Row],[BaseFlag]]&lt;&gt;1,0,
   IF(TEXT(Contract_Edits[[#This Row],[Dep]],"0")=TEXT(Contract_Edits[[#This Row],[Index]],"0"),
      0,
      MAX(0, SUMPRODUCT(--(Contract_Edits[BaseFlag]=1),
                        --(TEXT(Contract_Edits[Dep],"0")=TEXT(Contract_Edits[[#This Row],[Dep]],"0"))) - 1)
   )
)</f>
        <v>0</v>
      </c>
      <c r="AM170" s="517" t="str" cm="1">
        <f t="array" ref="AM170">IF(Contract_Edits[[#This Row],[BaseFlag]]=1,
   TEXT(Contract_Edits[[#This Row],[Index]],"0"),
   NearestBaseL(TEXT(Contract_Edits[[#This Row],[ParentKey]],"0"),500,editsIdxTxt,editsParentKeyTxt,baseIdxTxt,baseCost)
)</f>
        <v>168</v>
      </c>
      <c r="AN170" s="517" cm="1">
        <f t="array" ref="AN170">1+SUMPRODUCT(
  (Contract_Edits[BaseFlag]=1)*
  (TEXT(Contract_Edits[ParentAnchor],"0")=TEXT(Contract_Edits[[#This Row],[ParentAnchor]],"0"))*
  (VALUE(TEXT(Contract_Edits[Index],"0"))&lt;VALUE(TEXT(Contract_Edits[[#This Row],[Index]],"0")))
)</f>
        <v>1</v>
      </c>
      <c r="AO170" s="190"/>
      <c r="AP170" s="190"/>
      <c r="AQ170" s="190"/>
      <c r="AR170" s="190"/>
      <c r="BC170" s="34"/>
      <c r="BD170" s="34"/>
      <c r="BE170" s="34"/>
      <c r="BF170" s="34"/>
      <c r="BZ170"/>
      <c r="CA170"/>
      <c r="CB170"/>
      <c r="CC170"/>
    </row>
    <row r="171" spans="1:81" ht="15">
      <c r="A171" t="s">
        <v>467</v>
      </c>
      <c r="B171" t="s">
        <v>523</v>
      </c>
      <c r="C171" t="s">
        <v>665</v>
      </c>
      <c r="D171" s="458" t="s">
        <v>666</v>
      </c>
      <c r="E171" s="458">
        <v>400</v>
      </c>
      <c r="F171">
        <v>0</v>
      </c>
      <c r="G171">
        <v>0</v>
      </c>
      <c r="H171">
        <v>168</v>
      </c>
      <c r="I171"/>
      <c r="J171">
        <v>89</v>
      </c>
      <c r="K171" s="107"/>
      <c r="L171" s="463">
        <v>89</v>
      </c>
      <c r="M171" s="176">
        <v>1</v>
      </c>
      <c r="N171" s="160">
        <v>0</v>
      </c>
      <c r="O171" s="546" cm="1">
        <f t="array" ref="O17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46072</v>
      </c>
      <c r="P171" s="566" t="s">
        <v>797</v>
      </c>
      <c r="Q171" s="566">
        <v>0</v>
      </c>
      <c r="R171" s="22"/>
      <c r="S171" s="463" cm="1">
        <f t="array" ref="S17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1">
        <v>1</v>
      </c>
      <c r="U171" s="176"/>
      <c r="V17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165.0102</v>
      </c>
      <c r="W171" s="497"/>
      <c r="X171" s="176" t="s">
        <v>890</v>
      </c>
      <c r="Y171" s="547" t="s">
        <v>889</v>
      </c>
      <c r="Z171" s="160" t="s">
        <v>458</v>
      </c>
      <c r="AA171" s="563">
        <v>105000</v>
      </c>
      <c r="AB171" cm="1">
        <f t="array" ref="AB171">ROW()-ROW(Contract_Edits[#Headers])</f>
        <v>147</v>
      </c>
      <c r="AC171">
        <f>IF(Contract_Edits[[#This Row],[RowPos]]&gt;1, Contract_Edits[[#This Row],[RowPos]]-1, 0)</f>
        <v>146</v>
      </c>
      <c r="AD171" s="35">
        <f>IF(N(Contract_Edits[[#This Row],[Dep]])=0, N(Contract_Edits[[#This Row],[Index]]), N(Contract_Edits[[#This Row],[Dep]]))</f>
        <v>168</v>
      </c>
      <c r="AE171" s="35" cm="1">
        <f t="array" ref="AE171">IF(OR(Contract_Edits[[#This Row],[Dep]]=0, TRIM(Contract_Edits[[#This Row],[Dep]])=""),
   0,
   IFERROR(
      _xlfn.XLOOKUP(1, (Contract_Edits[Dep]=Contract_Edits[[#This Row],[Dep]])*(Contract_Edits[RowPos]&lt;Contract_Edits[[#This Row],[RowPos]]), Contract_Edits[RowPos], , 0, -1),
      0
   )
)</f>
        <v>146</v>
      </c>
      <c r="AF171" s="35">
        <f>IF(OR(Contract_Edits[[#This Row],[Dep]]=0,Contract_Edits[[#This Row],[Dep]]=""),0,
   COUNTIFS(Contract_Edits[Dep],Contract_Edits[[#This Row],[Dep]],Contract_Edits[RowPos],"&lt;="&amp;Contract_Edits[[#This Row],[RowPos]],Contract_Edits[Approve],"Yes")
)</f>
        <v>2</v>
      </c>
      <c r="AG171" s="517">
        <f>--(
  ISNUMBER(SEARCH("BASE PARENT", UPPER(CLEAN(TRIM(_xlfn.XLOOKUP(TEXT(Contract_Edits[[#This Row],[Index]],"0"), baseIdxTxt, baseCost, "")))))) +
  ISNUMBER(SEARCH("DEPENDENCY GROUP", UPPER(CLEAN(TRIM(_xlfn.XLOOKUP(TEXT(Contract_Edits[[#This Row],[Index]],"0"), baseIdxTxt, baseCost, ""))))))
)</f>
        <v>0</v>
      </c>
      <c r="AH171" s="517" t="str" cm="1">
        <f t="array" ref="AH171">IF(Contract_Edits[[#This Row],[BaseFlag]]=1,
   10*BaseDepthL(TEXT(Contract_Edits[[#This Row],[Index]],"0"),500,editsIdxTxt,editsParentKeyTxt,baseIdxTxt,baseCost)-5,
   ""
)</f>
        <v/>
      </c>
      <c r="AI171" s="517" cm="1">
        <f t="array" ref="AI1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1" s="517" t="str">
        <f>IF(Contract_Edits[[#This Row],[Dep]]=0,"Root",
   IF(ISNUMBER(MATCH(Contract_Edits[[#This Row],[Dep]],Contract_Edits[Index],0)),"OK","Missing")
)</f>
        <v>OK</v>
      </c>
      <c r="AK171" s="517" t="str">
        <f>IF(AND(Contract_Edits[[#This Row],[Dep]]&lt;&gt;0,
        ISNUMBER(MATCH(Contract_Edits[[#This Row],[Dep]], Contract_Edits[Index], 0)),
        INDEX(Contract_Edits[Dep], MATCH(Contract_Edits[[#This Row],[Dep]], Contract_Edits[Index], 0))=Contract_Edits[[#This Row],[Index]]),
   "2-cycle","")</f>
        <v/>
      </c>
      <c r="AL171" s="517" cm="1">
        <f t="array" ref="AL171">IF(Contract_Edits[[#This Row],[BaseFlag]]&lt;&gt;1,0,
   IF(TEXT(Contract_Edits[[#This Row],[Dep]],"0")=TEXT(Contract_Edits[[#This Row],[Index]],"0"),
      0,
      MAX(0, SUMPRODUCT(--(Contract_Edits[BaseFlag]=1),
                        --(TEXT(Contract_Edits[Dep],"0")=TEXT(Contract_Edits[[#This Row],[Dep]],"0"))) - 1)
   )
)</f>
        <v>0</v>
      </c>
      <c r="AM171" s="517" t="str" cm="1">
        <f t="array" ref="AM171">IF(Contract_Edits[[#This Row],[BaseFlag]]=1,
   TEXT(Contract_Edits[[#This Row],[Index]],"0"),
   NearestBaseL(TEXT(Contract_Edits[[#This Row],[ParentKey]],"0"),500,editsIdxTxt,editsParentKeyTxt,baseIdxTxt,baseCost)
)</f>
        <v>168</v>
      </c>
      <c r="AN171" s="517" cm="1">
        <f t="array" ref="AN171">1+SUMPRODUCT(
  (Contract_Edits[BaseFlag]=1)*
  (TEXT(Contract_Edits[ParentAnchor],"0")=TEXT(Contract_Edits[[#This Row],[ParentAnchor]],"0"))*
  (VALUE(TEXT(Contract_Edits[Index],"0"))&lt;VALUE(TEXT(Contract_Edits[[#This Row],[Index]],"0")))
)</f>
        <v>1</v>
      </c>
      <c r="AO171" s="190"/>
      <c r="AP171" s="190"/>
      <c r="AQ171" s="190"/>
      <c r="AR171" s="190"/>
      <c r="BC171" s="34"/>
      <c r="BD171" s="34"/>
      <c r="BE171" s="34"/>
      <c r="BF171" s="34"/>
      <c r="BZ171"/>
      <c r="CA171"/>
      <c r="CB171"/>
      <c r="CC171"/>
    </row>
    <row r="172" spans="1:81" ht="30">
      <c r="A172" t="s">
        <v>467</v>
      </c>
      <c r="B172" t="s">
        <v>523</v>
      </c>
      <c r="C172" t="s">
        <v>541</v>
      </c>
      <c r="D172" s="458" t="s">
        <v>542</v>
      </c>
      <c r="E172" s="458">
        <v>2100</v>
      </c>
      <c r="F172">
        <v>0</v>
      </c>
      <c r="G172">
        <v>0</v>
      </c>
      <c r="H172">
        <v>168</v>
      </c>
      <c r="I172"/>
      <c r="J172">
        <v>12</v>
      </c>
      <c r="K172" s="107"/>
      <c r="L172" s="463">
        <v>12</v>
      </c>
      <c r="M172" s="176">
        <v>1</v>
      </c>
      <c r="N172" s="160">
        <v>0</v>
      </c>
      <c r="O172" s="546" cm="1">
        <f t="array" ref="O17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46073</v>
      </c>
      <c r="P172" s="566" t="s">
        <v>797</v>
      </c>
      <c r="Q172" s="566">
        <v>0</v>
      </c>
      <c r="R172" s="22"/>
      <c r="S172" s="463" cm="1">
        <f t="array" ref="S17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2">
        <v>1</v>
      </c>
      <c r="U172" s="176"/>
      <c r="V17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165.0103</v>
      </c>
      <c r="W172" s="497"/>
      <c r="X172" s="176" t="s">
        <v>890</v>
      </c>
      <c r="Y172" s="547" t="s">
        <v>889</v>
      </c>
      <c r="Z172" s="160" t="s">
        <v>458</v>
      </c>
      <c r="AA172" s="563">
        <v>104400</v>
      </c>
      <c r="AB172" cm="1">
        <f t="array" ref="AB172">ROW()-ROW(Contract_Edits[#Headers])</f>
        <v>148</v>
      </c>
      <c r="AC172">
        <f>IF(Contract_Edits[[#This Row],[RowPos]]&gt;1, Contract_Edits[[#This Row],[RowPos]]-1, 0)</f>
        <v>147</v>
      </c>
      <c r="AD172" s="35">
        <f>IF(N(Contract_Edits[[#This Row],[Dep]])=0, N(Contract_Edits[[#This Row],[Index]]), N(Contract_Edits[[#This Row],[Dep]]))</f>
        <v>168</v>
      </c>
      <c r="AE172" s="35" cm="1">
        <f t="array" ref="AE172">IF(OR(Contract_Edits[[#This Row],[Dep]]=0, TRIM(Contract_Edits[[#This Row],[Dep]])=""),
   0,
   IFERROR(
      _xlfn.XLOOKUP(1, (Contract_Edits[Dep]=Contract_Edits[[#This Row],[Dep]])*(Contract_Edits[RowPos]&lt;Contract_Edits[[#This Row],[RowPos]]), Contract_Edits[RowPos], , 0, -1),
      0
   )
)</f>
        <v>147</v>
      </c>
      <c r="AF172" s="35">
        <f>IF(OR(Contract_Edits[[#This Row],[Dep]]=0,Contract_Edits[[#This Row],[Dep]]=""),0,
   COUNTIFS(Contract_Edits[Dep],Contract_Edits[[#This Row],[Dep]],Contract_Edits[RowPos],"&lt;="&amp;Contract_Edits[[#This Row],[RowPos]],Contract_Edits[Approve],"Yes")
)</f>
        <v>3</v>
      </c>
      <c r="AG172" s="517">
        <f>--(
  ISNUMBER(SEARCH("BASE PARENT", UPPER(CLEAN(TRIM(_xlfn.XLOOKUP(TEXT(Contract_Edits[[#This Row],[Index]],"0"), baseIdxTxt, baseCost, "")))))) +
  ISNUMBER(SEARCH("DEPENDENCY GROUP", UPPER(CLEAN(TRIM(_xlfn.XLOOKUP(TEXT(Contract_Edits[[#This Row],[Index]],"0"), baseIdxTxt, baseCost, ""))))))
)</f>
        <v>0</v>
      </c>
      <c r="AH172" s="517" t="str" cm="1">
        <f t="array" ref="AH172">IF(Contract_Edits[[#This Row],[BaseFlag]]=1,
   10*BaseDepthL(TEXT(Contract_Edits[[#This Row],[Index]],"0"),500,editsIdxTxt,editsParentKeyTxt,baseIdxTxt,baseCost)-5,
   ""
)</f>
        <v/>
      </c>
      <c r="AI172" s="517" cm="1">
        <f t="array" ref="AI1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2" s="517" t="str">
        <f>IF(Contract_Edits[[#This Row],[Dep]]=0,"Root",
   IF(ISNUMBER(MATCH(Contract_Edits[[#This Row],[Dep]],Contract_Edits[Index],0)),"OK","Missing")
)</f>
        <v>OK</v>
      </c>
      <c r="AK172" s="517" t="str">
        <f>IF(AND(Contract_Edits[[#This Row],[Dep]]&lt;&gt;0,
        ISNUMBER(MATCH(Contract_Edits[[#This Row],[Dep]], Contract_Edits[Index], 0)),
        INDEX(Contract_Edits[Dep], MATCH(Contract_Edits[[#This Row],[Dep]], Contract_Edits[Index], 0))=Contract_Edits[[#This Row],[Index]]),
   "2-cycle","")</f>
        <v/>
      </c>
      <c r="AL172" s="517" cm="1">
        <f t="array" ref="AL172">IF(Contract_Edits[[#This Row],[BaseFlag]]&lt;&gt;1,0,
   IF(TEXT(Contract_Edits[[#This Row],[Dep]],"0")=TEXT(Contract_Edits[[#This Row],[Index]],"0"),
      0,
      MAX(0, SUMPRODUCT(--(Contract_Edits[BaseFlag]=1),
                        --(TEXT(Contract_Edits[Dep],"0")=TEXT(Contract_Edits[[#This Row],[Dep]],"0"))) - 1)
   )
)</f>
        <v>0</v>
      </c>
      <c r="AM172" s="517" t="str" cm="1">
        <f t="array" ref="AM172">IF(Contract_Edits[[#This Row],[BaseFlag]]=1,
   TEXT(Contract_Edits[[#This Row],[Index]],"0"),
   NearestBaseL(TEXT(Contract_Edits[[#This Row],[ParentKey]],"0"),500,editsIdxTxt,editsParentKeyTxt,baseIdxTxt,baseCost)
)</f>
        <v>168</v>
      </c>
      <c r="AN172" s="517" cm="1">
        <f t="array" ref="AN172">1+SUMPRODUCT(
  (Contract_Edits[BaseFlag]=1)*
  (TEXT(Contract_Edits[ParentAnchor],"0")=TEXT(Contract_Edits[[#This Row],[ParentAnchor]],"0"))*
  (VALUE(TEXT(Contract_Edits[Index],"0"))&lt;VALUE(TEXT(Contract_Edits[[#This Row],[Index]],"0")))
)</f>
        <v>1</v>
      </c>
      <c r="AO172" s="190"/>
      <c r="AP172" s="190"/>
      <c r="AQ172" s="190"/>
      <c r="AR172" s="190"/>
      <c r="BC172" s="34"/>
      <c r="BD172" s="34"/>
      <c r="BE172" s="34"/>
      <c r="BF172" s="34"/>
      <c r="BZ172"/>
      <c r="CA172"/>
      <c r="CB172"/>
      <c r="CC172"/>
    </row>
    <row r="173" spans="1:81" ht="15">
      <c r="A173" t="s">
        <v>806</v>
      </c>
      <c r="B173" t="s">
        <v>523</v>
      </c>
      <c r="C173" t="s">
        <v>833</v>
      </c>
      <c r="D173" s="458" t="s">
        <v>834</v>
      </c>
      <c r="E173" s="458">
        <v>1</v>
      </c>
      <c r="F173">
        <v>1393.1775</v>
      </c>
      <c r="G173">
        <v>1393.1775</v>
      </c>
      <c r="H173"/>
      <c r="I173"/>
      <c r="J173">
        <v>901</v>
      </c>
      <c r="K173" s="107"/>
      <c r="L173" s="463">
        <v>901</v>
      </c>
      <c r="M173" s="176">
        <v>0</v>
      </c>
      <c r="N173" s="160">
        <v>0</v>
      </c>
      <c r="O173" s="546" cm="1">
        <f t="array" ref="O17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46076</v>
      </c>
      <c r="P173" s="566" t="s">
        <v>797</v>
      </c>
      <c r="Q173" s="566">
        <v>0</v>
      </c>
      <c r="R173" s="22"/>
      <c r="S173" s="463" cm="1">
        <f t="array" ref="S17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3">
        <v>1</v>
      </c>
      <c r="U173" s="176"/>
      <c r="V17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165.0104</v>
      </c>
      <c r="W173" s="497"/>
      <c r="X173" s="176" t="s">
        <v>852</v>
      </c>
      <c r="Y173" s="547" t="s">
        <v>889</v>
      </c>
      <c r="Z173" s="160" t="s">
        <v>458</v>
      </c>
      <c r="AA173" s="563">
        <v>104400</v>
      </c>
      <c r="AB173" cm="1">
        <f t="array" ref="AB173">ROW()-ROW(Contract_Edits[#Headers])</f>
        <v>149</v>
      </c>
      <c r="AC173">
        <f>IF(Contract_Edits[[#This Row],[RowPos]]&gt;1, Contract_Edits[[#This Row],[RowPos]]-1, 0)</f>
        <v>148</v>
      </c>
      <c r="AD173" s="35">
        <f>IF(N(Contract_Edits[[#This Row],[Dep]])=0, N(Contract_Edits[[#This Row],[Index]]), N(Contract_Edits[[#This Row],[Dep]]))</f>
        <v>168</v>
      </c>
      <c r="AE173" s="35" cm="1">
        <f t="array" ref="AE173">IF(OR(Contract_Edits[[#This Row],[Dep]]=0, TRIM(Contract_Edits[[#This Row],[Dep]])=""),
   0,
   IFERROR(
      _xlfn.XLOOKUP(1, (Contract_Edits[Dep]=Contract_Edits[[#This Row],[Dep]])*(Contract_Edits[RowPos]&lt;Contract_Edits[[#This Row],[RowPos]]), Contract_Edits[RowPos], , 0, -1),
      0
   )
)</f>
        <v>148</v>
      </c>
      <c r="AF173" s="35">
        <f>IF(OR(Contract_Edits[[#This Row],[Dep]]=0,Contract_Edits[[#This Row],[Dep]]=""),0,
   COUNTIFS(Contract_Edits[Dep],Contract_Edits[[#This Row],[Dep]],Contract_Edits[RowPos],"&lt;="&amp;Contract_Edits[[#This Row],[RowPos]],Contract_Edits[Approve],"Yes")
)</f>
        <v>4</v>
      </c>
      <c r="AG173" s="517">
        <f>--(
  ISNUMBER(SEARCH("BASE PARENT", UPPER(CLEAN(TRIM(_xlfn.XLOOKUP(TEXT(Contract_Edits[[#This Row],[Index]],"0"), baseIdxTxt, baseCost, "")))))) +
  ISNUMBER(SEARCH("DEPENDENCY GROUP", UPPER(CLEAN(TRIM(_xlfn.XLOOKUP(TEXT(Contract_Edits[[#This Row],[Index]],"0"), baseIdxTxt, baseCost, ""))))))
)</f>
        <v>0</v>
      </c>
      <c r="AH173" s="517" t="str" cm="1">
        <f t="array" ref="AH173">IF(Contract_Edits[[#This Row],[BaseFlag]]=1,
   10*BaseDepthL(TEXT(Contract_Edits[[#This Row],[Index]],"0"),500,editsIdxTxt,editsParentKeyTxt,baseIdxTxt,baseCost)-5,
   ""
)</f>
        <v/>
      </c>
      <c r="AI173" s="517" cm="1">
        <f t="array" ref="AI1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3" s="517" t="str">
        <f>IF(Contract_Edits[[#This Row],[Dep]]=0,"Root",
   IF(ISNUMBER(MATCH(Contract_Edits[[#This Row],[Dep]],Contract_Edits[Index],0)),"OK","Missing")
)</f>
        <v>OK</v>
      </c>
      <c r="AK173" s="517" t="str">
        <f>IF(AND(Contract_Edits[[#This Row],[Dep]]&lt;&gt;0,
        ISNUMBER(MATCH(Contract_Edits[[#This Row],[Dep]], Contract_Edits[Index], 0)),
        INDEX(Contract_Edits[Dep], MATCH(Contract_Edits[[#This Row],[Dep]], Contract_Edits[Index], 0))=Contract_Edits[[#This Row],[Index]]),
   "2-cycle","")</f>
        <v/>
      </c>
      <c r="AL173" s="517" cm="1">
        <f t="array" ref="AL173">IF(Contract_Edits[[#This Row],[BaseFlag]]&lt;&gt;1,0,
   IF(TEXT(Contract_Edits[[#This Row],[Dep]],"0")=TEXT(Contract_Edits[[#This Row],[Index]],"0"),
      0,
      MAX(0, SUMPRODUCT(--(Contract_Edits[BaseFlag]=1),
                        --(TEXT(Contract_Edits[Dep],"0")=TEXT(Contract_Edits[[#This Row],[Dep]],"0"))) - 1)
   )
)</f>
        <v>0</v>
      </c>
      <c r="AM173" s="517" t="str" cm="1">
        <f t="array" ref="AM173">IF(Contract_Edits[[#This Row],[BaseFlag]]=1,
   TEXT(Contract_Edits[[#This Row],[Index]],"0"),
   NearestBaseL(TEXT(Contract_Edits[[#This Row],[ParentKey]],"0"),500,editsIdxTxt,editsParentKeyTxt,baseIdxTxt,baseCost)
)</f>
        <v>168</v>
      </c>
      <c r="AN173" s="517" cm="1">
        <f t="array" ref="AN173">1+SUMPRODUCT(
  (Contract_Edits[BaseFlag]=1)*
  (TEXT(Contract_Edits[ParentAnchor],"0")=TEXT(Contract_Edits[[#This Row],[ParentAnchor]],"0"))*
  (VALUE(TEXT(Contract_Edits[Index],"0"))&lt;VALUE(TEXT(Contract_Edits[[#This Row],[Index]],"0")))
)</f>
        <v>2</v>
      </c>
      <c r="AO173" s="190"/>
      <c r="AP173" s="190"/>
      <c r="AQ173" s="190"/>
      <c r="AR173" s="190"/>
      <c r="BC173" s="34"/>
      <c r="BD173" s="34"/>
      <c r="BE173" s="34"/>
      <c r="BF173" s="34"/>
      <c r="BZ173"/>
      <c r="CA173"/>
      <c r="CB173"/>
      <c r="CC173"/>
    </row>
    <row r="174" spans="1:81" ht="15">
      <c r="A174" t="s">
        <v>806</v>
      </c>
      <c r="B174" t="s">
        <v>523</v>
      </c>
      <c r="C174" t="s">
        <v>839</v>
      </c>
      <c r="D174" s="458" t="s">
        <v>840</v>
      </c>
      <c r="E174" s="458">
        <v>1</v>
      </c>
      <c r="F174">
        <v>15812.5</v>
      </c>
      <c r="G174">
        <v>15812.5</v>
      </c>
      <c r="H174"/>
      <c r="I174"/>
      <c r="J174">
        <v>906</v>
      </c>
      <c r="K174" s="107"/>
      <c r="L174" s="463">
        <v>906</v>
      </c>
      <c r="M174" s="176">
        <v>0</v>
      </c>
      <c r="N174" s="160">
        <v>0</v>
      </c>
      <c r="O174" s="546" cm="1">
        <f t="array" ref="O17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46076</v>
      </c>
      <c r="P174" s="566" t="s">
        <v>797</v>
      </c>
      <c r="Q174" s="566">
        <v>0</v>
      </c>
      <c r="R174" s="22"/>
      <c r="S174" s="463" cm="1">
        <f t="array" ref="S17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4">
        <v>1</v>
      </c>
      <c r="U174" s="176"/>
      <c r="V17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165.01049999999998</v>
      </c>
      <c r="W174" s="497"/>
      <c r="X174" s="176">
        <v>0</v>
      </c>
      <c r="Y174" s="547" t="s">
        <v>889</v>
      </c>
      <c r="Z174" s="160" t="s">
        <v>458</v>
      </c>
      <c r="AA174" s="563">
        <v>104500</v>
      </c>
      <c r="AB174" cm="1">
        <f t="array" ref="AB174">ROW()-ROW(Contract_Edits[#Headers])</f>
        <v>150</v>
      </c>
      <c r="AC174">
        <f>IF(Contract_Edits[[#This Row],[RowPos]]&gt;1, Contract_Edits[[#This Row],[RowPos]]-1, 0)</f>
        <v>149</v>
      </c>
      <c r="AD174" s="35">
        <f>IF(N(Contract_Edits[[#This Row],[Dep]])=0, N(Contract_Edits[[#This Row],[Index]]), N(Contract_Edits[[#This Row],[Dep]]))</f>
        <v>168</v>
      </c>
      <c r="AE174" s="35" cm="1">
        <f t="array" ref="AE174">IF(OR(Contract_Edits[[#This Row],[Dep]]=0, TRIM(Contract_Edits[[#This Row],[Dep]])=""),
   0,
   IFERROR(
      _xlfn.XLOOKUP(1, (Contract_Edits[Dep]=Contract_Edits[[#This Row],[Dep]])*(Contract_Edits[RowPos]&lt;Contract_Edits[[#This Row],[RowPos]]), Contract_Edits[RowPos], , 0, -1),
      0
   )
)</f>
        <v>149</v>
      </c>
      <c r="AF174" s="35">
        <f>IF(OR(Contract_Edits[[#This Row],[Dep]]=0,Contract_Edits[[#This Row],[Dep]]=""),0,
   COUNTIFS(Contract_Edits[Dep],Contract_Edits[[#This Row],[Dep]],Contract_Edits[RowPos],"&lt;="&amp;Contract_Edits[[#This Row],[RowPos]],Contract_Edits[Approve],"Yes")
)</f>
        <v>5</v>
      </c>
      <c r="AG174" s="517">
        <f>--(
  ISNUMBER(SEARCH("BASE PARENT", UPPER(CLEAN(TRIM(_xlfn.XLOOKUP(TEXT(Contract_Edits[[#This Row],[Index]],"0"), baseIdxTxt, baseCost, "")))))) +
  ISNUMBER(SEARCH("DEPENDENCY GROUP", UPPER(CLEAN(TRIM(_xlfn.XLOOKUP(TEXT(Contract_Edits[[#This Row],[Index]],"0"), baseIdxTxt, baseCost, ""))))))
)</f>
        <v>0</v>
      </c>
      <c r="AH174" s="517" t="str" cm="1">
        <f t="array" ref="AH174">IF(Contract_Edits[[#This Row],[BaseFlag]]=1,
   10*BaseDepthL(TEXT(Contract_Edits[[#This Row],[Index]],"0"),500,editsIdxTxt,editsParentKeyTxt,baseIdxTxt,baseCost)-5,
   ""
)</f>
        <v/>
      </c>
      <c r="AI174" s="517" cm="1">
        <f t="array" ref="AI1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4" s="517" t="str">
        <f>IF(Contract_Edits[[#This Row],[Dep]]=0,"Root",
   IF(ISNUMBER(MATCH(Contract_Edits[[#This Row],[Dep]],Contract_Edits[Index],0)),"OK","Missing")
)</f>
        <v>OK</v>
      </c>
      <c r="AK174" s="517" t="str">
        <f>IF(AND(Contract_Edits[[#This Row],[Dep]]&lt;&gt;0,
        ISNUMBER(MATCH(Contract_Edits[[#This Row],[Dep]], Contract_Edits[Index], 0)),
        INDEX(Contract_Edits[Dep], MATCH(Contract_Edits[[#This Row],[Dep]], Contract_Edits[Index], 0))=Contract_Edits[[#This Row],[Index]]),
   "2-cycle","")</f>
        <v/>
      </c>
      <c r="AL174" s="517" cm="1">
        <f t="array" ref="AL174">IF(Contract_Edits[[#This Row],[BaseFlag]]&lt;&gt;1,0,
   IF(TEXT(Contract_Edits[[#This Row],[Dep]],"0")=TEXT(Contract_Edits[[#This Row],[Index]],"0"),
      0,
      MAX(0, SUMPRODUCT(--(Contract_Edits[BaseFlag]=1),
                        --(TEXT(Contract_Edits[Dep],"0")=TEXT(Contract_Edits[[#This Row],[Dep]],"0"))) - 1)
   )
)</f>
        <v>0</v>
      </c>
      <c r="AM174" s="517" t="str" cm="1">
        <f t="array" ref="AM174">IF(Contract_Edits[[#This Row],[BaseFlag]]=1,
   TEXT(Contract_Edits[[#This Row],[Index]],"0"),
   NearestBaseL(TEXT(Contract_Edits[[#This Row],[ParentKey]],"0"),500,editsIdxTxt,editsParentKeyTxt,baseIdxTxt,baseCost)
)</f>
        <v>168</v>
      </c>
      <c r="AN174" s="517" cm="1">
        <f t="array" ref="AN174">1+SUMPRODUCT(
  (Contract_Edits[BaseFlag]=1)*
  (TEXT(Contract_Edits[ParentAnchor],"0")=TEXT(Contract_Edits[[#This Row],[ParentAnchor]],"0"))*
  (VALUE(TEXT(Contract_Edits[Index],"0"))&lt;VALUE(TEXT(Contract_Edits[[#This Row],[Index]],"0")))
)</f>
        <v>2</v>
      </c>
      <c r="AO174" s="190"/>
      <c r="AP174" s="190"/>
      <c r="AQ174" s="190"/>
      <c r="AR174" s="190"/>
      <c r="BC174" s="34"/>
      <c r="BD174" s="34"/>
      <c r="BE174" s="34"/>
      <c r="BF174" s="34"/>
      <c r="BZ174"/>
      <c r="CA174"/>
      <c r="CB174"/>
      <c r="CC174"/>
    </row>
    <row r="175" spans="1:81" ht="15">
      <c r="A175" t="s">
        <v>519</v>
      </c>
      <c r="B175" t="s">
        <v>587</v>
      </c>
      <c r="C175" t="s">
        <v>600</v>
      </c>
      <c r="D175" s="458" t="s">
        <v>601</v>
      </c>
      <c r="E175" s="458">
        <v>50</v>
      </c>
      <c r="F175">
        <v>26.1</v>
      </c>
      <c r="G175">
        <v>1305</v>
      </c>
      <c r="H175">
        <v>168</v>
      </c>
      <c r="I175"/>
      <c r="J175">
        <v>44</v>
      </c>
      <c r="K175" s="107"/>
      <c r="L175" s="463">
        <v>44</v>
      </c>
      <c r="M175" s="176">
        <v>2</v>
      </c>
      <c r="N175" s="160">
        <v>0</v>
      </c>
      <c r="O175" s="546" cm="1">
        <f t="array" ref="O17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46076</v>
      </c>
      <c r="P175" s="566" t="s">
        <v>797</v>
      </c>
      <c r="Q175" s="566">
        <v>0</v>
      </c>
      <c r="R175" s="22"/>
      <c r="S175" s="463" cm="1">
        <f t="array" ref="S17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5">
        <v>1</v>
      </c>
      <c r="U175" s="176"/>
      <c r="V17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165.01059999999998</v>
      </c>
      <c r="W175" s="497"/>
      <c r="X175" s="176" t="s">
        <v>852</v>
      </c>
      <c r="Y175" s="547" t="s">
        <v>889</v>
      </c>
      <c r="Z175" s="160" t="s">
        <v>458</v>
      </c>
      <c r="AA175" s="563">
        <v>104500</v>
      </c>
      <c r="AB175" cm="1">
        <f t="array" ref="AB175">ROW()-ROW(Contract_Edits[#Headers])</f>
        <v>151</v>
      </c>
      <c r="AC175">
        <f>IF(Contract_Edits[[#This Row],[RowPos]]&gt;1, Contract_Edits[[#This Row],[RowPos]]-1, 0)</f>
        <v>150</v>
      </c>
      <c r="AD175" s="35">
        <f>IF(N(Contract_Edits[[#This Row],[Dep]])=0, N(Contract_Edits[[#This Row],[Index]]), N(Contract_Edits[[#This Row],[Dep]]))</f>
        <v>168</v>
      </c>
      <c r="AE175" s="35" cm="1">
        <f t="array" ref="AE175">IF(OR(Contract_Edits[[#This Row],[Dep]]=0, TRIM(Contract_Edits[[#This Row],[Dep]])=""),
   0,
   IFERROR(
      _xlfn.XLOOKUP(1, (Contract_Edits[Dep]=Contract_Edits[[#This Row],[Dep]])*(Contract_Edits[RowPos]&lt;Contract_Edits[[#This Row],[RowPos]]), Contract_Edits[RowPos], , 0, -1),
      0
   )
)</f>
        <v>150</v>
      </c>
      <c r="AF175" s="35">
        <f>IF(OR(Contract_Edits[[#This Row],[Dep]]=0,Contract_Edits[[#This Row],[Dep]]=""),0,
   COUNTIFS(Contract_Edits[Dep],Contract_Edits[[#This Row],[Dep]],Contract_Edits[RowPos],"&lt;="&amp;Contract_Edits[[#This Row],[RowPos]],Contract_Edits[Approve],"Yes")
)</f>
        <v>6</v>
      </c>
      <c r="AG175" s="517">
        <f>--(
  ISNUMBER(SEARCH("BASE PARENT", UPPER(CLEAN(TRIM(_xlfn.XLOOKUP(TEXT(Contract_Edits[[#This Row],[Index]],"0"), baseIdxTxt, baseCost, "")))))) +
  ISNUMBER(SEARCH("DEPENDENCY GROUP", UPPER(CLEAN(TRIM(_xlfn.XLOOKUP(TEXT(Contract_Edits[[#This Row],[Index]],"0"), baseIdxTxt, baseCost, ""))))))
)</f>
        <v>0</v>
      </c>
      <c r="AH175" s="517" t="str" cm="1">
        <f t="array" ref="AH175">IF(Contract_Edits[[#This Row],[BaseFlag]]=1,
   10*BaseDepthL(TEXT(Contract_Edits[[#This Row],[Index]],"0"),500,editsIdxTxt,editsParentKeyTxt,baseIdxTxt,baseCost)-5,
   ""
)</f>
        <v/>
      </c>
      <c r="AI175" s="517" cm="1">
        <f t="array" ref="AI1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5" s="517" t="str">
        <f>IF(Contract_Edits[[#This Row],[Dep]]=0,"Root",
   IF(ISNUMBER(MATCH(Contract_Edits[[#This Row],[Dep]],Contract_Edits[Index],0)),"OK","Missing")
)</f>
        <v>OK</v>
      </c>
      <c r="AK175" s="517" t="str">
        <f>IF(AND(Contract_Edits[[#This Row],[Dep]]&lt;&gt;0,
        ISNUMBER(MATCH(Contract_Edits[[#This Row],[Dep]], Contract_Edits[Index], 0)),
        INDEX(Contract_Edits[Dep], MATCH(Contract_Edits[[#This Row],[Dep]], Contract_Edits[Index], 0))=Contract_Edits[[#This Row],[Index]]),
   "2-cycle","")</f>
        <v/>
      </c>
      <c r="AL175" s="517" cm="1">
        <f t="array" ref="AL175">IF(Contract_Edits[[#This Row],[BaseFlag]]&lt;&gt;1,0,
   IF(TEXT(Contract_Edits[[#This Row],[Dep]],"0")=TEXT(Contract_Edits[[#This Row],[Index]],"0"),
      0,
      MAX(0, SUMPRODUCT(--(Contract_Edits[BaseFlag]=1),
                        --(TEXT(Contract_Edits[Dep],"0")=TEXT(Contract_Edits[[#This Row],[Dep]],"0"))) - 1)
   )
)</f>
        <v>0</v>
      </c>
      <c r="AM175" s="517" t="str" cm="1">
        <f t="array" ref="AM175">IF(Contract_Edits[[#This Row],[BaseFlag]]=1,
   TEXT(Contract_Edits[[#This Row],[Index]],"0"),
   NearestBaseL(TEXT(Contract_Edits[[#This Row],[ParentKey]],"0"),500,editsIdxTxt,editsParentKeyTxt,baseIdxTxt,baseCost)
)</f>
        <v>168</v>
      </c>
      <c r="AN175" s="517" cm="1">
        <f t="array" ref="AN175">1+SUMPRODUCT(
  (Contract_Edits[BaseFlag]=1)*
  (TEXT(Contract_Edits[ParentAnchor],"0")=TEXT(Contract_Edits[[#This Row],[ParentAnchor]],"0"))*
  (VALUE(TEXT(Contract_Edits[Index],"0"))&lt;VALUE(TEXT(Contract_Edits[[#This Row],[Index]],"0")))
)</f>
        <v>1</v>
      </c>
      <c r="AO175" s="190"/>
      <c r="AP175" s="190"/>
      <c r="AQ175" s="190"/>
      <c r="BC175" s="34"/>
      <c r="BD175" s="34"/>
      <c r="BE175" s="34"/>
      <c r="BF175" s="34"/>
      <c r="BZ175"/>
      <c r="CA175"/>
      <c r="CB175"/>
      <c r="CC175"/>
    </row>
    <row r="176" spans="1:81" ht="15">
      <c r="A176" t="s">
        <v>747</v>
      </c>
      <c r="B176" t="s">
        <v>744</v>
      </c>
      <c r="C176" t="s">
        <v>654</v>
      </c>
      <c r="D176" s="458" t="s">
        <v>765</v>
      </c>
      <c r="E176" s="458">
        <v>0</v>
      </c>
      <c r="F176"/>
      <c r="G176"/>
      <c r="H176">
        <v>168</v>
      </c>
      <c r="I176"/>
      <c r="J176">
        <v>169</v>
      </c>
      <c r="K176" s="107"/>
      <c r="L176" s="463">
        <v>169</v>
      </c>
      <c r="M176" s="490"/>
      <c r="N176" s="160">
        <v>0</v>
      </c>
      <c r="O176" s="546" cm="1">
        <f t="array" ref="O17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46078</v>
      </c>
      <c r="P176" s="567"/>
      <c r="Q176" s="567"/>
      <c r="R176" s="499"/>
      <c r="S176" s="463" cm="1">
        <f t="array" ref="S17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6" s="34">
        <v>1</v>
      </c>
      <c r="U176" s="490"/>
      <c r="V17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175.01</v>
      </c>
      <c r="W176" s="557"/>
      <c r="X176" s="545"/>
      <c r="Y176" s="548"/>
      <c r="Z176" s="535" t="s">
        <v>458</v>
      </c>
      <c r="AA176" s="544"/>
      <c r="AB176" cm="1">
        <f t="array" ref="AB176">ROW()-ROW(Contract_Edits[#Headers])</f>
        <v>152</v>
      </c>
      <c r="AC176">
        <f>IF(Contract_Edits[[#This Row],[RowPos]]&gt;1, Contract_Edits[[#This Row],[RowPos]]-1, 0)</f>
        <v>151</v>
      </c>
      <c r="AD176" s="35">
        <f>IF(N(Contract_Edits[[#This Row],[Dep]])=0, N(Contract_Edits[[#This Row],[Index]]), N(Contract_Edits[[#This Row],[Dep]]))</f>
        <v>168</v>
      </c>
      <c r="AE176" s="35" cm="1">
        <f t="array" ref="AE176">IF(OR(Contract_Edits[[#This Row],[Dep]]=0, TRIM(Contract_Edits[[#This Row],[Dep]])=""),
   0,
   IFERROR(
      _xlfn.XLOOKUP(1, (Contract_Edits[Dep]=Contract_Edits[[#This Row],[Dep]])*(Contract_Edits[RowPos]&lt;Contract_Edits[[#This Row],[RowPos]]), Contract_Edits[RowPos], , 0, -1),
      0
   )
)</f>
        <v>151</v>
      </c>
      <c r="AF176" s="35">
        <f>IF(OR(Contract_Edits[[#This Row],[Dep]]=0,Contract_Edits[[#This Row],[Dep]]=""),0,
   COUNTIFS(Contract_Edits[Dep],Contract_Edits[[#This Row],[Dep]],Contract_Edits[RowPos],"&lt;="&amp;Contract_Edits[[#This Row],[RowPos]],Contract_Edits[Approve],"Yes")
)</f>
        <v>7</v>
      </c>
      <c r="AG176" s="517">
        <f>--(
  ISNUMBER(SEARCH("BASE PARENT", UPPER(CLEAN(TRIM(_xlfn.XLOOKUP(TEXT(Contract_Edits[[#This Row],[Index]],"0"), baseIdxTxt, baseCost, "")))))) +
  ISNUMBER(SEARCH("DEPENDENCY GROUP", UPPER(CLEAN(TRIM(_xlfn.XLOOKUP(TEXT(Contract_Edits[[#This Row],[Index]],"0"), baseIdxTxt, baseCost, ""))))))
)</f>
        <v>1</v>
      </c>
      <c r="AH176" s="517" cm="1">
        <f t="array" ref="AH176">IF(Contract_Edits[[#This Row],[BaseFlag]]=1,
   10*BaseDepthL(TEXT(Contract_Edits[[#This Row],[Index]],"0"),500,editsIdxTxt,editsParentKeyTxt,baseIdxTxt,baseCost)-5,
   ""
)</f>
        <v>175</v>
      </c>
      <c r="AI176" s="517" cm="1">
        <f t="array" ref="AI1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6" s="517" t="str">
        <f>IF(Contract_Edits[[#This Row],[Dep]]=0,"Root",
   IF(ISNUMBER(MATCH(Contract_Edits[[#This Row],[Dep]],Contract_Edits[Index],0)),"OK","Missing")
)</f>
        <v>OK</v>
      </c>
      <c r="AK176" s="517" t="str">
        <f>IF(AND(Contract_Edits[[#This Row],[Dep]]&lt;&gt;0,
        ISNUMBER(MATCH(Contract_Edits[[#This Row],[Dep]], Contract_Edits[Index], 0)),
        INDEX(Contract_Edits[Dep], MATCH(Contract_Edits[[#This Row],[Dep]], Contract_Edits[Index], 0))=Contract_Edits[[#This Row],[Index]]),
   "2-cycle","")</f>
        <v/>
      </c>
      <c r="AL176" s="517" cm="1">
        <f t="array" ref="AL176">IF(Contract_Edits[[#This Row],[BaseFlag]]&lt;&gt;1,0,
   IF(TEXT(Contract_Edits[[#This Row],[Dep]],"0")=TEXT(Contract_Edits[[#This Row],[Index]],"0"),
      0,
      MAX(0, SUMPRODUCT(--(Contract_Edits[BaseFlag]=1),
                        --(TEXT(Contract_Edits[Dep],"0")=TEXT(Contract_Edits[[#This Row],[Dep]],"0"))) - 1)
   )
)</f>
        <v>0</v>
      </c>
      <c r="AM176" s="517" t="str" cm="1">
        <f t="array" ref="AM176">IF(Contract_Edits[[#This Row],[BaseFlag]]=1,
   TEXT(Contract_Edits[[#This Row],[Index]],"0"),
   NearestBaseL(TEXT(Contract_Edits[[#This Row],[ParentKey]],"0"),500,editsIdxTxt,editsParentKeyTxt,baseIdxTxt,baseCost)
)</f>
        <v>169</v>
      </c>
      <c r="AN176" s="517" cm="1">
        <f t="array" ref="AN176">1+SUMPRODUCT(
  (Contract_Edits[BaseFlag]=1)*
  (TEXT(Contract_Edits[ParentAnchor],"0")=TEXT(Contract_Edits[[#This Row],[ParentAnchor]],"0"))*
  (VALUE(TEXT(Contract_Edits[Index],"0"))&lt;VALUE(TEXT(Contract_Edits[[#This Row],[Index]],"0")))
)</f>
        <v>1</v>
      </c>
      <c r="AP176" s="190"/>
      <c r="AQ176" s="190"/>
      <c r="AR176" s="190"/>
      <c r="BC176" s="34"/>
      <c r="BD176" s="34"/>
      <c r="BE176" s="34"/>
      <c r="BF176" s="34"/>
      <c r="BZ176"/>
      <c r="CA176"/>
      <c r="CB176"/>
      <c r="CC176"/>
    </row>
    <row r="177" spans="1:81" ht="15">
      <c r="A177" t="s">
        <v>552</v>
      </c>
      <c r="B177" t="s">
        <v>639</v>
      </c>
      <c r="C177" t="s">
        <v>654</v>
      </c>
      <c r="D177" s="458" t="s">
        <v>655</v>
      </c>
      <c r="E177" s="458">
        <v>1</v>
      </c>
      <c r="F177">
        <v>312.5</v>
      </c>
      <c r="G177">
        <v>312.5</v>
      </c>
      <c r="H177">
        <v>169</v>
      </c>
      <c r="I177"/>
      <c r="J177">
        <v>82</v>
      </c>
      <c r="K177" s="107"/>
      <c r="L177" s="463">
        <v>82</v>
      </c>
      <c r="M177" s="176">
        <v>1</v>
      </c>
      <c r="N177" s="160">
        <v>0</v>
      </c>
      <c r="O177" s="546" cm="1">
        <f t="array" ref="O17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46078</v>
      </c>
      <c r="P177" s="566" t="s">
        <v>797</v>
      </c>
      <c r="Q177" s="566">
        <v>0</v>
      </c>
      <c r="R177" s="22"/>
      <c r="S177" s="463" cm="1">
        <f t="array" ref="S17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169</v>
      </c>
      <c r="T177">
        <v>1</v>
      </c>
      <c r="U177" s="176"/>
      <c r="V17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175.01009999999999</v>
      </c>
      <c r="W177" s="497"/>
      <c r="X177" s="176" t="s">
        <v>852</v>
      </c>
      <c r="Y177" s="547" t="s">
        <v>891</v>
      </c>
      <c r="Z177" s="160" t="s">
        <v>458</v>
      </c>
      <c r="AA177" s="563">
        <v>103000</v>
      </c>
      <c r="AB177" cm="1">
        <f t="array" ref="AB177">ROW()-ROW(Contract_Edits[#Headers])</f>
        <v>153</v>
      </c>
      <c r="AC177">
        <f>IF(Contract_Edits[[#This Row],[RowPos]]&gt;1, Contract_Edits[[#This Row],[RowPos]]-1, 0)</f>
        <v>152</v>
      </c>
      <c r="AD177" s="35">
        <f>IF(N(Contract_Edits[[#This Row],[Dep]])=0, N(Contract_Edits[[#This Row],[Index]]), N(Contract_Edits[[#This Row],[Dep]]))</f>
        <v>169</v>
      </c>
      <c r="AE177" s="35" cm="1">
        <f t="array" ref="AE177">IF(OR(Contract_Edits[[#This Row],[Dep]]=0, TRIM(Contract_Edits[[#This Row],[Dep]])=""),
   0,
   IFERROR(
      _xlfn.XLOOKUP(1, (Contract_Edits[Dep]=Contract_Edits[[#This Row],[Dep]])*(Contract_Edits[RowPos]&lt;Contract_Edits[[#This Row],[RowPos]]), Contract_Edits[RowPos], , 0, -1),
      0
   )
)</f>
        <v>0</v>
      </c>
      <c r="AF177" s="35">
        <f>IF(OR(Contract_Edits[[#This Row],[Dep]]=0,Contract_Edits[[#This Row],[Dep]]=""),0,
   COUNTIFS(Contract_Edits[Dep],Contract_Edits[[#This Row],[Dep]],Contract_Edits[RowPos],"&lt;="&amp;Contract_Edits[[#This Row],[RowPos]],Contract_Edits[Approve],"Yes")
)</f>
        <v>1</v>
      </c>
      <c r="AG177" s="517">
        <f>--(
  ISNUMBER(SEARCH("BASE PARENT", UPPER(CLEAN(TRIM(_xlfn.XLOOKUP(TEXT(Contract_Edits[[#This Row],[Index]],"0"), baseIdxTxt, baseCost, "")))))) +
  ISNUMBER(SEARCH("DEPENDENCY GROUP", UPPER(CLEAN(TRIM(_xlfn.XLOOKUP(TEXT(Contract_Edits[[#This Row],[Index]],"0"), baseIdxTxt, baseCost, ""))))))
)</f>
        <v>0</v>
      </c>
      <c r="AH177" s="517" t="str" cm="1">
        <f t="array" ref="AH177">IF(Contract_Edits[[#This Row],[BaseFlag]]=1,
   10*BaseDepthL(TEXT(Contract_Edits[[#This Row],[Index]],"0"),500,editsIdxTxt,editsParentKeyTxt,baseIdxTxt,baseCost)-5,
   ""
)</f>
        <v/>
      </c>
      <c r="AI177" s="517" cm="1">
        <f t="array" ref="AI1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J177" s="517" t="str">
        <f>IF(Contract_Edits[[#This Row],[Dep]]=0,"Root",
   IF(ISNUMBER(MATCH(Contract_Edits[[#This Row],[Dep]],Contract_Edits[Index],0)),"OK","Missing")
)</f>
        <v>OK</v>
      </c>
      <c r="AK177" s="517" t="str">
        <f>IF(AND(Contract_Edits[[#This Row],[Dep]]&lt;&gt;0,
        ISNUMBER(MATCH(Contract_Edits[[#This Row],[Dep]], Contract_Edits[Index], 0)),
        INDEX(Contract_Edits[Dep], MATCH(Contract_Edits[[#This Row],[Dep]], Contract_Edits[Index], 0))=Contract_Edits[[#This Row],[Index]]),
   "2-cycle","")</f>
        <v/>
      </c>
      <c r="AL177" s="517" cm="1">
        <f t="array" ref="AL177">IF(Contract_Edits[[#This Row],[BaseFlag]]&lt;&gt;1,0,
   IF(TEXT(Contract_Edits[[#This Row],[Dep]],"0")=TEXT(Contract_Edits[[#This Row],[Index]],"0"),
      0,
      MAX(0, SUMPRODUCT(--(Contract_Edits[BaseFlag]=1),
                        --(TEXT(Contract_Edits[Dep],"0")=TEXT(Contract_Edits[[#This Row],[Dep]],"0"))) - 1)
   )
)</f>
        <v>0</v>
      </c>
      <c r="AM177" s="517" t="str" cm="1">
        <f t="array" ref="AM177">IF(Contract_Edits[[#This Row],[BaseFlag]]=1,
   TEXT(Contract_Edits[[#This Row],[Index]],"0"),
   NearestBaseL(TEXT(Contract_Edits[[#This Row],[ParentKey]],"0"),500,editsIdxTxt,editsParentKeyTxt,baseIdxTxt,baseCost)
)</f>
        <v>169</v>
      </c>
      <c r="AN177" s="517" cm="1">
        <f t="array" ref="AN177">1+SUMPRODUCT(
  (Contract_Edits[BaseFlag]=1)*
  (TEXT(Contract_Edits[ParentAnchor],"0")=TEXT(Contract_Edits[[#This Row],[ParentAnchor]],"0"))*
  (VALUE(TEXT(Contract_Edits[Index],"0"))&lt;VALUE(TEXT(Contract_Edits[[#This Row],[Index]],"0")))
)</f>
        <v>1</v>
      </c>
      <c r="AP177" s="190"/>
      <c r="AQ177" s="190"/>
      <c r="AR177" s="190"/>
      <c r="BC177" s="34"/>
      <c r="BD177" s="34"/>
      <c r="BE177" s="34"/>
      <c r="BF177" s="34"/>
      <c r="BZ177"/>
      <c r="CA177"/>
      <c r="CB177"/>
      <c r="CC177"/>
    </row>
    <row r="178" spans="1:81" ht="30">
      <c r="A178" t="s">
        <v>519</v>
      </c>
      <c r="B178" t="s">
        <v>521</v>
      </c>
      <c r="C178" t="s">
        <v>654</v>
      </c>
      <c r="D178" s="458" t="s">
        <v>691</v>
      </c>
      <c r="E178" s="458">
        <v>1</v>
      </c>
      <c r="F178">
        <v>5075</v>
      </c>
      <c r="G178">
        <v>5075</v>
      </c>
      <c r="H178">
        <v>169</v>
      </c>
      <c r="I178"/>
      <c r="J178">
        <v>108</v>
      </c>
      <c r="K178" s="107"/>
      <c r="L178" s="463">
        <v>108</v>
      </c>
      <c r="M178" s="176">
        <v>0</v>
      </c>
      <c r="N178" s="160">
        <v>0</v>
      </c>
      <c r="O178" s="546" cm="1">
        <f t="array" ref="O17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46079</v>
      </c>
      <c r="P178" s="566" t="s">
        <v>797</v>
      </c>
      <c r="Q178" s="566">
        <v>0</v>
      </c>
      <c r="R178" s="22"/>
      <c r="S178" s="463" cm="1">
        <f t="array" ref="S17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169</v>
      </c>
      <c r="T178">
        <v>1</v>
      </c>
      <c r="U178" s="176"/>
      <c r="V17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175.0102</v>
      </c>
      <c r="W178" s="497"/>
      <c r="X178" s="176"/>
      <c r="Y178" s="547" t="s">
        <v>891</v>
      </c>
      <c r="Z178" s="160" t="s">
        <v>458</v>
      </c>
      <c r="AA178" s="563">
        <v>103000</v>
      </c>
      <c r="AB178" cm="1">
        <f t="array" ref="AB178">ROW()-ROW(Contract_Edits[#Headers])</f>
        <v>154</v>
      </c>
      <c r="AC178">
        <f>IF(Contract_Edits[[#This Row],[RowPos]]&gt;1, Contract_Edits[[#This Row],[RowPos]]-1, 0)</f>
        <v>153</v>
      </c>
      <c r="AD178" s="35">
        <f>IF(N(Contract_Edits[[#This Row],[Dep]])=0, N(Contract_Edits[[#This Row],[Index]]), N(Contract_Edits[[#This Row],[Dep]]))</f>
        <v>169</v>
      </c>
      <c r="AE178" s="35" cm="1">
        <f t="array" ref="AE178">IF(OR(Contract_Edits[[#This Row],[Dep]]=0, TRIM(Contract_Edits[[#This Row],[Dep]])=""),
   0,
   IFERROR(
      _xlfn.XLOOKUP(1, (Contract_Edits[Dep]=Contract_Edits[[#This Row],[Dep]])*(Contract_Edits[RowPos]&lt;Contract_Edits[[#This Row],[RowPos]]), Contract_Edits[RowPos], , 0, -1),
      0
   )
)</f>
        <v>153</v>
      </c>
      <c r="AF178" s="35">
        <f>IF(OR(Contract_Edits[[#This Row],[Dep]]=0,Contract_Edits[[#This Row],[Dep]]=""),0,
   COUNTIFS(Contract_Edits[Dep],Contract_Edits[[#This Row],[Dep]],Contract_Edits[RowPos],"&lt;="&amp;Contract_Edits[[#This Row],[RowPos]],Contract_Edits[Approve],"Yes")
)</f>
        <v>2</v>
      </c>
      <c r="AG178" s="517">
        <f>--(
  ISNUMBER(SEARCH("BASE PARENT", UPPER(CLEAN(TRIM(_xlfn.XLOOKUP(TEXT(Contract_Edits[[#This Row],[Index]],"0"), baseIdxTxt, baseCost, "")))))) +
  ISNUMBER(SEARCH("DEPENDENCY GROUP", UPPER(CLEAN(TRIM(_xlfn.XLOOKUP(TEXT(Contract_Edits[[#This Row],[Index]],"0"), baseIdxTxt, baseCost, ""))))))
)</f>
        <v>0</v>
      </c>
      <c r="AH178" s="517" t="str" cm="1">
        <f t="array" ref="AH178">IF(Contract_Edits[[#This Row],[BaseFlag]]=1,
   10*BaseDepthL(TEXT(Contract_Edits[[#This Row],[Index]],"0"),500,editsIdxTxt,editsParentKeyTxt,baseIdxTxt,baseCost)-5,
   ""
)</f>
        <v/>
      </c>
      <c r="AI178" s="517" cm="1">
        <f t="array" ref="AI1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J178" s="517" t="str">
        <f>IF(Contract_Edits[[#This Row],[Dep]]=0,"Root",
   IF(ISNUMBER(MATCH(Contract_Edits[[#This Row],[Dep]],Contract_Edits[Index],0)),"OK","Missing")
)</f>
        <v>OK</v>
      </c>
      <c r="AK178" s="517" t="str">
        <f>IF(AND(Contract_Edits[[#This Row],[Dep]]&lt;&gt;0,
        ISNUMBER(MATCH(Contract_Edits[[#This Row],[Dep]], Contract_Edits[Index], 0)),
        INDEX(Contract_Edits[Dep], MATCH(Contract_Edits[[#This Row],[Dep]], Contract_Edits[Index], 0))=Contract_Edits[[#This Row],[Index]]),
   "2-cycle","")</f>
        <v/>
      </c>
      <c r="AL178" s="517" cm="1">
        <f t="array" ref="AL178">IF(Contract_Edits[[#This Row],[BaseFlag]]&lt;&gt;1,0,
   IF(TEXT(Contract_Edits[[#This Row],[Dep]],"0")=TEXT(Contract_Edits[[#This Row],[Index]],"0"),
      0,
      MAX(0, SUMPRODUCT(--(Contract_Edits[BaseFlag]=1),
                        --(TEXT(Contract_Edits[Dep],"0")=TEXT(Contract_Edits[[#This Row],[Dep]],"0"))) - 1)
   )
)</f>
        <v>0</v>
      </c>
      <c r="AM178" s="517" t="str" cm="1">
        <f t="array" ref="AM178">IF(Contract_Edits[[#This Row],[BaseFlag]]=1,
   TEXT(Contract_Edits[[#This Row],[Index]],"0"),
   NearestBaseL(TEXT(Contract_Edits[[#This Row],[ParentKey]],"0"),500,editsIdxTxt,editsParentKeyTxt,baseIdxTxt,baseCost)
)</f>
        <v>169</v>
      </c>
      <c r="AN178" s="517" cm="1">
        <f t="array" ref="AN178">1+SUMPRODUCT(
  (Contract_Edits[BaseFlag]=1)*
  (TEXT(Contract_Edits[ParentAnchor],"0")=TEXT(Contract_Edits[[#This Row],[ParentAnchor]],"0"))*
  (VALUE(TEXT(Contract_Edits[Index],"0"))&lt;VALUE(TEXT(Contract_Edits[[#This Row],[Index]],"0")))
)</f>
        <v>1</v>
      </c>
      <c r="AP178" s="190"/>
      <c r="AQ178" s="190"/>
      <c r="AR178" s="190"/>
      <c r="BC178" s="34"/>
      <c r="BD178" s="34"/>
      <c r="BE178" s="34"/>
      <c r="BF178" s="34"/>
      <c r="BZ178"/>
      <c r="CA178"/>
      <c r="CB178"/>
      <c r="CC178"/>
    </row>
    <row r="179" spans="1:81" ht="15">
      <c r="A179" t="s">
        <v>519</v>
      </c>
      <c r="B179" t="s">
        <v>521</v>
      </c>
      <c r="C179" t="s">
        <v>654</v>
      </c>
      <c r="D179" s="458" t="s">
        <v>687</v>
      </c>
      <c r="E179" s="458">
        <v>1</v>
      </c>
      <c r="F179">
        <v>4495</v>
      </c>
      <c r="G179">
        <v>4495</v>
      </c>
      <c r="H179">
        <v>169</v>
      </c>
      <c r="I179"/>
      <c r="J179">
        <v>106</v>
      </c>
      <c r="K179" s="107"/>
      <c r="L179" s="463">
        <v>106</v>
      </c>
      <c r="M179" s="176">
        <v>4</v>
      </c>
      <c r="N179" s="160">
        <v>0</v>
      </c>
      <c r="O179" s="546" cm="1">
        <f t="array" ref="O17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46079</v>
      </c>
      <c r="P179" s="566" t="s">
        <v>797</v>
      </c>
      <c r="Q179" s="566">
        <v>0</v>
      </c>
      <c r="R179" s="22"/>
      <c r="S179" s="463" cm="1">
        <f t="array" ref="S17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169</v>
      </c>
      <c r="T179">
        <v>1</v>
      </c>
      <c r="U179" s="176"/>
      <c r="V17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175.0103</v>
      </c>
      <c r="W179" s="497"/>
      <c r="X179" s="176" t="s">
        <v>852</v>
      </c>
      <c r="Y179" s="547" t="s">
        <v>891</v>
      </c>
      <c r="Z179" s="160" t="s">
        <v>458</v>
      </c>
      <c r="AA179" s="563">
        <v>103000</v>
      </c>
      <c r="AB179" cm="1">
        <f t="array" ref="AB179">ROW()-ROW(Contract_Edits[#Headers])</f>
        <v>155</v>
      </c>
      <c r="AC179">
        <f>IF(Contract_Edits[[#This Row],[RowPos]]&gt;1, Contract_Edits[[#This Row],[RowPos]]-1, 0)</f>
        <v>154</v>
      </c>
      <c r="AD179" s="35">
        <f>IF(N(Contract_Edits[[#This Row],[Dep]])=0, N(Contract_Edits[[#This Row],[Index]]), N(Contract_Edits[[#This Row],[Dep]]))</f>
        <v>169</v>
      </c>
      <c r="AE179" s="35" cm="1">
        <f t="array" ref="AE179">IF(OR(Contract_Edits[[#This Row],[Dep]]=0, TRIM(Contract_Edits[[#This Row],[Dep]])=""),
   0,
   IFERROR(
      _xlfn.XLOOKUP(1, (Contract_Edits[Dep]=Contract_Edits[[#This Row],[Dep]])*(Contract_Edits[RowPos]&lt;Contract_Edits[[#This Row],[RowPos]]), Contract_Edits[RowPos], , 0, -1),
      0
   )
)</f>
        <v>154</v>
      </c>
      <c r="AF179" s="35">
        <f>IF(OR(Contract_Edits[[#This Row],[Dep]]=0,Contract_Edits[[#This Row],[Dep]]=""),0,
   COUNTIFS(Contract_Edits[Dep],Contract_Edits[[#This Row],[Dep]],Contract_Edits[RowPos],"&lt;="&amp;Contract_Edits[[#This Row],[RowPos]],Contract_Edits[Approve],"Yes")
)</f>
        <v>3</v>
      </c>
      <c r="AG179" s="517">
        <f>--(
  ISNUMBER(SEARCH("BASE PARENT", UPPER(CLEAN(TRIM(_xlfn.XLOOKUP(TEXT(Contract_Edits[[#This Row],[Index]],"0"), baseIdxTxt, baseCost, "")))))) +
  ISNUMBER(SEARCH("DEPENDENCY GROUP", UPPER(CLEAN(TRIM(_xlfn.XLOOKUP(TEXT(Contract_Edits[[#This Row],[Index]],"0"), baseIdxTxt, baseCost, ""))))))
)</f>
        <v>0</v>
      </c>
      <c r="AH179" s="517" t="str" cm="1">
        <f t="array" ref="AH179">IF(Contract_Edits[[#This Row],[BaseFlag]]=1,
   10*BaseDepthL(TEXT(Contract_Edits[[#This Row],[Index]],"0"),500,editsIdxTxt,editsParentKeyTxt,baseIdxTxt,baseCost)-5,
   ""
)</f>
        <v/>
      </c>
      <c r="AI179" s="517" cm="1">
        <f t="array" ref="AI1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J179" s="517" t="str">
        <f>IF(Contract_Edits[[#This Row],[Dep]]=0,"Root",
   IF(ISNUMBER(MATCH(Contract_Edits[[#This Row],[Dep]],Contract_Edits[Index],0)),"OK","Missing")
)</f>
        <v>OK</v>
      </c>
      <c r="AK179" s="517" t="str">
        <f>IF(AND(Contract_Edits[[#This Row],[Dep]]&lt;&gt;0,
        ISNUMBER(MATCH(Contract_Edits[[#This Row],[Dep]], Contract_Edits[Index], 0)),
        INDEX(Contract_Edits[Dep], MATCH(Contract_Edits[[#This Row],[Dep]], Contract_Edits[Index], 0))=Contract_Edits[[#This Row],[Index]]),
   "2-cycle","")</f>
        <v/>
      </c>
      <c r="AL179" s="517" cm="1">
        <f t="array" ref="AL179">IF(Contract_Edits[[#This Row],[BaseFlag]]&lt;&gt;1,0,
   IF(TEXT(Contract_Edits[[#This Row],[Dep]],"0")=TEXT(Contract_Edits[[#This Row],[Index]],"0"),
      0,
      MAX(0, SUMPRODUCT(--(Contract_Edits[BaseFlag]=1),
                        --(TEXT(Contract_Edits[Dep],"0")=TEXT(Contract_Edits[[#This Row],[Dep]],"0"))) - 1)
   )
)</f>
        <v>0</v>
      </c>
      <c r="AM179" s="517" t="str" cm="1">
        <f t="array" ref="AM179">IF(Contract_Edits[[#This Row],[BaseFlag]]=1,
   TEXT(Contract_Edits[[#This Row],[Index]],"0"),
   NearestBaseL(TEXT(Contract_Edits[[#This Row],[ParentKey]],"0"),500,editsIdxTxt,editsParentKeyTxt,baseIdxTxt,baseCost)
)</f>
        <v>169</v>
      </c>
      <c r="AN179" s="517" cm="1">
        <f t="array" ref="AN179">1+SUMPRODUCT(
  (Contract_Edits[BaseFlag]=1)*
  (TEXT(Contract_Edits[ParentAnchor],"0")=TEXT(Contract_Edits[[#This Row],[ParentAnchor]],"0"))*
  (VALUE(TEXT(Contract_Edits[Index],"0"))&lt;VALUE(TEXT(Contract_Edits[[#This Row],[Index]],"0")))
)</f>
        <v>1</v>
      </c>
      <c r="AP179" s="190"/>
      <c r="AQ179" s="190"/>
      <c r="AR179" s="190"/>
      <c r="BC179" s="34"/>
      <c r="BD179" s="34"/>
      <c r="BE179" s="34"/>
      <c r="BF179" s="34"/>
      <c r="BZ179"/>
      <c r="CA179"/>
      <c r="CB179"/>
      <c r="CC179"/>
    </row>
    <row r="180" spans="1:81" ht="15">
      <c r="A180" t="s">
        <v>552</v>
      </c>
      <c r="B180" t="s">
        <v>793</v>
      </c>
      <c r="C180" t="s">
        <v>774</v>
      </c>
      <c r="D180" s="458" t="s">
        <v>1456</v>
      </c>
      <c r="E180" s="458">
        <v>1</v>
      </c>
      <c r="F180">
        <v>0</v>
      </c>
      <c r="G180">
        <v>0</v>
      </c>
      <c r="H180">
        <v>169</v>
      </c>
      <c r="I180"/>
      <c r="J180">
        <v>190</v>
      </c>
      <c r="K180" s="107"/>
      <c r="L180" s="463">
        <v>190</v>
      </c>
      <c r="M180" s="543"/>
      <c r="N180" s="544"/>
      <c r="O180" s="546" cm="1">
        <f t="array" ref="O18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46085</v>
      </c>
      <c r="P180" s="568"/>
      <c r="Q180" s="568"/>
      <c r="R180" s="499"/>
      <c r="S180" s="463" cm="1">
        <f t="array" ref="S18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169</v>
      </c>
      <c r="T180" s="34"/>
      <c r="U180" s="490"/>
      <c r="V18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175.0104</v>
      </c>
      <c r="W180" s="557"/>
      <c r="X180" s="545"/>
      <c r="Y180" s="548" t="s">
        <v>891</v>
      </c>
      <c r="Z180" s="160" t="s">
        <v>458</v>
      </c>
      <c r="AA180" s="563"/>
      <c r="AB180" s="34" cm="1">
        <f t="array" ref="AB180">ROW()-ROW(Contract_Edits[#Headers])</f>
        <v>156</v>
      </c>
      <c r="AC180" s="34">
        <f>IF(Contract_Edits[[#This Row],[RowPos]]&gt;1, Contract_Edits[[#This Row],[RowPos]]-1, 0)</f>
        <v>155</v>
      </c>
      <c r="AD180" s="35">
        <f>IF(N(Contract_Edits[[#This Row],[Dep]])=0, N(Contract_Edits[[#This Row],[Index]]), N(Contract_Edits[[#This Row],[Dep]]))</f>
        <v>169</v>
      </c>
      <c r="AE180" s="35" cm="1">
        <f t="array" ref="AE180">IF(OR(Contract_Edits[[#This Row],[Dep]]=0, TRIM(Contract_Edits[[#This Row],[Dep]])=""),
   0,
   IFERROR(
      _xlfn.XLOOKUP(1, (Contract_Edits[Dep]=Contract_Edits[[#This Row],[Dep]])*(Contract_Edits[RowPos]&lt;Contract_Edits[[#This Row],[RowPos]]), Contract_Edits[RowPos], , 0, -1),
      0
   )
)</f>
        <v>155</v>
      </c>
      <c r="AF180" s="35">
        <f>IF(OR(Contract_Edits[[#This Row],[Dep]]=0,Contract_Edits[[#This Row],[Dep]]=""),0,
   COUNTIFS(Contract_Edits[Dep],Contract_Edits[[#This Row],[Dep]],Contract_Edits[RowPos],"&lt;="&amp;Contract_Edits[[#This Row],[RowPos]],Contract_Edits[Approve],"Yes")
)</f>
        <v>4</v>
      </c>
      <c r="AG180" s="517">
        <f>--(
  ISNUMBER(SEARCH("BASE PARENT", UPPER(CLEAN(TRIM(_xlfn.XLOOKUP(TEXT(Contract_Edits[[#This Row],[Index]],"0"), baseIdxTxt, baseCost, "")))))) +
  ISNUMBER(SEARCH("DEPENDENCY GROUP", UPPER(CLEAN(TRIM(_xlfn.XLOOKUP(TEXT(Contract_Edits[[#This Row],[Index]],"0"), baseIdxTxt, baseCost, ""))))))
)</f>
        <v>0</v>
      </c>
      <c r="AH180" s="517" t="str" cm="1">
        <f t="array" ref="AH180">IF(Contract_Edits[[#This Row],[BaseFlag]]=1,
   10*BaseDepthL(TEXT(Contract_Edits[[#This Row],[Index]],"0"),500,editsIdxTxt,editsParentKeyTxt,baseIdxTxt,baseCost)-5,
   ""
)</f>
        <v/>
      </c>
      <c r="AI180" s="517" cm="1">
        <f t="array" ref="AI1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J180" s="517" t="str">
        <f>IF(Contract_Edits[[#This Row],[Dep]]=0,"Root",
   IF(ISNUMBER(MATCH(Contract_Edits[[#This Row],[Dep]],Contract_Edits[Index],0)),"OK","Missing")
)</f>
        <v>OK</v>
      </c>
      <c r="AK180" s="517" t="str">
        <f>IF(AND(Contract_Edits[[#This Row],[Dep]]&lt;&gt;0,
        ISNUMBER(MATCH(Contract_Edits[[#This Row],[Dep]], Contract_Edits[Index], 0)),
        INDEX(Contract_Edits[Dep], MATCH(Contract_Edits[[#This Row],[Dep]], Contract_Edits[Index], 0))=Contract_Edits[[#This Row],[Index]]),
   "2-cycle","")</f>
        <v/>
      </c>
      <c r="AL180" s="517" cm="1">
        <f t="array" ref="AL180">IF(Contract_Edits[[#This Row],[BaseFlag]]&lt;&gt;1,0,
   IF(TEXT(Contract_Edits[[#This Row],[Dep]],"0")=TEXT(Contract_Edits[[#This Row],[Index]],"0"),
      0,
      MAX(0, SUMPRODUCT(--(Contract_Edits[BaseFlag]=1),
                        --(TEXT(Contract_Edits[Dep],"0")=TEXT(Contract_Edits[[#This Row],[Dep]],"0"))) - 1)
   )
)</f>
        <v>0</v>
      </c>
      <c r="AM180" s="517" t="str" cm="1">
        <f t="array" ref="AM180">IF(Contract_Edits[[#This Row],[BaseFlag]]=1,
   TEXT(Contract_Edits[[#This Row],[Index]],"0"),
   NearestBaseL(TEXT(Contract_Edits[[#This Row],[ParentKey]],"0"),500,editsIdxTxt,editsParentKeyTxt,baseIdxTxt,baseCost)
)</f>
        <v>169</v>
      </c>
      <c r="AN180" s="517" cm="1">
        <f t="array" ref="AN180">1+SUMPRODUCT(
  (Contract_Edits[BaseFlag]=1)*
  (TEXT(Contract_Edits[ParentAnchor],"0")=TEXT(Contract_Edits[[#This Row],[ParentAnchor]],"0"))*
  (VALUE(TEXT(Contract_Edits[Index],"0"))&lt;VALUE(TEXT(Contract_Edits[[#This Row],[Index]],"0")))
)</f>
        <v>2</v>
      </c>
      <c r="AP180" s="190"/>
      <c r="AQ180" s="190"/>
      <c r="AR180" s="190"/>
      <c r="BC180" s="34"/>
      <c r="BD180" s="34"/>
      <c r="BE180" s="34"/>
      <c r="BF180" s="34"/>
      <c r="BZ180"/>
      <c r="CA180"/>
      <c r="CB180"/>
      <c r="CC180"/>
    </row>
    <row r="181" spans="1:81" ht="15">
      <c r="A181" t="s">
        <v>747</v>
      </c>
      <c r="B181" t="s">
        <v>744</v>
      </c>
      <c r="C181" t="s">
        <v>766</v>
      </c>
      <c r="D181" s="458" t="s">
        <v>767</v>
      </c>
      <c r="E181" s="458">
        <v>0</v>
      </c>
      <c r="F181"/>
      <c r="G181"/>
      <c r="H181">
        <v>169</v>
      </c>
      <c r="I181"/>
      <c r="J181">
        <v>170</v>
      </c>
      <c r="K181" s="107"/>
      <c r="L181" s="463">
        <v>170</v>
      </c>
      <c r="M181" s="490"/>
      <c r="N181" s="160">
        <v>0</v>
      </c>
      <c r="O181" s="546" cm="1">
        <f t="array" ref="O18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46085</v>
      </c>
      <c r="P181" s="567"/>
      <c r="Q181" s="567"/>
      <c r="R181" s="499"/>
      <c r="S181" s="463" cm="1">
        <f t="array" ref="S18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169</v>
      </c>
      <c r="T181" s="34">
        <v>1</v>
      </c>
      <c r="U181" s="490"/>
      <c r="V18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v>
      </c>
      <c r="W181" s="557"/>
      <c r="X181" s="545"/>
      <c r="Y181" s="548"/>
      <c r="Z181" s="535" t="s">
        <v>458</v>
      </c>
      <c r="AA181" s="563">
        <v>104500</v>
      </c>
      <c r="AB181" cm="1">
        <f t="array" ref="AB181">ROW()-ROW(Contract_Edits[#Headers])</f>
        <v>157</v>
      </c>
      <c r="AC181">
        <f>IF(Contract_Edits[[#This Row],[RowPos]]&gt;1, Contract_Edits[[#This Row],[RowPos]]-1, 0)</f>
        <v>156</v>
      </c>
      <c r="AD181" s="35">
        <f>IF(N(Contract_Edits[[#This Row],[Dep]])=0, N(Contract_Edits[[#This Row],[Index]]), N(Contract_Edits[[#This Row],[Dep]]))</f>
        <v>169</v>
      </c>
      <c r="AE181" s="35" cm="1">
        <f t="array" ref="AE181">IF(OR(Contract_Edits[[#This Row],[Dep]]=0, TRIM(Contract_Edits[[#This Row],[Dep]])=""),
   0,
   IFERROR(
      _xlfn.XLOOKUP(1, (Contract_Edits[Dep]=Contract_Edits[[#This Row],[Dep]])*(Contract_Edits[RowPos]&lt;Contract_Edits[[#This Row],[RowPos]]), Contract_Edits[RowPos], , 0, -1),
      0
   )
)</f>
        <v>156</v>
      </c>
      <c r="AF181" s="35">
        <f>IF(OR(Contract_Edits[[#This Row],[Dep]]=0,Contract_Edits[[#This Row],[Dep]]=""),0,
   COUNTIFS(Contract_Edits[Dep],Contract_Edits[[#This Row],[Dep]],Contract_Edits[RowPos],"&lt;="&amp;Contract_Edits[[#This Row],[RowPos]],Contract_Edits[Approve],"Yes")
)</f>
        <v>5</v>
      </c>
      <c r="AG181" s="517">
        <f>--(
  ISNUMBER(SEARCH("BASE PARENT", UPPER(CLEAN(TRIM(_xlfn.XLOOKUP(TEXT(Contract_Edits[[#This Row],[Index]],"0"), baseIdxTxt, baseCost, "")))))) +
  ISNUMBER(SEARCH("DEPENDENCY GROUP", UPPER(CLEAN(TRIM(_xlfn.XLOOKUP(TEXT(Contract_Edits[[#This Row],[Index]],"0"), baseIdxTxt, baseCost, ""))))))
)</f>
        <v>1</v>
      </c>
      <c r="AH181" s="517" cm="1">
        <f t="array" ref="AH181">IF(Contract_Edits[[#This Row],[BaseFlag]]=1,
   10*BaseDepthL(TEXT(Contract_Edits[[#This Row],[Index]],"0"),500,editsIdxTxt,editsParentKeyTxt,baseIdxTxt,baseCost)-5,
   ""
)</f>
        <v>185</v>
      </c>
      <c r="AI181" s="517" cm="1">
        <f t="array" ref="AI1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J181" s="517" t="str">
        <f>IF(Contract_Edits[[#This Row],[Dep]]=0,"Root",
   IF(ISNUMBER(MATCH(Contract_Edits[[#This Row],[Dep]],Contract_Edits[Index],0)),"OK","Missing")
)</f>
        <v>OK</v>
      </c>
      <c r="AK181" s="517" t="str">
        <f>IF(AND(Contract_Edits[[#This Row],[Dep]]&lt;&gt;0,
        ISNUMBER(MATCH(Contract_Edits[[#This Row],[Dep]], Contract_Edits[Index], 0)),
        INDEX(Contract_Edits[Dep], MATCH(Contract_Edits[[#This Row],[Dep]], Contract_Edits[Index], 0))=Contract_Edits[[#This Row],[Index]]),
   "2-cycle","")</f>
        <v/>
      </c>
      <c r="AL181" s="517" cm="1">
        <f t="array" ref="AL181">IF(Contract_Edits[[#This Row],[BaseFlag]]&lt;&gt;1,0,
   IF(TEXT(Contract_Edits[[#This Row],[Dep]],"0")=TEXT(Contract_Edits[[#This Row],[Index]],"0"),
      0,
      MAX(0, SUMPRODUCT(--(Contract_Edits[BaseFlag]=1),
                        --(TEXT(Contract_Edits[Dep],"0")=TEXT(Contract_Edits[[#This Row],[Dep]],"0"))) - 1)
   )
)</f>
        <v>0</v>
      </c>
      <c r="AM181" s="517" t="str" cm="1">
        <f t="array" ref="AM181">IF(Contract_Edits[[#This Row],[BaseFlag]]=1,
   TEXT(Contract_Edits[[#This Row],[Index]],"0"),
   NearestBaseL(TEXT(Contract_Edits[[#This Row],[ParentKey]],"0"),500,editsIdxTxt,editsParentKeyTxt,baseIdxTxt,baseCost)
)</f>
        <v>170</v>
      </c>
      <c r="AN181" s="517" cm="1">
        <f t="array" ref="AN181">1+SUMPRODUCT(
  (Contract_Edits[BaseFlag]=1)*
  (TEXT(Contract_Edits[ParentAnchor],"0")=TEXT(Contract_Edits[[#This Row],[ParentAnchor]],"0"))*
  (VALUE(TEXT(Contract_Edits[Index],"0"))&lt;VALUE(TEXT(Contract_Edits[[#This Row],[Index]],"0")))
)</f>
        <v>1</v>
      </c>
      <c r="AP181" s="190"/>
      <c r="AQ181" s="190"/>
      <c r="AR181" s="190"/>
      <c r="BC181" s="34"/>
      <c r="BD181" s="34"/>
      <c r="BE181" s="34"/>
      <c r="BF181" s="34"/>
      <c r="BZ181"/>
      <c r="CA181"/>
      <c r="CB181"/>
      <c r="CC181"/>
    </row>
    <row r="182" spans="1:81" ht="30">
      <c r="A182" t="s">
        <v>519</v>
      </c>
      <c r="B182" t="s">
        <v>587</v>
      </c>
      <c r="C182" t="s">
        <v>602</v>
      </c>
      <c r="D182" s="458" t="s">
        <v>603</v>
      </c>
      <c r="E182" s="458">
        <v>77</v>
      </c>
      <c r="F182">
        <v>26.1</v>
      </c>
      <c r="G182">
        <v>2009.7</v>
      </c>
      <c r="H182">
        <v>170</v>
      </c>
      <c r="I182"/>
      <c r="J182">
        <v>45</v>
      </c>
      <c r="K182" s="107"/>
      <c r="L182" s="463">
        <v>45</v>
      </c>
      <c r="M182" s="176">
        <v>2</v>
      </c>
      <c r="N182" s="160">
        <v>0</v>
      </c>
      <c r="O182" s="546" cm="1">
        <f t="array" ref="O18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46085</v>
      </c>
      <c r="P182" s="566" t="s">
        <v>797</v>
      </c>
      <c r="Q182" s="566">
        <v>0</v>
      </c>
      <c r="R182" s="22"/>
      <c r="S182" s="463" cm="1">
        <f t="array" ref="S18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2">
        <v>1</v>
      </c>
      <c r="U182" s="176"/>
      <c r="V18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185.01009999999999</v>
      </c>
      <c r="W182" s="497"/>
      <c r="X182" s="176" t="s">
        <v>866</v>
      </c>
      <c r="Y182" s="547" t="s">
        <v>892</v>
      </c>
      <c r="Z182" s="160" t="s">
        <v>458</v>
      </c>
      <c r="AA182" s="563">
        <v>104500</v>
      </c>
      <c r="AB182" cm="1">
        <f t="array" ref="AB182">ROW()-ROW(Contract_Edits[#Headers])</f>
        <v>158</v>
      </c>
      <c r="AC182">
        <f>IF(Contract_Edits[[#This Row],[RowPos]]&gt;1, Contract_Edits[[#This Row],[RowPos]]-1, 0)</f>
        <v>157</v>
      </c>
      <c r="AD182" s="35">
        <f>IF(N(Contract_Edits[[#This Row],[Dep]])=0, N(Contract_Edits[[#This Row],[Index]]), N(Contract_Edits[[#This Row],[Dep]]))</f>
        <v>170</v>
      </c>
      <c r="AE182" s="35" cm="1">
        <f t="array" ref="AE182">IF(OR(Contract_Edits[[#This Row],[Dep]]=0, TRIM(Contract_Edits[[#This Row],[Dep]])=""),
   0,
   IFERROR(
      _xlfn.XLOOKUP(1, (Contract_Edits[Dep]=Contract_Edits[[#This Row],[Dep]])*(Contract_Edits[RowPos]&lt;Contract_Edits[[#This Row],[RowPos]]), Contract_Edits[RowPos], , 0, -1),
      0
   )
)</f>
        <v>0</v>
      </c>
      <c r="AF182" s="35">
        <f>IF(OR(Contract_Edits[[#This Row],[Dep]]=0,Contract_Edits[[#This Row],[Dep]]=""),0,
   COUNTIFS(Contract_Edits[Dep],Contract_Edits[[#This Row],[Dep]],Contract_Edits[RowPos],"&lt;="&amp;Contract_Edits[[#This Row],[RowPos]],Contract_Edits[Approve],"Yes")
)</f>
        <v>1</v>
      </c>
      <c r="AG182" s="517">
        <f>--(
  ISNUMBER(SEARCH("BASE PARENT", UPPER(CLEAN(TRIM(_xlfn.XLOOKUP(TEXT(Contract_Edits[[#This Row],[Index]],"0"), baseIdxTxt, baseCost, "")))))) +
  ISNUMBER(SEARCH("DEPENDENCY GROUP", UPPER(CLEAN(TRIM(_xlfn.XLOOKUP(TEXT(Contract_Edits[[#This Row],[Index]],"0"), baseIdxTxt, baseCost, ""))))))
)</f>
        <v>0</v>
      </c>
      <c r="AH182" s="517" t="str" cm="1">
        <f t="array" ref="AH182">IF(Contract_Edits[[#This Row],[BaseFlag]]=1,
   10*BaseDepthL(TEXT(Contract_Edits[[#This Row],[Index]],"0"),500,editsIdxTxt,editsParentKeyTxt,baseIdxTxt,baseCost)-5,
   ""
)</f>
        <v/>
      </c>
      <c r="AI182" s="517" cm="1">
        <f t="array" ref="AI1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2" s="517" t="str">
        <f>IF(Contract_Edits[[#This Row],[Dep]]=0,"Root",
   IF(ISNUMBER(MATCH(Contract_Edits[[#This Row],[Dep]],Contract_Edits[Index],0)),"OK","Missing")
)</f>
        <v>OK</v>
      </c>
      <c r="AK182" s="517" t="str">
        <f>IF(AND(Contract_Edits[[#This Row],[Dep]]&lt;&gt;0,
        ISNUMBER(MATCH(Contract_Edits[[#This Row],[Dep]], Contract_Edits[Index], 0)),
        INDEX(Contract_Edits[Dep], MATCH(Contract_Edits[[#This Row],[Dep]], Contract_Edits[Index], 0))=Contract_Edits[[#This Row],[Index]]),
   "2-cycle","")</f>
        <v/>
      </c>
      <c r="AL182" s="517" cm="1">
        <f t="array" ref="AL182">IF(Contract_Edits[[#This Row],[BaseFlag]]&lt;&gt;1,0,
   IF(TEXT(Contract_Edits[[#This Row],[Dep]],"0")=TEXT(Contract_Edits[[#This Row],[Index]],"0"),
      0,
      MAX(0, SUMPRODUCT(--(Contract_Edits[BaseFlag]=1),
                        --(TEXT(Contract_Edits[Dep],"0")=TEXT(Contract_Edits[[#This Row],[Dep]],"0"))) - 1)
   )
)</f>
        <v>0</v>
      </c>
      <c r="AM182" s="517" t="str" cm="1">
        <f t="array" ref="AM182">IF(Contract_Edits[[#This Row],[BaseFlag]]=1,
   TEXT(Contract_Edits[[#This Row],[Index]],"0"),
   NearestBaseL(TEXT(Contract_Edits[[#This Row],[ParentKey]],"0"),500,editsIdxTxt,editsParentKeyTxt,baseIdxTxt,baseCost)
)</f>
        <v>170</v>
      </c>
      <c r="AN182" s="517" cm="1">
        <f t="array" ref="AN182">1+SUMPRODUCT(
  (Contract_Edits[BaseFlag]=1)*
  (TEXT(Contract_Edits[ParentAnchor],"0")=TEXT(Contract_Edits[[#This Row],[ParentAnchor]],"0"))*
  (VALUE(TEXT(Contract_Edits[Index],"0"))&lt;VALUE(TEXT(Contract_Edits[[#This Row],[Index]],"0")))
)</f>
        <v>1</v>
      </c>
      <c r="AP182" s="190"/>
      <c r="AQ182" s="190"/>
      <c r="AR182" s="190"/>
      <c r="BC182" s="34"/>
      <c r="BD182" s="34"/>
      <c r="BE182" s="34"/>
      <c r="BF182" s="34"/>
      <c r="BZ182"/>
      <c r="CA182"/>
      <c r="CB182"/>
      <c r="CC182"/>
    </row>
    <row r="183" spans="1:81" ht="15">
      <c r="A183" t="s">
        <v>519</v>
      </c>
      <c r="B183" t="s">
        <v>639</v>
      </c>
      <c r="C183" t="s">
        <v>637</v>
      </c>
      <c r="D183" s="458" t="s">
        <v>672</v>
      </c>
      <c r="E183" s="458">
        <v>1</v>
      </c>
      <c r="F183">
        <v>1450</v>
      </c>
      <c r="G183">
        <v>1450</v>
      </c>
      <c r="H183">
        <v>170</v>
      </c>
      <c r="I183"/>
      <c r="J183">
        <v>95</v>
      </c>
      <c r="K183" s="107"/>
      <c r="L183" s="463">
        <v>95</v>
      </c>
      <c r="M183" s="176">
        <v>1</v>
      </c>
      <c r="N183" s="160">
        <v>0</v>
      </c>
      <c r="O183" s="546" cm="1">
        <f t="array" ref="O18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46087</v>
      </c>
      <c r="P183" s="566" t="s">
        <v>797</v>
      </c>
      <c r="Q183" s="566">
        <v>0</v>
      </c>
      <c r="R183" s="22"/>
      <c r="S183" s="463" cm="1">
        <f t="array" ref="S18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3">
        <v>1</v>
      </c>
      <c r="U183" s="176"/>
      <c r="V18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185.0102</v>
      </c>
      <c r="W183" s="497"/>
      <c r="X183" s="176" t="s">
        <v>852</v>
      </c>
      <c r="Y183" s="547" t="s">
        <v>892</v>
      </c>
      <c r="Z183" s="160" t="s">
        <v>458</v>
      </c>
      <c r="AA183" s="563">
        <v>104500</v>
      </c>
      <c r="AB183" cm="1">
        <f t="array" ref="AB183">ROW()-ROW(Contract_Edits[#Headers])</f>
        <v>159</v>
      </c>
      <c r="AC183">
        <f>IF(Contract_Edits[[#This Row],[RowPos]]&gt;1, Contract_Edits[[#This Row],[RowPos]]-1, 0)</f>
        <v>158</v>
      </c>
      <c r="AD183" s="35">
        <f>IF(N(Contract_Edits[[#This Row],[Dep]])=0, N(Contract_Edits[[#This Row],[Index]]), N(Contract_Edits[[#This Row],[Dep]]))</f>
        <v>170</v>
      </c>
      <c r="AE183" s="35" cm="1">
        <f t="array" ref="AE183">IF(OR(Contract_Edits[[#This Row],[Dep]]=0, TRIM(Contract_Edits[[#This Row],[Dep]])=""),
   0,
   IFERROR(
      _xlfn.XLOOKUP(1, (Contract_Edits[Dep]=Contract_Edits[[#This Row],[Dep]])*(Contract_Edits[RowPos]&lt;Contract_Edits[[#This Row],[RowPos]]), Contract_Edits[RowPos], , 0, -1),
      0
   )
)</f>
        <v>158</v>
      </c>
      <c r="AF183" s="35">
        <f>IF(OR(Contract_Edits[[#This Row],[Dep]]=0,Contract_Edits[[#This Row],[Dep]]=""),0,
   COUNTIFS(Contract_Edits[Dep],Contract_Edits[[#This Row],[Dep]],Contract_Edits[RowPos],"&lt;="&amp;Contract_Edits[[#This Row],[RowPos]],Contract_Edits[Approve],"Yes")
)</f>
        <v>2</v>
      </c>
      <c r="AG183" s="517">
        <f>--(
  ISNUMBER(SEARCH("BASE PARENT", UPPER(CLEAN(TRIM(_xlfn.XLOOKUP(TEXT(Contract_Edits[[#This Row],[Index]],"0"), baseIdxTxt, baseCost, "")))))) +
  ISNUMBER(SEARCH("DEPENDENCY GROUP", UPPER(CLEAN(TRIM(_xlfn.XLOOKUP(TEXT(Contract_Edits[[#This Row],[Index]],"0"), baseIdxTxt, baseCost, ""))))))
)</f>
        <v>0</v>
      </c>
      <c r="AH183" s="517" t="str" cm="1">
        <f t="array" ref="AH183">IF(Contract_Edits[[#This Row],[BaseFlag]]=1,
   10*BaseDepthL(TEXT(Contract_Edits[[#This Row],[Index]],"0"),500,editsIdxTxt,editsParentKeyTxt,baseIdxTxt,baseCost)-5,
   ""
)</f>
        <v/>
      </c>
      <c r="AI183" s="517" cm="1">
        <f t="array" ref="AI1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3" s="517" t="str">
        <f>IF(Contract_Edits[[#This Row],[Dep]]=0,"Root",
   IF(ISNUMBER(MATCH(Contract_Edits[[#This Row],[Dep]],Contract_Edits[Index],0)),"OK","Missing")
)</f>
        <v>OK</v>
      </c>
      <c r="AK183" s="517" t="str">
        <f>IF(AND(Contract_Edits[[#This Row],[Dep]]&lt;&gt;0,
        ISNUMBER(MATCH(Contract_Edits[[#This Row],[Dep]], Contract_Edits[Index], 0)),
        INDEX(Contract_Edits[Dep], MATCH(Contract_Edits[[#This Row],[Dep]], Contract_Edits[Index], 0))=Contract_Edits[[#This Row],[Index]]),
   "2-cycle","")</f>
        <v/>
      </c>
      <c r="AL183" s="517" cm="1">
        <f t="array" ref="AL183">IF(Contract_Edits[[#This Row],[BaseFlag]]&lt;&gt;1,0,
   IF(TEXT(Contract_Edits[[#This Row],[Dep]],"0")=TEXT(Contract_Edits[[#This Row],[Index]],"0"),
      0,
      MAX(0, SUMPRODUCT(--(Contract_Edits[BaseFlag]=1),
                        --(TEXT(Contract_Edits[Dep],"0")=TEXT(Contract_Edits[[#This Row],[Dep]],"0"))) - 1)
   )
)</f>
        <v>0</v>
      </c>
      <c r="AM183" s="517" t="str" cm="1">
        <f t="array" ref="AM183">IF(Contract_Edits[[#This Row],[BaseFlag]]=1,
   TEXT(Contract_Edits[[#This Row],[Index]],"0"),
   NearestBaseL(TEXT(Contract_Edits[[#This Row],[ParentKey]],"0"),500,editsIdxTxt,editsParentKeyTxt,baseIdxTxt,baseCost)
)</f>
        <v>170</v>
      </c>
      <c r="AN183" s="517" cm="1">
        <f t="array" ref="AN183">1+SUMPRODUCT(
  (Contract_Edits[BaseFlag]=1)*
  (TEXT(Contract_Edits[ParentAnchor],"0")=TEXT(Contract_Edits[[#This Row],[ParentAnchor]],"0"))*
  (VALUE(TEXT(Contract_Edits[Index],"0"))&lt;VALUE(TEXT(Contract_Edits[[#This Row],[Index]],"0")))
)</f>
        <v>1</v>
      </c>
      <c r="AP183" s="190"/>
      <c r="AQ183" s="190"/>
      <c r="AR183" s="190"/>
      <c r="BC183" s="34"/>
      <c r="BD183" s="34"/>
      <c r="BE183" s="34"/>
      <c r="BF183" s="34"/>
      <c r="BZ183"/>
      <c r="CA183"/>
      <c r="CB183"/>
      <c r="CC183"/>
    </row>
    <row r="184" spans="1:81" ht="15">
      <c r="A184" t="s">
        <v>519</v>
      </c>
      <c r="B184" t="s">
        <v>608</v>
      </c>
      <c r="C184" t="s">
        <v>600</v>
      </c>
      <c r="D184" s="458" t="s">
        <v>630</v>
      </c>
      <c r="E184" s="458">
        <v>72</v>
      </c>
      <c r="F184">
        <v>26.1</v>
      </c>
      <c r="G184">
        <v>1879.2</v>
      </c>
      <c r="H184">
        <v>170</v>
      </c>
      <c r="I184"/>
      <c r="J184">
        <v>64</v>
      </c>
      <c r="K184" s="107"/>
      <c r="L184" s="463">
        <v>64</v>
      </c>
      <c r="M184" s="176">
        <v>2</v>
      </c>
      <c r="N184" s="160">
        <v>0</v>
      </c>
      <c r="O184" s="546" cm="1">
        <f t="array" ref="O18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46090</v>
      </c>
      <c r="P184" s="566" t="s">
        <v>797</v>
      </c>
      <c r="Q184" s="566">
        <v>0</v>
      </c>
      <c r="R184" s="22"/>
      <c r="S184" s="463" cm="1">
        <f t="array" ref="S18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4">
        <v>1</v>
      </c>
      <c r="U184" s="176"/>
      <c r="V18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185.0103</v>
      </c>
      <c r="W184" s="497"/>
      <c r="X184" s="176" t="s">
        <v>852</v>
      </c>
      <c r="Y184" s="547" t="s">
        <v>892</v>
      </c>
      <c r="Z184" s="160" t="s">
        <v>458</v>
      </c>
      <c r="AA184" s="563">
        <v>104500</v>
      </c>
      <c r="AB184" cm="1">
        <f t="array" ref="AB184">ROW()-ROW(Contract_Edits[#Headers])</f>
        <v>160</v>
      </c>
      <c r="AC184">
        <f>IF(Contract_Edits[[#This Row],[RowPos]]&gt;1, Contract_Edits[[#This Row],[RowPos]]-1, 0)</f>
        <v>159</v>
      </c>
      <c r="AD184" s="35">
        <f>IF(N(Contract_Edits[[#This Row],[Dep]])=0, N(Contract_Edits[[#This Row],[Index]]), N(Contract_Edits[[#This Row],[Dep]]))</f>
        <v>170</v>
      </c>
      <c r="AE184" s="35" cm="1">
        <f t="array" ref="AE184">IF(OR(Contract_Edits[[#This Row],[Dep]]=0, TRIM(Contract_Edits[[#This Row],[Dep]])=""),
   0,
   IFERROR(
      _xlfn.XLOOKUP(1, (Contract_Edits[Dep]=Contract_Edits[[#This Row],[Dep]])*(Contract_Edits[RowPos]&lt;Contract_Edits[[#This Row],[RowPos]]), Contract_Edits[RowPos], , 0, -1),
      0
   )
)</f>
        <v>159</v>
      </c>
      <c r="AF184" s="35">
        <f>IF(OR(Contract_Edits[[#This Row],[Dep]]=0,Contract_Edits[[#This Row],[Dep]]=""),0,
   COUNTIFS(Contract_Edits[Dep],Contract_Edits[[#This Row],[Dep]],Contract_Edits[RowPos],"&lt;="&amp;Contract_Edits[[#This Row],[RowPos]],Contract_Edits[Approve],"Yes")
)</f>
        <v>3</v>
      </c>
      <c r="AG184" s="517">
        <f>--(
  ISNUMBER(SEARCH("BASE PARENT", UPPER(CLEAN(TRIM(_xlfn.XLOOKUP(TEXT(Contract_Edits[[#This Row],[Index]],"0"), baseIdxTxt, baseCost, "")))))) +
  ISNUMBER(SEARCH("DEPENDENCY GROUP", UPPER(CLEAN(TRIM(_xlfn.XLOOKUP(TEXT(Contract_Edits[[#This Row],[Index]],"0"), baseIdxTxt, baseCost, ""))))))
)</f>
        <v>0</v>
      </c>
      <c r="AH184" s="517" t="str" cm="1">
        <f t="array" ref="AH184">IF(Contract_Edits[[#This Row],[BaseFlag]]=1,
   10*BaseDepthL(TEXT(Contract_Edits[[#This Row],[Index]],"0"),500,editsIdxTxt,editsParentKeyTxt,baseIdxTxt,baseCost)-5,
   ""
)</f>
        <v/>
      </c>
      <c r="AI184" s="517" cm="1">
        <f t="array" ref="AI1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4" s="517" t="str">
        <f>IF(Contract_Edits[[#This Row],[Dep]]=0,"Root",
   IF(ISNUMBER(MATCH(Contract_Edits[[#This Row],[Dep]],Contract_Edits[Index],0)),"OK","Missing")
)</f>
        <v>OK</v>
      </c>
      <c r="AK184" s="517" t="str">
        <f>IF(AND(Contract_Edits[[#This Row],[Dep]]&lt;&gt;0,
        ISNUMBER(MATCH(Contract_Edits[[#This Row],[Dep]], Contract_Edits[Index], 0)),
        INDEX(Contract_Edits[Dep], MATCH(Contract_Edits[[#This Row],[Dep]], Contract_Edits[Index], 0))=Contract_Edits[[#This Row],[Index]]),
   "2-cycle","")</f>
        <v/>
      </c>
      <c r="AL184" s="517" cm="1">
        <f t="array" ref="AL184">IF(Contract_Edits[[#This Row],[BaseFlag]]&lt;&gt;1,0,
   IF(TEXT(Contract_Edits[[#This Row],[Dep]],"0")=TEXT(Contract_Edits[[#This Row],[Index]],"0"),
      0,
      MAX(0, SUMPRODUCT(--(Contract_Edits[BaseFlag]=1),
                        --(TEXT(Contract_Edits[Dep],"0")=TEXT(Contract_Edits[[#This Row],[Dep]],"0"))) - 1)
   )
)</f>
        <v>0</v>
      </c>
      <c r="AM184" s="517" t="str" cm="1">
        <f t="array" ref="AM184">IF(Contract_Edits[[#This Row],[BaseFlag]]=1,
   TEXT(Contract_Edits[[#This Row],[Index]],"0"),
   NearestBaseL(TEXT(Contract_Edits[[#This Row],[ParentKey]],"0"),500,editsIdxTxt,editsParentKeyTxt,baseIdxTxt,baseCost)
)</f>
        <v>170</v>
      </c>
      <c r="AN184" s="517" cm="1">
        <f t="array" ref="AN184">1+SUMPRODUCT(
  (Contract_Edits[BaseFlag]=1)*
  (TEXT(Contract_Edits[ParentAnchor],"0")=TEXT(Contract_Edits[[#This Row],[ParentAnchor]],"0"))*
  (VALUE(TEXT(Contract_Edits[Index],"0"))&lt;VALUE(TEXT(Contract_Edits[[#This Row],[Index]],"0")))
)</f>
        <v>1</v>
      </c>
      <c r="AP184" s="190"/>
      <c r="AQ184" s="190"/>
      <c r="AR184" s="190"/>
      <c r="BC184" s="34"/>
      <c r="BD184" s="34"/>
      <c r="BE184" s="34"/>
      <c r="BF184" s="34"/>
      <c r="BZ184"/>
      <c r="CA184"/>
      <c r="CB184"/>
      <c r="CC184"/>
    </row>
    <row r="185" spans="1:81" ht="15">
      <c r="A185" t="s">
        <v>519</v>
      </c>
      <c r="B185" t="s">
        <v>608</v>
      </c>
      <c r="C185" t="s">
        <v>637</v>
      </c>
      <c r="D185" s="458" t="s">
        <v>638</v>
      </c>
      <c r="E185" s="458">
        <v>1</v>
      </c>
      <c r="F185">
        <v>2175</v>
      </c>
      <c r="G185">
        <v>2175</v>
      </c>
      <c r="H185">
        <v>170</v>
      </c>
      <c r="I185"/>
      <c r="J185">
        <v>71</v>
      </c>
      <c r="K185" s="107"/>
      <c r="L185" s="463">
        <v>71</v>
      </c>
      <c r="M185" s="176">
        <v>1</v>
      </c>
      <c r="N185" s="160">
        <v>0</v>
      </c>
      <c r="O185" s="546" cm="1">
        <f t="array" ref="O18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46092</v>
      </c>
      <c r="P185" s="566" t="s">
        <v>797</v>
      </c>
      <c r="Q185" s="566">
        <v>0</v>
      </c>
      <c r="R185" s="22"/>
      <c r="S185" s="463" cm="1">
        <f t="array" ref="S18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5">
        <v>1</v>
      </c>
      <c r="U185" s="176"/>
      <c r="V18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185.0104</v>
      </c>
      <c r="W185" s="497"/>
      <c r="X185" s="176" t="s">
        <v>852</v>
      </c>
      <c r="Y185" s="547" t="s">
        <v>892</v>
      </c>
      <c r="Z185" s="160" t="s">
        <v>458</v>
      </c>
      <c r="AA185" s="563">
        <v>104500</v>
      </c>
      <c r="AB185" cm="1">
        <f t="array" ref="AB185">ROW()-ROW(Contract_Edits[#Headers])</f>
        <v>161</v>
      </c>
      <c r="AC185">
        <f>IF(Contract_Edits[[#This Row],[RowPos]]&gt;1, Contract_Edits[[#This Row],[RowPos]]-1, 0)</f>
        <v>160</v>
      </c>
      <c r="AD185" s="35">
        <f>IF(N(Contract_Edits[[#This Row],[Dep]])=0, N(Contract_Edits[[#This Row],[Index]]), N(Contract_Edits[[#This Row],[Dep]]))</f>
        <v>170</v>
      </c>
      <c r="AE185" s="35" cm="1">
        <f t="array" ref="AE185">IF(OR(Contract_Edits[[#This Row],[Dep]]=0, TRIM(Contract_Edits[[#This Row],[Dep]])=""),
   0,
   IFERROR(
      _xlfn.XLOOKUP(1, (Contract_Edits[Dep]=Contract_Edits[[#This Row],[Dep]])*(Contract_Edits[RowPos]&lt;Contract_Edits[[#This Row],[RowPos]]), Contract_Edits[RowPos], , 0, -1),
      0
   )
)</f>
        <v>160</v>
      </c>
      <c r="AF185" s="35">
        <f>IF(OR(Contract_Edits[[#This Row],[Dep]]=0,Contract_Edits[[#This Row],[Dep]]=""),0,
   COUNTIFS(Contract_Edits[Dep],Contract_Edits[[#This Row],[Dep]],Contract_Edits[RowPos],"&lt;="&amp;Contract_Edits[[#This Row],[RowPos]],Contract_Edits[Approve],"Yes")
)</f>
        <v>4</v>
      </c>
      <c r="AG185" s="517">
        <f>--(
  ISNUMBER(SEARCH("BASE PARENT", UPPER(CLEAN(TRIM(_xlfn.XLOOKUP(TEXT(Contract_Edits[[#This Row],[Index]],"0"), baseIdxTxt, baseCost, "")))))) +
  ISNUMBER(SEARCH("DEPENDENCY GROUP", UPPER(CLEAN(TRIM(_xlfn.XLOOKUP(TEXT(Contract_Edits[[#This Row],[Index]],"0"), baseIdxTxt, baseCost, ""))))))
)</f>
        <v>0</v>
      </c>
      <c r="AH185" s="517" t="str" cm="1">
        <f t="array" ref="AH185">IF(Contract_Edits[[#This Row],[BaseFlag]]=1,
   10*BaseDepthL(TEXT(Contract_Edits[[#This Row],[Index]],"0"),500,editsIdxTxt,editsParentKeyTxt,baseIdxTxt,baseCost)-5,
   ""
)</f>
        <v/>
      </c>
      <c r="AI185" s="517" cm="1">
        <f t="array" ref="AI1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5" s="517" t="str">
        <f>IF(Contract_Edits[[#This Row],[Dep]]=0,"Root",
   IF(ISNUMBER(MATCH(Contract_Edits[[#This Row],[Dep]],Contract_Edits[Index],0)),"OK","Missing")
)</f>
        <v>OK</v>
      </c>
      <c r="AK185" s="517" t="str">
        <f>IF(AND(Contract_Edits[[#This Row],[Dep]]&lt;&gt;0,
        ISNUMBER(MATCH(Contract_Edits[[#This Row],[Dep]], Contract_Edits[Index], 0)),
        INDEX(Contract_Edits[Dep], MATCH(Contract_Edits[[#This Row],[Dep]], Contract_Edits[Index], 0))=Contract_Edits[[#This Row],[Index]]),
   "2-cycle","")</f>
        <v/>
      </c>
      <c r="AL185" s="517" cm="1">
        <f t="array" ref="AL185">IF(Contract_Edits[[#This Row],[BaseFlag]]&lt;&gt;1,0,
   IF(TEXT(Contract_Edits[[#This Row],[Dep]],"0")=TEXT(Contract_Edits[[#This Row],[Index]],"0"),
      0,
      MAX(0, SUMPRODUCT(--(Contract_Edits[BaseFlag]=1),
                        --(TEXT(Contract_Edits[Dep],"0")=TEXT(Contract_Edits[[#This Row],[Dep]],"0"))) - 1)
   )
)</f>
        <v>0</v>
      </c>
      <c r="AM185" s="517" t="str" cm="1">
        <f t="array" ref="AM185">IF(Contract_Edits[[#This Row],[BaseFlag]]=1,
   TEXT(Contract_Edits[[#This Row],[Index]],"0"),
   NearestBaseL(TEXT(Contract_Edits[[#This Row],[ParentKey]],"0"),500,editsIdxTxt,editsParentKeyTxt,baseIdxTxt,baseCost)
)</f>
        <v>170</v>
      </c>
      <c r="AN185" s="517" cm="1">
        <f t="array" ref="AN185">1+SUMPRODUCT(
  (Contract_Edits[BaseFlag]=1)*
  (TEXT(Contract_Edits[ParentAnchor],"0")=TEXT(Contract_Edits[[#This Row],[ParentAnchor]],"0"))*
  (VALUE(TEXT(Contract_Edits[Index],"0"))&lt;VALUE(TEXT(Contract_Edits[[#This Row],[Index]],"0")))
)</f>
        <v>1</v>
      </c>
      <c r="AP185" s="190"/>
      <c r="AQ185" s="190"/>
      <c r="AR185" s="190"/>
      <c r="BC185" s="34"/>
      <c r="BD185" s="34"/>
      <c r="BE185" s="34"/>
      <c r="BF185" s="34"/>
      <c r="BZ185"/>
      <c r="CA185"/>
      <c r="CB185"/>
      <c r="CC185"/>
    </row>
    <row r="186" spans="1:81" ht="30">
      <c r="A186" t="s">
        <v>519</v>
      </c>
      <c r="B186" t="s">
        <v>608</v>
      </c>
      <c r="C186" t="s">
        <v>602</v>
      </c>
      <c r="D186" s="458" t="s">
        <v>632</v>
      </c>
      <c r="E186" s="458">
        <v>1</v>
      </c>
      <c r="F186">
        <v>3253.8</v>
      </c>
      <c r="G186">
        <v>3253.8</v>
      </c>
      <c r="H186">
        <v>170</v>
      </c>
      <c r="I186"/>
      <c r="J186">
        <v>66</v>
      </c>
      <c r="K186" s="107"/>
      <c r="L186" s="463">
        <v>66</v>
      </c>
      <c r="M186" s="176">
        <v>2</v>
      </c>
      <c r="N186" s="160">
        <v>0</v>
      </c>
      <c r="O186" s="546" cm="1">
        <f t="array" ref="O18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46093</v>
      </c>
      <c r="P186" s="566" t="s">
        <v>797</v>
      </c>
      <c r="Q186" s="566">
        <v>0</v>
      </c>
      <c r="R186" s="22"/>
      <c r="S186" s="463" cm="1">
        <f t="array" ref="S18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6">
        <v>1</v>
      </c>
      <c r="U186" s="176"/>
      <c r="V18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185.01049999999998</v>
      </c>
      <c r="W186" s="497"/>
      <c r="X186" s="176" t="s">
        <v>852</v>
      </c>
      <c r="Y186" s="547" t="s">
        <v>892</v>
      </c>
      <c r="Z186" s="160" t="s">
        <v>458</v>
      </c>
      <c r="AA186" s="563">
        <v>104500</v>
      </c>
      <c r="AB186" cm="1">
        <f t="array" ref="AB186">ROW()-ROW(Contract_Edits[#Headers])</f>
        <v>162</v>
      </c>
      <c r="AC186">
        <f>IF(Contract_Edits[[#This Row],[RowPos]]&gt;1, Contract_Edits[[#This Row],[RowPos]]-1, 0)</f>
        <v>161</v>
      </c>
      <c r="AD186" s="35">
        <f>IF(N(Contract_Edits[[#This Row],[Dep]])=0, N(Contract_Edits[[#This Row],[Index]]), N(Contract_Edits[[#This Row],[Dep]]))</f>
        <v>170</v>
      </c>
      <c r="AE186" s="35" cm="1">
        <f t="array" ref="AE186">IF(OR(Contract_Edits[[#This Row],[Dep]]=0, TRIM(Contract_Edits[[#This Row],[Dep]])=""),
   0,
   IFERROR(
      _xlfn.XLOOKUP(1, (Contract_Edits[Dep]=Contract_Edits[[#This Row],[Dep]])*(Contract_Edits[RowPos]&lt;Contract_Edits[[#This Row],[RowPos]]), Contract_Edits[RowPos], , 0, -1),
      0
   )
)</f>
        <v>161</v>
      </c>
      <c r="AF186" s="35">
        <f>IF(OR(Contract_Edits[[#This Row],[Dep]]=0,Contract_Edits[[#This Row],[Dep]]=""),0,
   COUNTIFS(Contract_Edits[Dep],Contract_Edits[[#This Row],[Dep]],Contract_Edits[RowPos],"&lt;="&amp;Contract_Edits[[#This Row],[RowPos]],Contract_Edits[Approve],"Yes")
)</f>
        <v>5</v>
      </c>
      <c r="AG186" s="517">
        <f>--(
  ISNUMBER(SEARCH("BASE PARENT", UPPER(CLEAN(TRIM(_xlfn.XLOOKUP(TEXT(Contract_Edits[[#This Row],[Index]],"0"), baseIdxTxt, baseCost, "")))))) +
  ISNUMBER(SEARCH("DEPENDENCY GROUP", UPPER(CLEAN(TRIM(_xlfn.XLOOKUP(TEXT(Contract_Edits[[#This Row],[Index]],"0"), baseIdxTxt, baseCost, ""))))))
)</f>
        <v>0</v>
      </c>
      <c r="AH186" s="517" t="str" cm="1">
        <f t="array" ref="AH186">IF(Contract_Edits[[#This Row],[BaseFlag]]=1,
   10*BaseDepthL(TEXT(Contract_Edits[[#This Row],[Index]],"0"),500,editsIdxTxt,editsParentKeyTxt,baseIdxTxt,baseCost)-5,
   ""
)</f>
        <v/>
      </c>
      <c r="AI186" s="517" cm="1">
        <f t="array" ref="AI1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6" s="517" t="str">
        <f>IF(Contract_Edits[[#This Row],[Dep]]=0,"Root",
   IF(ISNUMBER(MATCH(Contract_Edits[[#This Row],[Dep]],Contract_Edits[Index],0)),"OK","Missing")
)</f>
        <v>OK</v>
      </c>
      <c r="AK186" s="517" t="str">
        <f>IF(AND(Contract_Edits[[#This Row],[Dep]]&lt;&gt;0,
        ISNUMBER(MATCH(Contract_Edits[[#This Row],[Dep]], Contract_Edits[Index], 0)),
        INDEX(Contract_Edits[Dep], MATCH(Contract_Edits[[#This Row],[Dep]], Contract_Edits[Index], 0))=Contract_Edits[[#This Row],[Index]]),
   "2-cycle","")</f>
        <v/>
      </c>
      <c r="AL186" s="517" cm="1">
        <f t="array" ref="AL186">IF(Contract_Edits[[#This Row],[BaseFlag]]&lt;&gt;1,0,
   IF(TEXT(Contract_Edits[[#This Row],[Dep]],"0")=TEXT(Contract_Edits[[#This Row],[Index]],"0"),
      0,
      MAX(0, SUMPRODUCT(--(Contract_Edits[BaseFlag]=1),
                        --(TEXT(Contract_Edits[Dep],"0")=TEXT(Contract_Edits[[#This Row],[Dep]],"0"))) - 1)
   )
)</f>
        <v>0</v>
      </c>
      <c r="AM186" s="517" t="str" cm="1">
        <f t="array" ref="AM186">IF(Contract_Edits[[#This Row],[BaseFlag]]=1,
   TEXT(Contract_Edits[[#This Row],[Index]],"0"),
   NearestBaseL(TEXT(Contract_Edits[[#This Row],[ParentKey]],"0"),500,editsIdxTxt,editsParentKeyTxt,baseIdxTxt,baseCost)
)</f>
        <v>170</v>
      </c>
      <c r="AN186" s="517" cm="1">
        <f t="array" ref="AN186">1+SUMPRODUCT(
  (Contract_Edits[BaseFlag]=1)*
  (TEXT(Contract_Edits[ParentAnchor],"0")=TEXT(Contract_Edits[[#This Row],[ParentAnchor]],"0"))*
  (VALUE(TEXT(Contract_Edits[Index],"0"))&lt;VALUE(TEXT(Contract_Edits[[#This Row],[Index]],"0")))
)</f>
        <v>1</v>
      </c>
      <c r="AP186" s="190"/>
      <c r="AQ186" s="190"/>
      <c r="AR186" s="190"/>
      <c r="BC186" s="34"/>
      <c r="BD186" s="34"/>
      <c r="BE186" s="34"/>
      <c r="BF186" s="34"/>
      <c r="BZ186"/>
      <c r="CA186"/>
      <c r="CB186"/>
      <c r="CC186"/>
    </row>
    <row r="187" spans="1:81" ht="30">
      <c r="A187" t="s">
        <v>519</v>
      </c>
      <c r="B187" t="s">
        <v>587</v>
      </c>
      <c r="C187" t="s">
        <v>568</v>
      </c>
      <c r="D187" s="458" t="s">
        <v>604</v>
      </c>
      <c r="E187" s="458">
        <v>1</v>
      </c>
      <c r="F187">
        <v>1132.75</v>
      </c>
      <c r="G187">
        <v>1132.75</v>
      </c>
      <c r="H187">
        <v>170</v>
      </c>
      <c r="I187"/>
      <c r="J187">
        <v>46</v>
      </c>
      <c r="K187" s="107"/>
      <c r="L187" s="463">
        <v>46</v>
      </c>
      <c r="M187" s="176">
        <v>1</v>
      </c>
      <c r="N187" s="160">
        <v>0</v>
      </c>
      <c r="O187" s="546" cm="1">
        <f t="array" ref="O18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46097</v>
      </c>
      <c r="P187" s="566" t="s">
        <v>797</v>
      </c>
      <c r="Q187" s="566">
        <v>0</v>
      </c>
      <c r="R187" s="22"/>
      <c r="S187" s="463" cm="1">
        <f t="array" ref="S18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7">
        <v>1</v>
      </c>
      <c r="U187" s="176"/>
      <c r="V18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185.01059999999998</v>
      </c>
      <c r="W187" s="497"/>
      <c r="X187" s="176" t="s">
        <v>852</v>
      </c>
      <c r="Y187" s="547" t="s">
        <v>892</v>
      </c>
      <c r="Z187" s="160" t="s">
        <v>458</v>
      </c>
      <c r="AA187" s="563">
        <v>104500</v>
      </c>
      <c r="AB187" cm="1">
        <f t="array" ref="AB187">ROW()-ROW(Contract_Edits[#Headers])</f>
        <v>163</v>
      </c>
      <c r="AC187">
        <f>IF(Contract_Edits[[#This Row],[RowPos]]&gt;1, Contract_Edits[[#This Row],[RowPos]]-1, 0)</f>
        <v>162</v>
      </c>
      <c r="AD187" s="35">
        <f>IF(N(Contract_Edits[[#This Row],[Dep]])=0, N(Contract_Edits[[#This Row],[Index]]), N(Contract_Edits[[#This Row],[Dep]]))</f>
        <v>170</v>
      </c>
      <c r="AE187" s="35" cm="1">
        <f t="array" ref="AE187">IF(OR(Contract_Edits[[#This Row],[Dep]]=0, TRIM(Contract_Edits[[#This Row],[Dep]])=""),
   0,
   IFERROR(
      _xlfn.XLOOKUP(1, (Contract_Edits[Dep]=Contract_Edits[[#This Row],[Dep]])*(Contract_Edits[RowPos]&lt;Contract_Edits[[#This Row],[RowPos]]), Contract_Edits[RowPos], , 0, -1),
      0
   )
)</f>
        <v>162</v>
      </c>
      <c r="AF187" s="35">
        <f>IF(OR(Contract_Edits[[#This Row],[Dep]]=0,Contract_Edits[[#This Row],[Dep]]=""),0,
   COUNTIFS(Contract_Edits[Dep],Contract_Edits[[#This Row],[Dep]],Contract_Edits[RowPos],"&lt;="&amp;Contract_Edits[[#This Row],[RowPos]],Contract_Edits[Approve],"Yes")
)</f>
        <v>6</v>
      </c>
      <c r="AG187" s="517">
        <f>--(
  ISNUMBER(SEARCH("BASE PARENT", UPPER(CLEAN(TRIM(_xlfn.XLOOKUP(TEXT(Contract_Edits[[#This Row],[Index]],"0"), baseIdxTxt, baseCost, "")))))) +
  ISNUMBER(SEARCH("DEPENDENCY GROUP", UPPER(CLEAN(TRIM(_xlfn.XLOOKUP(TEXT(Contract_Edits[[#This Row],[Index]],"0"), baseIdxTxt, baseCost, ""))))))
)</f>
        <v>0</v>
      </c>
      <c r="AH187" s="517" t="str" cm="1">
        <f t="array" ref="AH187">IF(Contract_Edits[[#This Row],[BaseFlag]]=1,
   10*BaseDepthL(TEXT(Contract_Edits[[#This Row],[Index]],"0"),500,editsIdxTxt,editsParentKeyTxt,baseIdxTxt,baseCost)-5,
   ""
)</f>
        <v/>
      </c>
      <c r="AI187" s="517" cm="1">
        <f t="array" ref="AI1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7" s="517" t="str">
        <f>IF(Contract_Edits[[#This Row],[Dep]]=0,"Root",
   IF(ISNUMBER(MATCH(Contract_Edits[[#This Row],[Dep]],Contract_Edits[Index],0)),"OK","Missing")
)</f>
        <v>OK</v>
      </c>
      <c r="AK187" s="517" t="str">
        <f>IF(AND(Contract_Edits[[#This Row],[Dep]]&lt;&gt;0,
        ISNUMBER(MATCH(Contract_Edits[[#This Row],[Dep]], Contract_Edits[Index], 0)),
        INDEX(Contract_Edits[Dep], MATCH(Contract_Edits[[#This Row],[Dep]], Contract_Edits[Index], 0))=Contract_Edits[[#This Row],[Index]]),
   "2-cycle","")</f>
        <v/>
      </c>
      <c r="AL187" s="517" cm="1">
        <f t="array" ref="AL187">IF(Contract_Edits[[#This Row],[BaseFlag]]&lt;&gt;1,0,
   IF(TEXT(Contract_Edits[[#This Row],[Dep]],"0")=TEXT(Contract_Edits[[#This Row],[Index]],"0"),
      0,
      MAX(0, SUMPRODUCT(--(Contract_Edits[BaseFlag]=1),
                        --(TEXT(Contract_Edits[Dep],"0")=TEXT(Contract_Edits[[#This Row],[Dep]],"0"))) - 1)
   )
)</f>
        <v>0</v>
      </c>
      <c r="AM187" s="517" t="str" cm="1">
        <f t="array" ref="AM187">IF(Contract_Edits[[#This Row],[BaseFlag]]=1,
   TEXT(Contract_Edits[[#This Row],[Index]],"0"),
   NearestBaseL(TEXT(Contract_Edits[[#This Row],[ParentKey]],"0"),500,editsIdxTxt,editsParentKeyTxt,baseIdxTxt,baseCost)
)</f>
        <v>170</v>
      </c>
      <c r="AN187" s="517" cm="1">
        <f t="array" ref="AN187">1+SUMPRODUCT(
  (Contract_Edits[BaseFlag]=1)*
  (TEXT(Contract_Edits[ParentAnchor],"0")=TEXT(Contract_Edits[[#This Row],[ParentAnchor]],"0"))*
  (VALUE(TEXT(Contract_Edits[Index],"0"))&lt;VALUE(TEXT(Contract_Edits[[#This Row],[Index]],"0")))
)</f>
        <v>1</v>
      </c>
      <c r="AP187" s="190"/>
      <c r="AQ187" s="190"/>
      <c r="AR187" s="190"/>
      <c r="BC187" s="34"/>
      <c r="BD187" s="34"/>
      <c r="BE187" s="34"/>
      <c r="BF187" s="34"/>
      <c r="BZ187"/>
      <c r="CA187"/>
      <c r="CB187"/>
      <c r="CC187"/>
    </row>
    <row r="188" spans="1:81" ht="15">
      <c r="A188" t="s">
        <v>519</v>
      </c>
      <c r="B188" t="s">
        <v>555</v>
      </c>
      <c r="C188" t="s">
        <v>585</v>
      </c>
      <c r="D188" s="458" t="s">
        <v>586</v>
      </c>
      <c r="E188" s="458">
        <v>1</v>
      </c>
      <c r="F188">
        <v>1305</v>
      </c>
      <c r="G188">
        <v>1305</v>
      </c>
      <c r="H188">
        <v>170</v>
      </c>
      <c r="I188"/>
      <c r="J188">
        <v>35</v>
      </c>
      <c r="K188" s="107"/>
      <c r="L188" s="463">
        <v>35</v>
      </c>
      <c r="M188" s="176">
        <v>1</v>
      </c>
      <c r="N188" s="160">
        <v>0</v>
      </c>
      <c r="O188" s="546" cm="1">
        <f t="array" ref="O18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46098</v>
      </c>
      <c r="P188" s="566" t="s">
        <v>797</v>
      </c>
      <c r="Q188" s="566">
        <v>0</v>
      </c>
      <c r="R188" s="22"/>
      <c r="S188" s="463" cm="1">
        <f t="array" ref="S18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8">
        <v>1</v>
      </c>
      <c r="U188" s="176"/>
      <c r="V18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185.01069999999999</v>
      </c>
      <c r="W188" s="497"/>
      <c r="X188" s="176" t="s">
        <v>852</v>
      </c>
      <c r="Y188" s="547" t="s">
        <v>892</v>
      </c>
      <c r="Z188" s="160" t="s">
        <v>458</v>
      </c>
      <c r="AA188" s="563">
        <v>104500</v>
      </c>
      <c r="AB188" cm="1">
        <f t="array" ref="AB188">ROW()-ROW(Contract_Edits[#Headers])</f>
        <v>164</v>
      </c>
      <c r="AC188">
        <f>IF(Contract_Edits[[#This Row],[RowPos]]&gt;1, Contract_Edits[[#This Row],[RowPos]]-1, 0)</f>
        <v>163</v>
      </c>
      <c r="AD188" s="35">
        <f>IF(N(Contract_Edits[[#This Row],[Dep]])=0, N(Contract_Edits[[#This Row],[Index]]), N(Contract_Edits[[#This Row],[Dep]]))</f>
        <v>170</v>
      </c>
      <c r="AE188" s="35" cm="1">
        <f t="array" ref="AE188">IF(OR(Contract_Edits[[#This Row],[Dep]]=0, TRIM(Contract_Edits[[#This Row],[Dep]])=""),
   0,
   IFERROR(
      _xlfn.XLOOKUP(1, (Contract_Edits[Dep]=Contract_Edits[[#This Row],[Dep]])*(Contract_Edits[RowPos]&lt;Contract_Edits[[#This Row],[RowPos]]), Contract_Edits[RowPos], , 0, -1),
      0
   )
)</f>
        <v>163</v>
      </c>
      <c r="AF188" s="35">
        <f>IF(OR(Contract_Edits[[#This Row],[Dep]]=0,Contract_Edits[[#This Row],[Dep]]=""),0,
   COUNTIFS(Contract_Edits[Dep],Contract_Edits[[#This Row],[Dep]],Contract_Edits[RowPos],"&lt;="&amp;Contract_Edits[[#This Row],[RowPos]],Contract_Edits[Approve],"Yes")
)</f>
        <v>7</v>
      </c>
      <c r="AG188" s="517">
        <f>--(
  ISNUMBER(SEARCH("BASE PARENT", UPPER(CLEAN(TRIM(_xlfn.XLOOKUP(TEXT(Contract_Edits[[#This Row],[Index]],"0"), baseIdxTxt, baseCost, "")))))) +
  ISNUMBER(SEARCH("DEPENDENCY GROUP", UPPER(CLEAN(TRIM(_xlfn.XLOOKUP(TEXT(Contract_Edits[[#This Row],[Index]],"0"), baseIdxTxt, baseCost, ""))))))
)</f>
        <v>0</v>
      </c>
      <c r="AH188" s="517" t="str" cm="1">
        <f t="array" ref="AH188">IF(Contract_Edits[[#This Row],[BaseFlag]]=1,
   10*BaseDepthL(TEXT(Contract_Edits[[#This Row],[Index]],"0"),500,editsIdxTxt,editsParentKeyTxt,baseIdxTxt,baseCost)-5,
   ""
)</f>
        <v/>
      </c>
      <c r="AI188" s="517" cm="1">
        <f t="array" ref="AI1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8" s="517" t="str">
        <f>IF(Contract_Edits[[#This Row],[Dep]]=0,"Root",
   IF(ISNUMBER(MATCH(Contract_Edits[[#This Row],[Dep]],Contract_Edits[Index],0)),"OK","Missing")
)</f>
        <v>OK</v>
      </c>
      <c r="AK188" s="517" t="str">
        <f>IF(AND(Contract_Edits[[#This Row],[Dep]]&lt;&gt;0,
        ISNUMBER(MATCH(Contract_Edits[[#This Row],[Dep]], Contract_Edits[Index], 0)),
        INDEX(Contract_Edits[Dep], MATCH(Contract_Edits[[#This Row],[Dep]], Contract_Edits[Index], 0))=Contract_Edits[[#This Row],[Index]]),
   "2-cycle","")</f>
        <v/>
      </c>
      <c r="AL188" s="517" cm="1">
        <f t="array" ref="AL188">IF(Contract_Edits[[#This Row],[BaseFlag]]&lt;&gt;1,0,
   IF(TEXT(Contract_Edits[[#This Row],[Dep]],"0")=TEXT(Contract_Edits[[#This Row],[Index]],"0"),
      0,
      MAX(0, SUMPRODUCT(--(Contract_Edits[BaseFlag]=1),
                        --(TEXT(Contract_Edits[Dep],"0")=TEXT(Contract_Edits[[#This Row],[Dep]],"0"))) - 1)
   )
)</f>
        <v>0</v>
      </c>
      <c r="AM188" s="517" t="str" cm="1">
        <f t="array" ref="AM188">IF(Contract_Edits[[#This Row],[BaseFlag]]=1,
   TEXT(Contract_Edits[[#This Row],[Index]],"0"),
   NearestBaseL(TEXT(Contract_Edits[[#This Row],[ParentKey]],"0"),500,editsIdxTxt,editsParentKeyTxt,baseIdxTxt,baseCost)
)</f>
        <v>170</v>
      </c>
      <c r="AN188" s="517" cm="1">
        <f t="array" ref="AN188">1+SUMPRODUCT(
  (Contract_Edits[BaseFlag]=1)*
  (TEXT(Contract_Edits[ParentAnchor],"0")=TEXT(Contract_Edits[[#This Row],[ParentAnchor]],"0"))*
  (VALUE(TEXT(Contract_Edits[Index],"0"))&lt;VALUE(TEXT(Contract_Edits[[#This Row],[Index]],"0")))
)</f>
        <v>1</v>
      </c>
      <c r="AP188" s="190"/>
      <c r="AQ188" s="190"/>
      <c r="AR188" s="190"/>
      <c r="BC188" s="34"/>
      <c r="BD188" s="34"/>
      <c r="BE188" s="34"/>
      <c r="BF188" s="34"/>
      <c r="BZ188"/>
      <c r="CA188"/>
      <c r="CB188"/>
      <c r="CC188"/>
    </row>
    <row r="189" spans="1:81" ht="15">
      <c r="A189" t="s">
        <v>467</v>
      </c>
      <c r="B189" t="s">
        <v>608</v>
      </c>
      <c r="C189" t="s">
        <v>602</v>
      </c>
      <c r="D189" s="458" t="s">
        <v>738</v>
      </c>
      <c r="E189" s="458">
        <v>1</v>
      </c>
      <c r="F189">
        <v>2000</v>
      </c>
      <c r="G189">
        <v>2000</v>
      </c>
      <c r="H189">
        <v>170</v>
      </c>
      <c r="I189"/>
      <c r="J189">
        <v>144</v>
      </c>
      <c r="K189" s="107"/>
      <c r="L189" s="463">
        <v>144</v>
      </c>
      <c r="M189" s="176">
        <v>1</v>
      </c>
      <c r="N189" s="160">
        <v>0</v>
      </c>
      <c r="O189" s="546" cm="1">
        <f t="array" ref="O18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46099</v>
      </c>
      <c r="P189" s="566" t="s">
        <v>797</v>
      </c>
      <c r="Q189" s="566">
        <v>0</v>
      </c>
      <c r="R189" s="22"/>
      <c r="S189" s="463" cm="1">
        <f t="array" ref="S18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9">
        <v>1</v>
      </c>
      <c r="U189" s="176"/>
      <c r="V18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185.01079999999999</v>
      </c>
      <c r="W189" s="497"/>
      <c r="X189" s="176"/>
      <c r="Y189" s="547" t="s">
        <v>892</v>
      </c>
      <c r="Z189" s="160" t="s">
        <v>458</v>
      </c>
      <c r="AA189" s="563"/>
      <c r="AB189" cm="1">
        <f t="array" ref="AB189">ROW()-ROW(Contract_Edits[#Headers])</f>
        <v>165</v>
      </c>
      <c r="AC189">
        <f>IF(Contract_Edits[[#This Row],[RowPos]]&gt;1, Contract_Edits[[#This Row],[RowPos]]-1, 0)</f>
        <v>164</v>
      </c>
      <c r="AD189" s="35">
        <f>IF(N(Contract_Edits[[#This Row],[Dep]])=0, N(Contract_Edits[[#This Row],[Index]]), N(Contract_Edits[[#This Row],[Dep]]))</f>
        <v>170</v>
      </c>
      <c r="AE189" s="35" cm="1">
        <f t="array" ref="AE189">IF(OR(Contract_Edits[[#This Row],[Dep]]=0, TRIM(Contract_Edits[[#This Row],[Dep]])=""),
   0,
   IFERROR(
      _xlfn.XLOOKUP(1, (Contract_Edits[Dep]=Contract_Edits[[#This Row],[Dep]])*(Contract_Edits[RowPos]&lt;Contract_Edits[[#This Row],[RowPos]]), Contract_Edits[RowPos], , 0, -1),
      0
   )
)</f>
        <v>164</v>
      </c>
      <c r="AF189" s="35">
        <f>IF(OR(Contract_Edits[[#This Row],[Dep]]=0,Contract_Edits[[#This Row],[Dep]]=""),0,
   COUNTIFS(Contract_Edits[Dep],Contract_Edits[[#This Row],[Dep]],Contract_Edits[RowPos],"&lt;="&amp;Contract_Edits[[#This Row],[RowPos]],Contract_Edits[Approve],"Yes")
)</f>
        <v>8</v>
      </c>
      <c r="AG189" s="517">
        <f>--(
  ISNUMBER(SEARCH("BASE PARENT", UPPER(CLEAN(TRIM(_xlfn.XLOOKUP(TEXT(Contract_Edits[[#This Row],[Index]],"0"), baseIdxTxt, baseCost, "")))))) +
  ISNUMBER(SEARCH("DEPENDENCY GROUP", UPPER(CLEAN(TRIM(_xlfn.XLOOKUP(TEXT(Contract_Edits[[#This Row],[Index]],"0"), baseIdxTxt, baseCost, ""))))))
)</f>
        <v>0</v>
      </c>
      <c r="AH189" s="517" t="str" cm="1">
        <f t="array" ref="AH189">IF(Contract_Edits[[#This Row],[BaseFlag]]=1,
   10*BaseDepthL(TEXT(Contract_Edits[[#This Row],[Index]],"0"),500,editsIdxTxt,editsParentKeyTxt,baseIdxTxt,baseCost)-5,
   ""
)</f>
        <v/>
      </c>
      <c r="AI189" s="517" cm="1">
        <f t="array" ref="AI1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9" s="517" t="str">
        <f>IF(Contract_Edits[[#This Row],[Dep]]=0,"Root",
   IF(ISNUMBER(MATCH(Contract_Edits[[#This Row],[Dep]],Contract_Edits[Index],0)),"OK","Missing")
)</f>
        <v>OK</v>
      </c>
      <c r="AK189" s="517" t="str">
        <f>IF(AND(Contract_Edits[[#This Row],[Dep]]&lt;&gt;0,
        ISNUMBER(MATCH(Contract_Edits[[#This Row],[Dep]], Contract_Edits[Index], 0)),
        INDEX(Contract_Edits[Dep], MATCH(Contract_Edits[[#This Row],[Dep]], Contract_Edits[Index], 0))=Contract_Edits[[#This Row],[Index]]),
   "2-cycle","")</f>
        <v/>
      </c>
      <c r="AL189" s="517" cm="1">
        <f t="array" ref="AL189">IF(Contract_Edits[[#This Row],[BaseFlag]]&lt;&gt;1,0,
   IF(TEXT(Contract_Edits[[#This Row],[Dep]],"0")=TEXT(Contract_Edits[[#This Row],[Index]],"0"),
      0,
      MAX(0, SUMPRODUCT(--(Contract_Edits[BaseFlag]=1),
                        --(TEXT(Contract_Edits[Dep],"0")=TEXT(Contract_Edits[[#This Row],[Dep]],"0"))) - 1)
   )
)</f>
        <v>0</v>
      </c>
      <c r="AM189" s="517" t="str" cm="1">
        <f t="array" ref="AM189">IF(Contract_Edits[[#This Row],[BaseFlag]]=1,
   TEXT(Contract_Edits[[#This Row],[Index]],"0"),
   NearestBaseL(TEXT(Contract_Edits[[#This Row],[ParentKey]],"0"),500,editsIdxTxt,editsParentKeyTxt,baseIdxTxt,baseCost)
)</f>
        <v>170</v>
      </c>
      <c r="AN189" s="517" cm="1">
        <f t="array" ref="AN189">1+SUMPRODUCT(
  (Contract_Edits[BaseFlag]=1)*
  (TEXT(Contract_Edits[ParentAnchor],"0")=TEXT(Contract_Edits[[#This Row],[ParentAnchor]],"0"))*
  (VALUE(TEXT(Contract_Edits[Index],"0"))&lt;VALUE(TEXT(Contract_Edits[[#This Row],[Index]],"0")))
)</f>
        <v>1</v>
      </c>
      <c r="AP189" s="190"/>
      <c r="AQ189" s="190"/>
      <c r="AR189" s="190"/>
      <c r="BC189" s="34"/>
      <c r="BD189" s="34"/>
      <c r="BE189" s="34"/>
      <c r="BF189" s="34"/>
      <c r="BZ189"/>
      <c r="CA189"/>
      <c r="CB189"/>
      <c r="CC189"/>
    </row>
    <row r="190" spans="1:81" ht="15">
      <c r="A190" t="s">
        <v>747</v>
      </c>
      <c r="B190" t="s">
        <v>744</v>
      </c>
      <c r="C190" t="s">
        <v>531</v>
      </c>
      <c r="D190" s="458" t="s">
        <v>768</v>
      </c>
      <c r="E190" s="458">
        <v>0</v>
      </c>
      <c r="F190"/>
      <c r="G190"/>
      <c r="H190">
        <v>170</v>
      </c>
      <c r="I190"/>
      <c r="J190">
        <v>171</v>
      </c>
      <c r="K190" s="107"/>
      <c r="L190" s="463">
        <v>171</v>
      </c>
      <c r="M190" s="490"/>
      <c r="N190" s="160">
        <v>0</v>
      </c>
      <c r="O190" s="546" cm="1">
        <f t="array" ref="O19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46100</v>
      </c>
      <c r="P190" s="567"/>
      <c r="Q190" s="567"/>
      <c r="R190" s="499"/>
      <c r="S190" s="463" cm="1">
        <f t="array" ref="S19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90" s="34">
        <v>1</v>
      </c>
      <c r="U190" s="490"/>
      <c r="V19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v>
      </c>
      <c r="W190" s="557"/>
      <c r="X190" s="545"/>
      <c r="Y190" s="548"/>
      <c r="Z190" s="535" t="s">
        <v>458</v>
      </c>
      <c r="AA190" s="563">
        <v>104900</v>
      </c>
      <c r="AB190" cm="1">
        <f t="array" ref="AB190">ROW()-ROW(Contract_Edits[#Headers])</f>
        <v>166</v>
      </c>
      <c r="AC190">
        <f>IF(Contract_Edits[[#This Row],[RowPos]]&gt;1, Contract_Edits[[#This Row],[RowPos]]-1, 0)</f>
        <v>165</v>
      </c>
      <c r="AD190" s="35">
        <f>IF(N(Contract_Edits[[#This Row],[Dep]])=0, N(Contract_Edits[[#This Row],[Index]]), N(Contract_Edits[[#This Row],[Dep]]))</f>
        <v>170</v>
      </c>
      <c r="AE190" s="35" cm="1">
        <f t="array" ref="AE190">IF(OR(Contract_Edits[[#This Row],[Dep]]=0, TRIM(Contract_Edits[[#This Row],[Dep]])=""),
   0,
   IFERROR(
      _xlfn.XLOOKUP(1, (Contract_Edits[Dep]=Contract_Edits[[#This Row],[Dep]])*(Contract_Edits[RowPos]&lt;Contract_Edits[[#This Row],[RowPos]]), Contract_Edits[RowPos], , 0, -1),
      0
   )
)</f>
        <v>165</v>
      </c>
      <c r="AF190" s="35">
        <f>IF(OR(Contract_Edits[[#This Row],[Dep]]=0,Contract_Edits[[#This Row],[Dep]]=""),0,
   COUNTIFS(Contract_Edits[Dep],Contract_Edits[[#This Row],[Dep]],Contract_Edits[RowPos],"&lt;="&amp;Contract_Edits[[#This Row],[RowPos]],Contract_Edits[Approve],"Yes")
)</f>
        <v>9</v>
      </c>
      <c r="AG190" s="517">
        <f>--(
  ISNUMBER(SEARCH("BASE PARENT", UPPER(CLEAN(TRIM(_xlfn.XLOOKUP(TEXT(Contract_Edits[[#This Row],[Index]],"0"), baseIdxTxt, baseCost, "")))))) +
  ISNUMBER(SEARCH("DEPENDENCY GROUP", UPPER(CLEAN(TRIM(_xlfn.XLOOKUP(TEXT(Contract_Edits[[#This Row],[Index]],"0"), baseIdxTxt, baseCost, ""))))))
)</f>
        <v>1</v>
      </c>
      <c r="AH190" s="517" cm="1">
        <f t="array" ref="AH190">IF(Contract_Edits[[#This Row],[BaseFlag]]=1,
   10*BaseDepthL(TEXT(Contract_Edits[[#This Row],[Index]],"0"),500,editsIdxTxt,editsParentKeyTxt,baseIdxTxt,baseCost)-5,
   ""
)</f>
        <v>195</v>
      </c>
      <c r="AI190" s="517" cm="1">
        <f t="array" ref="AI1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90" s="517" t="str">
        <f>IF(Contract_Edits[[#This Row],[Dep]]=0,"Root",
   IF(ISNUMBER(MATCH(Contract_Edits[[#This Row],[Dep]],Contract_Edits[Index],0)),"OK","Missing")
)</f>
        <v>OK</v>
      </c>
      <c r="AK190" s="517" t="str">
        <f>IF(AND(Contract_Edits[[#This Row],[Dep]]&lt;&gt;0,
        ISNUMBER(MATCH(Contract_Edits[[#This Row],[Dep]], Contract_Edits[Index], 0)),
        INDEX(Contract_Edits[Dep], MATCH(Contract_Edits[[#This Row],[Dep]], Contract_Edits[Index], 0))=Contract_Edits[[#This Row],[Index]]),
   "2-cycle","")</f>
        <v/>
      </c>
      <c r="AL190" s="517" cm="1">
        <f t="array" ref="AL190">IF(Contract_Edits[[#This Row],[BaseFlag]]&lt;&gt;1,0,
   IF(TEXT(Contract_Edits[[#This Row],[Dep]],"0")=TEXT(Contract_Edits[[#This Row],[Index]],"0"),
      0,
      MAX(0, SUMPRODUCT(--(Contract_Edits[BaseFlag]=1),
                        --(TEXT(Contract_Edits[Dep],"0")=TEXT(Contract_Edits[[#This Row],[Dep]],"0"))) - 1)
   )
)</f>
        <v>0</v>
      </c>
      <c r="AM190" s="517" t="str" cm="1">
        <f t="array" ref="AM190">IF(Contract_Edits[[#This Row],[BaseFlag]]=1,
   TEXT(Contract_Edits[[#This Row],[Index]],"0"),
   NearestBaseL(TEXT(Contract_Edits[[#This Row],[ParentKey]],"0"),500,editsIdxTxt,editsParentKeyTxt,baseIdxTxt,baseCost)
)</f>
        <v>171</v>
      </c>
      <c r="AN190" s="517" cm="1">
        <f t="array" ref="AN190">1+SUMPRODUCT(
  (Contract_Edits[BaseFlag]=1)*
  (TEXT(Contract_Edits[ParentAnchor],"0")=TEXT(Contract_Edits[[#This Row],[ParentAnchor]],"0"))*
  (VALUE(TEXT(Contract_Edits[Index],"0"))&lt;VALUE(TEXT(Contract_Edits[[#This Row],[Index]],"0")))
)</f>
        <v>1</v>
      </c>
      <c r="AR190" s="190"/>
      <c r="BF190" s="34"/>
      <c r="CC190"/>
    </row>
    <row r="191" spans="1:81" ht="15">
      <c r="A191" t="s">
        <v>552</v>
      </c>
      <c r="B191" t="s">
        <v>639</v>
      </c>
      <c r="C191" t="s">
        <v>606</v>
      </c>
      <c r="D191" s="458" t="s">
        <v>671</v>
      </c>
      <c r="E191" s="458">
        <v>1</v>
      </c>
      <c r="F191">
        <v>156.25</v>
      </c>
      <c r="G191">
        <v>156.25</v>
      </c>
      <c r="H191">
        <v>171</v>
      </c>
      <c r="I191"/>
      <c r="J191">
        <v>94</v>
      </c>
      <c r="K191" s="107"/>
      <c r="L191" s="463">
        <v>94</v>
      </c>
      <c r="M191" s="176">
        <v>0.5</v>
      </c>
      <c r="N191" s="160">
        <v>0</v>
      </c>
      <c r="O191" s="546" cm="1">
        <f t="array" ref="O19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46100</v>
      </c>
      <c r="P191" s="566" t="s">
        <v>797</v>
      </c>
      <c r="Q191" s="566">
        <v>0</v>
      </c>
      <c r="R191" s="22"/>
      <c r="S191" s="463" cm="1">
        <f t="array" ref="S19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1">
        <v>1</v>
      </c>
      <c r="U191" s="176"/>
      <c r="V19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195.01009999999999</v>
      </c>
      <c r="W191" s="497"/>
      <c r="X191" s="176" t="s">
        <v>852</v>
      </c>
      <c r="Y191" s="547" t="s">
        <v>893</v>
      </c>
      <c r="Z191" s="160" t="s">
        <v>458</v>
      </c>
      <c r="AA191" s="563">
        <v>104900</v>
      </c>
      <c r="AB191" cm="1">
        <f t="array" ref="AB191">ROW()-ROW(Contract_Edits[#Headers])</f>
        <v>167</v>
      </c>
      <c r="AC191">
        <f>IF(Contract_Edits[[#This Row],[RowPos]]&gt;1, Contract_Edits[[#This Row],[RowPos]]-1, 0)</f>
        <v>166</v>
      </c>
      <c r="AD191" s="35">
        <f>IF(N(Contract_Edits[[#This Row],[Dep]])=0, N(Contract_Edits[[#This Row],[Index]]), N(Contract_Edits[[#This Row],[Dep]]))</f>
        <v>171</v>
      </c>
      <c r="AE191" s="35" cm="1">
        <f t="array" ref="AE191">IF(OR(Contract_Edits[[#This Row],[Dep]]=0, TRIM(Contract_Edits[[#This Row],[Dep]])=""),
   0,
   IFERROR(
      _xlfn.XLOOKUP(1, (Contract_Edits[Dep]=Contract_Edits[[#This Row],[Dep]])*(Contract_Edits[RowPos]&lt;Contract_Edits[[#This Row],[RowPos]]), Contract_Edits[RowPos], , 0, -1),
      0
   )
)</f>
        <v>0</v>
      </c>
      <c r="AF191" s="35">
        <f>IF(OR(Contract_Edits[[#This Row],[Dep]]=0,Contract_Edits[[#This Row],[Dep]]=""),0,
   COUNTIFS(Contract_Edits[Dep],Contract_Edits[[#This Row],[Dep]],Contract_Edits[RowPos],"&lt;="&amp;Contract_Edits[[#This Row],[RowPos]],Contract_Edits[Approve],"Yes")
)</f>
        <v>1</v>
      </c>
      <c r="AG191" s="517">
        <f>--(
  ISNUMBER(SEARCH("BASE PARENT", UPPER(CLEAN(TRIM(_xlfn.XLOOKUP(TEXT(Contract_Edits[[#This Row],[Index]],"0"), baseIdxTxt, baseCost, "")))))) +
  ISNUMBER(SEARCH("DEPENDENCY GROUP", UPPER(CLEAN(TRIM(_xlfn.XLOOKUP(TEXT(Contract_Edits[[#This Row],[Index]],"0"), baseIdxTxt, baseCost, ""))))))
)</f>
        <v>0</v>
      </c>
      <c r="AH191" s="517" t="str" cm="1">
        <f t="array" ref="AH191">IF(Contract_Edits[[#This Row],[BaseFlag]]=1,
   10*BaseDepthL(TEXT(Contract_Edits[[#This Row],[Index]],"0"),500,editsIdxTxt,editsParentKeyTxt,baseIdxTxt,baseCost)-5,
   ""
)</f>
        <v/>
      </c>
      <c r="AI191" s="517" cm="1">
        <f t="array" ref="AI1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1" s="517" t="str">
        <f>IF(Contract_Edits[[#This Row],[Dep]]=0,"Root",
   IF(ISNUMBER(MATCH(Contract_Edits[[#This Row],[Dep]],Contract_Edits[Index],0)),"OK","Missing")
)</f>
        <v>OK</v>
      </c>
      <c r="AK191" s="517" t="str">
        <f>IF(AND(Contract_Edits[[#This Row],[Dep]]&lt;&gt;0,
        ISNUMBER(MATCH(Contract_Edits[[#This Row],[Dep]], Contract_Edits[Index], 0)),
        INDEX(Contract_Edits[Dep], MATCH(Contract_Edits[[#This Row],[Dep]], Contract_Edits[Index], 0))=Contract_Edits[[#This Row],[Index]]),
   "2-cycle","")</f>
        <v/>
      </c>
      <c r="AL191" s="517" cm="1">
        <f t="array" ref="AL191">IF(Contract_Edits[[#This Row],[BaseFlag]]&lt;&gt;1,0,
   IF(TEXT(Contract_Edits[[#This Row],[Dep]],"0")=TEXT(Contract_Edits[[#This Row],[Index]],"0"),
      0,
      MAX(0, SUMPRODUCT(--(Contract_Edits[BaseFlag]=1),
                        --(TEXT(Contract_Edits[Dep],"0")=TEXT(Contract_Edits[[#This Row],[Dep]],"0"))) - 1)
   )
)</f>
        <v>0</v>
      </c>
      <c r="AM191" s="517" t="str" cm="1">
        <f t="array" ref="AM191">IF(Contract_Edits[[#This Row],[BaseFlag]]=1,
   TEXT(Contract_Edits[[#This Row],[Index]],"0"),
   NearestBaseL(TEXT(Contract_Edits[[#This Row],[ParentKey]],"0"),500,editsIdxTxt,editsParentKeyTxt,baseIdxTxt,baseCost)
)</f>
        <v>171</v>
      </c>
      <c r="AN191" s="517" cm="1">
        <f t="array" ref="AN191">1+SUMPRODUCT(
  (Contract_Edits[BaseFlag]=1)*
  (TEXT(Contract_Edits[ParentAnchor],"0")=TEXT(Contract_Edits[[#This Row],[ParentAnchor]],"0"))*
  (VALUE(TEXT(Contract_Edits[Index],"0"))&lt;VALUE(TEXT(Contract_Edits[[#This Row],[Index]],"0")))
)</f>
        <v>1</v>
      </c>
      <c r="AR191" s="190"/>
      <c r="BF191" s="34"/>
      <c r="CC191"/>
    </row>
    <row r="192" spans="1:81" ht="30">
      <c r="A192" t="s">
        <v>552</v>
      </c>
      <c r="B192" t="s">
        <v>608</v>
      </c>
      <c r="C192" t="s">
        <v>606</v>
      </c>
      <c r="D192" s="458" t="s">
        <v>636</v>
      </c>
      <c r="E192" s="458">
        <v>1</v>
      </c>
      <c r="F192">
        <v>156.25</v>
      </c>
      <c r="G192">
        <v>156.25</v>
      </c>
      <c r="H192">
        <v>171</v>
      </c>
      <c r="I192"/>
      <c r="J192">
        <v>70</v>
      </c>
      <c r="K192" s="107"/>
      <c r="L192" s="463">
        <v>70</v>
      </c>
      <c r="M192" s="176">
        <v>0.5</v>
      </c>
      <c r="N192" s="160">
        <v>0</v>
      </c>
      <c r="O192" s="546" cm="1">
        <f t="array" ref="O19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46100</v>
      </c>
      <c r="P192" s="566" t="s">
        <v>797</v>
      </c>
      <c r="Q192" s="566">
        <v>0</v>
      </c>
      <c r="R192" s="22"/>
      <c r="S192" s="463" cm="1">
        <f t="array" ref="S19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2">
        <v>1</v>
      </c>
      <c r="U192" s="176"/>
      <c r="V19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195.0102</v>
      </c>
      <c r="W192" s="497"/>
      <c r="X192" s="176" t="s">
        <v>852</v>
      </c>
      <c r="Y192" s="547" t="s">
        <v>894</v>
      </c>
      <c r="Z192" s="160" t="s">
        <v>458</v>
      </c>
      <c r="AA192" s="563">
        <v>104900</v>
      </c>
      <c r="AB192" cm="1">
        <f t="array" ref="AB192">ROW()-ROW(Contract_Edits[#Headers])</f>
        <v>168</v>
      </c>
      <c r="AC192">
        <f>IF(Contract_Edits[[#This Row],[RowPos]]&gt;1, Contract_Edits[[#This Row],[RowPos]]-1, 0)</f>
        <v>167</v>
      </c>
      <c r="AD192" s="35">
        <f>IF(N(Contract_Edits[[#This Row],[Dep]])=0, N(Contract_Edits[[#This Row],[Index]]), N(Contract_Edits[[#This Row],[Dep]]))</f>
        <v>171</v>
      </c>
      <c r="AE192" s="35" cm="1">
        <f t="array" ref="AE192">IF(OR(Contract_Edits[[#This Row],[Dep]]=0, TRIM(Contract_Edits[[#This Row],[Dep]])=""),
   0,
   IFERROR(
      _xlfn.XLOOKUP(1, (Contract_Edits[Dep]=Contract_Edits[[#This Row],[Dep]])*(Contract_Edits[RowPos]&lt;Contract_Edits[[#This Row],[RowPos]]), Contract_Edits[RowPos], , 0, -1),
      0
   )
)</f>
        <v>167</v>
      </c>
      <c r="AF192" s="35">
        <f>IF(OR(Contract_Edits[[#This Row],[Dep]]=0,Contract_Edits[[#This Row],[Dep]]=""),0,
   COUNTIFS(Contract_Edits[Dep],Contract_Edits[[#This Row],[Dep]],Contract_Edits[RowPos],"&lt;="&amp;Contract_Edits[[#This Row],[RowPos]],Contract_Edits[Approve],"Yes")
)</f>
        <v>2</v>
      </c>
      <c r="AG192" s="517">
        <f>--(
  ISNUMBER(SEARCH("BASE PARENT", UPPER(CLEAN(TRIM(_xlfn.XLOOKUP(TEXT(Contract_Edits[[#This Row],[Index]],"0"), baseIdxTxt, baseCost, "")))))) +
  ISNUMBER(SEARCH("DEPENDENCY GROUP", UPPER(CLEAN(TRIM(_xlfn.XLOOKUP(TEXT(Contract_Edits[[#This Row],[Index]],"0"), baseIdxTxt, baseCost, ""))))))
)</f>
        <v>0</v>
      </c>
      <c r="AH192" s="517" t="str" cm="1">
        <f t="array" ref="AH192">IF(Contract_Edits[[#This Row],[BaseFlag]]=1,
   10*BaseDepthL(TEXT(Contract_Edits[[#This Row],[Index]],"0"),500,editsIdxTxt,editsParentKeyTxt,baseIdxTxt,baseCost)-5,
   ""
)</f>
        <v/>
      </c>
      <c r="AI192" s="517" cm="1">
        <f t="array" ref="AI1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2" s="517" t="str">
        <f>IF(Contract_Edits[[#This Row],[Dep]]=0,"Root",
   IF(ISNUMBER(MATCH(Contract_Edits[[#This Row],[Dep]],Contract_Edits[Index],0)),"OK","Missing")
)</f>
        <v>OK</v>
      </c>
      <c r="AK192" s="517" t="str">
        <f>IF(AND(Contract_Edits[[#This Row],[Dep]]&lt;&gt;0,
        ISNUMBER(MATCH(Contract_Edits[[#This Row],[Dep]], Contract_Edits[Index], 0)),
        INDEX(Contract_Edits[Dep], MATCH(Contract_Edits[[#This Row],[Dep]], Contract_Edits[Index], 0))=Contract_Edits[[#This Row],[Index]]),
   "2-cycle","")</f>
        <v/>
      </c>
      <c r="AL192" s="517" cm="1">
        <f t="array" ref="AL192">IF(Contract_Edits[[#This Row],[BaseFlag]]&lt;&gt;1,0,
   IF(TEXT(Contract_Edits[[#This Row],[Dep]],"0")=TEXT(Contract_Edits[[#This Row],[Index]],"0"),
      0,
      MAX(0, SUMPRODUCT(--(Contract_Edits[BaseFlag]=1),
                        --(TEXT(Contract_Edits[Dep],"0")=TEXT(Contract_Edits[[#This Row],[Dep]],"0"))) - 1)
   )
)</f>
        <v>0</v>
      </c>
      <c r="AM192" s="517" t="str" cm="1">
        <f t="array" ref="AM192">IF(Contract_Edits[[#This Row],[BaseFlag]]=1,
   TEXT(Contract_Edits[[#This Row],[Index]],"0"),
   NearestBaseL(TEXT(Contract_Edits[[#This Row],[ParentKey]],"0"),500,editsIdxTxt,editsParentKeyTxt,baseIdxTxt,baseCost)
)</f>
        <v>171</v>
      </c>
      <c r="AN192" s="517" cm="1">
        <f t="array" ref="AN192">1+SUMPRODUCT(
  (Contract_Edits[BaseFlag]=1)*
  (TEXT(Contract_Edits[ParentAnchor],"0")=TEXT(Contract_Edits[[#This Row],[ParentAnchor]],"0"))*
  (VALUE(TEXT(Contract_Edits[Index],"0"))&lt;VALUE(TEXT(Contract_Edits[[#This Row],[Index]],"0")))
)</f>
        <v>1</v>
      </c>
      <c r="AR192" s="190"/>
      <c r="BF192" s="34"/>
      <c r="CC192"/>
    </row>
    <row r="193" spans="1:81" ht="30">
      <c r="A193" t="s">
        <v>552</v>
      </c>
      <c r="B193" t="s">
        <v>587</v>
      </c>
      <c r="C193" t="s">
        <v>606</v>
      </c>
      <c r="D193" s="458" t="s">
        <v>607</v>
      </c>
      <c r="E193" s="458">
        <v>1</v>
      </c>
      <c r="F193">
        <v>156.25</v>
      </c>
      <c r="G193">
        <v>156.25</v>
      </c>
      <c r="H193">
        <v>171</v>
      </c>
      <c r="I193"/>
      <c r="J193">
        <v>48</v>
      </c>
      <c r="K193" s="107"/>
      <c r="L193" s="463">
        <v>48</v>
      </c>
      <c r="M193" s="176">
        <v>0.5</v>
      </c>
      <c r="N193" s="160">
        <v>0</v>
      </c>
      <c r="O193" s="546" cm="1">
        <f t="array" ref="O19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46100</v>
      </c>
      <c r="P193" s="566" t="s">
        <v>797</v>
      </c>
      <c r="Q193" s="566">
        <v>0</v>
      </c>
      <c r="R193" s="22"/>
      <c r="S193" s="463" cm="1">
        <f t="array" ref="S19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3">
        <v>1</v>
      </c>
      <c r="U193" s="176"/>
      <c r="V19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195.0103</v>
      </c>
      <c r="W193" s="497"/>
      <c r="X193" s="176" t="s">
        <v>852</v>
      </c>
      <c r="Y193" s="547" t="s">
        <v>893</v>
      </c>
      <c r="Z193" s="160" t="s">
        <v>458</v>
      </c>
      <c r="AA193" s="563">
        <v>104900</v>
      </c>
      <c r="AB193" cm="1">
        <f t="array" ref="AB193">ROW()-ROW(Contract_Edits[#Headers])</f>
        <v>169</v>
      </c>
      <c r="AC193">
        <f>IF(Contract_Edits[[#This Row],[RowPos]]&gt;1, Contract_Edits[[#This Row],[RowPos]]-1, 0)</f>
        <v>168</v>
      </c>
      <c r="AD193" s="35">
        <f>IF(N(Contract_Edits[[#This Row],[Dep]])=0, N(Contract_Edits[[#This Row],[Index]]), N(Contract_Edits[[#This Row],[Dep]]))</f>
        <v>171</v>
      </c>
      <c r="AE193" s="35" cm="1">
        <f t="array" ref="AE193">IF(OR(Contract_Edits[[#This Row],[Dep]]=0, TRIM(Contract_Edits[[#This Row],[Dep]])=""),
   0,
   IFERROR(
      _xlfn.XLOOKUP(1, (Contract_Edits[Dep]=Contract_Edits[[#This Row],[Dep]])*(Contract_Edits[RowPos]&lt;Contract_Edits[[#This Row],[RowPos]]), Contract_Edits[RowPos], , 0, -1),
      0
   )
)</f>
        <v>168</v>
      </c>
      <c r="AF193" s="35">
        <f>IF(OR(Contract_Edits[[#This Row],[Dep]]=0,Contract_Edits[[#This Row],[Dep]]=""),0,
   COUNTIFS(Contract_Edits[Dep],Contract_Edits[[#This Row],[Dep]],Contract_Edits[RowPos],"&lt;="&amp;Contract_Edits[[#This Row],[RowPos]],Contract_Edits[Approve],"Yes")
)</f>
        <v>3</v>
      </c>
      <c r="AG193" s="517">
        <f>--(
  ISNUMBER(SEARCH("BASE PARENT", UPPER(CLEAN(TRIM(_xlfn.XLOOKUP(TEXT(Contract_Edits[[#This Row],[Index]],"0"), baseIdxTxt, baseCost, "")))))) +
  ISNUMBER(SEARCH("DEPENDENCY GROUP", UPPER(CLEAN(TRIM(_xlfn.XLOOKUP(TEXT(Contract_Edits[[#This Row],[Index]],"0"), baseIdxTxt, baseCost, ""))))))
)</f>
        <v>0</v>
      </c>
      <c r="AH193" s="517" t="str" cm="1">
        <f t="array" ref="AH193">IF(Contract_Edits[[#This Row],[BaseFlag]]=1,
   10*BaseDepthL(TEXT(Contract_Edits[[#This Row],[Index]],"0"),500,editsIdxTxt,editsParentKeyTxt,baseIdxTxt,baseCost)-5,
   ""
)</f>
        <v/>
      </c>
      <c r="AI193" s="517" cm="1">
        <f t="array" ref="AI1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3" s="517" t="str">
        <f>IF(Contract_Edits[[#This Row],[Dep]]=0,"Root",
   IF(ISNUMBER(MATCH(Contract_Edits[[#This Row],[Dep]],Contract_Edits[Index],0)),"OK","Missing")
)</f>
        <v>OK</v>
      </c>
      <c r="AK193" s="517" t="str">
        <f>IF(AND(Contract_Edits[[#This Row],[Dep]]&lt;&gt;0,
        ISNUMBER(MATCH(Contract_Edits[[#This Row],[Dep]], Contract_Edits[Index], 0)),
        INDEX(Contract_Edits[Dep], MATCH(Contract_Edits[[#This Row],[Dep]], Contract_Edits[Index], 0))=Contract_Edits[[#This Row],[Index]]),
   "2-cycle","")</f>
        <v/>
      </c>
      <c r="AL193" s="517" cm="1">
        <f t="array" ref="AL193">IF(Contract_Edits[[#This Row],[BaseFlag]]&lt;&gt;1,0,
   IF(TEXT(Contract_Edits[[#This Row],[Dep]],"0")=TEXT(Contract_Edits[[#This Row],[Index]],"0"),
      0,
      MAX(0, SUMPRODUCT(--(Contract_Edits[BaseFlag]=1),
                        --(TEXT(Contract_Edits[Dep],"0")=TEXT(Contract_Edits[[#This Row],[Dep]],"0"))) - 1)
   )
)</f>
        <v>0</v>
      </c>
      <c r="AM193" s="517" t="str" cm="1">
        <f t="array" ref="AM193">IF(Contract_Edits[[#This Row],[BaseFlag]]=1,
   TEXT(Contract_Edits[[#This Row],[Index]],"0"),
   NearestBaseL(TEXT(Contract_Edits[[#This Row],[ParentKey]],"0"),500,editsIdxTxt,editsParentKeyTxt,baseIdxTxt,baseCost)
)</f>
        <v>171</v>
      </c>
      <c r="AN193" s="517" cm="1">
        <f t="array" ref="AN193">1+SUMPRODUCT(
  (Contract_Edits[BaseFlag]=1)*
  (TEXT(Contract_Edits[ParentAnchor],"0")=TEXT(Contract_Edits[[#This Row],[ParentAnchor]],"0"))*
  (VALUE(TEXT(Contract_Edits[Index],"0"))&lt;VALUE(TEXT(Contract_Edits[[#This Row],[Index]],"0")))
)</f>
        <v>1</v>
      </c>
      <c r="AR193" s="190"/>
      <c r="BF193" s="34"/>
      <c r="CC193"/>
    </row>
    <row r="194" spans="1:81" ht="30">
      <c r="A194" t="s">
        <v>552</v>
      </c>
      <c r="B194" t="s">
        <v>555</v>
      </c>
      <c r="C194" t="s">
        <v>575</v>
      </c>
      <c r="D194" s="458" t="s">
        <v>576</v>
      </c>
      <c r="E194" s="458">
        <v>1</v>
      </c>
      <c r="F194">
        <v>468.75</v>
      </c>
      <c r="G194">
        <v>468.75</v>
      </c>
      <c r="H194">
        <v>171</v>
      </c>
      <c r="I194"/>
      <c r="J194">
        <v>30</v>
      </c>
      <c r="K194" s="520"/>
      <c r="L194" s="463">
        <v>30</v>
      </c>
      <c r="M194" s="176">
        <v>1.5</v>
      </c>
      <c r="N194" s="160">
        <v>0</v>
      </c>
      <c r="O194" s="546" cm="1">
        <f t="array" ref="O19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46100</v>
      </c>
      <c r="P194" s="566" t="s">
        <v>797</v>
      </c>
      <c r="Q194" s="566">
        <v>0</v>
      </c>
      <c r="R194" s="22"/>
      <c r="S194" s="463" cm="1">
        <f t="array" ref="S19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4">
        <v>1</v>
      </c>
      <c r="U194" s="176"/>
      <c r="V19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195.0104</v>
      </c>
      <c r="W194" s="497"/>
      <c r="X194" s="176" t="s">
        <v>852</v>
      </c>
      <c r="Y194" s="547" t="s">
        <v>894</v>
      </c>
      <c r="Z194" s="160" t="s">
        <v>458</v>
      </c>
      <c r="AA194" s="563">
        <v>103700</v>
      </c>
      <c r="AB194" cm="1">
        <f t="array" ref="AB194">ROW()-ROW(Contract_Edits[#Headers])</f>
        <v>170</v>
      </c>
      <c r="AC194">
        <f>IF(Contract_Edits[[#This Row],[RowPos]]&gt;1, Contract_Edits[[#This Row],[RowPos]]-1, 0)</f>
        <v>169</v>
      </c>
      <c r="AD194" s="35">
        <f>IF(N(Contract_Edits[[#This Row],[Dep]])=0, N(Contract_Edits[[#This Row],[Index]]), N(Contract_Edits[[#This Row],[Dep]]))</f>
        <v>171</v>
      </c>
      <c r="AE194" s="35" cm="1">
        <f t="array" ref="AE194">IF(OR(Contract_Edits[[#This Row],[Dep]]=0, TRIM(Contract_Edits[[#This Row],[Dep]])=""),
   0,
   IFERROR(
      _xlfn.XLOOKUP(1, (Contract_Edits[Dep]=Contract_Edits[[#This Row],[Dep]])*(Contract_Edits[RowPos]&lt;Contract_Edits[[#This Row],[RowPos]]), Contract_Edits[RowPos], , 0, -1),
      0
   )
)</f>
        <v>169</v>
      </c>
      <c r="AF194" s="35">
        <f>IF(OR(Contract_Edits[[#This Row],[Dep]]=0,Contract_Edits[[#This Row],[Dep]]=""),0,
   COUNTIFS(Contract_Edits[Dep],Contract_Edits[[#This Row],[Dep]],Contract_Edits[RowPos],"&lt;="&amp;Contract_Edits[[#This Row],[RowPos]],Contract_Edits[Approve],"Yes")
)</f>
        <v>4</v>
      </c>
      <c r="AG194" s="517">
        <f>--(
  ISNUMBER(SEARCH("BASE PARENT", UPPER(CLEAN(TRIM(_xlfn.XLOOKUP(TEXT(Contract_Edits[[#This Row],[Index]],"0"), baseIdxTxt, baseCost, "")))))) +
  ISNUMBER(SEARCH("DEPENDENCY GROUP", UPPER(CLEAN(TRIM(_xlfn.XLOOKUP(TEXT(Contract_Edits[[#This Row],[Index]],"0"), baseIdxTxt, baseCost, ""))))))
)</f>
        <v>0</v>
      </c>
      <c r="AH194" s="517" t="str" cm="1">
        <f t="array" ref="AH194">IF(Contract_Edits[[#This Row],[BaseFlag]]=1,
   10*BaseDepthL(TEXT(Contract_Edits[[#This Row],[Index]],"0"),500,editsIdxTxt,editsParentKeyTxt,baseIdxTxt,baseCost)-5,
   ""
)</f>
        <v/>
      </c>
      <c r="AI194" s="517" cm="1">
        <f t="array" ref="AI1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4" s="517" t="str">
        <f>IF(Contract_Edits[[#This Row],[Dep]]=0,"Root",
   IF(ISNUMBER(MATCH(Contract_Edits[[#This Row],[Dep]],Contract_Edits[Index],0)),"OK","Missing")
)</f>
        <v>OK</v>
      </c>
      <c r="AK194" s="517" t="str">
        <f>IF(AND(Contract_Edits[[#This Row],[Dep]]&lt;&gt;0,
        ISNUMBER(MATCH(Contract_Edits[[#This Row],[Dep]], Contract_Edits[Index], 0)),
        INDEX(Contract_Edits[Dep], MATCH(Contract_Edits[[#This Row],[Dep]], Contract_Edits[Index], 0))=Contract_Edits[[#This Row],[Index]]),
   "2-cycle","")</f>
        <v/>
      </c>
      <c r="AL194" s="517" cm="1">
        <f t="array" ref="AL194">IF(Contract_Edits[[#This Row],[BaseFlag]]&lt;&gt;1,0,
   IF(TEXT(Contract_Edits[[#This Row],[Dep]],"0")=TEXT(Contract_Edits[[#This Row],[Index]],"0"),
      0,
      MAX(0, SUMPRODUCT(--(Contract_Edits[BaseFlag]=1),
                        --(TEXT(Contract_Edits[Dep],"0")=TEXT(Contract_Edits[[#This Row],[Dep]],"0"))) - 1)
   )
)</f>
        <v>0</v>
      </c>
      <c r="AM194" s="517" t="str" cm="1">
        <f t="array" ref="AM194">IF(Contract_Edits[[#This Row],[BaseFlag]]=1,
   TEXT(Contract_Edits[[#This Row],[Index]],"0"),
   NearestBaseL(TEXT(Contract_Edits[[#This Row],[ParentKey]],"0"),500,editsIdxTxt,editsParentKeyTxt,baseIdxTxt,baseCost)
)</f>
        <v>171</v>
      </c>
      <c r="AN194" s="517" cm="1">
        <f t="array" ref="AN194">1+SUMPRODUCT(
  (Contract_Edits[BaseFlag]=1)*
  (TEXT(Contract_Edits[ParentAnchor],"0")=TEXT(Contract_Edits[[#This Row],[ParentAnchor]],"0"))*
  (VALUE(TEXT(Contract_Edits[Index],"0"))&lt;VALUE(TEXT(Contract_Edits[[#This Row],[Index]],"0")))
)</f>
        <v>1</v>
      </c>
      <c r="AR194" s="190"/>
      <c r="BF194" s="34"/>
      <c r="CC194"/>
    </row>
    <row r="195" spans="1:81" ht="30">
      <c r="A195" t="s">
        <v>467</v>
      </c>
      <c r="B195" t="s">
        <v>523</v>
      </c>
      <c r="C195" t="s">
        <v>531</v>
      </c>
      <c r="D195" s="458" t="s">
        <v>704</v>
      </c>
      <c r="E195" s="458">
        <v>1</v>
      </c>
      <c r="F195">
        <v>0</v>
      </c>
      <c r="G195">
        <v>0</v>
      </c>
      <c r="H195">
        <v>171</v>
      </c>
      <c r="I195"/>
      <c r="J195">
        <v>119</v>
      </c>
      <c r="K195" s="107"/>
      <c r="L195" s="463">
        <v>119</v>
      </c>
      <c r="M195" s="176">
        <v>1</v>
      </c>
      <c r="N195" s="160">
        <v>0</v>
      </c>
      <c r="O195" s="546" cm="1">
        <f t="array" ref="O19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46101</v>
      </c>
      <c r="P195" s="566" t="s">
        <v>797</v>
      </c>
      <c r="Q195" s="566">
        <v>0</v>
      </c>
      <c r="R195" s="22"/>
      <c r="S195" s="463" cm="1">
        <f t="array" ref="S19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5">
        <v>1</v>
      </c>
      <c r="U195" s="176"/>
      <c r="V19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195.01049999999998</v>
      </c>
      <c r="W195" s="497"/>
      <c r="X195" s="176" t="s">
        <v>895</v>
      </c>
      <c r="Y195" s="547" t="s">
        <v>893</v>
      </c>
      <c r="Z195" s="160" t="s">
        <v>458</v>
      </c>
      <c r="AA195" s="563">
        <v>103300</v>
      </c>
      <c r="AB195" cm="1">
        <f t="array" ref="AB195">ROW()-ROW(Contract_Edits[#Headers])</f>
        <v>171</v>
      </c>
      <c r="AC195">
        <f>IF(Contract_Edits[[#This Row],[RowPos]]&gt;1, Contract_Edits[[#This Row],[RowPos]]-1, 0)</f>
        <v>170</v>
      </c>
      <c r="AD195" s="35">
        <f>IF(N(Contract_Edits[[#This Row],[Dep]])=0, N(Contract_Edits[[#This Row],[Index]]), N(Contract_Edits[[#This Row],[Dep]]))</f>
        <v>171</v>
      </c>
      <c r="AE195" s="35" cm="1">
        <f t="array" ref="AE195">IF(OR(Contract_Edits[[#This Row],[Dep]]=0, TRIM(Contract_Edits[[#This Row],[Dep]])=""),
   0,
   IFERROR(
      _xlfn.XLOOKUP(1, (Contract_Edits[Dep]=Contract_Edits[[#This Row],[Dep]])*(Contract_Edits[RowPos]&lt;Contract_Edits[[#This Row],[RowPos]]), Contract_Edits[RowPos], , 0, -1),
      0
   )
)</f>
        <v>170</v>
      </c>
      <c r="AF195" s="35">
        <f>IF(OR(Contract_Edits[[#This Row],[Dep]]=0,Contract_Edits[[#This Row],[Dep]]=""),0,
   COUNTIFS(Contract_Edits[Dep],Contract_Edits[[#This Row],[Dep]],Contract_Edits[RowPos],"&lt;="&amp;Contract_Edits[[#This Row],[RowPos]],Contract_Edits[Approve],"Yes")
)</f>
        <v>5</v>
      </c>
      <c r="AG195" s="517">
        <f>--(
  ISNUMBER(SEARCH("BASE PARENT", UPPER(CLEAN(TRIM(_xlfn.XLOOKUP(TEXT(Contract_Edits[[#This Row],[Index]],"0"), baseIdxTxt, baseCost, "")))))) +
  ISNUMBER(SEARCH("DEPENDENCY GROUP", UPPER(CLEAN(TRIM(_xlfn.XLOOKUP(TEXT(Contract_Edits[[#This Row],[Index]],"0"), baseIdxTxt, baseCost, ""))))))
)</f>
        <v>0</v>
      </c>
      <c r="AH195" s="517" t="str" cm="1">
        <f t="array" ref="AH195">IF(Contract_Edits[[#This Row],[BaseFlag]]=1,
   10*BaseDepthL(TEXT(Contract_Edits[[#This Row],[Index]],"0"),500,editsIdxTxt,editsParentKeyTxt,baseIdxTxt,baseCost)-5,
   ""
)</f>
        <v/>
      </c>
      <c r="AI195" s="517" cm="1">
        <f t="array" ref="AI1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5" s="517" t="str">
        <f>IF(Contract_Edits[[#This Row],[Dep]]=0,"Root",
   IF(ISNUMBER(MATCH(Contract_Edits[[#This Row],[Dep]],Contract_Edits[Index],0)),"OK","Missing")
)</f>
        <v>OK</v>
      </c>
      <c r="AK195" s="517" t="str">
        <f>IF(AND(Contract_Edits[[#This Row],[Dep]]&lt;&gt;0,
        ISNUMBER(MATCH(Contract_Edits[[#This Row],[Dep]], Contract_Edits[Index], 0)),
        INDEX(Contract_Edits[Dep], MATCH(Contract_Edits[[#This Row],[Dep]], Contract_Edits[Index], 0))=Contract_Edits[[#This Row],[Index]]),
   "2-cycle","")</f>
        <v/>
      </c>
      <c r="AL195" s="517" cm="1">
        <f t="array" ref="AL195">IF(Contract_Edits[[#This Row],[BaseFlag]]&lt;&gt;1,0,
   IF(TEXT(Contract_Edits[[#This Row],[Dep]],"0")=TEXT(Contract_Edits[[#This Row],[Index]],"0"),
      0,
      MAX(0, SUMPRODUCT(--(Contract_Edits[BaseFlag]=1),
                        --(TEXT(Contract_Edits[Dep],"0")=TEXT(Contract_Edits[[#This Row],[Dep]],"0"))) - 1)
   )
)</f>
        <v>0</v>
      </c>
      <c r="AM195" s="517" t="str" cm="1">
        <f t="array" ref="AM195">IF(Contract_Edits[[#This Row],[BaseFlag]]=1,
   TEXT(Contract_Edits[[#This Row],[Index]],"0"),
   NearestBaseL(TEXT(Contract_Edits[[#This Row],[ParentKey]],"0"),500,editsIdxTxt,editsParentKeyTxt,baseIdxTxt,baseCost)
)</f>
        <v>171</v>
      </c>
      <c r="AN195" s="517" cm="1">
        <f t="array" ref="AN195">1+SUMPRODUCT(
  (Contract_Edits[BaseFlag]=1)*
  (TEXT(Contract_Edits[ParentAnchor],"0")=TEXT(Contract_Edits[[#This Row],[ParentAnchor]],"0"))*
  (VALUE(TEXT(Contract_Edits[Index],"0"))&lt;VALUE(TEXT(Contract_Edits[[#This Row],[Index]],"0")))
)</f>
        <v>1</v>
      </c>
      <c r="AR195" s="190"/>
      <c r="BF195" s="34"/>
      <c r="CC195"/>
    </row>
    <row r="196" spans="1:81" ht="15">
      <c r="A196" t="s">
        <v>806</v>
      </c>
      <c r="B196" t="s">
        <v>523</v>
      </c>
      <c r="C196" t="s">
        <v>531</v>
      </c>
      <c r="D196" s="458" t="s">
        <v>838</v>
      </c>
      <c r="E196" s="458">
        <v>1</v>
      </c>
      <c r="F196">
        <v>495.60225000000003</v>
      </c>
      <c r="G196">
        <v>495.60225000000003</v>
      </c>
      <c r="H196"/>
      <c r="I196"/>
      <c r="J196">
        <v>905</v>
      </c>
      <c r="K196" s="107"/>
      <c r="L196" s="463">
        <v>905</v>
      </c>
      <c r="M196" s="176">
        <v>0</v>
      </c>
      <c r="N196" s="160">
        <v>0</v>
      </c>
      <c r="O196" s="546" cm="1">
        <f t="array" ref="O19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46104</v>
      </c>
      <c r="P196" s="566" t="s">
        <v>797</v>
      </c>
      <c r="Q196" s="566">
        <v>0</v>
      </c>
      <c r="R196" s="22"/>
      <c r="S196" s="463" cm="1">
        <f t="array" ref="S19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6">
        <v>1</v>
      </c>
      <c r="U196" s="176"/>
      <c r="V19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195.01059999999998</v>
      </c>
      <c r="W196" s="497"/>
      <c r="X196" s="176">
        <v>0</v>
      </c>
      <c r="Y196" s="547" t="s">
        <v>894</v>
      </c>
      <c r="Z196" s="160" t="s">
        <v>458</v>
      </c>
      <c r="AA196" s="563">
        <v>103300</v>
      </c>
      <c r="AB196" cm="1">
        <f t="array" ref="AB196">ROW()-ROW(Contract_Edits[#Headers])</f>
        <v>172</v>
      </c>
      <c r="AC196">
        <f>IF(Contract_Edits[[#This Row],[RowPos]]&gt;1, Contract_Edits[[#This Row],[RowPos]]-1, 0)</f>
        <v>171</v>
      </c>
      <c r="AD196" s="35">
        <f>IF(N(Contract_Edits[[#This Row],[Dep]])=0, N(Contract_Edits[[#This Row],[Index]]), N(Contract_Edits[[#This Row],[Dep]]))</f>
        <v>171</v>
      </c>
      <c r="AE196" s="35" cm="1">
        <f t="array" ref="AE196">IF(OR(Contract_Edits[[#This Row],[Dep]]=0, TRIM(Contract_Edits[[#This Row],[Dep]])=""),
   0,
   IFERROR(
      _xlfn.XLOOKUP(1, (Contract_Edits[Dep]=Contract_Edits[[#This Row],[Dep]])*(Contract_Edits[RowPos]&lt;Contract_Edits[[#This Row],[RowPos]]), Contract_Edits[RowPos], , 0, -1),
      0
   )
)</f>
        <v>171</v>
      </c>
      <c r="AF196" s="35">
        <f>IF(OR(Contract_Edits[[#This Row],[Dep]]=0,Contract_Edits[[#This Row],[Dep]]=""),0,
   COUNTIFS(Contract_Edits[Dep],Contract_Edits[[#This Row],[Dep]],Contract_Edits[RowPos],"&lt;="&amp;Contract_Edits[[#This Row],[RowPos]],Contract_Edits[Approve],"Yes")
)</f>
        <v>6</v>
      </c>
      <c r="AG196" s="517">
        <f>--(
  ISNUMBER(SEARCH("BASE PARENT", UPPER(CLEAN(TRIM(_xlfn.XLOOKUP(TEXT(Contract_Edits[[#This Row],[Index]],"0"), baseIdxTxt, baseCost, "")))))) +
  ISNUMBER(SEARCH("DEPENDENCY GROUP", UPPER(CLEAN(TRIM(_xlfn.XLOOKUP(TEXT(Contract_Edits[[#This Row],[Index]],"0"), baseIdxTxt, baseCost, ""))))))
)</f>
        <v>0</v>
      </c>
      <c r="AH196" s="517" t="str" cm="1">
        <f t="array" ref="AH196">IF(Contract_Edits[[#This Row],[BaseFlag]]=1,
   10*BaseDepthL(TEXT(Contract_Edits[[#This Row],[Index]],"0"),500,editsIdxTxt,editsParentKeyTxt,baseIdxTxt,baseCost)-5,
   ""
)</f>
        <v/>
      </c>
      <c r="AI196" s="517" cm="1">
        <f t="array" ref="AI1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6" s="517" t="str">
        <f>IF(Contract_Edits[[#This Row],[Dep]]=0,"Root",
   IF(ISNUMBER(MATCH(Contract_Edits[[#This Row],[Dep]],Contract_Edits[Index],0)),"OK","Missing")
)</f>
        <v>OK</v>
      </c>
      <c r="AK196" s="517" t="str">
        <f>IF(AND(Contract_Edits[[#This Row],[Dep]]&lt;&gt;0,
        ISNUMBER(MATCH(Contract_Edits[[#This Row],[Dep]], Contract_Edits[Index], 0)),
        INDEX(Contract_Edits[Dep], MATCH(Contract_Edits[[#This Row],[Dep]], Contract_Edits[Index], 0))=Contract_Edits[[#This Row],[Index]]),
   "2-cycle","")</f>
        <v/>
      </c>
      <c r="AL196" s="517" cm="1">
        <f t="array" ref="AL196">IF(Contract_Edits[[#This Row],[BaseFlag]]&lt;&gt;1,0,
   IF(TEXT(Contract_Edits[[#This Row],[Dep]],"0")=TEXT(Contract_Edits[[#This Row],[Index]],"0"),
      0,
      MAX(0, SUMPRODUCT(--(Contract_Edits[BaseFlag]=1),
                        --(TEXT(Contract_Edits[Dep],"0")=TEXT(Contract_Edits[[#This Row],[Dep]],"0"))) - 1)
   )
)</f>
        <v>0</v>
      </c>
      <c r="AM196" s="517" t="str" cm="1">
        <f t="array" ref="AM196">IF(Contract_Edits[[#This Row],[BaseFlag]]=1,
   TEXT(Contract_Edits[[#This Row],[Index]],"0"),
   NearestBaseL(TEXT(Contract_Edits[[#This Row],[ParentKey]],"0"),500,editsIdxTxt,editsParentKeyTxt,baseIdxTxt,baseCost)
)</f>
        <v>171</v>
      </c>
      <c r="AN196" s="517" cm="1">
        <f t="array" ref="AN196">1+SUMPRODUCT(
  (Contract_Edits[BaseFlag]=1)*
  (TEXT(Contract_Edits[ParentAnchor],"0")=TEXT(Contract_Edits[[#This Row],[ParentAnchor]],"0"))*
  (VALUE(TEXT(Contract_Edits[Index],"0"))&lt;VALUE(TEXT(Contract_Edits[[#This Row],[Index]],"0")))
)</f>
        <v>2</v>
      </c>
      <c r="AR196" s="190"/>
      <c r="BF196" s="34"/>
      <c r="CC196"/>
    </row>
    <row r="197" spans="1:81" ht="30">
      <c r="A197" t="s">
        <v>467</v>
      </c>
      <c r="B197" t="s">
        <v>523</v>
      </c>
      <c r="C197" t="s">
        <v>531</v>
      </c>
      <c r="D197" s="458" t="s">
        <v>667</v>
      </c>
      <c r="E197" s="458">
        <v>400</v>
      </c>
      <c r="F197">
        <v>0</v>
      </c>
      <c r="G197">
        <v>0</v>
      </c>
      <c r="H197">
        <v>171</v>
      </c>
      <c r="I197"/>
      <c r="J197">
        <v>90</v>
      </c>
      <c r="K197" s="107"/>
      <c r="L197" s="463">
        <v>90</v>
      </c>
      <c r="M197" s="176">
        <v>5</v>
      </c>
      <c r="N197" s="160">
        <v>0</v>
      </c>
      <c r="O197" s="546" cm="1">
        <f t="array" ref="O19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46104</v>
      </c>
      <c r="P197" s="566" t="s">
        <v>797</v>
      </c>
      <c r="Q197" s="566">
        <v>0</v>
      </c>
      <c r="R197" s="22"/>
      <c r="S197" s="463" cm="1">
        <f t="array" ref="S19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7">
        <v>1</v>
      </c>
      <c r="U197" s="176"/>
      <c r="V19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195.01069999999999</v>
      </c>
      <c r="W197" s="497"/>
      <c r="X197" s="176" t="s">
        <v>895</v>
      </c>
      <c r="Y197" s="547" t="s">
        <v>893</v>
      </c>
      <c r="Z197" s="160" t="s">
        <v>458</v>
      </c>
      <c r="AA197" s="563">
        <v>103300</v>
      </c>
      <c r="AB197" cm="1">
        <f t="array" ref="AB197">ROW()-ROW(Contract_Edits[#Headers])</f>
        <v>173</v>
      </c>
      <c r="AC197">
        <f>IF(Contract_Edits[[#This Row],[RowPos]]&gt;1, Contract_Edits[[#This Row],[RowPos]]-1, 0)</f>
        <v>172</v>
      </c>
      <c r="AD197" s="35">
        <f>IF(N(Contract_Edits[[#This Row],[Dep]])=0, N(Contract_Edits[[#This Row],[Index]]), N(Contract_Edits[[#This Row],[Dep]]))</f>
        <v>171</v>
      </c>
      <c r="AE197" s="35" cm="1">
        <f t="array" ref="AE197">IF(OR(Contract_Edits[[#This Row],[Dep]]=0, TRIM(Contract_Edits[[#This Row],[Dep]])=""),
   0,
   IFERROR(
      _xlfn.XLOOKUP(1, (Contract_Edits[Dep]=Contract_Edits[[#This Row],[Dep]])*(Contract_Edits[RowPos]&lt;Contract_Edits[[#This Row],[RowPos]]), Contract_Edits[RowPos], , 0, -1),
      0
   )
)</f>
        <v>172</v>
      </c>
      <c r="AF197" s="35">
        <f>IF(OR(Contract_Edits[[#This Row],[Dep]]=0,Contract_Edits[[#This Row],[Dep]]=""),0,
   COUNTIFS(Contract_Edits[Dep],Contract_Edits[[#This Row],[Dep]],Contract_Edits[RowPos],"&lt;="&amp;Contract_Edits[[#This Row],[RowPos]],Contract_Edits[Approve],"Yes")
)</f>
        <v>7</v>
      </c>
      <c r="AG197" s="517">
        <f>--(
  ISNUMBER(SEARCH("BASE PARENT", UPPER(CLEAN(TRIM(_xlfn.XLOOKUP(TEXT(Contract_Edits[[#This Row],[Index]],"0"), baseIdxTxt, baseCost, "")))))) +
  ISNUMBER(SEARCH("DEPENDENCY GROUP", UPPER(CLEAN(TRIM(_xlfn.XLOOKUP(TEXT(Contract_Edits[[#This Row],[Index]],"0"), baseIdxTxt, baseCost, ""))))))
)</f>
        <v>0</v>
      </c>
      <c r="AH197" s="517" t="str" cm="1">
        <f t="array" ref="AH197">IF(Contract_Edits[[#This Row],[BaseFlag]]=1,
   10*BaseDepthL(TEXT(Contract_Edits[[#This Row],[Index]],"0"),500,editsIdxTxt,editsParentKeyTxt,baseIdxTxt,baseCost)-5,
   ""
)</f>
        <v/>
      </c>
      <c r="AI197" s="517" cm="1">
        <f t="array" ref="AI1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7" s="517" t="str">
        <f>IF(Contract_Edits[[#This Row],[Dep]]=0,"Root",
   IF(ISNUMBER(MATCH(Contract_Edits[[#This Row],[Dep]],Contract_Edits[Index],0)),"OK","Missing")
)</f>
        <v>OK</v>
      </c>
      <c r="AK197" s="517" t="str">
        <f>IF(AND(Contract_Edits[[#This Row],[Dep]]&lt;&gt;0,
        ISNUMBER(MATCH(Contract_Edits[[#This Row],[Dep]], Contract_Edits[Index], 0)),
        INDEX(Contract_Edits[Dep], MATCH(Contract_Edits[[#This Row],[Dep]], Contract_Edits[Index], 0))=Contract_Edits[[#This Row],[Index]]),
   "2-cycle","")</f>
        <v/>
      </c>
      <c r="AL197" s="517" cm="1">
        <f t="array" ref="AL197">IF(Contract_Edits[[#This Row],[BaseFlag]]&lt;&gt;1,0,
   IF(TEXT(Contract_Edits[[#This Row],[Dep]],"0")=TEXT(Contract_Edits[[#This Row],[Index]],"0"),
      0,
      MAX(0, SUMPRODUCT(--(Contract_Edits[BaseFlag]=1),
                        --(TEXT(Contract_Edits[Dep],"0")=TEXT(Contract_Edits[[#This Row],[Dep]],"0"))) - 1)
   )
)</f>
        <v>0</v>
      </c>
      <c r="AM197" s="517" t="str" cm="1">
        <f t="array" ref="AM197">IF(Contract_Edits[[#This Row],[BaseFlag]]=1,
   TEXT(Contract_Edits[[#This Row],[Index]],"0"),
   NearestBaseL(TEXT(Contract_Edits[[#This Row],[ParentKey]],"0"),500,editsIdxTxt,editsParentKeyTxt,baseIdxTxt,baseCost)
)</f>
        <v>171</v>
      </c>
      <c r="AN197" s="517" cm="1">
        <f t="array" ref="AN197">1+SUMPRODUCT(
  (Contract_Edits[BaseFlag]=1)*
  (TEXT(Contract_Edits[ParentAnchor],"0")=TEXT(Contract_Edits[[#This Row],[ParentAnchor]],"0"))*
  (VALUE(TEXT(Contract_Edits[Index],"0"))&lt;VALUE(TEXT(Contract_Edits[[#This Row],[Index]],"0")))
)</f>
        <v>1</v>
      </c>
      <c r="AR197" s="190"/>
      <c r="BF197" s="34"/>
      <c r="CC197"/>
    </row>
    <row r="198" spans="1:81" ht="30.75" thickBot="1">
      <c r="A198" t="s">
        <v>467</v>
      </c>
      <c r="B198" t="s">
        <v>523</v>
      </c>
      <c r="C198" t="s">
        <v>539</v>
      </c>
      <c r="D198" s="458" t="s">
        <v>540</v>
      </c>
      <c r="E198" s="458">
        <v>2250</v>
      </c>
      <c r="F198">
        <v>0</v>
      </c>
      <c r="G198">
        <v>0</v>
      </c>
      <c r="H198">
        <v>171</v>
      </c>
      <c r="I198"/>
      <c r="J198">
        <v>11</v>
      </c>
      <c r="K198" s="107"/>
      <c r="L198" s="463">
        <v>11</v>
      </c>
      <c r="M198" s="176">
        <v>1</v>
      </c>
      <c r="N198" s="160">
        <v>0</v>
      </c>
      <c r="O198" s="546" cm="1">
        <f t="array" ref="O19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46111</v>
      </c>
      <c r="P198" s="566" t="s">
        <v>797</v>
      </c>
      <c r="Q198" s="566">
        <v>0</v>
      </c>
      <c r="R198" s="22"/>
      <c r="S198" s="463" cm="1">
        <f t="array" ref="S19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8">
        <v>1</v>
      </c>
      <c r="U198" s="176"/>
      <c r="V19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195.01079999999999</v>
      </c>
      <c r="W198" s="497"/>
      <c r="X198" s="176" t="s">
        <v>895</v>
      </c>
      <c r="Y198" s="547" t="s">
        <v>893</v>
      </c>
      <c r="Z198" s="160" t="s">
        <v>458</v>
      </c>
      <c r="AA198" s="563">
        <v>103300</v>
      </c>
      <c r="AB198" cm="1">
        <f t="array" ref="AB198">ROW()-ROW(Contract_Edits[#Headers])</f>
        <v>174</v>
      </c>
      <c r="AC198">
        <f>IF(Contract_Edits[[#This Row],[RowPos]]&gt;1, Contract_Edits[[#This Row],[RowPos]]-1, 0)</f>
        <v>173</v>
      </c>
      <c r="AD198" s="35">
        <f>IF(N(Contract_Edits[[#This Row],[Dep]])=0, N(Contract_Edits[[#This Row],[Index]]), N(Contract_Edits[[#This Row],[Dep]]))</f>
        <v>171</v>
      </c>
      <c r="AE198" s="35" cm="1">
        <f t="array" ref="AE198">IF(OR(Contract_Edits[[#This Row],[Dep]]=0, TRIM(Contract_Edits[[#This Row],[Dep]])=""),
   0,
   IFERROR(
      _xlfn.XLOOKUP(1, (Contract_Edits[Dep]=Contract_Edits[[#This Row],[Dep]])*(Contract_Edits[RowPos]&lt;Contract_Edits[[#This Row],[RowPos]]), Contract_Edits[RowPos], , 0, -1),
      0
   )
)</f>
        <v>173</v>
      </c>
      <c r="AF198" s="35">
        <f>IF(OR(Contract_Edits[[#This Row],[Dep]]=0,Contract_Edits[[#This Row],[Dep]]=""),0,
   COUNTIFS(Contract_Edits[Dep],Contract_Edits[[#This Row],[Dep]],Contract_Edits[RowPos],"&lt;="&amp;Contract_Edits[[#This Row],[RowPos]],Contract_Edits[Approve],"Yes")
)</f>
        <v>8</v>
      </c>
      <c r="AG198" s="517">
        <f>--(
  ISNUMBER(SEARCH("BASE PARENT", UPPER(CLEAN(TRIM(_xlfn.XLOOKUP(TEXT(Contract_Edits[[#This Row],[Index]],"0"), baseIdxTxt, baseCost, "")))))) +
  ISNUMBER(SEARCH("DEPENDENCY GROUP", UPPER(CLEAN(TRIM(_xlfn.XLOOKUP(TEXT(Contract_Edits[[#This Row],[Index]],"0"), baseIdxTxt, baseCost, ""))))))
)</f>
        <v>0</v>
      </c>
      <c r="AH198" s="517" t="str" cm="1">
        <f t="array" ref="AH198">IF(Contract_Edits[[#This Row],[BaseFlag]]=1,
   10*BaseDepthL(TEXT(Contract_Edits[[#This Row],[Index]],"0"),500,editsIdxTxt,editsParentKeyTxt,baseIdxTxt,baseCost)-5,
   ""
)</f>
        <v/>
      </c>
      <c r="AI198" s="517" cm="1">
        <f t="array" ref="AI1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8" s="517" t="str">
        <f>IF(Contract_Edits[[#This Row],[Dep]]=0,"Root",
   IF(ISNUMBER(MATCH(Contract_Edits[[#This Row],[Dep]],Contract_Edits[Index],0)),"OK","Missing")
)</f>
        <v>OK</v>
      </c>
      <c r="AK198" s="517" t="str">
        <f>IF(AND(Contract_Edits[[#This Row],[Dep]]&lt;&gt;0,
        ISNUMBER(MATCH(Contract_Edits[[#This Row],[Dep]], Contract_Edits[Index], 0)),
        INDEX(Contract_Edits[Dep], MATCH(Contract_Edits[[#This Row],[Dep]], Contract_Edits[Index], 0))=Contract_Edits[[#This Row],[Index]]),
   "2-cycle","")</f>
        <v/>
      </c>
      <c r="AL198" s="517" cm="1">
        <f t="array" ref="AL198">IF(Contract_Edits[[#This Row],[BaseFlag]]&lt;&gt;1,0,
   IF(TEXT(Contract_Edits[[#This Row],[Dep]],"0")=TEXT(Contract_Edits[[#This Row],[Index]],"0"),
      0,
      MAX(0, SUMPRODUCT(--(Contract_Edits[BaseFlag]=1),
                        --(TEXT(Contract_Edits[Dep],"0")=TEXT(Contract_Edits[[#This Row],[Dep]],"0"))) - 1)
   )
)</f>
        <v>0</v>
      </c>
      <c r="AM198" s="517" t="str" cm="1">
        <f t="array" ref="AM198">IF(Contract_Edits[[#This Row],[BaseFlag]]=1,
   TEXT(Contract_Edits[[#This Row],[Index]],"0"),
   NearestBaseL(TEXT(Contract_Edits[[#This Row],[ParentKey]],"0"),500,editsIdxTxt,editsParentKeyTxt,baseIdxTxt,baseCost)
)</f>
        <v>171</v>
      </c>
      <c r="AN198" s="517" cm="1">
        <f t="array" ref="AN198">1+SUMPRODUCT(
  (Contract_Edits[BaseFlag]=1)*
  (TEXT(Contract_Edits[ParentAnchor],"0")=TEXT(Contract_Edits[[#This Row],[ParentAnchor]],"0"))*
  (VALUE(TEXT(Contract_Edits[Index],"0"))&lt;VALUE(TEXT(Contract_Edits[[#This Row],[Index]],"0")))
)</f>
        <v>1</v>
      </c>
      <c r="AR198" s="190"/>
      <c r="BF198" s="34"/>
      <c r="CC198"/>
    </row>
    <row r="199" spans="1:81" ht="16.5" thickTop="1" thickBot="1">
      <c r="A199" t="s">
        <v>747</v>
      </c>
      <c r="B199" t="s">
        <v>744</v>
      </c>
      <c r="C199" t="s">
        <v>759</v>
      </c>
      <c r="D199" s="458" t="s">
        <v>769</v>
      </c>
      <c r="E199" s="458">
        <v>0</v>
      </c>
      <c r="F199"/>
      <c r="G199"/>
      <c r="H199">
        <v>171</v>
      </c>
      <c r="I199"/>
      <c r="J199">
        <v>172</v>
      </c>
      <c r="K199" s="107"/>
      <c r="L199" s="519">
        <v>172</v>
      </c>
      <c r="M199" s="490"/>
      <c r="N199" s="160">
        <v>0</v>
      </c>
      <c r="O199" s="546" cm="1">
        <f t="array" ref="O19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46112</v>
      </c>
      <c r="P199" s="567"/>
      <c r="Q199" s="567"/>
      <c r="R199" s="499"/>
      <c r="S199" s="463" cm="1">
        <f t="array" ref="S19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9" s="34">
        <v>1</v>
      </c>
      <c r="U199" s="490"/>
      <c r="V19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v>
      </c>
      <c r="W199" s="557"/>
      <c r="X199" s="545"/>
      <c r="Y199" s="548"/>
      <c r="Z199" s="535" t="s">
        <v>458</v>
      </c>
      <c r="AA199" s="544"/>
      <c r="AB199" cm="1">
        <f t="array" ref="AB199">ROW()-ROW(Contract_Edits[#Headers])</f>
        <v>175</v>
      </c>
      <c r="AC199">
        <f>IF(Contract_Edits[[#This Row],[RowPos]]&gt;1, Contract_Edits[[#This Row],[RowPos]]-1, 0)</f>
        <v>174</v>
      </c>
      <c r="AD199" s="35">
        <f>IF(N(Contract_Edits[[#This Row],[Dep]])=0, N(Contract_Edits[[#This Row],[Index]]), N(Contract_Edits[[#This Row],[Dep]]))</f>
        <v>171</v>
      </c>
      <c r="AE199" s="35" cm="1">
        <f t="array" ref="AE199">IF(OR(Contract_Edits[[#This Row],[Dep]]=0, TRIM(Contract_Edits[[#This Row],[Dep]])=""),
   0,
   IFERROR(
      _xlfn.XLOOKUP(1, (Contract_Edits[Dep]=Contract_Edits[[#This Row],[Dep]])*(Contract_Edits[RowPos]&lt;Contract_Edits[[#This Row],[RowPos]]), Contract_Edits[RowPos], , 0, -1),
      0
   )
)</f>
        <v>174</v>
      </c>
      <c r="AF199" s="35">
        <f>IF(OR(Contract_Edits[[#This Row],[Dep]]=0,Contract_Edits[[#This Row],[Dep]]=""),0,
   COUNTIFS(Contract_Edits[Dep],Contract_Edits[[#This Row],[Dep]],Contract_Edits[RowPos],"&lt;="&amp;Contract_Edits[[#This Row],[RowPos]],Contract_Edits[Approve],"Yes")
)</f>
        <v>9</v>
      </c>
      <c r="AG199" s="517">
        <f>--(
  ISNUMBER(SEARCH("BASE PARENT", UPPER(CLEAN(TRIM(_xlfn.XLOOKUP(TEXT(Contract_Edits[[#This Row],[Index]],"0"), baseIdxTxt, baseCost, "")))))) +
  ISNUMBER(SEARCH("DEPENDENCY GROUP", UPPER(CLEAN(TRIM(_xlfn.XLOOKUP(TEXT(Contract_Edits[[#This Row],[Index]],"0"), baseIdxTxt, baseCost, ""))))))
)</f>
        <v>1</v>
      </c>
      <c r="AH199" s="517" cm="1">
        <f t="array" ref="AH199">IF(Contract_Edits[[#This Row],[BaseFlag]]=1,
   10*BaseDepthL(TEXT(Contract_Edits[[#This Row],[Index]],"0"),500,editsIdxTxt,editsParentKeyTxt,baseIdxTxt,baseCost)-5,
   ""
)</f>
        <v>205</v>
      </c>
      <c r="AI199" s="517" cm="1">
        <f t="array" ref="AI1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9" s="475" t="str">
        <f>IF(Contract_Edits[[#This Row],[Dep]]=0,"Root",
   IF(ISNUMBER(MATCH(Contract_Edits[[#This Row],[Dep]],Contract_Edits[Index],0)),"OK","Missing")
)</f>
        <v>OK</v>
      </c>
      <c r="AK199" s="475" t="str">
        <f>IF(AND(Contract_Edits[[#This Row],[Dep]]&lt;&gt;0,
        ISNUMBER(MATCH(Contract_Edits[[#This Row],[Dep]], Contract_Edits[Index], 0)),
        INDEX(Contract_Edits[Dep], MATCH(Contract_Edits[[#This Row],[Dep]], Contract_Edits[Index], 0))=Contract_Edits[[#This Row],[Index]]),
   "2-cycle","")</f>
        <v/>
      </c>
      <c r="AL199" s="475" cm="1">
        <f t="array" ref="AL199">IF(Contract_Edits[[#This Row],[BaseFlag]]&lt;&gt;1,0,
   IF(TEXT(Contract_Edits[[#This Row],[Dep]],"0")=TEXT(Contract_Edits[[#This Row],[Index]],"0"),
      0,
      MAX(0, SUMPRODUCT(--(Contract_Edits[BaseFlag]=1),
                        --(TEXT(Contract_Edits[Dep],"0")=TEXT(Contract_Edits[[#This Row],[Dep]],"0"))) - 1)
   )
)</f>
        <v>0</v>
      </c>
      <c r="AM199" s="475" t="str" cm="1">
        <f t="array" ref="AM199">IF(Contract_Edits[[#This Row],[BaseFlag]]=1,
   TEXT(Contract_Edits[[#This Row],[Index]],"0"),
   NearestBaseL(TEXT(Contract_Edits[[#This Row],[ParentKey]],"0"),500,editsIdxTxt,editsParentKeyTxt,baseIdxTxt,baseCost)
)</f>
        <v>172</v>
      </c>
      <c r="AN199" s="475" cm="1">
        <f t="array" ref="AN199">1+SUMPRODUCT(
  (Contract_Edits[BaseFlag]=1)*
  (TEXT(Contract_Edits[ParentAnchor],"0")=TEXT(Contract_Edits[[#This Row],[ParentAnchor]],"0"))*
  (VALUE(TEXT(Contract_Edits[Index],"0"))&lt;VALUE(TEXT(Contract_Edits[[#This Row],[Index]],"0")))
)</f>
        <v>1</v>
      </c>
      <c r="AR199" s="190"/>
      <c r="BF199" s="34"/>
      <c r="CC199"/>
    </row>
    <row r="200" spans="1:81" ht="16.5" thickTop="1" thickBot="1">
      <c r="A200" t="s">
        <v>467</v>
      </c>
      <c r="B200" t="s">
        <v>639</v>
      </c>
      <c r="C200" t="s">
        <v>730</v>
      </c>
      <c r="D200" s="458" t="s">
        <v>733</v>
      </c>
      <c r="E200" s="458">
        <v>1</v>
      </c>
      <c r="F200">
        <v>0</v>
      </c>
      <c r="G200">
        <v>0</v>
      </c>
      <c r="H200">
        <v>172</v>
      </c>
      <c r="I200"/>
      <c r="J200">
        <v>139</v>
      </c>
      <c r="K200" s="107"/>
      <c r="L200" s="519">
        <v>139</v>
      </c>
      <c r="M200" s="176">
        <v>1</v>
      </c>
      <c r="N200" s="160">
        <v>0</v>
      </c>
      <c r="O200" s="546" cm="1">
        <f t="array" ref="O20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46112</v>
      </c>
      <c r="P200" s="566" t="s">
        <v>797</v>
      </c>
      <c r="Q200" s="566">
        <v>0</v>
      </c>
      <c r="R200" s="22"/>
      <c r="S200" s="463" cm="1">
        <f t="array" ref="S20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0">
        <v>1</v>
      </c>
      <c r="U200" s="176"/>
      <c r="V20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205.01009999999999</v>
      </c>
      <c r="W200" s="497"/>
      <c r="X200" s="176" t="s">
        <v>875</v>
      </c>
      <c r="Y200" s="547" t="s">
        <v>896</v>
      </c>
      <c r="Z200" s="160" t="s">
        <v>458</v>
      </c>
      <c r="AA200" s="563">
        <v>104800</v>
      </c>
      <c r="AB200" cm="1">
        <f t="array" ref="AB200">ROW()-ROW(Contract_Edits[#Headers])</f>
        <v>176</v>
      </c>
      <c r="AC200">
        <f>IF(Contract_Edits[[#This Row],[RowPos]]&gt;1, Contract_Edits[[#This Row],[RowPos]]-1, 0)</f>
        <v>175</v>
      </c>
      <c r="AD200" s="35">
        <f>IF(N(Contract_Edits[[#This Row],[Dep]])=0, N(Contract_Edits[[#This Row],[Index]]), N(Contract_Edits[[#This Row],[Dep]]))</f>
        <v>172</v>
      </c>
      <c r="AE200" s="35" cm="1">
        <f t="array" ref="AE200">IF(OR(Contract_Edits[[#This Row],[Dep]]=0, TRIM(Contract_Edits[[#This Row],[Dep]])=""),
   0,
   IFERROR(
      _xlfn.XLOOKUP(1, (Contract_Edits[Dep]=Contract_Edits[[#This Row],[Dep]])*(Contract_Edits[RowPos]&lt;Contract_Edits[[#This Row],[RowPos]]), Contract_Edits[RowPos], , 0, -1),
      0
   )
)</f>
        <v>0</v>
      </c>
      <c r="AF200" s="35">
        <f>IF(OR(Contract_Edits[[#This Row],[Dep]]=0,Contract_Edits[[#This Row],[Dep]]=""),0,
   COUNTIFS(Contract_Edits[Dep],Contract_Edits[[#This Row],[Dep]],Contract_Edits[RowPos],"&lt;="&amp;Contract_Edits[[#This Row],[RowPos]],Contract_Edits[Approve],"Yes")
)</f>
        <v>1</v>
      </c>
      <c r="AG200" s="517">
        <f>--(
  ISNUMBER(SEARCH("BASE PARENT", UPPER(CLEAN(TRIM(_xlfn.XLOOKUP(TEXT(Contract_Edits[[#This Row],[Index]],"0"), baseIdxTxt, baseCost, "")))))) +
  ISNUMBER(SEARCH("DEPENDENCY GROUP", UPPER(CLEAN(TRIM(_xlfn.XLOOKUP(TEXT(Contract_Edits[[#This Row],[Index]],"0"), baseIdxTxt, baseCost, ""))))))
)</f>
        <v>0</v>
      </c>
      <c r="AH200" s="517" t="str" cm="1">
        <f t="array" ref="AH200">IF(Contract_Edits[[#This Row],[BaseFlag]]=1,
   10*BaseDepthL(TEXT(Contract_Edits[[#This Row],[Index]],"0"),500,editsIdxTxt,editsParentKeyTxt,baseIdxTxt,baseCost)-5,
   ""
)</f>
        <v/>
      </c>
      <c r="AI200" s="517" cm="1">
        <f t="array" ref="AI2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0" s="475" t="str">
        <f>IF(Contract_Edits[[#This Row],[Dep]]=0,"Root",
   IF(ISNUMBER(MATCH(Contract_Edits[[#This Row],[Dep]],Contract_Edits[Index],0)),"OK","Missing")
)</f>
        <v>OK</v>
      </c>
      <c r="AK200" s="475" t="str">
        <f>IF(AND(Contract_Edits[[#This Row],[Dep]]&lt;&gt;0,
        ISNUMBER(MATCH(Contract_Edits[[#This Row],[Dep]], Contract_Edits[Index], 0)),
        INDEX(Contract_Edits[Dep], MATCH(Contract_Edits[[#This Row],[Dep]], Contract_Edits[Index], 0))=Contract_Edits[[#This Row],[Index]]),
   "2-cycle","")</f>
        <v/>
      </c>
      <c r="AL200" s="475" cm="1">
        <f t="array" ref="AL200">IF(Contract_Edits[[#This Row],[BaseFlag]]&lt;&gt;1,0,
   IF(TEXT(Contract_Edits[[#This Row],[Dep]],"0")=TEXT(Contract_Edits[[#This Row],[Index]],"0"),
      0,
      MAX(0, SUMPRODUCT(--(Contract_Edits[BaseFlag]=1),
                        --(TEXT(Contract_Edits[Dep],"0")=TEXT(Contract_Edits[[#This Row],[Dep]],"0"))) - 1)
   )
)</f>
        <v>0</v>
      </c>
      <c r="AM200" s="475" t="str" cm="1">
        <f t="array" ref="AM200">IF(Contract_Edits[[#This Row],[BaseFlag]]=1,
   TEXT(Contract_Edits[[#This Row],[Index]],"0"),
   NearestBaseL(TEXT(Contract_Edits[[#This Row],[ParentKey]],"0"),500,editsIdxTxt,editsParentKeyTxt,baseIdxTxt,baseCost)
)</f>
        <v>172</v>
      </c>
      <c r="AN200" s="475" cm="1">
        <f t="array" ref="AN200">1+SUMPRODUCT(
  (Contract_Edits[BaseFlag]=1)*
  (TEXT(Contract_Edits[ParentAnchor],"0")=TEXT(Contract_Edits[[#This Row],[ParentAnchor]],"0"))*
  (VALUE(TEXT(Contract_Edits[Index],"0"))&lt;VALUE(TEXT(Contract_Edits[[#This Row],[Index]],"0")))
)</f>
        <v>1</v>
      </c>
      <c r="AR200" s="190"/>
      <c r="BF200" s="34"/>
      <c r="CC200"/>
    </row>
    <row r="201" spans="1:81" ht="16.5" thickTop="1" thickBot="1">
      <c r="A201" t="s">
        <v>467</v>
      </c>
      <c r="B201" t="s">
        <v>608</v>
      </c>
      <c r="C201" t="s">
        <v>730</v>
      </c>
      <c r="D201" s="458" t="s">
        <v>735</v>
      </c>
      <c r="E201" s="458">
        <v>1</v>
      </c>
      <c r="F201">
        <v>0</v>
      </c>
      <c r="G201">
        <v>0</v>
      </c>
      <c r="H201">
        <v>172</v>
      </c>
      <c r="I201"/>
      <c r="J201">
        <v>142</v>
      </c>
      <c r="K201" s="107"/>
      <c r="L201" s="519">
        <v>142</v>
      </c>
      <c r="M201" s="490"/>
      <c r="N201" s="160">
        <v>0</v>
      </c>
      <c r="O201" s="546" cm="1">
        <f t="array" ref="O20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46113</v>
      </c>
      <c r="P201" s="567" t="s">
        <v>797</v>
      </c>
      <c r="Q201" s="567"/>
      <c r="R201" s="499"/>
      <c r="S201" s="463" cm="1">
        <f t="array" ref="S20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1" s="34">
        <v>1</v>
      </c>
      <c r="U201" s="490"/>
      <c r="V20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205.0102</v>
      </c>
      <c r="W201" s="557"/>
      <c r="X201" s="545" t="s">
        <v>875</v>
      </c>
      <c r="Y201" s="548" t="s">
        <v>896</v>
      </c>
      <c r="Z201" s="160" t="s">
        <v>458</v>
      </c>
      <c r="AA201" s="563">
        <v>104800</v>
      </c>
      <c r="AB201" cm="1">
        <f t="array" ref="AB201">ROW()-ROW(Contract_Edits[#Headers])</f>
        <v>177</v>
      </c>
      <c r="AC201">
        <f>IF(Contract_Edits[[#This Row],[RowPos]]&gt;1, Contract_Edits[[#This Row],[RowPos]]-1, 0)</f>
        <v>176</v>
      </c>
      <c r="AD201" s="35">
        <f>IF(N(Contract_Edits[[#This Row],[Dep]])=0, N(Contract_Edits[[#This Row],[Index]]), N(Contract_Edits[[#This Row],[Dep]]))</f>
        <v>172</v>
      </c>
      <c r="AE201" s="35" cm="1">
        <f t="array" ref="AE201">IF(OR(Contract_Edits[[#This Row],[Dep]]=0, TRIM(Contract_Edits[[#This Row],[Dep]])=""),
   0,
   IFERROR(
      _xlfn.XLOOKUP(1, (Contract_Edits[Dep]=Contract_Edits[[#This Row],[Dep]])*(Contract_Edits[RowPos]&lt;Contract_Edits[[#This Row],[RowPos]]), Contract_Edits[RowPos], , 0, -1),
      0
   )
)</f>
        <v>176</v>
      </c>
      <c r="AF201" s="35">
        <f>IF(OR(Contract_Edits[[#This Row],[Dep]]=0,Contract_Edits[[#This Row],[Dep]]=""),0,
   COUNTIFS(Contract_Edits[Dep],Contract_Edits[[#This Row],[Dep]],Contract_Edits[RowPos],"&lt;="&amp;Contract_Edits[[#This Row],[RowPos]],Contract_Edits[Approve],"Yes")
)</f>
        <v>2</v>
      </c>
      <c r="AG201" s="517">
        <f>--(
  ISNUMBER(SEARCH("BASE PARENT", UPPER(CLEAN(TRIM(_xlfn.XLOOKUP(TEXT(Contract_Edits[[#This Row],[Index]],"0"), baseIdxTxt, baseCost, "")))))) +
  ISNUMBER(SEARCH("DEPENDENCY GROUP", UPPER(CLEAN(TRIM(_xlfn.XLOOKUP(TEXT(Contract_Edits[[#This Row],[Index]],"0"), baseIdxTxt, baseCost, ""))))))
)</f>
        <v>0</v>
      </c>
      <c r="AH201" s="517" t="str" cm="1">
        <f t="array" ref="AH201">IF(Contract_Edits[[#This Row],[BaseFlag]]=1,
   10*BaseDepthL(TEXT(Contract_Edits[[#This Row],[Index]],"0"),500,editsIdxTxt,editsParentKeyTxt,baseIdxTxt,baseCost)-5,
   ""
)</f>
        <v/>
      </c>
      <c r="AI201" s="517" cm="1">
        <f t="array" ref="AI2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1" s="475" t="str">
        <f>IF(Contract_Edits[[#This Row],[Dep]]=0,"Root",
   IF(ISNUMBER(MATCH(Contract_Edits[[#This Row],[Dep]],Contract_Edits[Index],0)),"OK","Missing")
)</f>
        <v>OK</v>
      </c>
      <c r="AK201" s="475" t="str">
        <f>IF(AND(Contract_Edits[[#This Row],[Dep]]&lt;&gt;0,
        ISNUMBER(MATCH(Contract_Edits[[#This Row],[Dep]], Contract_Edits[Index], 0)),
        INDEX(Contract_Edits[Dep], MATCH(Contract_Edits[[#This Row],[Dep]], Contract_Edits[Index], 0))=Contract_Edits[[#This Row],[Index]]),
   "2-cycle","")</f>
        <v/>
      </c>
      <c r="AL201" s="475" cm="1">
        <f t="array" ref="AL201">IF(Contract_Edits[[#This Row],[BaseFlag]]&lt;&gt;1,0,
   IF(TEXT(Contract_Edits[[#This Row],[Dep]],"0")=TEXT(Contract_Edits[[#This Row],[Index]],"0"),
      0,
      MAX(0, SUMPRODUCT(--(Contract_Edits[BaseFlag]=1),
                        --(TEXT(Contract_Edits[Dep],"0")=TEXT(Contract_Edits[[#This Row],[Dep]],"0"))) - 1)
   )
)</f>
        <v>0</v>
      </c>
      <c r="AM201" s="475" t="str" cm="1">
        <f t="array" ref="AM201">IF(Contract_Edits[[#This Row],[BaseFlag]]=1,
   TEXT(Contract_Edits[[#This Row],[Index]],"0"),
   NearestBaseL(TEXT(Contract_Edits[[#This Row],[ParentKey]],"0"),500,editsIdxTxt,editsParentKeyTxt,baseIdxTxt,baseCost)
)</f>
        <v>172</v>
      </c>
      <c r="AN201" s="475" cm="1">
        <f t="array" ref="AN201">1+SUMPRODUCT(
  (Contract_Edits[BaseFlag]=1)*
  (TEXT(Contract_Edits[ParentAnchor],"0")=TEXT(Contract_Edits[[#This Row],[ParentAnchor]],"0"))*
  (VALUE(TEXT(Contract_Edits[Index],"0"))&lt;VALUE(TEXT(Contract_Edits[[#This Row],[Index]],"0")))
)</f>
        <v>1</v>
      </c>
      <c r="AR201" s="190"/>
      <c r="BF201" s="34"/>
      <c r="CC201"/>
    </row>
    <row r="202" spans="1:81" ht="16.5" thickTop="1" thickBot="1">
      <c r="A202" t="s">
        <v>467</v>
      </c>
      <c r="B202" t="s">
        <v>608</v>
      </c>
      <c r="C202" t="s">
        <v>577</v>
      </c>
      <c r="D202" s="458" t="s">
        <v>713</v>
      </c>
      <c r="E202" s="458">
        <v>1</v>
      </c>
      <c r="F202">
        <v>0</v>
      </c>
      <c r="G202">
        <v>0</v>
      </c>
      <c r="H202">
        <v>172</v>
      </c>
      <c r="I202"/>
      <c r="J202">
        <v>127</v>
      </c>
      <c r="K202" s="107"/>
      <c r="L202" s="519">
        <v>127</v>
      </c>
      <c r="M202" s="176">
        <v>1</v>
      </c>
      <c r="N202" s="160">
        <v>0</v>
      </c>
      <c r="O202" s="546" cm="1">
        <f t="array" ref="O20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46113</v>
      </c>
      <c r="P202" s="566" t="s">
        <v>797</v>
      </c>
      <c r="Q202" s="566">
        <v>0</v>
      </c>
      <c r="R202" s="22"/>
      <c r="S202" s="463" cm="1">
        <f t="array" ref="S20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2">
        <v>1</v>
      </c>
      <c r="U202" s="176"/>
      <c r="V20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205.0103</v>
      </c>
      <c r="W202" s="497"/>
      <c r="X202" s="176" t="s">
        <v>875</v>
      </c>
      <c r="Y202" s="547" t="s">
        <v>896</v>
      </c>
      <c r="Z202" s="160" t="s">
        <v>458</v>
      </c>
      <c r="AA202" s="563">
        <v>104800</v>
      </c>
      <c r="AB202" cm="1">
        <f t="array" ref="AB202">ROW()-ROW(Contract_Edits[#Headers])</f>
        <v>178</v>
      </c>
      <c r="AC202">
        <f>IF(Contract_Edits[[#This Row],[RowPos]]&gt;1, Contract_Edits[[#This Row],[RowPos]]-1, 0)</f>
        <v>177</v>
      </c>
      <c r="AD202" s="35">
        <f>IF(N(Contract_Edits[[#This Row],[Dep]])=0, N(Contract_Edits[[#This Row],[Index]]), N(Contract_Edits[[#This Row],[Dep]]))</f>
        <v>172</v>
      </c>
      <c r="AE202" s="35" cm="1">
        <f t="array" ref="AE202">IF(OR(Contract_Edits[[#This Row],[Dep]]=0, TRIM(Contract_Edits[[#This Row],[Dep]])=""),
   0,
   IFERROR(
      _xlfn.XLOOKUP(1, (Contract_Edits[Dep]=Contract_Edits[[#This Row],[Dep]])*(Contract_Edits[RowPos]&lt;Contract_Edits[[#This Row],[RowPos]]), Contract_Edits[RowPos], , 0, -1),
      0
   )
)</f>
        <v>177</v>
      </c>
      <c r="AF202" s="35">
        <f>IF(OR(Contract_Edits[[#This Row],[Dep]]=0,Contract_Edits[[#This Row],[Dep]]=""),0,
   COUNTIFS(Contract_Edits[Dep],Contract_Edits[[#This Row],[Dep]],Contract_Edits[RowPos],"&lt;="&amp;Contract_Edits[[#This Row],[RowPos]],Contract_Edits[Approve],"Yes")
)</f>
        <v>3</v>
      </c>
      <c r="AG202" s="517">
        <f>--(
  ISNUMBER(SEARCH("BASE PARENT", UPPER(CLEAN(TRIM(_xlfn.XLOOKUP(TEXT(Contract_Edits[[#This Row],[Index]],"0"), baseIdxTxt, baseCost, "")))))) +
  ISNUMBER(SEARCH("DEPENDENCY GROUP", UPPER(CLEAN(TRIM(_xlfn.XLOOKUP(TEXT(Contract_Edits[[#This Row],[Index]],"0"), baseIdxTxt, baseCost, ""))))))
)</f>
        <v>0</v>
      </c>
      <c r="AH202" s="517" t="str" cm="1">
        <f t="array" ref="AH202">IF(Contract_Edits[[#This Row],[BaseFlag]]=1,
   10*BaseDepthL(TEXT(Contract_Edits[[#This Row],[Index]],"0"),500,editsIdxTxt,editsParentKeyTxt,baseIdxTxt,baseCost)-5,
   ""
)</f>
        <v/>
      </c>
      <c r="AI202" s="517" cm="1">
        <f t="array" ref="AI2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2" s="475" t="str">
        <f>IF(Contract_Edits[[#This Row],[Dep]]=0,"Root",
   IF(ISNUMBER(MATCH(Contract_Edits[[#This Row],[Dep]],Contract_Edits[Index],0)),"OK","Missing")
)</f>
        <v>OK</v>
      </c>
      <c r="AK202" s="475" t="str">
        <f>IF(AND(Contract_Edits[[#This Row],[Dep]]&lt;&gt;0,
        ISNUMBER(MATCH(Contract_Edits[[#This Row],[Dep]], Contract_Edits[Index], 0)),
        INDEX(Contract_Edits[Dep], MATCH(Contract_Edits[[#This Row],[Dep]], Contract_Edits[Index], 0))=Contract_Edits[[#This Row],[Index]]),
   "2-cycle","")</f>
        <v/>
      </c>
      <c r="AL202" s="475" cm="1">
        <f t="array" ref="AL202">IF(Contract_Edits[[#This Row],[BaseFlag]]&lt;&gt;1,0,
   IF(TEXT(Contract_Edits[[#This Row],[Dep]],"0")=TEXT(Contract_Edits[[#This Row],[Index]],"0"),
      0,
      MAX(0, SUMPRODUCT(--(Contract_Edits[BaseFlag]=1),
                        --(TEXT(Contract_Edits[Dep],"0")=TEXT(Contract_Edits[[#This Row],[Dep]],"0"))) - 1)
   )
)</f>
        <v>0</v>
      </c>
      <c r="AM202" s="475" t="str" cm="1">
        <f t="array" ref="AM202">IF(Contract_Edits[[#This Row],[BaseFlag]]=1,
   TEXT(Contract_Edits[[#This Row],[Index]],"0"),
   NearestBaseL(TEXT(Contract_Edits[[#This Row],[ParentKey]],"0"),500,editsIdxTxt,editsParentKeyTxt,baseIdxTxt,baseCost)
)</f>
        <v>172</v>
      </c>
      <c r="AN202" s="475" cm="1">
        <f t="array" ref="AN202">1+SUMPRODUCT(
  (Contract_Edits[BaseFlag]=1)*
  (TEXT(Contract_Edits[ParentAnchor],"0")=TEXT(Contract_Edits[[#This Row],[ParentAnchor]],"0"))*
  (VALUE(TEXT(Contract_Edits[Index],"0"))&lt;VALUE(TEXT(Contract_Edits[[#This Row],[Index]],"0")))
)</f>
        <v>1</v>
      </c>
      <c r="AR202" s="190"/>
      <c r="BF202" s="34"/>
      <c r="CC202"/>
    </row>
    <row r="203" spans="1:81" ht="16.5" thickTop="1" thickBot="1">
      <c r="A203" t="s">
        <v>467</v>
      </c>
      <c r="B203" t="s">
        <v>608</v>
      </c>
      <c r="C203" t="s">
        <v>730</v>
      </c>
      <c r="D203" s="458" t="s">
        <v>734</v>
      </c>
      <c r="E203" s="458">
        <v>1</v>
      </c>
      <c r="F203">
        <v>0</v>
      </c>
      <c r="G203">
        <v>0</v>
      </c>
      <c r="H203">
        <v>172</v>
      </c>
      <c r="I203"/>
      <c r="J203">
        <v>141</v>
      </c>
      <c r="K203" s="107"/>
      <c r="L203" s="519">
        <v>141</v>
      </c>
      <c r="M203" s="490"/>
      <c r="N203" s="160">
        <v>0</v>
      </c>
      <c r="O203" s="546" cm="1">
        <f t="array" ref="O20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46114</v>
      </c>
      <c r="P203" s="567" t="s">
        <v>797</v>
      </c>
      <c r="Q203" s="567"/>
      <c r="R203" s="499"/>
      <c r="S203" s="463" cm="1">
        <f t="array" ref="S20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3" s="34">
        <v>1</v>
      </c>
      <c r="U203" s="490"/>
      <c r="V20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205.0104</v>
      </c>
      <c r="W203" s="497"/>
      <c r="X203" s="545" t="s">
        <v>875</v>
      </c>
      <c r="Y203" s="548" t="s">
        <v>896</v>
      </c>
      <c r="Z203" s="535" t="s">
        <v>458</v>
      </c>
      <c r="AA203" s="563">
        <v>104800</v>
      </c>
      <c r="AB203" cm="1">
        <f t="array" ref="AB203">ROW()-ROW(Contract_Edits[#Headers])</f>
        <v>179</v>
      </c>
      <c r="AC203">
        <f>IF(Contract_Edits[[#This Row],[RowPos]]&gt;1, Contract_Edits[[#This Row],[RowPos]]-1, 0)</f>
        <v>178</v>
      </c>
      <c r="AD203" s="35">
        <f>IF(N(Contract_Edits[[#This Row],[Dep]])=0, N(Contract_Edits[[#This Row],[Index]]), N(Contract_Edits[[#This Row],[Dep]]))</f>
        <v>172</v>
      </c>
      <c r="AE203" s="35" cm="1">
        <f t="array" ref="AE203">IF(OR(Contract_Edits[[#This Row],[Dep]]=0, TRIM(Contract_Edits[[#This Row],[Dep]])=""),
   0,
   IFERROR(
      _xlfn.XLOOKUP(1, (Contract_Edits[Dep]=Contract_Edits[[#This Row],[Dep]])*(Contract_Edits[RowPos]&lt;Contract_Edits[[#This Row],[RowPos]]), Contract_Edits[RowPos], , 0, -1),
      0
   )
)</f>
        <v>178</v>
      </c>
      <c r="AF203" s="35">
        <f>IF(OR(Contract_Edits[[#This Row],[Dep]]=0,Contract_Edits[[#This Row],[Dep]]=""),0,
   COUNTIFS(Contract_Edits[Dep],Contract_Edits[[#This Row],[Dep]],Contract_Edits[RowPos],"&lt;="&amp;Contract_Edits[[#This Row],[RowPos]],Contract_Edits[Approve],"Yes")
)</f>
        <v>4</v>
      </c>
      <c r="AG203" s="517">
        <f>--(
  ISNUMBER(SEARCH("BASE PARENT", UPPER(CLEAN(TRIM(_xlfn.XLOOKUP(TEXT(Contract_Edits[[#This Row],[Index]],"0"), baseIdxTxt, baseCost, "")))))) +
  ISNUMBER(SEARCH("DEPENDENCY GROUP", UPPER(CLEAN(TRIM(_xlfn.XLOOKUP(TEXT(Contract_Edits[[#This Row],[Index]],"0"), baseIdxTxt, baseCost, ""))))))
)</f>
        <v>0</v>
      </c>
      <c r="AH203" s="517" t="str" cm="1">
        <f t="array" ref="AH203">IF(Contract_Edits[[#This Row],[BaseFlag]]=1,
   10*BaseDepthL(TEXT(Contract_Edits[[#This Row],[Index]],"0"),500,editsIdxTxt,editsParentKeyTxt,baseIdxTxt,baseCost)-5,
   ""
)</f>
        <v/>
      </c>
      <c r="AI203" s="517" cm="1">
        <f t="array" ref="AI2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3" s="475" t="str">
        <f>IF(Contract_Edits[[#This Row],[Dep]]=0,"Root",
   IF(ISNUMBER(MATCH(Contract_Edits[[#This Row],[Dep]],Contract_Edits[Index],0)),"OK","Missing")
)</f>
        <v>OK</v>
      </c>
      <c r="AK203" s="475" t="str">
        <f>IF(AND(Contract_Edits[[#This Row],[Dep]]&lt;&gt;0,
        ISNUMBER(MATCH(Contract_Edits[[#This Row],[Dep]], Contract_Edits[Index], 0)),
        INDEX(Contract_Edits[Dep], MATCH(Contract_Edits[[#This Row],[Dep]], Contract_Edits[Index], 0))=Contract_Edits[[#This Row],[Index]]),
   "2-cycle","")</f>
        <v/>
      </c>
      <c r="AL203" s="475" cm="1">
        <f t="array" ref="AL203">IF(Contract_Edits[[#This Row],[BaseFlag]]&lt;&gt;1,0,
   IF(TEXT(Contract_Edits[[#This Row],[Dep]],"0")=TEXT(Contract_Edits[[#This Row],[Index]],"0"),
      0,
      MAX(0, SUMPRODUCT(--(Contract_Edits[BaseFlag]=1),
                        --(TEXT(Contract_Edits[Dep],"0")=TEXT(Contract_Edits[[#This Row],[Dep]],"0"))) - 1)
   )
)</f>
        <v>0</v>
      </c>
      <c r="AM203" s="475" t="str" cm="1">
        <f t="array" ref="AM203">IF(Contract_Edits[[#This Row],[BaseFlag]]=1,
   TEXT(Contract_Edits[[#This Row],[Index]],"0"),
   NearestBaseL(TEXT(Contract_Edits[[#This Row],[ParentKey]],"0"),500,editsIdxTxt,editsParentKeyTxt,baseIdxTxt,baseCost)
)</f>
        <v>172</v>
      </c>
      <c r="AN203" s="475" cm="1">
        <f t="array" ref="AN203">1+SUMPRODUCT(
  (Contract_Edits[BaseFlag]=1)*
  (TEXT(Contract_Edits[ParentAnchor],"0")=TEXT(Contract_Edits[[#This Row],[ParentAnchor]],"0"))*
  (VALUE(TEXT(Contract_Edits[Index],"0"))&lt;VALUE(TEXT(Contract_Edits[[#This Row],[Index]],"0")))
)</f>
        <v>1</v>
      </c>
      <c r="AR203" s="190"/>
      <c r="BF203" s="34"/>
      <c r="CC203"/>
    </row>
    <row r="204" spans="1:81" ht="16.5" thickTop="1" thickBot="1">
      <c r="A204" t="s">
        <v>467</v>
      </c>
      <c r="B204" t="s">
        <v>587</v>
      </c>
      <c r="C204" t="s">
        <v>730</v>
      </c>
      <c r="D204" s="458" t="s">
        <v>734</v>
      </c>
      <c r="E204" s="458">
        <v>1</v>
      </c>
      <c r="F204">
        <v>0</v>
      </c>
      <c r="G204">
        <v>0</v>
      </c>
      <c r="H204">
        <v>172</v>
      </c>
      <c r="I204"/>
      <c r="J204">
        <v>140</v>
      </c>
      <c r="K204" s="107"/>
      <c r="L204" s="519">
        <v>140</v>
      </c>
      <c r="M204" s="490"/>
      <c r="N204" s="160">
        <v>0</v>
      </c>
      <c r="O204" s="546" cm="1">
        <f t="array" ref="O20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46114</v>
      </c>
      <c r="P204" s="567" t="s">
        <v>797</v>
      </c>
      <c r="Q204" s="567"/>
      <c r="R204" s="499"/>
      <c r="S204" s="463" cm="1">
        <f t="array" ref="S20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4" s="34">
        <v>1</v>
      </c>
      <c r="U204" s="490"/>
      <c r="V20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205.01049999999998</v>
      </c>
      <c r="W204" s="497"/>
      <c r="X204" s="545" t="s">
        <v>875</v>
      </c>
      <c r="Y204" s="548" t="s">
        <v>896</v>
      </c>
      <c r="Z204" s="535" t="s">
        <v>458</v>
      </c>
      <c r="AA204" s="563">
        <v>104800</v>
      </c>
      <c r="AB204" cm="1">
        <f t="array" ref="AB204">ROW()-ROW(Contract_Edits[#Headers])</f>
        <v>180</v>
      </c>
      <c r="AC204">
        <f>IF(Contract_Edits[[#This Row],[RowPos]]&gt;1, Contract_Edits[[#This Row],[RowPos]]-1, 0)</f>
        <v>179</v>
      </c>
      <c r="AD204" s="35">
        <f>IF(N(Contract_Edits[[#This Row],[Dep]])=0, N(Contract_Edits[[#This Row],[Index]]), N(Contract_Edits[[#This Row],[Dep]]))</f>
        <v>172</v>
      </c>
      <c r="AE204" s="35" cm="1">
        <f t="array" ref="AE204">IF(OR(Contract_Edits[[#This Row],[Dep]]=0, TRIM(Contract_Edits[[#This Row],[Dep]])=""),
   0,
   IFERROR(
      _xlfn.XLOOKUP(1, (Contract_Edits[Dep]=Contract_Edits[[#This Row],[Dep]])*(Contract_Edits[RowPos]&lt;Contract_Edits[[#This Row],[RowPos]]), Contract_Edits[RowPos], , 0, -1),
      0
   )
)</f>
        <v>179</v>
      </c>
      <c r="AF204" s="35">
        <f>IF(OR(Contract_Edits[[#This Row],[Dep]]=0,Contract_Edits[[#This Row],[Dep]]=""),0,
   COUNTIFS(Contract_Edits[Dep],Contract_Edits[[#This Row],[Dep]],Contract_Edits[RowPos],"&lt;="&amp;Contract_Edits[[#This Row],[RowPos]],Contract_Edits[Approve],"Yes")
)</f>
        <v>5</v>
      </c>
      <c r="AG204" s="517">
        <f>--(
  ISNUMBER(SEARCH("BASE PARENT", UPPER(CLEAN(TRIM(_xlfn.XLOOKUP(TEXT(Contract_Edits[[#This Row],[Index]],"0"), baseIdxTxt, baseCost, "")))))) +
  ISNUMBER(SEARCH("DEPENDENCY GROUP", UPPER(CLEAN(TRIM(_xlfn.XLOOKUP(TEXT(Contract_Edits[[#This Row],[Index]],"0"), baseIdxTxt, baseCost, ""))))))
)</f>
        <v>0</v>
      </c>
      <c r="AH204" s="517" t="str" cm="1">
        <f t="array" ref="AH204">IF(Contract_Edits[[#This Row],[BaseFlag]]=1,
   10*BaseDepthL(TEXT(Contract_Edits[[#This Row],[Index]],"0"),500,editsIdxTxt,editsParentKeyTxt,baseIdxTxt,baseCost)-5,
   ""
)</f>
        <v/>
      </c>
      <c r="AI204" s="517" cm="1">
        <f t="array" ref="AI20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4" s="475" t="str">
        <f>IF(Contract_Edits[[#This Row],[Dep]]=0,"Root",
   IF(ISNUMBER(MATCH(Contract_Edits[[#This Row],[Dep]],Contract_Edits[Index],0)),"OK","Missing")
)</f>
        <v>OK</v>
      </c>
      <c r="AK204" s="475" t="str">
        <f>IF(AND(Contract_Edits[[#This Row],[Dep]]&lt;&gt;0,
        ISNUMBER(MATCH(Contract_Edits[[#This Row],[Dep]], Contract_Edits[Index], 0)),
        INDEX(Contract_Edits[Dep], MATCH(Contract_Edits[[#This Row],[Dep]], Contract_Edits[Index], 0))=Contract_Edits[[#This Row],[Index]]),
   "2-cycle","")</f>
        <v/>
      </c>
      <c r="AL204" s="475" cm="1">
        <f t="array" ref="AL204">IF(Contract_Edits[[#This Row],[BaseFlag]]&lt;&gt;1,0,
   IF(TEXT(Contract_Edits[[#This Row],[Dep]],"0")=TEXT(Contract_Edits[[#This Row],[Index]],"0"),
      0,
      MAX(0, SUMPRODUCT(--(Contract_Edits[BaseFlag]=1),
                        --(TEXT(Contract_Edits[Dep],"0")=TEXT(Contract_Edits[[#This Row],[Dep]],"0"))) - 1)
   )
)</f>
        <v>0</v>
      </c>
      <c r="AM204" s="475" t="str" cm="1">
        <f t="array" ref="AM204">IF(Contract_Edits[[#This Row],[BaseFlag]]=1,
   TEXT(Contract_Edits[[#This Row],[Index]],"0"),
   NearestBaseL(TEXT(Contract_Edits[[#This Row],[ParentKey]],"0"),500,editsIdxTxt,editsParentKeyTxt,baseIdxTxt,baseCost)
)</f>
        <v>172</v>
      </c>
      <c r="AN204" s="475" cm="1">
        <f t="array" ref="AN204">1+SUMPRODUCT(
  (Contract_Edits[BaseFlag]=1)*
  (TEXT(Contract_Edits[ParentAnchor],"0")=TEXT(Contract_Edits[[#This Row],[ParentAnchor]],"0"))*
  (VALUE(TEXT(Contract_Edits[Index],"0"))&lt;VALUE(TEXT(Contract_Edits[[#This Row],[Index]],"0")))
)</f>
        <v>1</v>
      </c>
      <c r="AR204" s="190"/>
      <c r="BF204" s="34"/>
      <c r="CC204"/>
    </row>
    <row r="205" spans="1:81" ht="16.5" thickTop="1" thickBot="1">
      <c r="A205" t="s">
        <v>467</v>
      </c>
      <c r="B205" t="s">
        <v>587</v>
      </c>
      <c r="C205" t="s">
        <v>598</v>
      </c>
      <c r="D205" s="458" t="s">
        <v>724</v>
      </c>
      <c r="E205" s="458">
        <v>1</v>
      </c>
      <c r="F205">
        <v>0</v>
      </c>
      <c r="G205">
        <v>0</v>
      </c>
      <c r="H205">
        <v>172</v>
      </c>
      <c r="I205"/>
      <c r="J205">
        <v>134</v>
      </c>
      <c r="K205" s="107"/>
      <c r="L205" s="519">
        <v>134</v>
      </c>
      <c r="M205" s="176">
        <v>1</v>
      </c>
      <c r="N205" s="160">
        <v>0</v>
      </c>
      <c r="O205" s="546" cm="1">
        <f t="array" ref="O20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46114</v>
      </c>
      <c r="P205" s="566" t="s">
        <v>797</v>
      </c>
      <c r="Q205" s="566">
        <v>0</v>
      </c>
      <c r="R205" s="22"/>
      <c r="S205" s="463" cm="1">
        <f t="array" ref="S20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5">
        <v>1</v>
      </c>
      <c r="U205" s="176"/>
      <c r="V20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205.01059999999998</v>
      </c>
      <c r="W205" s="497"/>
      <c r="X205" s="176" t="s">
        <v>875</v>
      </c>
      <c r="Y205" s="547" t="s">
        <v>896</v>
      </c>
      <c r="Z205" s="160" t="s">
        <v>458</v>
      </c>
      <c r="AA205" s="563">
        <v>104800</v>
      </c>
      <c r="AB205" cm="1">
        <f t="array" ref="AB205">ROW()-ROW(Contract_Edits[#Headers])</f>
        <v>181</v>
      </c>
      <c r="AC205">
        <f>IF(Contract_Edits[[#This Row],[RowPos]]&gt;1, Contract_Edits[[#This Row],[RowPos]]-1, 0)</f>
        <v>180</v>
      </c>
      <c r="AD205" s="35">
        <f>IF(N(Contract_Edits[[#This Row],[Dep]])=0, N(Contract_Edits[[#This Row],[Index]]), N(Contract_Edits[[#This Row],[Dep]]))</f>
        <v>172</v>
      </c>
      <c r="AE205" s="35" cm="1">
        <f t="array" ref="AE205">IF(OR(Contract_Edits[[#This Row],[Dep]]=0, TRIM(Contract_Edits[[#This Row],[Dep]])=""),
   0,
   IFERROR(
      _xlfn.XLOOKUP(1, (Contract_Edits[Dep]=Contract_Edits[[#This Row],[Dep]])*(Contract_Edits[RowPos]&lt;Contract_Edits[[#This Row],[RowPos]]), Contract_Edits[RowPos], , 0, -1),
      0
   )
)</f>
        <v>180</v>
      </c>
      <c r="AF205" s="35">
        <f>IF(OR(Contract_Edits[[#This Row],[Dep]]=0,Contract_Edits[[#This Row],[Dep]]=""),0,
   COUNTIFS(Contract_Edits[Dep],Contract_Edits[[#This Row],[Dep]],Contract_Edits[RowPos],"&lt;="&amp;Contract_Edits[[#This Row],[RowPos]],Contract_Edits[Approve],"Yes")
)</f>
        <v>6</v>
      </c>
      <c r="AG205" s="517">
        <f>--(
  ISNUMBER(SEARCH("BASE PARENT", UPPER(CLEAN(TRIM(_xlfn.XLOOKUP(TEXT(Contract_Edits[[#This Row],[Index]],"0"), baseIdxTxt, baseCost, "")))))) +
  ISNUMBER(SEARCH("DEPENDENCY GROUP", UPPER(CLEAN(TRIM(_xlfn.XLOOKUP(TEXT(Contract_Edits[[#This Row],[Index]],"0"), baseIdxTxt, baseCost, ""))))))
)</f>
        <v>0</v>
      </c>
      <c r="AH205" s="517" t="str" cm="1">
        <f t="array" ref="AH205">IF(Contract_Edits[[#This Row],[BaseFlag]]=1,
   10*BaseDepthL(TEXT(Contract_Edits[[#This Row],[Index]],"0"),500,editsIdxTxt,editsParentKeyTxt,baseIdxTxt,baseCost)-5,
   ""
)</f>
        <v/>
      </c>
      <c r="AI205" s="517" cm="1">
        <f t="array" ref="AI20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5" s="475" t="str">
        <f>IF(Contract_Edits[[#This Row],[Dep]]=0,"Root",
   IF(ISNUMBER(MATCH(Contract_Edits[[#This Row],[Dep]],Contract_Edits[Index],0)),"OK","Missing")
)</f>
        <v>OK</v>
      </c>
      <c r="AK205" s="475" t="str">
        <f>IF(AND(Contract_Edits[[#This Row],[Dep]]&lt;&gt;0,
        ISNUMBER(MATCH(Contract_Edits[[#This Row],[Dep]], Contract_Edits[Index], 0)),
        INDEX(Contract_Edits[Dep], MATCH(Contract_Edits[[#This Row],[Dep]], Contract_Edits[Index], 0))=Contract_Edits[[#This Row],[Index]]),
   "2-cycle","")</f>
        <v/>
      </c>
      <c r="AL205" s="475" cm="1">
        <f t="array" ref="AL205">IF(Contract_Edits[[#This Row],[BaseFlag]]&lt;&gt;1,0,
   IF(TEXT(Contract_Edits[[#This Row],[Dep]],"0")=TEXT(Contract_Edits[[#This Row],[Index]],"0"),
      0,
      MAX(0, SUMPRODUCT(--(Contract_Edits[BaseFlag]=1),
                        --(TEXT(Contract_Edits[Dep],"0")=TEXT(Contract_Edits[[#This Row],[Dep]],"0"))) - 1)
   )
)</f>
        <v>0</v>
      </c>
      <c r="AM205" s="475" t="str" cm="1">
        <f t="array" ref="AM205">IF(Contract_Edits[[#This Row],[BaseFlag]]=1,
   TEXT(Contract_Edits[[#This Row],[Index]],"0"),
   NearestBaseL(TEXT(Contract_Edits[[#This Row],[ParentKey]],"0"),500,editsIdxTxt,editsParentKeyTxt,baseIdxTxt,baseCost)
)</f>
        <v>172</v>
      </c>
      <c r="AN205" s="475" cm="1">
        <f t="array" ref="AN205">1+SUMPRODUCT(
  (Contract_Edits[BaseFlag]=1)*
  (TEXT(Contract_Edits[ParentAnchor],"0")=TEXT(Contract_Edits[[#This Row],[ParentAnchor]],"0"))*
  (VALUE(TEXT(Contract_Edits[Index],"0"))&lt;VALUE(TEXT(Contract_Edits[[#This Row],[Index]],"0")))
)</f>
        <v>1</v>
      </c>
      <c r="AR205" s="190"/>
      <c r="BF205" s="34"/>
      <c r="CC205"/>
    </row>
    <row r="206" spans="1:81" ht="16.5" thickTop="1" thickBot="1">
      <c r="A206" t="s">
        <v>467</v>
      </c>
      <c r="B206" t="s">
        <v>555</v>
      </c>
      <c r="C206" t="s">
        <v>730</v>
      </c>
      <c r="D206" s="458" t="s">
        <v>731</v>
      </c>
      <c r="E206" s="458">
        <v>1</v>
      </c>
      <c r="F206">
        <v>0</v>
      </c>
      <c r="G206">
        <v>0</v>
      </c>
      <c r="H206">
        <v>172</v>
      </c>
      <c r="I206"/>
      <c r="J206">
        <v>138</v>
      </c>
      <c r="K206" s="107"/>
      <c r="L206" s="519">
        <v>138</v>
      </c>
      <c r="M206" s="176">
        <v>1</v>
      </c>
      <c r="N206" s="160">
        <v>0</v>
      </c>
      <c r="O206" s="546" cm="1">
        <f t="array" ref="O20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46115</v>
      </c>
      <c r="P206" s="566" t="s">
        <v>797</v>
      </c>
      <c r="Q206" s="566">
        <v>0</v>
      </c>
      <c r="R206" s="22"/>
      <c r="S206" s="463" cm="1">
        <f t="array" ref="S20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6">
        <v>1</v>
      </c>
      <c r="U206" s="176"/>
      <c r="V20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205.01069999999999</v>
      </c>
      <c r="W206" s="497"/>
      <c r="X206" s="176" t="s">
        <v>875</v>
      </c>
      <c r="Y206" s="547" t="s">
        <v>896</v>
      </c>
      <c r="Z206" s="160" t="s">
        <v>458</v>
      </c>
      <c r="AA206" s="563">
        <v>104800</v>
      </c>
      <c r="AB206" cm="1">
        <f t="array" ref="AB206">ROW()-ROW(Contract_Edits[#Headers])</f>
        <v>182</v>
      </c>
      <c r="AC206">
        <f>IF(Contract_Edits[[#This Row],[RowPos]]&gt;1, Contract_Edits[[#This Row],[RowPos]]-1, 0)</f>
        <v>181</v>
      </c>
      <c r="AD206" s="35">
        <f>IF(N(Contract_Edits[[#This Row],[Dep]])=0, N(Contract_Edits[[#This Row],[Index]]), N(Contract_Edits[[#This Row],[Dep]]))</f>
        <v>172</v>
      </c>
      <c r="AE206" s="35" cm="1">
        <f t="array" ref="AE206">IF(OR(Contract_Edits[[#This Row],[Dep]]=0, TRIM(Contract_Edits[[#This Row],[Dep]])=""),
   0,
   IFERROR(
      _xlfn.XLOOKUP(1, (Contract_Edits[Dep]=Contract_Edits[[#This Row],[Dep]])*(Contract_Edits[RowPos]&lt;Contract_Edits[[#This Row],[RowPos]]), Contract_Edits[RowPos], , 0, -1),
      0
   )
)</f>
        <v>181</v>
      </c>
      <c r="AF206" s="35">
        <f>IF(OR(Contract_Edits[[#This Row],[Dep]]=0,Contract_Edits[[#This Row],[Dep]]=""),0,
   COUNTIFS(Contract_Edits[Dep],Contract_Edits[[#This Row],[Dep]],Contract_Edits[RowPos],"&lt;="&amp;Contract_Edits[[#This Row],[RowPos]],Contract_Edits[Approve],"Yes")
)</f>
        <v>7</v>
      </c>
      <c r="AG206" s="517">
        <f>--(
  ISNUMBER(SEARCH("BASE PARENT", UPPER(CLEAN(TRIM(_xlfn.XLOOKUP(TEXT(Contract_Edits[[#This Row],[Index]],"0"), baseIdxTxt, baseCost, "")))))) +
  ISNUMBER(SEARCH("DEPENDENCY GROUP", UPPER(CLEAN(TRIM(_xlfn.XLOOKUP(TEXT(Contract_Edits[[#This Row],[Index]],"0"), baseIdxTxt, baseCost, ""))))))
)</f>
        <v>0</v>
      </c>
      <c r="AH206" s="517" t="str" cm="1">
        <f t="array" ref="AH206">IF(Contract_Edits[[#This Row],[BaseFlag]]=1,
   10*BaseDepthL(TEXT(Contract_Edits[[#This Row],[Index]],"0"),500,editsIdxTxt,editsParentKeyTxt,baseIdxTxt,baseCost)-5,
   ""
)</f>
        <v/>
      </c>
      <c r="AI206" s="517" cm="1">
        <f t="array" ref="AI20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6" s="475" t="str">
        <f>IF(Contract_Edits[[#This Row],[Dep]]=0,"Root",
   IF(ISNUMBER(MATCH(Contract_Edits[[#This Row],[Dep]],Contract_Edits[Index],0)),"OK","Missing")
)</f>
        <v>OK</v>
      </c>
      <c r="AK206" s="475" t="str">
        <f>IF(AND(Contract_Edits[[#This Row],[Dep]]&lt;&gt;0,
        ISNUMBER(MATCH(Contract_Edits[[#This Row],[Dep]], Contract_Edits[Index], 0)),
        INDEX(Contract_Edits[Dep], MATCH(Contract_Edits[[#This Row],[Dep]], Contract_Edits[Index], 0))=Contract_Edits[[#This Row],[Index]]),
   "2-cycle","")</f>
        <v/>
      </c>
      <c r="AL206" s="475" cm="1">
        <f t="array" ref="AL206">IF(Contract_Edits[[#This Row],[BaseFlag]]&lt;&gt;1,0,
   IF(TEXT(Contract_Edits[[#This Row],[Dep]],"0")=TEXT(Contract_Edits[[#This Row],[Index]],"0"),
      0,
      MAX(0, SUMPRODUCT(--(Contract_Edits[BaseFlag]=1),
                        --(TEXT(Contract_Edits[Dep],"0")=TEXT(Contract_Edits[[#This Row],[Dep]],"0"))) - 1)
   )
)</f>
        <v>0</v>
      </c>
      <c r="AM206" s="475" t="str" cm="1">
        <f t="array" ref="AM206">IF(Contract_Edits[[#This Row],[BaseFlag]]=1,
   TEXT(Contract_Edits[[#This Row],[Index]],"0"),
   NearestBaseL(TEXT(Contract_Edits[[#This Row],[ParentKey]],"0"),500,editsIdxTxt,editsParentKeyTxt,baseIdxTxt,baseCost)
)</f>
        <v>172</v>
      </c>
      <c r="AN206" s="475" cm="1">
        <f t="array" ref="AN206">1+SUMPRODUCT(
  (Contract_Edits[BaseFlag]=1)*
  (TEXT(Contract_Edits[ParentAnchor],"0")=TEXT(Contract_Edits[[#This Row],[ParentAnchor]],"0"))*
  (VALUE(TEXT(Contract_Edits[Index],"0"))&lt;VALUE(TEXT(Contract_Edits[[#This Row],[Index]],"0")))
)</f>
        <v>1</v>
      </c>
      <c r="AR206" s="190"/>
      <c r="BF206" s="34"/>
      <c r="CC206"/>
    </row>
    <row r="207" spans="1:81" ht="16.5" thickTop="1" thickBot="1">
      <c r="A207" t="s">
        <v>467</v>
      </c>
      <c r="B207" t="s">
        <v>523</v>
      </c>
      <c r="C207" t="s">
        <v>524</v>
      </c>
      <c r="D207" s="458" t="s">
        <v>525</v>
      </c>
      <c r="E207" s="458">
        <v>1</v>
      </c>
      <c r="F207">
        <v>0</v>
      </c>
      <c r="G207">
        <v>0</v>
      </c>
      <c r="H207">
        <v>172</v>
      </c>
      <c r="I207"/>
      <c r="J207">
        <v>4</v>
      </c>
      <c r="K207" s="107"/>
      <c r="L207" s="519">
        <v>4</v>
      </c>
      <c r="M207" s="176">
        <v>1</v>
      </c>
      <c r="N207" s="160">
        <v>0</v>
      </c>
      <c r="O207" s="546" cm="1">
        <f t="array" ref="O20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46118</v>
      </c>
      <c r="P207" s="566" t="s">
        <v>797</v>
      </c>
      <c r="Q207" s="566">
        <v>0</v>
      </c>
      <c r="R207" s="22"/>
      <c r="S207" s="463" cm="1">
        <f t="array" ref="S20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7">
        <v>1</v>
      </c>
      <c r="U207" s="176"/>
      <c r="V20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205.01079999999999</v>
      </c>
      <c r="W207" s="497"/>
      <c r="X207" s="176" t="s">
        <v>897</v>
      </c>
      <c r="Y207" s="547" t="s">
        <v>896</v>
      </c>
      <c r="Z207" s="160" t="s">
        <v>458</v>
      </c>
      <c r="AA207" s="563">
        <v>104800</v>
      </c>
      <c r="AB207" cm="1">
        <f t="array" ref="AB207">ROW()-ROW(Contract_Edits[#Headers])</f>
        <v>183</v>
      </c>
      <c r="AC207">
        <f>IF(Contract_Edits[[#This Row],[RowPos]]&gt;1, Contract_Edits[[#This Row],[RowPos]]-1, 0)</f>
        <v>182</v>
      </c>
      <c r="AD207" s="35">
        <f>IF(N(Contract_Edits[[#This Row],[Dep]])=0, N(Contract_Edits[[#This Row],[Index]]), N(Contract_Edits[[#This Row],[Dep]]))</f>
        <v>172</v>
      </c>
      <c r="AE207" s="35" cm="1">
        <f t="array" ref="AE207">IF(OR(Contract_Edits[[#This Row],[Dep]]=0, TRIM(Contract_Edits[[#This Row],[Dep]])=""),
   0,
   IFERROR(
      _xlfn.XLOOKUP(1, (Contract_Edits[Dep]=Contract_Edits[[#This Row],[Dep]])*(Contract_Edits[RowPos]&lt;Contract_Edits[[#This Row],[RowPos]]), Contract_Edits[RowPos], , 0, -1),
      0
   )
)</f>
        <v>182</v>
      </c>
      <c r="AF207" s="35">
        <f>IF(OR(Contract_Edits[[#This Row],[Dep]]=0,Contract_Edits[[#This Row],[Dep]]=""),0,
   COUNTIFS(Contract_Edits[Dep],Contract_Edits[[#This Row],[Dep]],Contract_Edits[RowPos],"&lt;="&amp;Contract_Edits[[#This Row],[RowPos]],Contract_Edits[Approve],"Yes")
)</f>
        <v>8</v>
      </c>
      <c r="AG207" s="517">
        <f>--(
  ISNUMBER(SEARCH("BASE PARENT", UPPER(CLEAN(TRIM(_xlfn.XLOOKUP(TEXT(Contract_Edits[[#This Row],[Index]],"0"), baseIdxTxt, baseCost, "")))))) +
  ISNUMBER(SEARCH("DEPENDENCY GROUP", UPPER(CLEAN(TRIM(_xlfn.XLOOKUP(TEXT(Contract_Edits[[#This Row],[Index]],"0"), baseIdxTxt, baseCost, ""))))))
)</f>
        <v>0</v>
      </c>
      <c r="AH207" s="517" t="str" cm="1">
        <f t="array" ref="AH207">IF(Contract_Edits[[#This Row],[BaseFlag]]=1,
   10*BaseDepthL(TEXT(Contract_Edits[[#This Row],[Index]],"0"),500,editsIdxTxt,editsParentKeyTxt,baseIdxTxt,baseCost)-5,
   ""
)</f>
        <v/>
      </c>
      <c r="AI207" s="517" cm="1">
        <f t="array" ref="AI20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7" s="475" t="str">
        <f>IF(Contract_Edits[[#This Row],[Dep]]=0,"Root",
   IF(ISNUMBER(MATCH(Contract_Edits[[#This Row],[Dep]],Contract_Edits[Index],0)),"OK","Missing")
)</f>
        <v>OK</v>
      </c>
      <c r="AK207" s="475" t="str">
        <f>IF(AND(Contract_Edits[[#This Row],[Dep]]&lt;&gt;0,
        ISNUMBER(MATCH(Contract_Edits[[#This Row],[Dep]], Contract_Edits[Index], 0)),
        INDEX(Contract_Edits[Dep], MATCH(Contract_Edits[[#This Row],[Dep]], Contract_Edits[Index], 0))=Contract_Edits[[#This Row],[Index]]),
   "2-cycle","")</f>
        <v/>
      </c>
      <c r="AL207" s="475" cm="1">
        <f t="array" ref="AL207">IF(Contract_Edits[[#This Row],[BaseFlag]]&lt;&gt;1,0,
   IF(TEXT(Contract_Edits[[#This Row],[Dep]],"0")=TEXT(Contract_Edits[[#This Row],[Index]],"0"),
      0,
      MAX(0, SUMPRODUCT(--(Contract_Edits[BaseFlag]=1),
                        --(TEXT(Contract_Edits[Dep],"0")=TEXT(Contract_Edits[[#This Row],[Dep]],"0"))) - 1)
   )
)</f>
        <v>0</v>
      </c>
      <c r="AM207" s="475" t="str" cm="1">
        <f t="array" ref="AM207">IF(Contract_Edits[[#This Row],[BaseFlag]]=1,
   TEXT(Contract_Edits[[#This Row],[Index]],"0"),
   NearestBaseL(TEXT(Contract_Edits[[#This Row],[ParentKey]],"0"),500,editsIdxTxt,editsParentKeyTxt,baseIdxTxt,baseCost)
)</f>
        <v>172</v>
      </c>
      <c r="AN207" s="475" cm="1">
        <f t="array" ref="AN207">1+SUMPRODUCT(
  (Contract_Edits[BaseFlag]=1)*
  (TEXT(Contract_Edits[ParentAnchor],"0")=TEXT(Contract_Edits[[#This Row],[ParentAnchor]],"0"))*
  (VALUE(TEXT(Contract_Edits[Index],"0"))&lt;VALUE(TEXT(Contract_Edits[[#This Row],[Index]],"0")))
)</f>
        <v>1</v>
      </c>
      <c r="AR207" s="190"/>
      <c r="BF207" s="34"/>
      <c r="CC207"/>
    </row>
    <row r="208" spans="1:81" ht="16.5" thickTop="1" thickBot="1">
      <c r="A208" t="s">
        <v>806</v>
      </c>
      <c r="B208" t="s">
        <v>523</v>
      </c>
      <c r="C208" t="s">
        <v>845</v>
      </c>
      <c r="D208" s="458" t="s">
        <v>846</v>
      </c>
      <c r="E208" s="458">
        <v>1</v>
      </c>
      <c r="F208">
        <v>2105</v>
      </c>
      <c r="G208">
        <v>2105</v>
      </c>
      <c r="H208"/>
      <c r="I208">
        <v>2105</v>
      </c>
      <c r="J208">
        <v>910</v>
      </c>
      <c r="K208" s="107"/>
      <c r="L208" s="519">
        <v>910</v>
      </c>
      <c r="M208" s="490"/>
      <c r="N208" s="160">
        <v>0</v>
      </c>
      <c r="O208" s="546" cm="1">
        <f t="array" ref="O20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46119</v>
      </c>
      <c r="P208" s="567" t="s">
        <v>458</v>
      </c>
      <c r="Q208" s="567"/>
      <c r="R208" s="499"/>
      <c r="S208" s="463" cm="1">
        <f t="array" ref="S20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8" s="34">
        <v>1</v>
      </c>
      <c r="U208" s="176"/>
      <c r="V20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205.01089999999999</v>
      </c>
      <c r="W208" s="557"/>
      <c r="X208" s="545"/>
      <c r="Y208" s="548" t="s">
        <v>896</v>
      </c>
      <c r="Z208" s="160" t="s">
        <v>458</v>
      </c>
      <c r="AA208" s="563">
        <v>104800</v>
      </c>
      <c r="AB208" cm="1">
        <f t="array" ref="AB208">ROW()-ROW(Contract_Edits[#Headers])</f>
        <v>184</v>
      </c>
      <c r="AC208">
        <f>IF(Contract_Edits[[#This Row],[RowPos]]&gt;1, Contract_Edits[[#This Row],[RowPos]]-1, 0)</f>
        <v>183</v>
      </c>
      <c r="AD208" s="35">
        <f>IF(N(Contract_Edits[[#This Row],[Dep]])=0, N(Contract_Edits[[#This Row],[Index]]), N(Contract_Edits[[#This Row],[Dep]]))</f>
        <v>172</v>
      </c>
      <c r="AE208" s="35" cm="1">
        <f t="array" ref="AE208">IF(OR(Contract_Edits[[#This Row],[Dep]]=0, TRIM(Contract_Edits[[#This Row],[Dep]])=""),
   0,
   IFERROR(
      _xlfn.XLOOKUP(1, (Contract_Edits[Dep]=Contract_Edits[[#This Row],[Dep]])*(Contract_Edits[RowPos]&lt;Contract_Edits[[#This Row],[RowPos]]), Contract_Edits[RowPos], , 0, -1),
      0
   )
)</f>
        <v>183</v>
      </c>
      <c r="AF208" s="35">
        <f>IF(OR(Contract_Edits[[#This Row],[Dep]]=0,Contract_Edits[[#This Row],[Dep]]=""),0,
   COUNTIFS(Contract_Edits[Dep],Contract_Edits[[#This Row],[Dep]],Contract_Edits[RowPos],"&lt;="&amp;Contract_Edits[[#This Row],[RowPos]],Contract_Edits[Approve],"Yes")
)</f>
        <v>9</v>
      </c>
      <c r="AG208" s="517">
        <f>--(
  ISNUMBER(SEARCH("BASE PARENT", UPPER(CLEAN(TRIM(_xlfn.XLOOKUP(TEXT(Contract_Edits[[#This Row],[Index]],"0"), baseIdxTxt, baseCost, "")))))) +
  ISNUMBER(SEARCH("DEPENDENCY GROUP", UPPER(CLEAN(TRIM(_xlfn.XLOOKUP(TEXT(Contract_Edits[[#This Row],[Index]],"0"), baseIdxTxt, baseCost, ""))))))
)</f>
        <v>0</v>
      </c>
      <c r="AH208" s="517" t="str" cm="1">
        <f t="array" ref="AH208">IF(Contract_Edits[[#This Row],[BaseFlag]]=1,
   10*BaseDepthL(TEXT(Contract_Edits[[#This Row],[Index]],"0"),500,editsIdxTxt,editsParentKeyTxt,baseIdxTxt,baseCost)-5,
   ""
)</f>
        <v/>
      </c>
      <c r="AI208" s="517" cm="1">
        <f t="array" ref="AI20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8" s="475" t="str">
        <f>IF(Contract_Edits[[#This Row],[Dep]]=0,"Root",
   IF(ISNUMBER(MATCH(Contract_Edits[[#This Row],[Dep]],Contract_Edits[Index],0)),"OK","Missing")
)</f>
        <v>OK</v>
      </c>
      <c r="AK208" s="475" t="str">
        <f>IF(AND(Contract_Edits[[#This Row],[Dep]]&lt;&gt;0,
        ISNUMBER(MATCH(Contract_Edits[[#This Row],[Dep]], Contract_Edits[Index], 0)),
        INDEX(Contract_Edits[Dep], MATCH(Contract_Edits[[#This Row],[Dep]], Contract_Edits[Index], 0))=Contract_Edits[[#This Row],[Index]]),
   "2-cycle","")</f>
        <v/>
      </c>
      <c r="AL208" s="475" cm="1">
        <f t="array" ref="AL208">IF(Contract_Edits[[#This Row],[BaseFlag]]&lt;&gt;1,0,
   IF(TEXT(Contract_Edits[[#This Row],[Dep]],"0")=TEXT(Contract_Edits[[#This Row],[Index]],"0"),
      0,
      MAX(0, SUMPRODUCT(--(Contract_Edits[BaseFlag]=1),
                        --(TEXT(Contract_Edits[Dep],"0")=TEXT(Contract_Edits[[#This Row],[Dep]],"0"))) - 1)
   )
)</f>
        <v>0</v>
      </c>
      <c r="AM208" s="475" t="str" cm="1">
        <f t="array" ref="AM208">IF(Contract_Edits[[#This Row],[BaseFlag]]=1,
   TEXT(Contract_Edits[[#This Row],[Index]],"0"),
   NearestBaseL(TEXT(Contract_Edits[[#This Row],[ParentKey]],"0"),500,editsIdxTxt,editsParentKeyTxt,baseIdxTxt,baseCost)
)</f>
        <v>172</v>
      </c>
      <c r="AN208" s="475" cm="1">
        <f t="array" ref="AN208">1+SUMPRODUCT(
  (Contract_Edits[BaseFlag]=1)*
  (TEXT(Contract_Edits[ParentAnchor],"0")=TEXT(Contract_Edits[[#This Row],[ParentAnchor]],"0"))*
  (VALUE(TEXT(Contract_Edits[Index],"0"))&lt;VALUE(TEXT(Contract_Edits[[#This Row],[Index]],"0")))
)</f>
        <v>2</v>
      </c>
      <c r="AR208" s="190"/>
      <c r="BF208" s="34"/>
      <c r="CC208"/>
    </row>
    <row r="209" spans="1:81" ht="16.5" thickTop="1" thickBot="1">
      <c r="A209" t="s">
        <v>747</v>
      </c>
      <c r="B209" t="s">
        <v>744</v>
      </c>
      <c r="C209" t="s">
        <v>770</v>
      </c>
      <c r="D209" s="458" t="s">
        <v>771</v>
      </c>
      <c r="E209" s="458">
        <v>0</v>
      </c>
      <c r="F209"/>
      <c r="G209"/>
      <c r="H209">
        <v>172</v>
      </c>
      <c r="I209"/>
      <c r="J209">
        <v>173</v>
      </c>
      <c r="K209" s="107"/>
      <c r="L209" s="519">
        <v>173</v>
      </c>
      <c r="M209" s="490"/>
      <c r="N209" s="160">
        <v>0</v>
      </c>
      <c r="O209" s="546" cm="1">
        <f t="array" ref="O20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46119</v>
      </c>
      <c r="P209" s="567"/>
      <c r="Q209" s="567"/>
      <c r="R209" s="499"/>
      <c r="S209" s="463" cm="1">
        <f t="array" ref="S20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9" s="34">
        <v>1</v>
      </c>
      <c r="U209" s="490"/>
      <c r="V20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215.01</v>
      </c>
      <c r="W209" s="557"/>
      <c r="X209" s="545"/>
      <c r="Y209" s="548"/>
      <c r="Z209" s="535" t="s">
        <v>458</v>
      </c>
      <c r="AA209" s="563">
        <v>104800</v>
      </c>
      <c r="AB209" cm="1">
        <f t="array" ref="AB209">ROW()-ROW(Contract_Edits[#Headers])</f>
        <v>185</v>
      </c>
      <c r="AC209">
        <f>IF(Contract_Edits[[#This Row],[RowPos]]&gt;1, Contract_Edits[[#This Row],[RowPos]]-1, 0)</f>
        <v>184</v>
      </c>
      <c r="AD209" s="35">
        <f>IF(N(Contract_Edits[[#This Row],[Dep]])=0, N(Contract_Edits[[#This Row],[Index]]), N(Contract_Edits[[#This Row],[Dep]]))</f>
        <v>172</v>
      </c>
      <c r="AE209" s="35" cm="1">
        <f t="array" ref="AE209">IF(OR(Contract_Edits[[#This Row],[Dep]]=0, TRIM(Contract_Edits[[#This Row],[Dep]])=""),
   0,
   IFERROR(
      _xlfn.XLOOKUP(1, (Contract_Edits[Dep]=Contract_Edits[[#This Row],[Dep]])*(Contract_Edits[RowPos]&lt;Contract_Edits[[#This Row],[RowPos]]), Contract_Edits[RowPos], , 0, -1),
      0
   )
)</f>
        <v>184</v>
      </c>
      <c r="AF209" s="35">
        <f>IF(OR(Contract_Edits[[#This Row],[Dep]]=0,Contract_Edits[[#This Row],[Dep]]=""),0,
   COUNTIFS(Contract_Edits[Dep],Contract_Edits[[#This Row],[Dep]],Contract_Edits[RowPos],"&lt;="&amp;Contract_Edits[[#This Row],[RowPos]],Contract_Edits[Approve],"Yes")
)</f>
        <v>10</v>
      </c>
      <c r="AG209" s="517">
        <f>--(
  ISNUMBER(SEARCH("BASE PARENT", UPPER(CLEAN(TRIM(_xlfn.XLOOKUP(TEXT(Contract_Edits[[#This Row],[Index]],"0"), baseIdxTxt, baseCost, "")))))) +
  ISNUMBER(SEARCH("DEPENDENCY GROUP", UPPER(CLEAN(TRIM(_xlfn.XLOOKUP(TEXT(Contract_Edits[[#This Row],[Index]],"0"), baseIdxTxt, baseCost, ""))))))
)</f>
        <v>1</v>
      </c>
      <c r="AH209" s="517" cm="1">
        <f t="array" ref="AH209">IF(Contract_Edits[[#This Row],[BaseFlag]]=1,
   10*BaseDepthL(TEXT(Contract_Edits[[#This Row],[Index]],"0"),500,editsIdxTxt,editsParentKeyTxt,baseIdxTxt,baseCost)-5,
   ""
)</f>
        <v>215</v>
      </c>
      <c r="AI209" s="517" cm="1">
        <f t="array" ref="AI20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9" s="475" t="str">
        <f>IF(Contract_Edits[[#This Row],[Dep]]=0,"Root",
   IF(ISNUMBER(MATCH(Contract_Edits[[#This Row],[Dep]],Contract_Edits[Index],0)),"OK","Missing")
)</f>
        <v>OK</v>
      </c>
      <c r="AK209" s="475" t="str">
        <f>IF(AND(Contract_Edits[[#This Row],[Dep]]&lt;&gt;0,
        ISNUMBER(MATCH(Contract_Edits[[#This Row],[Dep]], Contract_Edits[Index], 0)),
        INDEX(Contract_Edits[Dep], MATCH(Contract_Edits[[#This Row],[Dep]], Contract_Edits[Index], 0))=Contract_Edits[[#This Row],[Index]]),
   "2-cycle","")</f>
        <v/>
      </c>
      <c r="AL209" s="475" cm="1">
        <f t="array" ref="AL209">IF(Contract_Edits[[#This Row],[BaseFlag]]&lt;&gt;1,0,
   IF(TEXT(Contract_Edits[[#This Row],[Dep]],"0")=TEXT(Contract_Edits[[#This Row],[Index]],"0"),
      0,
      MAX(0, SUMPRODUCT(--(Contract_Edits[BaseFlag]=1),
                        --(TEXT(Contract_Edits[Dep],"0")=TEXT(Contract_Edits[[#This Row],[Dep]],"0"))) - 1)
   )
)</f>
        <v>0</v>
      </c>
      <c r="AM209" s="475" t="str" cm="1">
        <f t="array" ref="AM209">IF(Contract_Edits[[#This Row],[BaseFlag]]=1,
   TEXT(Contract_Edits[[#This Row],[Index]],"0"),
   NearestBaseL(TEXT(Contract_Edits[[#This Row],[ParentKey]],"0"),500,editsIdxTxt,editsParentKeyTxt,baseIdxTxt,baseCost)
)</f>
        <v>173</v>
      </c>
      <c r="AN209" s="475" cm="1">
        <f t="array" ref="AN209">1+SUMPRODUCT(
  (Contract_Edits[BaseFlag]=1)*
  (TEXT(Contract_Edits[ParentAnchor],"0")=TEXT(Contract_Edits[[#This Row],[ParentAnchor]],"0"))*
  (VALUE(TEXT(Contract_Edits[Index],"0"))&lt;VALUE(TEXT(Contract_Edits[[#This Row],[Index]],"0")))
)</f>
        <v>1</v>
      </c>
      <c r="AR209" s="190"/>
      <c r="BF209" s="34"/>
      <c r="CC209"/>
    </row>
    <row r="210" spans="1:81" ht="15.75" thickTop="1">
      <c r="A210" t="s">
        <v>747</v>
      </c>
      <c r="B210" t="s">
        <v>744</v>
      </c>
      <c r="C210" t="s">
        <v>675</v>
      </c>
      <c r="D210" s="458" t="s">
        <v>770</v>
      </c>
      <c r="E210" s="458">
        <v>0</v>
      </c>
      <c r="F210"/>
      <c r="G210"/>
      <c r="H210">
        <v>173</v>
      </c>
      <c r="I210"/>
      <c r="J210">
        <v>174</v>
      </c>
      <c r="K210" s="107"/>
      <c r="L210" s="576">
        <v>174</v>
      </c>
      <c r="M210" s="490"/>
      <c r="N210" s="160">
        <v>0</v>
      </c>
      <c r="O210" s="546" cm="1">
        <f t="array" ref="O21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46119</v>
      </c>
      <c r="P210" s="567" t="s">
        <v>797</v>
      </c>
      <c r="Q210" s="567"/>
      <c r="R210" s="499"/>
      <c r="S210" s="463" cm="1">
        <f t="array" ref="S21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173</v>
      </c>
      <c r="T210" s="34">
        <v>1</v>
      </c>
      <c r="U210" s="490"/>
      <c r="V21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225.01</v>
      </c>
      <c r="W210" s="557"/>
      <c r="X210" s="545"/>
      <c r="Y210" s="548"/>
      <c r="Z210" s="535" t="s">
        <v>458</v>
      </c>
      <c r="AA210" s="544"/>
      <c r="AB210" cm="1">
        <f t="array" ref="AB210">ROW()-ROW(Contract_Edits[#Headers])</f>
        <v>186</v>
      </c>
      <c r="AC210">
        <f>IF(Contract_Edits[[#This Row],[RowPos]]&gt;1, Contract_Edits[[#This Row],[RowPos]]-1, 0)</f>
        <v>185</v>
      </c>
      <c r="AD210" s="35">
        <f>IF(N(Contract_Edits[[#This Row],[Dep]])=0, N(Contract_Edits[[#This Row],[Index]]), N(Contract_Edits[[#This Row],[Dep]]))</f>
        <v>173</v>
      </c>
      <c r="AE210" s="35" cm="1">
        <f t="array" ref="AE210">IF(OR(Contract_Edits[[#This Row],[Dep]]=0, TRIM(Contract_Edits[[#This Row],[Dep]])=""),
   0,
   IFERROR(
      _xlfn.XLOOKUP(1, (Contract_Edits[Dep]=Contract_Edits[[#This Row],[Dep]])*(Contract_Edits[RowPos]&lt;Contract_Edits[[#This Row],[RowPos]]), Contract_Edits[RowPos], , 0, -1),
      0
   )
)</f>
        <v>0</v>
      </c>
      <c r="AF210" s="35">
        <f>IF(OR(Contract_Edits[[#This Row],[Dep]]=0,Contract_Edits[[#This Row],[Dep]]=""),0,
   COUNTIFS(Contract_Edits[Dep],Contract_Edits[[#This Row],[Dep]],Contract_Edits[RowPos],"&lt;="&amp;Contract_Edits[[#This Row],[RowPos]],Contract_Edits[Approve],"Yes")
)</f>
        <v>1</v>
      </c>
      <c r="AG210" s="517">
        <f>--(
  ISNUMBER(SEARCH("BASE PARENT", UPPER(CLEAN(TRIM(_xlfn.XLOOKUP(TEXT(Contract_Edits[[#This Row],[Index]],"0"), baseIdxTxt, baseCost, "")))))) +
  ISNUMBER(SEARCH("DEPENDENCY GROUP", UPPER(CLEAN(TRIM(_xlfn.XLOOKUP(TEXT(Contract_Edits[[#This Row],[Index]],"0"), baseIdxTxt, baseCost, ""))))))
)</f>
        <v>1</v>
      </c>
      <c r="AH210" s="517" cm="1">
        <f t="array" ref="AH210">IF(Contract_Edits[[#This Row],[BaseFlag]]=1,
   10*BaseDepthL(TEXT(Contract_Edits[[#This Row],[Index]],"0"),500,editsIdxTxt,editsParentKeyTxt,baseIdxTxt,baseCost)-5,
   ""
)</f>
        <v>225</v>
      </c>
      <c r="AI210" s="517" cm="1">
        <f t="array" ref="AI21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215</v>
      </c>
      <c r="AJ210" s="475" t="str">
        <f>IF(Contract_Edits[[#This Row],[Dep]]=0,"Root",
   IF(ISNUMBER(MATCH(Contract_Edits[[#This Row],[Dep]],Contract_Edits[Index],0)),"OK","Missing")
)</f>
        <v>OK</v>
      </c>
      <c r="AK210" s="475" t="str">
        <f>IF(AND(Contract_Edits[[#This Row],[Dep]]&lt;&gt;0,
        ISNUMBER(MATCH(Contract_Edits[[#This Row],[Dep]], Contract_Edits[Index], 0)),
        INDEX(Contract_Edits[Dep], MATCH(Contract_Edits[[#This Row],[Dep]], Contract_Edits[Index], 0))=Contract_Edits[[#This Row],[Index]]),
   "2-cycle","")</f>
        <v/>
      </c>
      <c r="AL210" s="475" cm="1">
        <f t="array" ref="AL210">IF(Contract_Edits[[#This Row],[BaseFlag]]&lt;&gt;1,0,
   IF(TEXT(Contract_Edits[[#This Row],[Dep]],"0")=TEXT(Contract_Edits[[#This Row],[Index]],"0"),
      0,
      MAX(0, SUMPRODUCT(--(Contract_Edits[BaseFlag]=1),
                        --(TEXT(Contract_Edits[Dep],"0")=TEXT(Contract_Edits[[#This Row],[Dep]],"0"))) - 1)
   )
)</f>
        <v>0</v>
      </c>
      <c r="AM210" s="475" t="str" cm="1">
        <f t="array" ref="AM210">IF(Contract_Edits[[#This Row],[BaseFlag]]=1,
   TEXT(Contract_Edits[[#This Row],[Index]],"0"),
   NearestBaseL(TEXT(Contract_Edits[[#This Row],[ParentKey]],"0"),500,editsIdxTxt,editsParentKeyTxt,baseIdxTxt,baseCost)
)</f>
        <v>174</v>
      </c>
      <c r="AN210" s="475" cm="1">
        <f t="array" ref="AN210">1+SUMPRODUCT(
  (Contract_Edits[BaseFlag]=1)*
  (TEXT(Contract_Edits[ParentAnchor],"0")=TEXT(Contract_Edits[[#This Row],[ParentAnchor]],"0"))*
  (VALUE(TEXT(Contract_Edits[Index],"0"))&lt;VALUE(TEXT(Contract_Edits[[#This Row],[Index]],"0")))
)</f>
        <v>1</v>
      </c>
      <c r="AR210" s="190"/>
      <c r="BF210" s="34"/>
      <c r="CC210"/>
    </row>
    <row r="211" spans="1:81" ht="15">
      <c r="A211" t="s">
        <v>467</v>
      </c>
      <c r="B211" t="s">
        <v>523</v>
      </c>
      <c r="C211" t="s">
        <v>675</v>
      </c>
      <c r="D211" s="458" t="s">
        <v>711</v>
      </c>
      <c r="E211" s="458">
        <v>1</v>
      </c>
      <c r="F211">
        <v>0</v>
      </c>
      <c r="G211">
        <v>0</v>
      </c>
      <c r="H211">
        <v>174</v>
      </c>
      <c r="I211"/>
      <c r="J211">
        <v>125</v>
      </c>
      <c r="K211" s="107"/>
      <c r="L211" s="463">
        <v>125</v>
      </c>
      <c r="M211" s="176">
        <v>1</v>
      </c>
      <c r="N211" s="160">
        <v>0</v>
      </c>
      <c r="O211" s="546" cm="1">
        <f t="array" ref="O21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46119</v>
      </c>
      <c r="P211" s="566" t="s">
        <v>797</v>
      </c>
      <c r="Q211" s="566">
        <v>0</v>
      </c>
      <c r="R211" s="22"/>
      <c r="S211" s="463" cm="1">
        <f t="array" ref="S21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174</v>
      </c>
      <c r="T211">
        <v>1</v>
      </c>
      <c r="U211" s="176"/>
      <c r="V21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225.01009999999999</v>
      </c>
      <c r="W211" s="497"/>
      <c r="X211" s="176" t="s">
        <v>857</v>
      </c>
      <c r="Y211" s="547" t="s">
        <v>898</v>
      </c>
      <c r="Z211" s="160" t="s">
        <v>458</v>
      </c>
      <c r="AA211" s="563">
        <v>104800</v>
      </c>
      <c r="AB211" cm="1">
        <f t="array" ref="AB211">ROW()-ROW(Contract_Edits[#Headers])</f>
        <v>187</v>
      </c>
      <c r="AC211">
        <f>IF(Contract_Edits[[#This Row],[RowPos]]&gt;1, Contract_Edits[[#This Row],[RowPos]]-1, 0)</f>
        <v>186</v>
      </c>
      <c r="AD211" s="35">
        <f>IF(N(Contract_Edits[[#This Row],[Dep]])=0, N(Contract_Edits[[#This Row],[Index]]), N(Contract_Edits[[#This Row],[Dep]]))</f>
        <v>174</v>
      </c>
      <c r="AE211" s="35" cm="1">
        <f t="array" ref="AE211">IF(OR(Contract_Edits[[#This Row],[Dep]]=0, TRIM(Contract_Edits[[#This Row],[Dep]])=""),
   0,
   IFERROR(
      _xlfn.XLOOKUP(1, (Contract_Edits[Dep]=Contract_Edits[[#This Row],[Dep]])*(Contract_Edits[RowPos]&lt;Contract_Edits[[#This Row],[RowPos]]), Contract_Edits[RowPos], , 0, -1),
      0
   )
)</f>
        <v>0</v>
      </c>
      <c r="AF211" s="35">
        <f>IF(OR(Contract_Edits[[#This Row],[Dep]]=0,Contract_Edits[[#This Row],[Dep]]=""),0,
   COUNTIFS(Contract_Edits[Dep],Contract_Edits[[#This Row],[Dep]],Contract_Edits[RowPos],"&lt;="&amp;Contract_Edits[[#This Row],[RowPos]],Contract_Edits[Approve],"Yes")
)</f>
        <v>1</v>
      </c>
      <c r="AG211" s="517">
        <f>--(
  ISNUMBER(SEARCH("BASE PARENT", UPPER(CLEAN(TRIM(_xlfn.XLOOKUP(TEXT(Contract_Edits[[#This Row],[Index]],"0"), baseIdxTxt, baseCost, "")))))) +
  ISNUMBER(SEARCH("DEPENDENCY GROUP", UPPER(CLEAN(TRIM(_xlfn.XLOOKUP(TEXT(Contract_Edits[[#This Row],[Index]],"0"), baseIdxTxt, baseCost, ""))))))
)</f>
        <v>0</v>
      </c>
      <c r="AH211" s="517" t="str" cm="1">
        <f t="array" ref="AH211">IF(Contract_Edits[[#This Row],[BaseFlag]]=1,
   10*BaseDepthL(TEXT(Contract_Edits[[#This Row],[Index]],"0"),500,editsIdxTxt,editsParentKeyTxt,baseIdxTxt,baseCost)-5,
   ""
)</f>
        <v/>
      </c>
      <c r="AI211" s="517" cm="1">
        <f t="array" ref="AI21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J211" s="475" t="str">
        <f>IF(Contract_Edits[[#This Row],[Dep]]=0,"Root",
   IF(ISNUMBER(MATCH(Contract_Edits[[#This Row],[Dep]],Contract_Edits[Index],0)),"OK","Missing")
)</f>
        <v>OK</v>
      </c>
      <c r="AK211" s="475" t="str">
        <f>IF(AND(Contract_Edits[[#This Row],[Dep]]&lt;&gt;0,
        ISNUMBER(MATCH(Contract_Edits[[#This Row],[Dep]], Contract_Edits[Index], 0)),
        INDEX(Contract_Edits[Dep], MATCH(Contract_Edits[[#This Row],[Dep]], Contract_Edits[Index], 0))=Contract_Edits[[#This Row],[Index]]),
   "2-cycle","")</f>
        <v/>
      </c>
      <c r="AL211" s="475" cm="1">
        <f t="array" ref="AL211">IF(Contract_Edits[[#This Row],[BaseFlag]]&lt;&gt;1,0,
   IF(TEXT(Contract_Edits[[#This Row],[Dep]],"0")=TEXT(Contract_Edits[[#This Row],[Index]],"0"),
      0,
      MAX(0, SUMPRODUCT(--(Contract_Edits[BaseFlag]=1),
                        --(TEXT(Contract_Edits[Dep],"0")=TEXT(Contract_Edits[[#This Row],[Dep]],"0"))) - 1)
   )
)</f>
        <v>0</v>
      </c>
      <c r="AM211" s="475" t="str" cm="1">
        <f t="array" ref="AM211">IF(Contract_Edits[[#This Row],[BaseFlag]]=1,
   TEXT(Contract_Edits[[#This Row],[Index]],"0"),
   NearestBaseL(TEXT(Contract_Edits[[#This Row],[ParentKey]],"0"),500,editsIdxTxt,editsParentKeyTxt,baseIdxTxt,baseCost)
)</f>
        <v>174</v>
      </c>
      <c r="AN211" s="475" cm="1">
        <f t="array" ref="AN211">1+SUMPRODUCT(
  (Contract_Edits[BaseFlag]=1)*
  (TEXT(Contract_Edits[ParentAnchor],"0")=TEXT(Contract_Edits[[#This Row],[ParentAnchor]],"0"))*
  (VALUE(TEXT(Contract_Edits[Index],"0"))&lt;VALUE(TEXT(Contract_Edits[[#This Row],[Index]],"0")))
)</f>
        <v>1</v>
      </c>
      <c r="AR211" s="190"/>
      <c r="BF211" s="34"/>
      <c r="CC211"/>
    </row>
    <row r="212" spans="1:81" ht="30">
      <c r="A212" t="s">
        <v>467</v>
      </c>
      <c r="B212" t="s">
        <v>523</v>
      </c>
      <c r="C212" t="s">
        <v>675</v>
      </c>
      <c r="D212" s="458" t="s">
        <v>676</v>
      </c>
      <c r="E212" s="458">
        <v>1</v>
      </c>
      <c r="F212">
        <v>0</v>
      </c>
      <c r="G212">
        <v>0</v>
      </c>
      <c r="H212">
        <v>174</v>
      </c>
      <c r="I212"/>
      <c r="J212">
        <v>97</v>
      </c>
      <c r="K212" s="107"/>
      <c r="L212" s="463">
        <v>97</v>
      </c>
      <c r="M212" s="176">
        <v>1</v>
      </c>
      <c r="N212" s="160">
        <v>0</v>
      </c>
      <c r="O212" s="546" cm="1">
        <f t="array" ref="O21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46120</v>
      </c>
      <c r="P212" s="566" t="s">
        <v>797</v>
      </c>
      <c r="Q212" s="566">
        <v>0</v>
      </c>
      <c r="R212" s="22"/>
      <c r="S212" s="463" cm="1">
        <f t="array" ref="S21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174</v>
      </c>
      <c r="T212">
        <v>1</v>
      </c>
      <c r="U212" s="176"/>
      <c r="V21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225.0102</v>
      </c>
      <c r="W212" s="497"/>
      <c r="X212" s="176" t="s">
        <v>856</v>
      </c>
      <c r="Y212" s="547" t="s">
        <v>898</v>
      </c>
      <c r="Z212" s="160" t="s">
        <v>458</v>
      </c>
      <c r="AA212" s="563">
        <v>105100</v>
      </c>
      <c r="AB212" cm="1">
        <f t="array" ref="AB212">ROW()-ROW(Contract_Edits[#Headers])</f>
        <v>188</v>
      </c>
      <c r="AC212">
        <f>IF(Contract_Edits[[#This Row],[RowPos]]&gt;1, Contract_Edits[[#This Row],[RowPos]]-1, 0)</f>
        <v>187</v>
      </c>
      <c r="AD212" s="35">
        <f>IF(N(Contract_Edits[[#This Row],[Dep]])=0, N(Contract_Edits[[#This Row],[Index]]), N(Contract_Edits[[#This Row],[Dep]]))</f>
        <v>174</v>
      </c>
      <c r="AE212" s="35" cm="1">
        <f t="array" ref="AE212">IF(OR(Contract_Edits[[#This Row],[Dep]]=0, TRIM(Contract_Edits[[#This Row],[Dep]])=""),
   0,
   IFERROR(
      _xlfn.XLOOKUP(1, (Contract_Edits[Dep]=Contract_Edits[[#This Row],[Dep]])*(Contract_Edits[RowPos]&lt;Contract_Edits[[#This Row],[RowPos]]), Contract_Edits[RowPos], , 0, -1),
      0
   )
)</f>
        <v>187</v>
      </c>
      <c r="AF212" s="35">
        <f>IF(OR(Contract_Edits[[#This Row],[Dep]]=0,Contract_Edits[[#This Row],[Dep]]=""),0,
   COUNTIFS(Contract_Edits[Dep],Contract_Edits[[#This Row],[Dep]],Contract_Edits[RowPos],"&lt;="&amp;Contract_Edits[[#This Row],[RowPos]],Contract_Edits[Approve],"Yes")
)</f>
        <v>2</v>
      </c>
      <c r="AG212" s="517">
        <f>--(
  ISNUMBER(SEARCH("BASE PARENT", UPPER(CLEAN(TRIM(_xlfn.XLOOKUP(TEXT(Contract_Edits[[#This Row],[Index]],"0"), baseIdxTxt, baseCost, "")))))) +
  ISNUMBER(SEARCH("DEPENDENCY GROUP", UPPER(CLEAN(TRIM(_xlfn.XLOOKUP(TEXT(Contract_Edits[[#This Row],[Index]],"0"), baseIdxTxt, baseCost, ""))))))
)</f>
        <v>0</v>
      </c>
      <c r="AH212" s="517" t="str" cm="1">
        <f t="array" ref="AH212">IF(Contract_Edits[[#This Row],[BaseFlag]]=1,
   10*BaseDepthL(TEXT(Contract_Edits[[#This Row],[Index]],"0"),500,editsIdxTxt,editsParentKeyTxt,baseIdxTxt,baseCost)-5,
   ""
)</f>
        <v/>
      </c>
      <c r="AI212" s="517" cm="1">
        <f t="array" ref="AI21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J212" s="475" t="str">
        <f>IF(Contract_Edits[[#This Row],[Dep]]=0,"Root",
   IF(ISNUMBER(MATCH(Contract_Edits[[#This Row],[Dep]],Contract_Edits[Index],0)),"OK","Missing")
)</f>
        <v>OK</v>
      </c>
      <c r="AK212" s="475" t="str">
        <f>IF(AND(Contract_Edits[[#This Row],[Dep]]&lt;&gt;0,
        ISNUMBER(MATCH(Contract_Edits[[#This Row],[Dep]], Contract_Edits[Index], 0)),
        INDEX(Contract_Edits[Dep], MATCH(Contract_Edits[[#This Row],[Dep]], Contract_Edits[Index], 0))=Contract_Edits[[#This Row],[Index]]),
   "2-cycle","")</f>
        <v/>
      </c>
      <c r="AL212" s="475" cm="1">
        <f t="array" ref="AL212">IF(Contract_Edits[[#This Row],[BaseFlag]]&lt;&gt;1,0,
   IF(TEXT(Contract_Edits[[#This Row],[Dep]],"0")=TEXT(Contract_Edits[[#This Row],[Index]],"0"),
      0,
      MAX(0, SUMPRODUCT(--(Contract_Edits[BaseFlag]=1),
                        --(TEXT(Contract_Edits[Dep],"0")=TEXT(Contract_Edits[[#This Row],[Dep]],"0"))) - 1)
   )
)</f>
        <v>0</v>
      </c>
      <c r="AM212" s="475" t="str" cm="1">
        <f t="array" ref="AM212">IF(Contract_Edits[[#This Row],[BaseFlag]]=1,
   TEXT(Contract_Edits[[#This Row],[Index]],"0"),
   NearestBaseL(TEXT(Contract_Edits[[#This Row],[ParentKey]],"0"),500,editsIdxTxt,editsParentKeyTxt,baseIdxTxt,baseCost)
)</f>
        <v>174</v>
      </c>
      <c r="AN212" s="475" cm="1">
        <f t="array" ref="AN212">1+SUMPRODUCT(
  (Contract_Edits[BaseFlag]=1)*
  (TEXT(Contract_Edits[ParentAnchor],"0")=TEXT(Contract_Edits[[#This Row],[ParentAnchor]],"0"))*
  (VALUE(TEXT(Contract_Edits[Index],"0"))&lt;VALUE(TEXT(Contract_Edits[[#This Row],[Index]],"0")))
)</f>
        <v>1</v>
      </c>
      <c r="AR212" s="190"/>
      <c r="BF212" s="34"/>
      <c r="CC212"/>
    </row>
    <row r="213" spans="1:81" ht="15">
      <c r="A213" t="s">
        <v>467</v>
      </c>
      <c r="B213" t="s">
        <v>521</v>
      </c>
      <c r="C213" t="s">
        <v>545</v>
      </c>
      <c r="D213" s="458" t="s">
        <v>710</v>
      </c>
      <c r="E213" s="458">
        <v>1</v>
      </c>
      <c r="F213">
        <v>0</v>
      </c>
      <c r="G213">
        <v>0</v>
      </c>
      <c r="H213">
        <v>174</v>
      </c>
      <c r="I213"/>
      <c r="J213">
        <v>124</v>
      </c>
      <c r="L213" s="463">
        <v>124</v>
      </c>
      <c r="M213" s="490"/>
      <c r="N213" s="532"/>
      <c r="O213" s="546" cm="1">
        <f t="array" ref="O21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13" s="567" t="s">
        <v>797</v>
      </c>
      <c r="Q213" s="567"/>
      <c r="R213" s="499"/>
      <c r="S213" s="463" cm="1">
        <f t="array" ref="S21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174</v>
      </c>
      <c r="T213" s="34">
        <v>1</v>
      </c>
      <c r="U213" s="490"/>
      <c r="V21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225.0103</v>
      </c>
      <c r="W213" s="557"/>
      <c r="X213" s="545"/>
      <c r="Y213" s="548" t="s">
        <v>898</v>
      </c>
      <c r="Z213" s="160" t="s">
        <v>458</v>
      </c>
      <c r="AA213" s="563"/>
      <c r="AB213" cm="1">
        <f t="array" ref="AB213">ROW()-ROW(Contract_Edits[#Headers])</f>
        <v>189</v>
      </c>
      <c r="AC213">
        <f>IF(Contract_Edits[[#This Row],[RowPos]]&gt;1, Contract_Edits[[#This Row],[RowPos]]-1, 0)</f>
        <v>188</v>
      </c>
      <c r="AD213" s="35">
        <f>IF(N(Contract_Edits[[#This Row],[Dep]])=0, N(Contract_Edits[[#This Row],[Index]]), N(Contract_Edits[[#This Row],[Dep]]))</f>
        <v>174</v>
      </c>
      <c r="AE213" s="35" cm="1">
        <f t="array" ref="AE213">IF(OR(Contract_Edits[[#This Row],[Dep]]=0, TRIM(Contract_Edits[[#This Row],[Dep]])=""),
   0,
   IFERROR(
      _xlfn.XLOOKUP(1, (Contract_Edits[Dep]=Contract_Edits[[#This Row],[Dep]])*(Contract_Edits[RowPos]&lt;Contract_Edits[[#This Row],[RowPos]]), Contract_Edits[RowPos], , 0, -1),
      0
   )
)</f>
        <v>188</v>
      </c>
      <c r="AF213" s="35">
        <f>IF(OR(Contract_Edits[[#This Row],[Dep]]=0,Contract_Edits[[#This Row],[Dep]]=""),0,
   COUNTIFS(Contract_Edits[Dep],Contract_Edits[[#This Row],[Dep]],Contract_Edits[RowPos],"&lt;="&amp;Contract_Edits[[#This Row],[RowPos]],Contract_Edits[Approve],"Yes")
)</f>
        <v>3</v>
      </c>
      <c r="AG213" s="517">
        <f>--(
  ISNUMBER(SEARCH("BASE PARENT", UPPER(CLEAN(TRIM(_xlfn.XLOOKUP(TEXT(Contract_Edits[[#This Row],[Index]],"0"), baseIdxTxt, baseCost, "")))))) +
  ISNUMBER(SEARCH("DEPENDENCY GROUP", UPPER(CLEAN(TRIM(_xlfn.XLOOKUP(TEXT(Contract_Edits[[#This Row],[Index]],"0"), baseIdxTxt, baseCost, ""))))))
)</f>
        <v>0</v>
      </c>
      <c r="AH213" s="517" t="str" cm="1">
        <f t="array" ref="AH213">IF(Contract_Edits[[#This Row],[BaseFlag]]=1,
   10*BaseDepthL(TEXT(Contract_Edits[[#This Row],[Index]],"0"),500,editsIdxTxt,editsParentKeyTxt,baseIdxTxt,baseCost)-5,
   ""
)</f>
        <v/>
      </c>
      <c r="AI213" s="517" cm="1">
        <f t="array" ref="AI21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J213" s="475" t="str">
        <f>IF(Contract_Edits[[#This Row],[Dep]]=0,"Root",
   IF(ISNUMBER(MATCH(Contract_Edits[[#This Row],[Dep]],Contract_Edits[Index],0)),"OK","Missing")
)</f>
        <v>OK</v>
      </c>
      <c r="AK213" s="475" t="str">
        <f>IF(AND(Contract_Edits[[#This Row],[Dep]]&lt;&gt;0,
        ISNUMBER(MATCH(Contract_Edits[[#This Row],[Dep]], Contract_Edits[Index], 0)),
        INDEX(Contract_Edits[Dep], MATCH(Contract_Edits[[#This Row],[Dep]], Contract_Edits[Index], 0))=Contract_Edits[[#This Row],[Index]]),
   "2-cycle","")</f>
        <v/>
      </c>
      <c r="AL213" s="475" cm="1">
        <f t="array" ref="AL213">IF(Contract_Edits[[#This Row],[BaseFlag]]&lt;&gt;1,0,
   IF(TEXT(Contract_Edits[[#This Row],[Dep]],"0")=TEXT(Contract_Edits[[#This Row],[Index]],"0"),
      0,
      MAX(0, SUMPRODUCT(--(Contract_Edits[BaseFlag]=1),
                        --(TEXT(Contract_Edits[Dep],"0")=TEXT(Contract_Edits[[#This Row],[Dep]],"0"))) - 1)
   )
)</f>
        <v>0</v>
      </c>
      <c r="AM213" s="475" t="str" cm="1">
        <f t="array" ref="AM213">IF(Contract_Edits[[#This Row],[BaseFlag]]=1,
   TEXT(Contract_Edits[[#This Row],[Index]],"0"),
   NearestBaseL(TEXT(Contract_Edits[[#This Row],[ParentKey]],"0"),500,editsIdxTxt,editsParentKeyTxt,baseIdxTxt,baseCost)
)</f>
        <v>174</v>
      </c>
      <c r="AN213" s="475" cm="1">
        <f t="array" ref="AN213">1+SUMPRODUCT(
  (Contract_Edits[BaseFlag]=1)*
  (TEXT(Contract_Edits[ParentAnchor],"0")=TEXT(Contract_Edits[[#This Row],[ParentAnchor]],"0"))*
  (VALUE(TEXT(Contract_Edits[Index],"0"))&lt;VALUE(TEXT(Contract_Edits[[#This Row],[Index]],"0")))
)</f>
        <v>1</v>
      </c>
      <c r="AO213" s="490" t="e" cm="1" vm="1">
        <f t="array" ref="AO213">_xlfn._xlws.FILTER(
   tblContractBase[Index],
   ISNA(MATCH(tblContractBase[Index], Contract_Edits[Index], 0))
)</f>
        <v>#VALUE!</v>
      </c>
      <c r="AP213" s="495" t="str" cm="1">
        <f t="array" ref="AP213">_xlfn.LET(
  _xlpm.bIdx, TEXT(tblContractBase[Index],"0"),
  _xlpm.eIdx, TEXT(Contract_Edits[Index],"0"),
  _xlpm.isBP, ISNUMBER(SEARCH("BASE PARENT", UPPER(tblContractBase[Cost Code]))),
  _xlfn._xlws.FILTER(tblContractBase[Index], _xlpm.isBP*ISNA(MATCH(_xlpm.bIdx, _xlpm.eIdx, 0)), "None")
)</f>
        <v>None</v>
      </c>
      <c r="AQ213" s="495" t="str" cm="1">
        <f t="array" ref="AQ213">_xlfn.LET(
  _xlpm.bIdx, TEXT(tblContractBase[Index],"0"),
  _xlpm.eIdx, TEXT(Contract_Edits[Index],"0"),
  _xlfn._xlws.FILTER(tblContractBase[Index], ISNA(MATCH(_xlpm.bIdx, _xlpm.eIdx, 0)), "None")
)</f>
        <v>None</v>
      </c>
      <c r="AR213" s="190"/>
      <c r="BF213" s="34"/>
      <c r="CC213"/>
    </row>
    <row r="214" spans="1:81" ht="15.75" thickBot="1">
      <c r="A214" t="s">
        <v>747</v>
      </c>
      <c r="B214" t="s">
        <v>744</v>
      </c>
      <c r="C214" t="s">
        <v>772</v>
      </c>
      <c r="D214" s="458" t="s">
        <v>773</v>
      </c>
      <c r="E214" s="458">
        <v>0</v>
      </c>
      <c r="F214"/>
      <c r="G214"/>
      <c r="H214">
        <v>174</v>
      </c>
      <c r="I214"/>
      <c r="J214">
        <v>175</v>
      </c>
      <c r="L214" s="463">
        <v>175</v>
      </c>
      <c r="M214" s="490"/>
      <c r="N214" s="160">
        <v>0</v>
      </c>
      <c r="O214" s="546" cm="1">
        <f t="array" ref="O21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14" s="567" t="s">
        <v>797</v>
      </c>
      <c r="Q214" s="567"/>
      <c r="R214" s="499"/>
      <c r="S214" s="463" cm="1">
        <f t="array" ref="S21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174</v>
      </c>
      <c r="T214" s="34">
        <v>4</v>
      </c>
      <c r="U214" s="490"/>
      <c r="V21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v>
      </c>
      <c r="W214" s="557"/>
      <c r="X214" s="545"/>
      <c r="Y214" s="548"/>
      <c r="Z214" s="535" t="s">
        <v>458</v>
      </c>
      <c r="AA214" s="544"/>
      <c r="AB214" cm="1">
        <f t="array" ref="AB214">ROW()-ROW(Contract_Edits[#Headers])</f>
        <v>190</v>
      </c>
      <c r="AC214">
        <f>IF(Contract_Edits[[#This Row],[RowPos]]&gt;1, Contract_Edits[[#This Row],[RowPos]]-1, 0)</f>
        <v>189</v>
      </c>
      <c r="AD214" s="35">
        <f>IF(N(Contract_Edits[[#This Row],[Dep]])=0, N(Contract_Edits[[#This Row],[Index]]), N(Contract_Edits[[#This Row],[Dep]]))</f>
        <v>174</v>
      </c>
      <c r="AE214" s="35" cm="1">
        <f t="array" ref="AE214">IF(OR(Contract_Edits[[#This Row],[Dep]]=0, TRIM(Contract_Edits[[#This Row],[Dep]])=""),
   0,
   IFERROR(
      _xlfn.XLOOKUP(1, (Contract_Edits[Dep]=Contract_Edits[[#This Row],[Dep]])*(Contract_Edits[RowPos]&lt;Contract_Edits[[#This Row],[RowPos]]), Contract_Edits[RowPos], , 0, -1),
      0
   )
)</f>
        <v>189</v>
      </c>
      <c r="AF214" s="35">
        <f>IF(OR(Contract_Edits[[#This Row],[Dep]]=0,Contract_Edits[[#This Row],[Dep]]=""),0,
   COUNTIFS(Contract_Edits[Dep],Contract_Edits[[#This Row],[Dep]],Contract_Edits[RowPos],"&lt;="&amp;Contract_Edits[[#This Row],[RowPos]],Contract_Edits[Approve],"Yes")
)</f>
        <v>4</v>
      </c>
      <c r="AG214" s="517">
        <f>--(
  ISNUMBER(SEARCH("BASE PARENT", UPPER(CLEAN(TRIM(_xlfn.XLOOKUP(TEXT(Contract_Edits[[#This Row],[Index]],"0"), baseIdxTxt, baseCost, "")))))) +
  ISNUMBER(SEARCH("DEPENDENCY GROUP", UPPER(CLEAN(TRIM(_xlfn.XLOOKUP(TEXT(Contract_Edits[[#This Row],[Index]],"0"), baseIdxTxt, baseCost, ""))))))
)</f>
        <v>1</v>
      </c>
      <c r="AH214" s="517" cm="1">
        <f t="array" ref="AH214">IF(Contract_Edits[[#This Row],[BaseFlag]]=1,
   10*BaseDepthL(TEXT(Contract_Edits[[#This Row],[Index]],"0"),500,editsIdxTxt,editsParentKeyTxt,baseIdxTxt,baseCost)-5,
   ""
)</f>
        <v>235</v>
      </c>
      <c r="AI214" s="517" cm="1">
        <f t="array" ref="AI21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J214" s="475" t="str">
        <f>IF(Contract_Edits[[#This Row],[Dep]]=0,"Root",
   IF(ISNUMBER(MATCH(Contract_Edits[[#This Row],[Dep]],Contract_Edits[Index],0)),"OK","Missing")
)</f>
        <v>OK</v>
      </c>
      <c r="AK214" s="475" t="str">
        <f>IF(AND(Contract_Edits[[#This Row],[Dep]]&lt;&gt;0,
        ISNUMBER(MATCH(Contract_Edits[[#This Row],[Dep]], Contract_Edits[Index], 0)),
        INDEX(Contract_Edits[Dep], MATCH(Contract_Edits[[#This Row],[Dep]], Contract_Edits[Index], 0))=Contract_Edits[[#This Row],[Index]]),
   "2-cycle","")</f>
        <v/>
      </c>
      <c r="AL214" s="475" cm="1">
        <f t="array" ref="AL214">IF(Contract_Edits[[#This Row],[BaseFlag]]&lt;&gt;1,0,
   IF(TEXT(Contract_Edits[[#This Row],[Dep]],"0")=TEXT(Contract_Edits[[#This Row],[Index]],"0"),
      0,
      MAX(0, SUMPRODUCT(--(Contract_Edits[BaseFlag]=1),
                        --(TEXT(Contract_Edits[Dep],"0")=TEXT(Contract_Edits[[#This Row],[Dep]],"0"))) - 1)
   )
)</f>
        <v>1</v>
      </c>
      <c r="AM214" s="475" t="str" cm="1">
        <f t="array" ref="AM214">IF(Contract_Edits[[#This Row],[BaseFlag]]=1,
   TEXT(Contract_Edits[[#This Row],[Index]],"0"),
   NearestBaseL(TEXT(Contract_Edits[[#This Row],[ParentKey]],"0"),500,editsIdxTxt,editsParentKeyTxt,baseIdxTxt,baseCost)
)</f>
        <v>175</v>
      </c>
      <c r="AN214" s="475" cm="1">
        <f t="array" ref="AN214">1+SUMPRODUCT(
  (Contract_Edits[BaseFlag]=1)*
  (TEXT(Contract_Edits[ParentAnchor],"0")=TEXT(Contract_Edits[[#This Row],[ParentAnchor]],"0"))*
  (VALUE(TEXT(Contract_Edits[Index],"0"))&lt;VALUE(TEXT(Contract_Edits[[#This Row],[Index]],"0")))
)</f>
        <v>1</v>
      </c>
      <c r="AR214" s="190"/>
      <c r="BF214" s="34"/>
      <c r="CC214"/>
    </row>
    <row r="215" spans="1:81" ht="16.5" thickTop="1" thickBot="1">
      <c r="A215" t="s">
        <v>519</v>
      </c>
      <c r="B215" t="s">
        <v>170</v>
      </c>
      <c r="C215" t="s">
        <v>772</v>
      </c>
      <c r="D215" s="458" t="s">
        <v>518</v>
      </c>
      <c r="E215" s="458">
        <v>1</v>
      </c>
      <c r="F215">
        <v>11000</v>
      </c>
      <c r="G215">
        <v>11000</v>
      </c>
      <c r="H215">
        <v>175</v>
      </c>
      <c r="I215"/>
      <c r="J215">
        <v>1</v>
      </c>
      <c r="L215" s="519">
        <v>1</v>
      </c>
      <c r="M215" s="176">
        <v>1</v>
      </c>
      <c r="N215" s="160">
        <v>0</v>
      </c>
      <c r="O215" s="546" cm="1">
        <f t="array" ref="O21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15" s="566" t="s">
        <v>797</v>
      </c>
      <c r="Q215" s="566">
        <v>11000</v>
      </c>
      <c r="R215" s="22"/>
      <c r="S215" s="463" cm="1">
        <f t="array" ref="S21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15" s="34">
        <v>4</v>
      </c>
      <c r="U215" s="490">
        <v>1</v>
      </c>
      <c r="V21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235.01009999999999</v>
      </c>
      <c r="W215" s="497"/>
      <c r="X215" s="176"/>
      <c r="Y215" s="547" t="s">
        <v>899</v>
      </c>
      <c r="Z215" s="160" t="s">
        <v>458</v>
      </c>
      <c r="AA215" s="563"/>
      <c r="AB215" cm="1">
        <f t="array" ref="AB215">ROW()-ROW(Contract_Edits[#Headers])</f>
        <v>191</v>
      </c>
      <c r="AC215">
        <f>IF(Contract_Edits[[#This Row],[RowPos]]&gt;1, Contract_Edits[[#This Row],[RowPos]]-1, 0)</f>
        <v>190</v>
      </c>
      <c r="AD215" s="35">
        <f>IF(N(Contract_Edits[[#This Row],[Dep]])=0, N(Contract_Edits[[#This Row],[Index]]), N(Contract_Edits[[#This Row],[Dep]]))</f>
        <v>175</v>
      </c>
      <c r="AE215" s="35" cm="1">
        <f t="array" ref="AE215">IF(OR(Contract_Edits[[#This Row],[Dep]]=0, TRIM(Contract_Edits[[#This Row],[Dep]])=""),
   0,
   IFERROR(
      _xlfn.XLOOKUP(1, (Contract_Edits[Dep]=Contract_Edits[[#This Row],[Dep]])*(Contract_Edits[RowPos]&lt;Contract_Edits[[#This Row],[RowPos]]), Contract_Edits[RowPos], , 0, -1),
      0
   )
)</f>
        <v>0</v>
      </c>
      <c r="AF215" s="35">
        <f>IF(OR(Contract_Edits[[#This Row],[Dep]]=0,Contract_Edits[[#This Row],[Dep]]=""),0,
   COUNTIFS(Contract_Edits[Dep],Contract_Edits[[#This Row],[Dep]],Contract_Edits[RowPos],"&lt;="&amp;Contract_Edits[[#This Row],[RowPos]],Contract_Edits[Approve],"Yes")
)</f>
        <v>1</v>
      </c>
      <c r="AG215" s="517">
        <f>--(
  ISNUMBER(SEARCH("BASE PARENT", UPPER(CLEAN(TRIM(_xlfn.XLOOKUP(TEXT(Contract_Edits[[#This Row],[Index]],"0"), baseIdxTxt, baseCost, "")))))) +
  ISNUMBER(SEARCH("DEPENDENCY GROUP", UPPER(CLEAN(TRIM(_xlfn.XLOOKUP(TEXT(Contract_Edits[[#This Row],[Index]],"0"), baseIdxTxt, baseCost, ""))))))
)</f>
        <v>0</v>
      </c>
      <c r="AH215" s="517" t="str" cm="1">
        <f t="array" ref="AH215">IF(Contract_Edits[[#This Row],[BaseFlag]]=1,
   10*BaseDepthL(TEXT(Contract_Edits[[#This Row],[Index]],"0"),500,editsIdxTxt,editsParentKeyTxt,baseIdxTxt,baseCost)-5,
   ""
)</f>
        <v/>
      </c>
      <c r="AI215" s="517" cm="1">
        <f t="array" ref="AI21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15" s="475" t="str">
        <f>IF(Contract_Edits[[#This Row],[Dep]]=0,"Root",
   IF(ISNUMBER(MATCH(Contract_Edits[[#This Row],[Dep]],Contract_Edits[Index],0)),"OK","Missing")
)</f>
        <v>OK</v>
      </c>
      <c r="AK215" s="475" t="str">
        <f>IF(AND(Contract_Edits[[#This Row],[Dep]]&lt;&gt;0,
        ISNUMBER(MATCH(Contract_Edits[[#This Row],[Dep]], Contract_Edits[Index], 0)),
        INDEX(Contract_Edits[Dep], MATCH(Contract_Edits[[#This Row],[Dep]], Contract_Edits[Index], 0))=Contract_Edits[[#This Row],[Index]]),
   "2-cycle","")</f>
        <v/>
      </c>
      <c r="AL215" s="475" cm="1">
        <f t="array" ref="AL215">IF(Contract_Edits[[#This Row],[BaseFlag]]&lt;&gt;1,0,
   IF(TEXT(Contract_Edits[[#This Row],[Dep]],"0")=TEXT(Contract_Edits[[#This Row],[Index]],"0"),
      0,
      MAX(0, SUMPRODUCT(--(Contract_Edits[BaseFlag]=1),
                        --(TEXT(Contract_Edits[Dep],"0")=TEXT(Contract_Edits[[#This Row],[Dep]],"0"))) - 1)
   )
)</f>
        <v>0</v>
      </c>
      <c r="AM215" s="475" t="str" cm="1">
        <f t="array" ref="AM215">IF(Contract_Edits[[#This Row],[BaseFlag]]=1,
   TEXT(Contract_Edits[[#This Row],[Index]],"0"),
   NearestBaseL(TEXT(Contract_Edits[[#This Row],[ParentKey]],"0"),500,editsIdxTxt,editsParentKeyTxt,baseIdxTxt,baseCost)
)</f>
        <v>175</v>
      </c>
      <c r="AN215" s="475" cm="1">
        <f t="array" ref="AN215">1+SUMPRODUCT(
  (Contract_Edits[BaseFlag]=1)*
  (TEXT(Contract_Edits[ParentAnchor],"0")=TEXT(Contract_Edits[[#This Row],[ParentAnchor]],"0"))*
  (VALUE(TEXT(Contract_Edits[Index],"0"))&lt;VALUE(TEXT(Contract_Edits[[#This Row],[Index]],"0")))
)</f>
        <v>1</v>
      </c>
      <c r="AO215" s="490"/>
      <c r="AR215" s="190"/>
      <c r="BF215" s="34"/>
      <c r="CC215"/>
    </row>
    <row r="216" spans="1:81" ht="16.5" thickTop="1" thickBot="1">
      <c r="A216" t="s">
        <v>519</v>
      </c>
      <c r="B216" t="s">
        <v>517</v>
      </c>
      <c r="C216" t="s">
        <v>781</v>
      </c>
      <c r="D216" s="458" t="s">
        <v>782</v>
      </c>
      <c r="E216" s="458">
        <v>1</v>
      </c>
      <c r="F216">
        <v>330</v>
      </c>
      <c r="G216">
        <v>330</v>
      </c>
      <c r="H216">
        <v>175</v>
      </c>
      <c r="I216"/>
      <c r="J216">
        <v>182</v>
      </c>
      <c r="L216" s="519">
        <v>182</v>
      </c>
      <c r="M216" s="490">
        <v>0</v>
      </c>
      <c r="N216" s="160">
        <v>0</v>
      </c>
      <c r="O216" s="546" cm="1">
        <f t="array" ref="O21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16" s="567" t="s">
        <v>797</v>
      </c>
      <c r="Q216" s="567"/>
      <c r="R216" s="499"/>
      <c r="S216" s="463" cm="1">
        <f t="array" ref="S21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16" s="34">
        <v>1</v>
      </c>
      <c r="U216" s="490">
        <v>2</v>
      </c>
      <c r="V21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235.0102</v>
      </c>
      <c r="W216" s="497"/>
      <c r="X216" s="545"/>
      <c r="Y216" s="548" t="s">
        <v>899</v>
      </c>
      <c r="Z216" s="22" t="s">
        <v>458</v>
      </c>
      <c r="AA216" s="562"/>
      <c r="AB216" cm="1">
        <f t="array" ref="AB216">ROW()-ROW(Contract_Edits[#Headers])</f>
        <v>192</v>
      </c>
      <c r="AC216">
        <f>IF(Contract_Edits[[#This Row],[RowPos]]&gt;1, Contract_Edits[[#This Row],[RowPos]]-1, 0)</f>
        <v>191</v>
      </c>
      <c r="AD216" s="35">
        <f>IF(N(Contract_Edits[[#This Row],[Dep]])=0, N(Contract_Edits[[#This Row],[Index]]), N(Contract_Edits[[#This Row],[Dep]]))</f>
        <v>175</v>
      </c>
      <c r="AE216" s="35" cm="1">
        <f t="array" ref="AE216">IF(OR(Contract_Edits[[#This Row],[Dep]]=0, TRIM(Contract_Edits[[#This Row],[Dep]])=""),
   0,
   IFERROR(
      _xlfn.XLOOKUP(1, (Contract_Edits[Dep]=Contract_Edits[[#This Row],[Dep]])*(Contract_Edits[RowPos]&lt;Contract_Edits[[#This Row],[RowPos]]), Contract_Edits[RowPos], , 0, -1),
      0
   )
)</f>
        <v>191</v>
      </c>
      <c r="AF216" s="35">
        <f>IF(OR(Contract_Edits[[#This Row],[Dep]]=0,Contract_Edits[[#This Row],[Dep]]=""),0,
   COUNTIFS(Contract_Edits[Dep],Contract_Edits[[#This Row],[Dep]],Contract_Edits[RowPos],"&lt;="&amp;Contract_Edits[[#This Row],[RowPos]],Contract_Edits[Approve],"Yes")
)</f>
        <v>2</v>
      </c>
      <c r="AG216" s="517">
        <f>--(
  ISNUMBER(SEARCH("BASE PARENT", UPPER(CLEAN(TRIM(_xlfn.XLOOKUP(TEXT(Contract_Edits[[#This Row],[Index]],"0"), baseIdxTxt, baseCost, "")))))) +
  ISNUMBER(SEARCH("DEPENDENCY GROUP", UPPER(CLEAN(TRIM(_xlfn.XLOOKUP(TEXT(Contract_Edits[[#This Row],[Index]],"0"), baseIdxTxt, baseCost, ""))))))
)</f>
        <v>0</v>
      </c>
      <c r="AH216" s="517" t="str" cm="1">
        <f t="array" ref="AH216">IF(Contract_Edits[[#This Row],[BaseFlag]]=1,
   10*BaseDepthL(TEXT(Contract_Edits[[#This Row],[Index]],"0"),500,editsIdxTxt,editsParentKeyTxt,baseIdxTxt,baseCost)-5,
   ""
)</f>
        <v/>
      </c>
      <c r="AI216" s="517" cm="1">
        <f t="array" ref="AI21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16" s="475" t="str">
        <f>IF(Contract_Edits[[#This Row],[Dep]]=0,"Root",
   IF(ISNUMBER(MATCH(Contract_Edits[[#This Row],[Dep]],Contract_Edits[Index],0)),"OK","Missing")
)</f>
        <v>OK</v>
      </c>
      <c r="AK216" s="475" t="str">
        <f>IF(AND(Contract_Edits[[#This Row],[Dep]]&lt;&gt;0,
        ISNUMBER(MATCH(Contract_Edits[[#This Row],[Dep]], Contract_Edits[Index], 0)),
        INDEX(Contract_Edits[Dep], MATCH(Contract_Edits[[#This Row],[Dep]], Contract_Edits[Index], 0))=Contract_Edits[[#This Row],[Index]]),
   "2-cycle","")</f>
        <v/>
      </c>
      <c r="AL216" s="475" cm="1">
        <f t="array" ref="AL216">IF(Contract_Edits[[#This Row],[BaseFlag]]&lt;&gt;1,0,
   IF(TEXT(Contract_Edits[[#This Row],[Dep]],"0")=TEXT(Contract_Edits[[#This Row],[Index]],"0"),
      0,
      MAX(0, SUMPRODUCT(--(Contract_Edits[BaseFlag]=1),
                        --(TEXT(Contract_Edits[Dep],"0")=TEXT(Contract_Edits[[#This Row],[Dep]],"0"))) - 1)
   )
)</f>
        <v>0</v>
      </c>
      <c r="AM216" s="475" t="str" cm="1">
        <f t="array" ref="AM216">IF(Contract_Edits[[#This Row],[BaseFlag]]=1,
   TEXT(Contract_Edits[[#This Row],[Index]],"0"),
   NearestBaseL(TEXT(Contract_Edits[[#This Row],[ParentKey]],"0"),500,editsIdxTxt,editsParentKeyTxt,baseIdxTxt,baseCost)
)</f>
        <v>175</v>
      </c>
      <c r="AN216" s="475" cm="1">
        <f t="array" ref="AN216">1+SUMPRODUCT(
  (Contract_Edits[BaseFlag]=1)*
  (TEXT(Contract_Edits[ParentAnchor],"0")=TEXT(Contract_Edits[[#This Row],[ParentAnchor]],"0"))*
  (VALUE(TEXT(Contract_Edits[Index],"0"))&lt;VALUE(TEXT(Contract_Edits[[#This Row],[Index]],"0")))
)</f>
        <v>2</v>
      </c>
      <c r="AQ216" s="190"/>
      <c r="AR216" s="190"/>
      <c r="BE216" s="34"/>
      <c r="BF216" s="34"/>
      <c r="CB216"/>
      <c r="CC216"/>
    </row>
    <row r="217" spans="1:81" ht="16.5" thickTop="1" thickBot="1">
      <c r="A217" t="s">
        <v>552</v>
      </c>
      <c r="B217" t="s">
        <v>508</v>
      </c>
      <c r="C217" t="s">
        <v>772</v>
      </c>
      <c r="D217" s="458" t="s">
        <v>1521</v>
      </c>
      <c r="E217" s="458">
        <v>12</v>
      </c>
      <c r="F217">
        <v>62.5</v>
      </c>
      <c r="G217">
        <v>750</v>
      </c>
      <c r="H217">
        <v>175</v>
      </c>
      <c r="I217"/>
      <c r="J217">
        <v>211</v>
      </c>
      <c r="L217" s="519">
        <v>211</v>
      </c>
      <c r="M217" s="543"/>
      <c r="N217" s="544"/>
      <c r="O217" s="546" cm="1">
        <f t="array" ref="O21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17" s="568" t="s">
        <v>382</v>
      </c>
      <c r="Q217" s="568">
        <v>750</v>
      </c>
      <c r="R217" s="499"/>
      <c r="S217" s="463" cm="1">
        <f t="array" ref="S21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17" s="34"/>
      <c r="U217" s="490"/>
      <c r="V21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235.0103</v>
      </c>
      <c r="W217" s="557"/>
      <c r="X217" s="545"/>
      <c r="Y217" s="548" t="s">
        <v>899</v>
      </c>
      <c r="Z217" s="160" t="s">
        <v>458</v>
      </c>
      <c r="AA217" s="563"/>
      <c r="AB217" s="34" cm="1">
        <f t="array" ref="AB217">ROW()-ROW(Contract_Edits[#Headers])</f>
        <v>193</v>
      </c>
      <c r="AC217" s="34">
        <f>IF(Contract_Edits[[#This Row],[RowPos]]&gt;1, Contract_Edits[[#This Row],[RowPos]]-1, 0)</f>
        <v>192</v>
      </c>
      <c r="AD217" s="35">
        <f>IF(N(Contract_Edits[[#This Row],[Dep]])=0, N(Contract_Edits[[#This Row],[Index]]), N(Contract_Edits[[#This Row],[Dep]]))</f>
        <v>175</v>
      </c>
      <c r="AE217" s="35" cm="1">
        <f t="array" ref="AE217">IF(OR(Contract_Edits[[#This Row],[Dep]]=0, TRIM(Contract_Edits[[#This Row],[Dep]])=""),
   0,
   IFERROR(
      _xlfn.XLOOKUP(1, (Contract_Edits[Dep]=Contract_Edits[[#This Row],[Dep]])*(Contract_Edits[RowPos]&lt;Contract_Edits[[#This Row],[RowPos]]), Contract_Edits[RowPos], , 0, -1),
      0
   )
)</f>
        <v>192</v>
      </c>
      <c r="AF217" s="35">
        <f>IF(OR(Contract_Edits[[#This Row],[Dep]]=0,Contract_Edits[[#This Row],[Dep]]=""),0,
   COUNTIFS(Contract_Edits[Dep],Contract_Edits[[#This Row],[Dep]],Contract_Edits[RowPos],"&lt;="&amp;Contract_Edits[[#This Row],[RowPos]],Contract_Edits[Approve],"Yes")
)</f>
        <v>3</v>
      </c>
      <c r="AG217" s="517">
        <f>--(
  ISNUMBER(SEARCH("BASE PARENT", UPPER(CLEAN(TRIM(_xlfn.XLOOKUP(TEXT(Contract_Edits[[#This Row],[Index]],"0"), baseIdxTxt, baseCost, "")))))) +
  ISNUMBER(SEARCH("DEPENDENCY GROUP", UPPER(CLEAN(TRIM(_xlfn.XLOOKUP(TEXT(Contract_Edits[[#This Row],[Index]],"0"), baseIdxTxt, baseCost, ""))))))
)</f>
        <v>0</v>
      </c>
      <c r="AH217" s="517" t="str" cm="1">
        <f t="array" ref="AH217">IF(Contract_Edits[[#This Row],[BaseFlag]]=1,
   10*BaseDepthL(TEXT(Contract_Edits[[#This Row],[Index]],"0"),500,editsIdxTxt,editsParentKeyTxt,baseIdxTxt,baseCost)-5,
   ""
)</f>
        <v/>
      </c>
      <c r="AI217" s="517" cm="1">
        <f t="array" ref="AI21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17" s="475" t="str">
        <f>IF(Contract_Edits[[#This Row],[Dep]]=0,"Root",
   IF(ISNUMBER(MATCH(Contract_Edits[[#This Row],[Dep]],Contract_Edits[Index],0)),"OK","Missing")
)</f>
        <v>OK</v>
      </c>
      <c r="AK217" s="475" t="str">
        <f>IF(AND(Contract_Edits[[#This Row],[Dep]]&lt;&gt;0,
        ISNUMBER(MATCH(Contract_Edits[[#This Row],[Dep]], Contract_Edits[Index], 0)),
        INDEX(Contract_Edits[Dep], MATCH(Contract_Edits[[#This Row],[Dep]], Contract_Edits[Index], 0))=Contract_Edits[[#This Row],[Index]]),
   "2-cycle","")</f>
        <v/>
      </c>
      <c r="AL217" s="475" cm="1">
        <f t="array" ref="AL217">IF(Contract_Edits[[#This Row],[BaseFlag]]&lt;&gt;1,0,
   IF(TEXT(Contract_Edits[[#This Row],[Dep]],"0")=TEXT(Contract_Edits[[#This Row],[Index]],"0"),
      0,
      MAX(0, SUMPRODUCT(--(Contract_Edits[BaseFlag]=1),
                        --(TEXT(Contract_Edits[Dep],"0")=TEXT(Contract_Edits[[#This Row],[Dep]],"0"))) - 1)
   )
)</f>
        <v>0</v>
      </c>
      <c r="AM217" s="475" t="str" cm="1">
        <f t="array" ref="AM217">IF(Contract_Edits[[#This Row],[BaseFlag]]=1,
   TEXT(Contract_Edits[[#This Row],[Index]],"0"),
   NearestBaseL(TEXT(Contract_Edits[[#This Row],[ParentKey]],"0"),500,editsIdxTxt,editsParentKeyTxt,baseIdxTxt,baseCost)
)</f>
        <v>175</v>
      </c>
      <c r="AN217" s="475" cm="1">
        <f t="array" ref="AN217">1+SUMPRODUCT(
  (Contract_Edits[BaseFlag]=1)*
  (TEXT(Contract_Edits[ParentAnchor],"0")=TEXT(Contract_Edits[[#This Row],[ParentAnchor]],"0"))*
  (VALUE(TEXT(Contract_Edits[Index],"0"))&lt;VALUE(TEXT(Contract_Edits[[#This Row],[Index]],"0")))
)</f>
        <v>3</v>
      </c>
      <c r="AQ217" s="190"/>
      <c r="AR217" s="190"/>
      <c r="BE217" s="34"/>
      <c r="BF217" s="34"/>
      <c r="CB217"/>
      <c r="CC217"/>
    </row>
    <row r="218" spans="1:81" ht="16.5" thickTop="1" thickBot="1">
      <c r="A218" t="s">
        <v>519</v>
      </c>
      <c r="B218" t="s">
        <v>170</v>
      </c>
      <c r="C218" t="s">
        <v>772</v>
      </c>
      <c r="D218" s="458" t="s">
        <v>520</v>
      </c>
      <c r="E218" s="458">
        <v>0</v>
      </c>
      <c r="F218"/>
      <c r="G218"/>
      <c r="H218">
        <v>175</v>
      </c>
      <c r="I218"/>
      <c r="J218">
        <v>2</v>
      </c>
      <c r="L218" s="519">
        <v>2</v>
      </c>
      <c r="M218" s="490">
        <v>0</v>
      </c>
      <c r="N218" s="160">
        <v>0</v>
      </c>
      <c r="O218" s="546" cm="1">
        <f t="array" ref="O21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18" s="567" t="s">
        <v>797</v>
      </c>
      <c r="Q218" s="567"/>
      <c r="R218" s="499"/>
      <c r="S218" s="463" cm="1">
        <f t="array" ref="S21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18" s="34">
        <v>4</v>
      </c>
      <c r="U218" s="490">
        <v>6</v>
      </c>
      <c r="V21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235.01059999999998</v>
      </c>
      <c r="W218" s="557"/>
      <c r="X218" s="545"/>
      <c r="Y218" s="548" t="s">
        <v>899</v>
      </c>
      <c r="Z218" s="160" t="s">
        <v>458</v>
      </c>
      <c r="AA218" s="563"/>
      <c r="AB218" cm="1">
        <f t="array" ref="AB218">ROW()-ROW(Contract_Edits[#Headers])</f>
        <v>194</v>
      </c>
      <c r="AC218">
        <f>IF(Contract_Edits[[#This Row],[RowPos]]&gt;1, Contract_Edits[[#This Row],[RowPos]]-1, 0)</f>
        <v>193</v>
      </c>
      <c r="AD218" s="35">
        <f>IF(N(Contract_Edits[[#This Row],[Dep]])=0, N(Contract_Edits[[#This Row],[Index]]), N(Contract_Edits[[#This Row],[Dep]]))</f>
        <v>175</v>
      </c>
      <c r="AE218" s="35" cm="1">
        <f t="array" ref="AE218">IF(OR(Contract_Edits[[#This Row],[Dep]]=0, TRIM(Contract_Edits[[#This Row],[Dep]])=""),
   0,
   IFERROR(
      _xlfn.XLOOKUP(1, (Contract_Edits[Dep]=Contract_Edits[[#This Row],[Dep]])*(Contract_Edits[RowPos]&lt;Contract_Edits[[#This Row],[RowPos]]), Contract_Edits[RowPos], , 0, -1),
      0
   )
)</f>
        <v>193</v>
      </c>
      <c r="AF218" s="35">
        <f>IF(OR(Contract_Edits[[#This Row],[Dep]]=0,Contract_Edits[[#This Row],[Dep]]=""),0,
   COUNTIFS(Contract_Edits[Dep],Contract_Edits[[#This Row],[Dep]],Contract_Edits[RowPos],"&lt;="&amp;Contract_Edits[[#This Row],[RowPos]],Contract_Edits[Approve],"Yes")
)</f>
        <v>4</v>
      </c>
      <c r="AG218" s="517">
        <f>--(
  ISNUMBER(SEARCH("BASE PARENT", UPPER(CLEAN(TRIM(_xlfn.XLOOKUP(TEXT(Contract_Edits[[#This Row],[Index]],"0"), baseIdxTxt, baseCost, "")))))) +
  ISNUMBER(SEARCH("DEPENDENCY GROUP", UPPER(CLEAN(TRIM(_xlfn.XLOOKUP(TEXT(Contract_Edits[[#This Row],[Index]],"0"), baseIdxTxt, baseCost, ""))))))
)</f>
        <v>0</v>
      </c>
      <c r="AH218" s="517" t="str" cm="1">
        <f t="array" ref="AH218">IF(Contract_Edits[[#This Row],[BaseFlag]]=1,
   10*BaseDepthL(TEXT(Contract_Edits[[#This Row],[Index]],"0"),500,editsIdxTxt,editsParentKeyTxt,baseIdxTxt,baseCost)-5,
   ""
)</f>
        <v/>
      </c>
      <c r="AI218" s="517" cm="1">
        <f t="array" ref="AI21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18" s="475" t="str">
        <f>IF(Contract_Edits[[#This Row],[Dep]]=0,"Root",
   IF(ISNUMBER(MATCH(Contract_Edits[[#This Row],[Dep]],Contract_Edits[Index],0)),"OK","Missing")
)</f>
        <v>OK</v>
      </c>
      <c r="AK218" s="475" t="str">
        <f>IF(AND(Contract_Edits[[#This Row],[Dep]]&lt;&gt;0,
        ISNUMBER(MATCH(Contract_Edits[[#This Row],[Dep]], Contract_Edits[Index], 0)),
        INDEX(Contract_Edits[Dep], MATCH(Contract_Edits[[#This Row],[Dep]], Contract_Edits[Index], 0))=Contract_Edits[[#This Row],[Index]]),
   "2-cycle","")</f>
        <v/>
      </c>
      <c r="AL218" s="475" cm="1">
        <f t="array" ref="AL218">IF(Contract_Edits[[#This Row],[BaseFlag]]&lt;&gt;1,0,
   IF(TEXT(Contract_Edits[[#This Row],[Dep]],"0")=TEXT(Contract_Edits[[#This Row],[Index]],"0"),
      0,
      MAX(0, SUMPRODUCT(--(Contract_Edits[BaseFlag]=1),
                        --(TEXT(Contract_Edits[Dep],"0")=TEXT(Contract_Edits[[#This Row],[Dep]],"0"))) - 1)
   )
)</f>
        <v>0</v>
      </c>
      <c r="AM218" s="475" t="str" cm="1">
        <f t="array" ref="AM218">IF(Contract_Edits[[#This Row],[BaseFlag]]=1,
   TEXT(Contract_Edits[[#This Row],[Index]],"0"),
   NearestBaseL(TEXT(Contract_Edits[[#This Row],[ParentKey]],"0"),500,editsIdxTxt,editsParentKeyTxt,baseIdxTxt,baseCost)
)</f>
        <v>175</v>
      </c>
      <c r="AN218" s="475" cm="1">
        <f t="array" ref="AN218">1+SUMPRODUCT(
  (Contract_Edits[BaseFlag]=1)*
  (TEXT(Contract_Edits[ParentAnchor],"0")=TEXT(Contract_Edits[[#This Row],[ParentAnchor]],"0"))*
  (VALUE(TEXT(Contract_Edits[Index],"0"))&lt;VALUE(TEXT(Contract_Edits[[#This Row],[Index]],"0")))
)</f>
        <v>1</v>
      </c>
      <c r="AQ218" s="190"/>
      <c r="AR218" s="190"/>
      <c r="BE218" s="34"/>
      <c r="BF218" s="34"/>
      <c r="CB218"/>
      <c r="CC218"/>
    </row>
    <row r="219" spans="1:81" ht="16.5" thickTop="1" thickBot="1">
      <c r="A219" t="s">
        <v>519</v>
      </c>
      <c r="B219" t="s">
        <v>170</v>
      </c>
      <c r="C219" t="s">
        <v>772</v>
      </c>
      <c r="D219" s="458" t="s">
        <v>522</v>
      </c>
      <c r="E219" s="458">
        <v>0</v>
      </c>
      <c r="F219"/>
      <c r="G219"/>
      <c r="H219">
        <v>175</v>
      </c>
      <c r="I219"/>
      <c r="J219">
        <v>3</v>
      </c>
      <c r="L219" s="519">
        <v>3</v>
      </c>
      <c r="M219" s="490">
        <v>0</v>
      </c>
      <c r="N219" s="160">
        <v>0</v>
      </c>
      <c r="O219" s="546" cm="1">
        <f t="array" ref="O21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19" s="567"/>
      <c r="Q219" s="567"/>
      <c r="R219" s="499"/>
      <c r="S219" s="463" cm="1">
        <f t="array" ref="S21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19" s="34">
        <v>4</v>
      </c>
      <c r="U219" s="490">
        <v>8</v>
      </c>
      <c r="V21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235.01079999999999</v>
      </c>
      <c r="W219" s="557"/>
      <c r="X219" s="545"/>
      <c r="Y219" s="548" t="s">
        <v>899</v>
      </c>
      <c r="Z219" s="535" t="s">
        <v>458</v>
      </c>
      <c r="AA219" s="544"/>
      <c r="AB219" cm="1">
        <f t="array" ref="AB219">ROW()-ROW(Contract_Edits[#Headers])</f>
        <v>195</v>
      </c>
      <c r="AC219">
        <f>IF(Contract_Edits[[#This Row],[RowPos]]&gt;1, Contract_Edits[[#This Row],[RowPos]]-1, 0)</f>
        <v>194</v>
      </c>
      <c r="AD219" s="35">
        <f>IF(N(Contract_Edits[[#This Row],[Dep]])=0, N(Contract_Edits[[#This Row],[Index]]), N(Contract_Edits[[#This Row],[Dep]]))</f>
        <v>175</v>
      </c>
      <c r="AE219" s="35" cm="1">
        <f t="array" ref="AE219">IF(OR(Contract_Edits[[#This Row],[Dep]]=0, TRIM(Contract_Edits[[#This Row],[Dep]])=""),
   0,
   IFERROR(
      _xlfn.XLOOKUP(1, (Contract_Edits[Dep]=Contract_Edits[[#This Row],[Dep]])*(Contract_Edits[RowPos]&lt;Contract_Edits[[#This Row],[RowPos]]), Contract_Edits[RowPos], , 0, -1),
      0
   )
)</f>
        <v>194</v>
      </c>
      <c r="AF219" s="35">
        <f>IF(OR(Contract_Edits[[#This Row],[Dep]]=0,Contract_Edits[[#This Row],[Dep]]=""),0,
   COUNTIFS(Contract_Edits[Dep],Contract_Edits[[#This Row],[Dep]],Contract_Edits[RowPos],"&lt;="&amp;Contract_Edits[[#This Row],[RowPos]],Contract_Edits[Approve],"Yes")
)</f>
        <v>5</v>
      </c>
      <c r="AG219" s="517">
        <f>--(
  ISNUMBER(SEARCH("BASE PARENT", UPPER(CLEAN(TRIM(_xlfn.XLOOKUP(TEXT(Contract_Edits[[#This Row],[Index]],"0"), baseIdxTxt, baseCost, "")))))) +
  ISNUMBER(SEARCH("DEPENDENCY GROUP", UPPER(CLEAN(TRIM(_xlfn.XLOOKUP(TEXT(Contract_Edits[[#This Row],[Index]],"0"), baseIdxTxt, baseCost, ""))))))
)</f>
        <v>0</v>
      </c>
      <c r="AH219" s="517" t="str" cm="1">
        <f t="array" ref="AH219">IF(Contract_Edits[[#This Row],[BaseFlag]]=1,
   10*BaseDepthL(TEXT(Contract_Edits[[#This Row],[Index]],"0"),500,editsIdxTxt,editsParentKeyTxt,baseIdxTxt,baseCost)-5,
   ""
)</f>
        <v/>
      </c>
      <c r="AI219" s="517" cm="1">
        <f t="array" ref="AI21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19" s="475" t="str">
        <f>IF(Contract_Edits[[#This Row],[Dep]]=0,"Root",
   IF(ISNUMBER(MATCH(Contract_Edits[[#This Row],[Dep]],Contract_Edits[Index],0)),"OK","Missing")
)</f>
        <v>OK</v>
      </c>
      <c r="AK219" s="475" t="str">
        <f>IF(AND(Contract_Edits[[#This Row],[Dep]]&lt;&gt;0,
        ISNUMBER(MATCH(Contract_Edits[[#This Row],[Dep]], Contract_Edits[Index], 0)),
        INDEX(Contract_Edits[Dep], MATCH(Contract_Edits[[#This Row],[Dep]], Contract_Edits[Index], 0))=Contract_Edits[[#This Row],[Index]]),
   "2-cycle","")</f>
        <v/>
      </c>
      <c r="AL219" s="475" cm="1">
        <f t="array" ref="AL219">IF(Contract_Edits[[#This Row],[BaseFlag]]&lt;&gt;1,0,
   IF(TEXT(Contract_Edits[[#This Row],[Dep]],"0")=TEXT(Contract_Edits[[#This Row],[Index]],"0"),
      0,
      MAX(0, SUMPRODUCT(--(Contract_Edits[BaseFlag]=1),
                        --(TEXT(Contract_Edits[Dep],"0")=TEXT(Contract_Edits[[#This Row],[Dep]],"0"))) - 1)
   )
)</f>
        <v>0</v>
      </c>
      <c r="AM219" s="475" t="str" cm="1">
        <f t="array" ref="AM219">IF(Contract_Edits[[#This Row],[BaseFlag]]=1,
   TEXT(Contract_Edits[[#This Row],[Index]],"0"),
   NearestBaseL(TEXT(Contract_Edits[[#This Row],[ParentKey]],"0"),500,editsIdxTxt,editsParentKeyTxt,baseIdxTxt,baseCost)
)</f>
        <v>175</v>
      </c>
      <c r="AN219" s="475" cm="1">
        <f t="array" ref="AN219">1+SUMPRODUCT(
  (Contract_Edits[BaseFlag]=1)*
  (TEXT(Contract_Edits[ParentAnchor],"0")=TEXT(Contract_Edits[[#This Row],[ParentAnchor]],"0"))*
  (VALUE(TEXT(Contract_Edits[Index],"0"))&lt;VALUE(TEXT(Contract_Edits[[#This Row],[Index]],"0")))
)</f>
        <v>1</v>
      </c>
      <c r="AQ219" s="190"/>
      <c r="AR219" s="190"/>
      <c r="BE219" s="34"/>
      <c r="BF219" s="34"/>
      <c r="CB219"/>
      <c r="CC219"/>
    </row>
    <row r="220" spans="1:81" ht="16.5" thickTop="1" thickBot="1">
      <c r="A220" t="s">
        <v>519</v>
      </c>
      <c r="B220" t="s">
        <v>523</v>
      </c>
      <c r="C220" t="s">
        <v>776</v>
      </c>
      <c r="D220" s="458" t="s">
        <v>777</v>
      </c>
      <c r="E220" s="458">
        <v>1</v>
      </c>
      <c r="F220">
        <v>5000</v>
      </c>
      <c r="G220">
        <v>5000</v>
      </c>
      <c r="H220">
        <v>175</v>
      </c>
      <c r="I220"/>
      <c r="J220">
        <v>177</v>
      </c>
      <c r="L220" s="519">
        <v>177</v>
      </c>
      <c r="M220" s="490"/>
      <c r="N220" s="160">
        <v>0</v>
      </c>
      <c r="O220" s="546" cm="1">
        <f t="array" ref="O22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0" s="567" t="s">
        <v>797</v>
      </c>
      <c r="Q220" s="567"/>
      <c r="R220" s="499"/>
      <c r="S220" s="463" cm="1">
        <f t="array" ref="S22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0" s="34">
        <v>4</v>
      </c>
      <c r="U220" s="490">
        <v>10</v>
      </c>
      <c r="V22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235.011</v>
      </c>
      <c r="W220" s="557"/>
      <c r="X220" s="545"/>
      <c r="Y220" s="548" t="s">
        <v>899</v>
      </c>
      <c r="Z220" s="160" t="s">
        <v>458</v>
      </c>
      <c r="AA220" s="563"/>
      <c r="AB220" cm="1">
        <f t="array" ref="AB220">ROW()-ROW(Contract_Edits[#Headers])</f>
        <v>196</v>
      </c>
      <c r="AC220">
        <f>IF(Contract_Edits[[#This Row],[RowPos]]&gt;1, Contract_Edits[[#This Row],[RowPos]]-1, 0)</f>
        <v>195</v>
      </c>
      <c r="AD220" s="35">
        <f>IF(N(Contract_Edits[[#This Row],[Dep]])=0, N(Contract_Edits[[#This Row],[Index]]), N(Contract_Edits[[#This Row],[Dep]]))</f>
        <v>175</v>
      </c>
      <c r="AE220" s="35" cm="1">
        <f t="array" ref="AE220">IF(OR(Contract_Edits[[#This Row],[Dep]]=0, TRIM(Contract_Edits[[#This Row],[Dep]])=""),
   0,
   IFERROR(
      _xlfn.XLOOKUP(1, (Contract_Edits[Dep]=Contract_Edits[[#This Row],[Dep]])*(Contract_Edits[RowPos]&lt;Contract_Edits[[#This Row],[RowPos]]), Contract_Edits[RowPos], , 0, -1),
      0
   )
)</f>
        <v>195</v>
      </c>
      <c r="AF220" s="35">
        <f>IF(OR(Contract_Edits[[#This Row],[Dep]]=0,Contract_Edits[[#This Row],[Dep]]=""),0,
   COUNTIFS(Contract_Edits[Dep],Contract_Edits[[#This Row],[Dep]],Contract_Edits[RowPos],"&lt;="&amp;Contract_Edits[[#This Row],[RowPos]],Contract_Edits[Approve],"Yes")
)</f>
        <v>6</v>
      </c>
      <c r="AG220" s="517">
        <f>--(
  ISNUMBER(SEARCH("BASE PARENT", UPPER(CLEAN(TRIM(_xlfn.XLOOKUP(TEXT(Contract_Edits[[#This Row],[Index]],"0"), baseIdxTxt, baseCost, "")))))) +
  ISNUMBER(SEARCH("DEPENDENCY GROUP", UPPER(CLEAN(TRIM(_xlfn.XLOOKUP(TEXT(Contract_Edits[[#This Row],[Index]],"0"), baseIdxTxt, baseCost, ""))))))
)</f>
        <v>0</v>
      </c>
      <c r="AH220" s="517" t="str" cm="1">
        <f t="array" ref="AH220">IF(Contract_Edits[[#This Row],[BaseFlag]]=1,
   10*BaseDepthL(TEXT(Contract_Edits[[#This Row],[Index]],"0"),500,editsIdxTxt,editsParentKeyTxt,baseIdxTxt,baseCost)-5,
   ""
)</f>
        <v/>
      </c>
      <c r="AI220" s="517" cm="1">
        <f t="array" ref="AI22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0" s="475" t="str">
        <f>IF(Contract_Edits[[#This Row],[Dep]]=0,"Root",
   IF(ISNUMBER(MATCH(Contract_Edits[[#This Row],[Dep]],Contract_Edits[Index],0)),"OK","Missing")
)</f>
        <v>OK</v>
      </c>
      <c r="AK220" s="475" t="str">
        <f>IF(AND(Contract_Edits[[#This Row],[Dep]]&lt;&gt;0,
        ISNUMBER(MATCH(Contract_Edits[[#This Row],[Dep]], Contract_Edits[Index], 0)),
        INDEX(Contract_Edits[Dep], MATCH(Contract_Edits[[#This Row],[Dep]], Contract_Edits[Index], 0))=Contract_Edits[[#This Row],[Index]]),
   "2-cycle","")</f>
        <v/>
      </c>
      <c r="AL220" s="475" cm="1">
        <f t="array" ref="AL220">IF(Contract_Edits[[#This Row],[BaseFlag]]&lt;&gt;1,0,
   IF(TEXT(Contract_Edits[[#This Row],[Dep]],"0")=TEXT(Contract_Edits[[#This Row],[Index]],"0"),
      0,
      MAX(0, SUMPRODUCT(--(Contract_Edits[BaseFlag]=1),
                        --(TEXT(Contract_Edits[Dep],"0")=TEXT(Contract_Edits[[#This Row],[Dep]],"0"))) - 1)
   )
)</f>
        <v>0</v>
      </c>
      <c r="AM220" s="475" t="str" cm="1">
        <f t="array" ref="AM220">IF(Contract_Edits[[#This Row],[BaseFlag]]=1,
   TEXT(Contract_Edits[[#This Row],[Index]],"0"),
   NearestBaseL(TEXT(Contract_Edits[[#This Row],[ParentKey]],"0"),500,editsIdxTxt,editsParentKeyTxt,baseIdxTxt,baseCost)
)</f>
        <v>175</v>
      </c>
      <c r="AN220" s="475" cm="1">
        <f t="array" ref="AN220">1+SUMPRODUCT(
  (Contract_Edits[BaseFlag]=1)*
  (TEXT(Contract_Edits[ParentAnchor],"0")=TEXT(Contract_Edits[[#This Row],[ParentAnchor]],"0"))*
  (VALUE(TEXT(Contract_Edits[Index],"0"))&lt;VALUE(TEXT(Contract_Edits[[#This Row],[Index]],"0")))
)</f>
        <v>2</v>
      </c>
      <c r="AQ220" s="190"/>
      <c r="AR220" s="190"/>
      <c r="BE220" s="34"/>
      <c r="BF220" s="34"/>
      <c r="CB220"/>
      <c r="CC220"/>
    </row>
    <row r="221" spans="1:81" ht="16.5" thickTop="1" thickBot="1">
      <c r="A221" t="s">
        <v>552</v>
      </c>
      <c r="B221" t="s">
        <v>170</v>
      </c>
      <c r="C221" t="s">
        <v>772</v>
      </c>
      <c r="D221" s="458" t="s">
        <v>1444</v>
      </c>
      <c r="E221" s="458">
        <v>1</v>
      </c>
      <c r="F221">
        <v>1781.25</v>
      </c>
      <c r="G221">
        <v>1781.25</v>
      </c>
      <c r="H221">
        <v>175</v>
      </c>
      <c r="I221"/>
      <c r="J221">
        <v>185</v>
      </c>
      <c r="L221" s="519">
        <v>185</v>
      </c>
      <c r="M221" s="543"/>
      <c r="N221" s="544"/>
      <c r="O221" s="546" cm="1">
        <f t="array" ref="O22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1" s="568"/>
      <c r="Q221" s="568">
        <v>1781.25</v>
      </c>
      <c r="R221" s="499"/>
      <c r="S221" s="463" cm="1">
        <f t="array" ref="S22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1" s="34">
        <v>4</v>
      </c>
      <c r="U221" s="490">
        <v>12</v>
      </c>
      <c r="V22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235.0112</v>
      </c>
      <c r="W221" s="557"/>
      <c r="X221" s="545"/>
      <c r="Y221" s="548" t="s">
        <v>899</v>
      </c>
      <c r="Z221" s="160" t="s">
        <v>458</v>
      </c>
      <c r="AA221" s="563"/>
      <c r="AB221" s="34" cm="1">
        <f t="array" ref="AB221">ROW()-ROW(Contract_Edits[#Headers])</f>
        <v>197</v>
      </c>
      <c r="AC221" s="34">
        <f>IF(Contract_Edits[[#This Row],[RowPos]]&gt;1, Contract_Edits[[#This Row],[RowPos]]-1, 0)</f>
        <v>196</v>
      </c>
      <c r="AD221" s="35">
        <f>IF(N(Contract_Edits[[#This Row],[Dep]])=0, N(Contract_Edits[[#This Row],[Index]]), N(Contract_Edits[[#This Row],[Dep]]))</f>
        <v>175</v>
      </c>
      <c r="AE221" s="35" cm="1">
        <f t="array" ref="AE221">IF(OR(Contract_Edits[[#This Row],[Dep]]=0, TRIM(Contract_Edits[[#This Row],[Dep]])=""),
   0,
   IFERROR(
      _xlfn.XLOOKUP(1, (Contract_Edits[Dep]=Contract_Edits[[#This Row],[Dep]])*(Contract_Edits[RowPos]&lt;Contract_Edits[[#This Row],[RowPos]]), Contract_Edits[RowPos], , 0, -1),
      0
   )
)</f>
        <v>196</v>
      </c>
      <c r="AF221" s="35">
        <f>IF(OR(Contract_Edits[[#This Row],[Dep]]=0,Contract_Edits[[#This Row],[Dep]]=""),0,
   COUNTIFS(Contract_Edits[Dep],Contract_Edits[[#This Row],[Dep]],Contract_Edits[RowPos],"&lt;="&amp;Contract_Edits[[#This Row],[RowPos]],Contract_Edits[Approve],"Yes")
)</f>
        <v>7</v>
      </c>
      <c r="AG221" s="517">
        <f>--(
  ISNUMBER(SEARCH("BASE PARENT", UPPER(CLEAN(TRIM(_xlfn.XLOOKUP(TEXT(Contract_Edits[[#This Row],[Index]],"0"), baseIdxTxt, baseCost, "")))))) +
  ISNUMBER(SEARCH("DEPENDENCY GROUP", UPPER(CLEAN(TRIM(_xlfn.XLOOKUP(TEXT(Contract_Edits[[#This Row],[Index]],"0"), baseIdxTxt, baseCost, ""))))))
)</f>
        <v>0</v>
      </c>
      <c r="AH221" s="517" t="str" cm="1">
        <f t="array" ref="AH221">IF(Contract_Edits[[#This Row],[BaseFlag]]=1,
   10*BaseDepthL(TEXT(Contract_Edits[[#This Row],[Index]],"0"),500,editsIdxTxt,editsParentKeyTxt,baseIdxTxt,baseCost)-5,
   ""
)</f>
        <v/>
      </c>
      <c r="AI221" s="517" cm="1">
        <f t="array" ref="AI22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1" s="475" t="str">
        <f>IF(Contract_Edits[[#This Row],[Dep]]=0,"Root",
   IF(ISNUMBER(MATCH(Contract_Edits[[#This Row],[Dep]],Contract_Edits[Index],0)),"OK","Missing")
)</f>
        <v>OK</v>
      </c>
      <c r="AK221" s="475" t="str">
        <f>IF(AND(Contract_Edits[[#This Row],[Dep]]&lt;&gt;0,
        ISNUMBER(MATCH(Contract_Edits[[#This Row],[Dep]], Contract_Edits[Index], 0)),
        INDEX(Contract_Edits[Dep], MATCH(Contract_Edits[[#This Row],[Dep]], Contract_Edits[Index], 0))=Contract_Edits[[#This Row],[Index]]),
   "2-cycle","")</f>
        <v/>
      </c>
      <c r="AL221" s="475" cm="1">
        <f t="array" ref="AL221">IF(Contract_Edits[[#This Row],[BaseFlag]]&lt;&gt;1,0,
   IF(TEXT(Contract_Edits[[#This Row],[Dep]],"0")=TEXT(Contract_Edits[[#This Row],[Index]],"0"),
      0,
      MAX(0, SUMPRODUCT(--(Contract_Edits[BaseFlag]=1),
                        --(TEXT(Contract_Edits[Dep],"0")=TEXT(Contract_Edits[[#This Row],[Dep]],"0"))) - 1)
   )
)</f>
        <v>0</v>
      </c>
      <c r="AM221" s="475" t="str" cm="1">
        <f t="array" ref="AM221">IF(Contract_Edits[[#This Row],[BaseFlag]]=1,
   TEXT(Contract_Edits[[#This Row],[Index]],"0"),
   NearestBaseL(TEXT(Contract_Edits[[#This Row],[ParentKey]],"0"),500,editsIdxTxt,editsParentKeyTxt,baseIdxTxt,baseCost)
)</f>
        <v>175</v>
      </c>
      <c r="AN221" s="475" cm="1">
        <f t="array" ref="AN221">1+SUMPRODUCT(
  (Contract_Edits[BaseFlag]=1)*
  (TEXT(Contract_Edits[ParentAnchor],"0")=TEXT(Contract_Edits[[#This Row],[ParentAnchor]],"0"))*
  (VALUE(TEXT(Contract_Edits[Index],"0"))&lt;VALUE(TEXT(Contract_Edits[[#This Row],[Index]],"0")))
)</f>
        <v>2</v>
      </c>
      <c r="AQ221" s="190"/>
      <c r="AR221" s="190"/>
      <c r="BE221" s="34"/>
      <c r="BF221" s="34"/>
      <c r="CB221"/>
      <c r="CC221"/>
    </row>
    <row r="222" spans="1:81" ht="16.5" thickTop="1" thickBot="1">
      <c r="A222" t="s">
        <v>552</v>
      </c>
      <c r="B222" t="s">
        <v>170</v>
      </c>
      <c r="C222" t="s">
        <v>772</v>
      </c>
      <c r="D222" s="458" t="s">
        <v>1445</v>
      </c>
      <c r="E222" s="458">
        <v>1</v>
      </c>
      <c r="F222">
        <v>2375</v>
      </c>
      <c r="G222">
        <v>2375</v>
      </c>
      <c r="H222">
        <v>175</v>
      </c>
      <c r="I222"/>
      <c r="J222">
        <v>186</v>
      </c>
      <c r="L222" s="519">
        <v>186</v>
      </c>
      <c r="M222" s="543"/>
      <c r="N222" s="544"/>
      <c r="O222" s="546" cm="1">
        <f t="array" ref="O22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2" s="568"/>
      <c r="Q222" s="568">
        <v>2375</v>
      </c>
      <c r="R222" s="499"/>
      <c r="S222" s="463" cm="1">
        <f t="array" ref="S22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2" s="34">
        <v>4</v>
      </c>
      <c r="U222" s="490">
        <v>14</v>
      </c>
      <c r="V22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235.01139999999998</v>
      </c>
      <c r="W222" s="557"/>
      <c r="X222" s="545"/>
      <c r="Y222" s="548" t="s">
        <v>899</v>
      </c>
      <c r="Z222" s="160" t="s">
        <v>458</v>
      </c>
      <c r="AA222" s="563"/>
      <c r="AB222" s="34" cm="1">
        <f t="array" ref="AB222">ROW()-ROW(Contract_Edits[#Headers])</f>
        <v>198</v>
      </c>
      <c r="AC222" s="34">
        <f>IF(Contract_Edits[[#This Row],[RowPos]]&gt;1, Contract_Edits[[#This Row],[RowPos]]-1, 0)</f>
        <v>197</v>
      </c>
      <c r="AD222" s="35">
        <f>IF(N(Contract_Edits[[#This Row],[Dep]])=0, N(Contract_Edits[[#This Row],[Index]]), N(Contract_Edits[[#This Row],[Dep]]))</f>
        <v>175</v>
      </c>
      <c r="AE222" s="35" cm="1">
        <f t="array" ref="AE222">IF(OR(Contract_Edits[[#This Row],[Dep]]=0, TRIM(Contract_Edits[[#This Row],[Dep]])=""),
   0,
   IFERROR(
      _xlfn.XLOOKUP(1, (Contract_Edits[Dep]=Contract_Edits[[#This Row],[Dep]])*(Contract_Edits[RowPos]&lt;Contract_Edits[[#This Row],[RowPos]]), Contract_Edits[RowPos], , 0, -1),
      0
   )
)</f>
        <v>197</v>
      </c>
      <c r="AF222" s="35">
        <f>IF(OR(Contract_Edits[[#This Row],[Dep]]=0,Contract_Edits[[#This Row],[Dep]]=""),0,
   COUNTIFS(Contract_Edits[Dep],Contract_Edits[[#This Row],[Dep]],Contract_Edits[RowPos],"&lt;="&amp;Contract_Edits[[#This Row],[RowPos]],Contract_Edits[Approve],"Yes")
)</f>
        <v>8</v>
      </c>
      <c r="AG222" s="517">
        <f>--(
  ISNUMBER(SEARCH("BASE PARENT", UPPER(CLEAN(TRIM(_xlfn.XLOOKUP(TEXT(Contract_Edits[[#This Row],[Index]],"0"), baseIdxTxt, baseCost, "")))))) +
  ISNUMBER(SEARCH("DEPENDENCY GROUP", UPPER(CLEAN(TRIM(_xlfn.XLOOKUP(TEXT(Contract_Edits[[#This Row],[Index]],"0"), baseIdxTxt, baseCost, ""))))))
)</f>
        <v>0</v>
      </c>
      <c r="AH222" s="517" t="str" cm="1">
        <f t="array" ref="AH222">IF(Contract_Edits[[#This Row],[BaseFlag]]=1,
   10*BaseDepthL(TEXT(Contract_Edits[[#This Row],[Index]],"0"),500,editsIdxTxt,editsParentKeyTxt,baseIdxTxt,baseCost)-5,
   ""
)</f>
        <v/>
      </c>
      <c r="AI222" s="517" cm="1">
        <f t="array" ref="AI22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2" s="475" t="str">
        <f>IF(Contract_Edits[[#This Row],[Dep]]=0,"Root",
   IF(ISNUMBER(MATCH(Contract_Edits[[#This Row],[Dep]],Contract_Edits[Index],0)),"OK","Missing")
)</f>
        <v>OK</v>
      </c>
      <c r="AK222" s="475" t="str">
        <f>IF(AND(Contract_Edits[[#This Row],[Dep]]&lt;&gt;0,
        ISNUMBER(MATCH(Contract_Edits[[#This Row],[Dep]], Contract_Edits[Index], 0)),
        INDEX(Contract_Edits[Dep], MATCH(Contract_Edits[[#This Row],[Dep]], Contract_Edits[Index], 0))=Contract_Edits[[#This Row],[Index]]),
   "2-cycle","")</f>
        <v/>
      </c>
      <c r="AL222" s="475" cm="1">
        <f t="array" ref="AL222">IF(Contract_Edits[[#This Row],[BaseFlag]]&lt;&gt;1,0,
   IF(TEXT(Contract_Edits[[#This Row],[Dep]],"0")=TEXT(Contract_Edits[[#This Row],[Index]],"0"),
      0,
      MAX(0, SUMPRODUCT(--(Contract_Edits[BaseFlag]=1),
                        --(TEXT(Contract_Edits[Dep],"0")=TEXT(Contract_Edits[[#This Row],[Dep]],"0"))) - 1)
   )
)</f>
        <v>0</v>
      </c>
      <c r="AM222" s="475" t="str" cm="1">
        <f t="array" ref="AM222">IF(Contract_Edits[[#This Row],[BaseFlag]]=1,
   TEXT(Contract_Edits[[#This Row],[Index]],"0"),
   NearestBaseL(TEXT(Contract_Edits[[#This Row],[ParentKey]],"0"),500,editsIdxTxt,editsParentKeyTxt,baseIdxTxt,baseCost)
)</f>
        <v>175</v>
      </c>
      <c r="AN222" s="475" cm="1">
        <f t="array" ref="AN222">1+SUMPRODUCT(
  (Contract_Edits[BaseFlag]=1)*
  (TEXT(Contract_Edits[ParentAnchor],"0")=TEXT(Contract_Edits[[#This Row],[ParentAnchor]],"0"))*
  (VALUE(TEXT(Contract_Edits[Index],"0"))&lt;VALUE(TEXT(Contract_Edits[[#This Row],[Index]],"0")))
)</f>
        <v>2</v>
      </c>
      <c r="AO222" s="34"/>
      <c r="AR222" s="190"/>
      <c r="BF222" s="34"/>
      <c r="CC222"/>
    </row>
    <row r="223" spans="1:81" ht="15.75" thickTop="1">
      <c r="A223" t="s">
        <v>552</v>
      </c>
      <c r="B223" t="s">
        <v>170</v>
      </c>
      <c r="C223" t="s">
        <v>772</v>
      </c>
      <c r="D223" s="458" t="s">
        <v>1446</v>
      </c>
      <c r="E223" s="458">
        <v>1</v>
      </c>
      <c r="F223">
        <v>1437.5</v>
      </c>
      <c r="G223">
        <v>1437.5</v>
      </c>
      <c r="H223">
        <v>175</v>
      </c>
      <c r="I223"/>
      <c r="J223">
        <v>187</v>
      </c>
      <c r="L223" s="519">
        <v>187</v>
      </c>
      <c r="M223" s="543"/>
      <c r="N223" s="544"/>
      <c r="O223" s="546" cm="1">
        <f t="array" ref="O22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3" s="568"/>
      <c r="Q223" s="568">
        <v>1437.5</v>
      </c>
      <c r="R223" s="499"/>
      <c r="S223" s="463" cm="1">
        <f t="array" ref="S22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3" s="34">
        <v>4</v>
      </c>
      <c r="U223" s="490">
        <v>16</v>
      </c>
      <c r="V22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235.01159999999999</v>
      </c>
      <c r="W223" s="557"/>
      <c r="X223" s="545"/>
      <c r="Y223" s="548" t="s">
        <v>899</v>
      </c>
      <c r="Z223" s="160" t="s">
        <v>458</v>
      </c>
      <c r="AA223" s="563"/>
      <c r="AB223" s="34" cm="1">
        <f t="array" ref="AB223">ROW()-ROW(Contract_Edits[#Headers])</f>
        <v>199</v>
      </c>
      <c r="AC223" s="34">
        <f>IF(Contract_Edits[[#This Row],[RowPos]]&gt;1, Contract_Edits[[#This Row],[RowPos]]-1, 0)</f>
        <v>198</v>
      </c>
      <c r="AD223" s="35">
        <f>IF(N(Contract_Edits[[#This Row],[Dep]])=0, N(Contract_Edits[[#This Row],[Index]]), N(Contract_Edits[[#This Row],[Dep]]))</f>
        <v>175</v>
      </c>
      <c r="AE223" s="35" cm="1">
        <f t="array" ref="AE223">IF(OR(Contract_Edits[[#This Row],[Dep]]=0, TRIM(Contract_Edits[[#This Row],[Dep]])=""),
   0,
   IFERROR(
      _xlfn.XLOOKUP(1, (Contract_Edits[Dep]=Contract_Edits[[#This Row],[Dep]])*(Contract_Edits[RowPos]&lt;Contract_Edits[[#This Row],[RowPos]]), Contract_Edits[RowPos], , 0, -1),
      0
   )
)</f>
        <v>198</v>
      </c>
      <c r="AF223" s="35">
        <f>IF(OR(Contract_Edits[[#This Row],[Dep]]=0,Contract_Edits[[#This Row],[Dep]]=""),0,
   COUNTIFS(Contract_Edits[Dep],Contract_Edits[[#This Row],[Dep]],Contract_Edits[RowPos],"&lt;="&amp;Contract_Edits[[#This Row],[RowPos]],Contract_Edits[Approve],"Yes")
)</f>
        <v>9</v>
      </c>
      <c r="AG223" s="517">
        <f>--(
  ISNUMBER(SEARCH("BASE PARENT", UPPER(CLEAN(TRIM(_xlfn.XLOOKUP(TEXT(Contract_Edits[[#This Row],[Index]],"0"), baseIdxTxt, baseCost, "")))))) +
  ISNUMBER(SEARCH("DEPENDENCY GROUP", UPPER(CLEAN(TRIM(_xlfn.XLOOKUP(TEXT(Contract_Edits[[#This Row],[Index]],"0"), baseIdxTxt, baseCost, ""))))))
)</f>
        <v>0</v>
      </c>
      <c r="AH223" s="517" t="str" cm="1">
        <f t="array" ref="AH223">IF(Contract_Edits[[#This Row],[BaseFlag]]=1,
   10*BaseDepthL(TEXT(Contract_Edits[[#This Row],[Index]],"0"),500,editsIdxTxt,editsParentKeyTxt,baseIdxTxt,baseCost)-5,
   ""
)</f>
        <v/>
      </c>
      <c r="AI223" s="517" cm="1">
        <f t="array" ref="AI22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3" s="475" t="str">
        <f>IF(Contract_Edits[[#This Row],[Dep]]=0,"Root",
   IF(ISNUMBER(MATCH(Contract_Edits[[#This Row],[Dep]],Contract_Edits[Index],0)),"OK","Missing")
)</f>
        <v>OK</v>
      </c>
      <c r="AK223" s="475" t="str">
        <f>IF(AND(Contract_Edits[[#This Row],[Dep]]&lt;&gt;0,
        ISNUMBER(MATCH(Contract_Edits[[#This Row],[Dep]], Contract_Edits[Index], 0)),
        INDEX(Contract_Edits[Dep], MATCH(Contract_Edits[[#This Row],[Dep]], Contract_Edits[Index], 0))=Contract_Edits[[#This Row],[Index]]),
   "2-cycle","")</f>
        <v/>
      </c>
      <c r="AL223" s="475" cm="1">
        <f t="array" ref="AL223">IF(Contract_Edits[[#This Row],[BaseFlag]]&lt;&gt;1,0,
   IF(TEXT(Contract_Edits[[#This Row],[Dep]],"0")=TEXT(Contract_Edits[[#This Row],[Index]],"0"),
      0,
      MAX(0, SUMPRODUCT(--(Contract_Edits[BaseFlag]=1),
                        --(TEXT(Contract_Edits[Dep],"0")=TEXT(Contract_Edits[[#This Row],[Dep]],"0"))) - 1)
   )
)</f>
        <v>0</v>
      </c>
      <c r="AM223" s="475" t="str" cm="1">
        <f t="array" ref="AM223">IF(Contract_Edits[[#This Row],[BaseFlag]]=1,
   TEXT(Contract_Edits[[#This Row],[Index]],"0"),
   NearestBaseL(TEXT(Contract_Edits[[#This Row],[ParentKey]],"0"),500,editsIdxTxt,editsParentKeyTxt,baseIdxTxt,baseCost)
)</f>
        <v>175</v>
      </c>
      <c r="AN223" s="475" cm="1">
        <f t="array" ref="AN223">1+SUMPRODUCT(
  (Contract_Edits[BaseFlag]=1)*
  (TEXT(Contract_Edits[ParentAnchor],"0")=TEXT(Contract_Edits[[#This Row],[ParentAnchor]],"0"))*
  (VALUE(TEXT(Contract_Edits[Index],"0"))&lt;VALUE(TEXT(Contract_Edits[[#This Row],[Index]],"0")))
)</f>
        <v>2</v>
      </c>
      <c r="AO223" s="34"/>
      <c r="AR223" s="190"/>
      <c r="BF223" s="34"/>
      <c r="CC223"/>
    </row>
    <row r="224" spans="1:81" ht="15">
      <c r="A224" t="s">
        <v>552</v>
      </c>
      <c r="B224" t="s">
        <v>170</v>
      </c>
      <c r="C224" t="s">
        <v>772</v>
      </c>
      <c r="D224" s="458" t="s">
        <v>1487</v>
      </c>
      <c r="E224" s="458">
        <v>1</v>
      </c>
      <c r="F224">
        <v>1250</v>
      </c>
      <c r="G224">
        <v>1250</v>
      </c>
      <c r="H224">
        <v>175</v>
      </c>
      <c r="I224"/>
      <c r="J224">
        <v>201</v>
      </c>
      <c r="L224" s="463">
        <v>201</v>
      </c>
      <c r="M224" s="543"/>
      <c r="N224" s="544"/>
      <c r="O224" s="546" cm="1">
        <f t="array" ref="O22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4" s="568"/>
      <c r="Q224" s="568">
        <v>1250</v>
      </c>
      <c r="R224" s="499"/>
      <c r="S224" s="463" cm="1">
        <f t="array" ref="S22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4" s="34"/>
      <c r="U224" s="490">
        <v>17</v>
      </c>
      <c r="V22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235.01169999999999</v>
      </c>
      <c r="W224" s="557"/>
      <c r="X224" s="545"/>
      <c r="Y224" s="548" t="s">
        <v>899</v>
      </c>
      <c r="Z224" s="160" t="s">
        <v>458</v>
      </c>
      <c r="AA224" s="563"/>
      <c r="AB224" s="34" cm="1">
        <f t="array" ref="AB224">ROW()-ROW(Contract_Edits[#Headers])</f>
        <v>200</v>
      </c>
      <c r="AC224" s="34">
        <f>IF(Contract_Edits[[#This Row],[RowPos]]&gt;1, Contract_Edits[[#This Row],[RowPos]]-1, 0)</f>
        <v>199</v>
      </c>
      <c r="AD224" s="35">
        <f>IF(N(Contract_Edits[[#This Row],[Dep]])=0, N(Contract_Edits[[#This Row],[Index]]), N(Contract_Edits[[#This Row],[Dep]]))</f>
        <v>175</v>
      </c>
      <c r="AE224" s="35" cm="1">
        <f t="array" ref="AE224">IF(OR(Contract_Edits[[#This Row],[Dep]]=0, TRIM(Contract_Edits[[#This Row],[Dep]])=""),
   0,
   IFERROR(
      _xlfn.XLOOKUP(1, (Contract_Edits[Dep]=Contract_Edits[[#This Row],[Dep]])*(Contract_Edits[RowPos]&lt;Contract_Edits[[#This Row],[RowPos]]), Contract_Edits[RowPos], , 0, -1),
      0
   )
)</f>
        <v>199</v>
      </c>
      <c r="AF224" s="35">
        <f>IF(OR(Contract_Edits[[#This Row],[Dep]]=0,Contract_Edits[[#This Row],[Dep]]=""),0,
   COUNTIFS(Contract_Edits[Dep],Contract_Edits[[#This Row],[Dep]],Contract_Edits[RowPos],"&lt;="&amp;Contract_Edits[[#This Row],[RowPos]],Contract_Edits[Approve],"Yes")
)</f>
        <v>10</v>
      </c>
      <c r="AG224" s="517">
        <f>--(
  ISNUMBER(SEARCH("BASE PARENT", UPPER(CLEAN(TRIM(_xlfn.XLOOKUP(TEXT(Contract_Edits[[#This Row],[Index]],"0"), baseIdxTxt, baseCost, "")))))) +
  ISNUMBER(SEARCH("DEPENDENCY GROUP", UPPER(CLEAN(TRIM(_xlfn.XLOOKUP(TEXT(Contract_Edits[[#This Row],[Index]],"0"), baseIdxTxt, baseCost, ""))))))
)</f>
        <v>0</v>
      </c>
      <c r="AH224" s="517" t="str" cm="1">
        <f t="array" ref="AH224">IF(Contract_Edits[[#This Row],[BaseFlag]]=1,
   10*BaseDepthL(TEXT(Contract_Edits[[#This Row],[Index]],"0"),500,editsIdxTxt,editsParentKeyTxt,baseIdxTxt,baseCost)-5,
   ""
)</f>
        <v/>
      </c>
      <c r="AI224" s="517" cm="1">
        <f t="array" ref="AI22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4" s="475" t="str">
        <f>IF(Contract_Edits[[#This Row],[Dep]]=0,"Root",
   IF(ISNUMBER(MATCH(Contract_Edits[[#This Row],[Dep]],Contract_Edits[Index],0)),"OK","Missing")
)</f>
        <v>OK</v>
      </c>
      <c r="AK224" s="475" t="str">
        <f>IF(AND(Contract_Edits[[#This Row],[Dep]]&lt;&gt;0,
        ISNUMBER(MATCH(Contract_Edits[[#This Row],[Dep]], Contract_Edits[Index], 0)),
        INDEX(Contract_Edits[Dep], MATCH(Contract_Edits[[#This Row],[Dep]], Contract_Edits[Index], 0))=Contract_Edits[[#This Row],[Index]]),
   "2-cycle","")</f>
        <v/>
      </c>
      <c r="AL224" s="475" cm="1">
        <f t="array" ref="AL224">IF(Contract_Edits[[#This Row],[BaseFlag]]&lt;&gt;1,0,
   IF(TEXT(Contract_Edits[[#This Row],[Dep]],"0")=TEXT(Contract_Edits[[#This Row],[Index]],"0"),
      0,
      MAX(0, SUMPRODUCT(--(Contract_Edits[BaseFlag]=1),
                        --(TEXT(Contract_Edits[Dep],"0")=TEXT(Contract_Edits[[#This Row],[Dep]],"0"))) - 1)
   )
)</f>
        <v>0</v>
      </c>
      <c r="AM224" s="475" t="str" cm="1">
        <f t="array" ref="AM224">IF(Contract_Edits[[#This Row],[BaseFlag]]=1,
   TEXT(Contract_Edits[[#This Row],[Index]],"0"),
   NearestBaseL(TEXT(Contract_Edits[[#This Row],[ParentKey]],"0"),500,editsIdxTxt,editsParentKeyTxt,baseIdxTxt,baseCost)
)</f>
        <v>175</v>
      </c>
      <c r="AN224" s="475" cm="1">
        <f t="array" ref="AN224">1+SUMPRODUCT(
  (Contract_Edits[BaseFlag]=1)*
  (TEXT(Contract_Edits[ParentAnchor],"0")=TEXT(Contract_Edits[[#This Row],[ParentAnchor]],"0"))*
  (VALUE(TEXT(Contract_Edits[Index],"0"))&lt;VALUE(TEXT(Contract_Edits[[#This Row],[Index]],"0")))
)</f>
        <v>3</v>
      </c>
      <c r="AO224" s="34"/>
      <c r="AR224" s="190"/>
      <c r="BF224" s="34"/>
      <c r="CC224"/>
    </row>
    <row r="225" spans="1:81" ht="15">
      <c r="A225" t="s">
        <v>552</v>
      </c>
      <c r="B225" t="s">
        <v>170</v>
      </c>
      <c r="C225" t="s">
        <v>772</v>
      </c>
      <c r="D225" s="458" t="s">
        <v>1498</v>
      </c>
      <c r="E225" s="458">
        <v>1</v>
      </c>
      <c r="F225">
        <v>1250</v>
      </c>
      <c r="G225">
        <v>1250</v>
      </c>
      <c r="H225">
        <v>175</v>
      </c>
      <c r="I225"/>
      <c r="J225">
        <v>203</v>
      </c>
      <c r="L225" s="463">
        <v>203</v>
      </c>
      <c r="M225" s="543"/>
      <c r="N225" s="544"/>
      <c r="O225" s="546" cm="1">
        <f t="array" ref="O22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5" s="568"/>
      <c r="Q225" s="568">
        <v>1250</v>
      </c>
      <c r="R225" s="499"/>
      <c r="S225" s="463" cm="1">
        <f t="array" ref="S22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5" s="34"/>
      <c r="U225" s="490">
        <v>19</v>
      </c>
      <c r="V22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235.0119</v>
      </c>
      <c r="W225" s="557"/>
      <c r="X225" s="545"/>
      <c r="Y225" s="548" t="s">
        <v>899</v>
      </c>
      <c r="Z225" s="160" t="s">
        <v>458</v>
      </c>
      <c r="AA225" s="563"/>
      <c r="AB225" s="34" cm="1">
        <f t="array" ref="AB225">ROW()-ROW(Contract_Edits[#Headers])</f>
        <v>201</v>
      </c>
      <c r="AC225" s="34">
        <f>IF(Contract_Edits[[#This Row],[RowPos]]&gt;1, Contract_Edits[[#This Row],[RowPos]]-1, 0)</f>
        <v>200</v>
      </c>
      <c r="AD225" s="35">
        <f>IF(N(Contract_Edits[[#This Row],[Dep]])=0, N(Contract_Edits[[#This Row],[Index]]), N(Contract_Edits[[#This Row],[Dep]]))</f>
        <v>175</v>
      </c>
      <c r="AE225" s="35" cm="1">
        <f t="array" ref="AE225">IF(OR(Contract_Edits[[#This Row],[Dep]]=0, TRIM(Contract_Edits[[#This Row],[Dep]])=""),
   0,
   IFERROR(
      _xlfn.XLOOKUP(1, (Contract_Edits[Dep]=Contract_Edits[[#This Row],[Dep]])*(Contract_Edits[RowPos]&lt;Contract_Edits[[#This Row],[RowPos]]), Contract_Edits[RowPos], , 0, -1),
      0
   )
)</f>
        <v>200</v>
      </c>
      <c r="AF225" s="35">
        <f>IF(OR(Contract_Edits[[#This Row],[Dep]]=0,Contract_Edits[[#This Row],[Dep]]=""),0,
   COUNTIFS(Contract_Edits[Dep],Contract_Edits[[#This Row],[Dep]],Contract_Edits[RowPos],"&lt;="&amp;Contract_Edits[[#This Row],[RowPos]],Contract_Edits[Approve],"Yes")
)</f>
        <v>11</v>
      </c>
      <c r="AG225" s="517">
        <f>--(
  ISNUMBER(SEARCH("BASE PARENT", UPPER(CLEAN(TRIM(_xlfn.XLOOKUP(TEXT(Contract_Edits[[#This Row],[Index]],"0"), baseIdxTxt, baseCost, "")))))) +
  ISNUMBER(SEARCH("DEPENDENCY GROUP", UPPER(CLEAN(TRIM(_xlfn.XLOOKUP(TEXT(Contract_Edits[[#This Row],[Index]],"0"), baseIdxTxt, baseCost, ""))))))
)</f>
        <v>0</v>
      </c>
      <c r="AH225" s="517" t="str" cm="1">
        <f t="array" ref="AH225">IF(Contract_Edits[[#This Row],[BaseFlag]]=1,
   10*BaseDepthL(TEXT(Contract_Edits[[#This Row],[Index]],"0"),500,editsIdxTxt,editsParentKeyTxt,baseIdxTxt,baseCost)-5,
   ""
)</f>
        <v/>
      </c>
      <c r="AI225" s="517" cm="1">
        <f t="array" ref="AI2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5" s="475" t="str">
        <f>IF(Contract_Edits[[#This Row],[Dep]]=0,"Root",
   IF(ISNUMBER(MATCH(Contract_Edits[[#This Row],[Dep]],Contract_Edits[Index],0)),"OK","Missing")
)</f>
        <v>OK</v>
      </c>
      <c r="AK225" s="475" t="str">
        <f>IF(AND(Contract_Edits[[#This Row],[Dep]]&lt;&gt;0,
        ISNUMBER(MATCH(Contract_Edits[[#This Row],[Dep]], Contract_Edits[Index], 0)),
        INDEX(Contract_Edits[Dep], MATCH(Contract_Edits[[#This Row],[Dep]], Contract_Edits[Index], 0))=Contract_Edits[[#This Row],[Index]]),
   "2-cycle","")</f>
        <v/>
      </c>
      <c r="AL225" s="475" cm="1">
        <f t="array" ref="AL225">IF(Contract_Edits[[#This Row],[BaseFlag]]&lt;&gt;1,0,
   IF(TEXT(Contract_Edits[[#This Row],[Dep]],"0")=TEXT(Contract_Edits[[#This Row],[Index]],"0"),
      0,
      MAX(0, SUMPRODUCT(--(Contract_Edits[BaseFlag]=1),
                        --(TEXT(Contract_Edits[Dep],"0")=TEXT(Contract_Edits[[#This Row],[Dep]],"0"))) - 1)
   )
)</f>
        <v>0</v>
      </c>
      <c r="AM225" s="475" t="str" cm="1">
        <f t="array" ref="AM225">IF(Contract_Edits[[#This Row],[BaseFlag]]=1,
   TEXT(Contract_Edits[[#This Row],[Index]],"0"),
   NearestBaseL(TEXT(Contract_Edits[[#This Row],[ParentKey]],"0"),500,editsIdxTxt,editsParentKeyTxt,baseIdxTxt,baseCost)
)</f>
        <v>175</v>
      </c>
      <c r="AN225" s="475" cm="1">
        <f t="array" ref="AN225">1+SUMPRODUCT(
  (Contract_Edits[BaseFlag]=1)*
  (TEXT(Contract_Edits[ParentAnchor],"0")=TEXT(Contract_Edits[[#This Row],[ParentAnchor]],"0"))*
  (VALUE(TEXT(Contract_Edits[Index],"0"))&lt;VALUE(TEXT(Contract_Edits[[#This Row],[Index]],"0")))
)</f>
        <v>3</v>
      </c>
      <c r="AO225" s="34"/>
      <c r="AR225" s="190"/>
      <c r="BF225" s="34"/>
      <c r="CC225"/>
    </row>
    <row r="226" spans="1:81" ht="15">
      <c r="A226" t="s">
        <v>552</v>
      </c>
      <c r="B226" t="s">
        <v>170</v>
      </c>
      <c r="C226" t="s">
        <v>772</v>
      </c>
      <c r="D226" s="458" t="s">
        <v>1499</v>
      </c>
      <c r="E226" s="458">
        <v>1</v>
      </c>
      <c r="F226">
        <v>593.75</v>
      </c>
      <c r="G226">
        <v>593.75</v>
      </c>
      <c r="H226">
        <v>175</v>
      </c>
      <c r="I226"/>
      <c r="J226">
        <v>204</v>
      </c>
      <c r="L226" s="463">
        <v>204</v>
      </c>
      <c r="M226" s="543"/>
      <c r="N226" s="544"/>
      <c r="O226" s="546" cm="1">
        <f t="array" ref="O22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6" s="568"/>
      <c r="Q226" s="568">
        <v>593.75</v>
      </c>
      <c r="R226" s="499"/>
      <c r="S226" s="463" cm="1">
        <f t="array" ref="S22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6" s="34"/>
      <c r="U226" s="490">
        <v>20</v>
      </c>
      <c r="V22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235.012</v>
      </c>
      <c r="W226" s="557"/>
      <c r="X226" s="545"/>
      <c r="Y226" s="548" t="s">
        <v>899</v>
      </c>
      <c r="Z226" s="160" t="s">
        <v>458</v>
      </c>
      <c r="AA226" s="563"/>
      <c r="AB226" s="34" cm="1">
        <f t="array" ref="AB226">ROW()-ROW(Contract_Edits[#Headers])</f>
        <v>202</v>
      </c>
      <c r="AC226" s="34">
        <f>IF(Contract_Edits[[#This Row],[RowPos]]&gt;1, Contract_Edits[[#This Row],[RowPos]]-1, 0)</f>
        <v>201</v>
      </c>
      <c r="AD226" s="35">
        <f>IF(N(Contract_Edits[[#This Row],[Dep]])=0, N(Contract_Edits[[#This Row],[Index]]), N(Contract_Edits[[#This Row],[Dep]]))</f>
        <v>175</v>
      </c>
      <c r="AE226" s="35" cm="1">
        <f t="array" ref="AE226">IF(OR(Contract_Edits[[#This Row],[Dep]]=0, TRIM(Contract_Edits[[#This Row],[Dep]])=""),
   0,
   IFERROR(
      _xlfn.XLOOKUP(1, (Contract_Edits[Dep]=Contract_Edits[[#This Row],[Dep]])*(Contract_Edits[RowPos]&lt;Contract_Edits[[#This Row],[RowPos]]), Contract_Edits[RowPos], , 0, -1),
      0
   )
)</f>
        <v>201</v>
      </c>
      <c r="AF226" s="35">
        <f>IF(OR(Contract_Edits[[#This Row],[Dep]]=0,Contract_Edits[[#This Row],[Dep]]=""),0,
   COUNTIFS(Contract_Edits[Dep],Contract_Edits[[#This Row],[Dep]],Contract_Edits[RowPos],"&lt;="&amp;Contract_Edits[[#This Row],[RowPos]],Contract_Edits[Approve],"Yes")
)</f>
        <v>12</v>
      </c>
      <c r="AG226" s="517">
        <f>--(
  ISNUMBER(SEARCH("BASE PARENT", UPPER(CLEAN(TRIM(_xlfn.XLOOKUP(TEXT(Contract_Edits[[#This Row],[Index]],"0"), baseIdxTxt, baseCost, "")))))) +
  ISNUMBER(SEARCH("DEPENDENCY GROUP", UPPER(CLEAN(TRIM(_xlfn.XLOOKUP(TEXT(Contract_Edits[[#This Row],[Index]],"0"), baseIdxTxt, baseCost, ""))))))
)</f>
        <v>0</v>
      </c>
      <c r="AH226" s="517" t="str" cm="1">
        <f t="array" ref="AH226">IF(Contract_Edits[[#This Row],[BaseFlag]]=1,
   10*BaseDepthL(TEXT(Contract_Edits[[#This Row],[Index]],"0"),500,editsIdxTxt,editsParentKeyTxt,baseIdxTxt,baseCost)-5,
   ""
)</f>
        <v/>
      </c>
      <c r="AI226" s="517" cm="1">
        <f t="array" ref="AI2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6" s="475" t="str">
        <f>IF(Contract_Edits[[#This Row],[Dep]]=0,"Root",
   IF(ISNUMBER(MATCH(Contract_Edits[[#This Row],[Dep]],Contract_Edits[Index],0)),"OK","Missing")
)</f>
        <v>OK</v>
      </c>
      <c r="AK226" s="475" t="str">
        <f>IF(AND(Contract_Edits[[#This Row],[Dep]]&lt;&gt;0,
        ISNUMBER(MATCH(Contract_Edits[[#This Row],[Dep]], Contract_Edits[Index], 0)),
        INDEX(Contract_Edits[Dep], MATCH(Contract_Edits[[#This Row],[Dep]], Contract_Edits[Index], 0))=Contract_Edits[[#This Row],[Index]]),
   "2-cycle","")</f>
        <v/>
      </c>
      <c r="AL226" s="475" cm="1">
        <f t="array" ref="AL226">IF(Contract_Edits[[#This Row],[BaseFlag]]&lt;&gt;1,0,
   IF(TEXT(Contract_Edits[[#This Row],[Dep]],"0")=TEXT(Contract_Edits[[#This Row],[Index]],"0"),
      0,
      MAX(0, SUMPRODUCT(--(Contract_Edits[BaseFlag]=1),
                        --(TEXT(Contract_Edits[Dep],"0")=TEXT(Contract_Edits[[#This Row],[Dep]],"0"))) - 1)
   )
)</f>
        <v>0</v>
      </c>
      <c r="AM226" s="475" t="str" cm="1">
        <f t="array" ref="AM226">IF(Contract_Edits[[#This Row],[BaseFlag]]=1,
   TEXT(Contract_Edits[[#This Row],[Index]],"0"),
   NearestBaseL(TEXT(Contract_Edits[[#This Row],[ParentKey]],"0"),500,editsIdxTxt,editsParentKeyTxt,baseIdxTxt,baseCost)
)</f>
        <v>175</v>
      </c>
      <c r="AN226" s="475" cm="1">
        <f t="array" ref="AN226">1+SUMPRODUCT(
  (Contract_Edits[BaseFlag]=1)*
  (TEXT(Contract_Edits[ParentAnchor],"0")=TEXT(Contract_Edits[[#This Row],[ParentAnchor]],"0"))*
  (VALUE(TEXT(Contract_Edits[Index],"0"))&lt;VALUE(TEXT(Contract_Edits[[#This Row],[Index]],"0")))
)</f>
        <v>3</v>
      </c>
      <c r="AO226" s="34"/>
      <c r="AR226" s="190"/>
      <c r="BF226" s="34"/>
      <c r="CC226"/>
    </row>
    <row r="227" spans="1:81" ht="15">
      <c r="A227" t="s">
        <v>552</v>
      </c>
      <c r="B227" t="s">
        <v>170</v>
      </c>
      <c r="C227" t="s">
        <v>772</v>
      </c>
      <c r="D227" s="458" t="s">
        <v>1506</v>
      </c>
      <c r="E227" s="458">
        <v>1</v>
      </c>
      <c r="F227">
        <v>1125</v>
      </c>
      <c r="G227">
        <v>1125</v>
      </c>
      <c r="H227">
        <v>175</v>
      </c>
      <c r="I227"/>
      <c r="J227">
        <v>205</v>
      </c>
      <c r="L227" s="463">
        <v>205</v>
      </c>
      <c r="M227" s="543"/>
      <c r="N227" s="544"/>
      <c r="O227" s="546" cm="1">
        <f t="array" ref="O22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7" s="568"/>
      <c r="Q227" s="568"/>
      <c r="R227" s="499"/>
      <c r="S227" s="463" cm="1">
        <f t="array" ref="S22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7" s="34"/>
      <c r="U227" s="490">
        <v>21</v>
      </c>
      <c r="V22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235.0121</v>
      </c>
      <c r="W227" s="557"/>
      <c r="X227" s="545"/>
      <c r="Y227" s="548" t="s">
        <v>899</v>
      </c>
      <c r="Z227" s="160" t="s">
        <v>458</v>
      </c>
      <c r="AA227" s="563"/>
      <c r="AB227" s="34" cm="1">
        <f t="array" ref="AB227">ROW()-ROW(Contract_Edits[#Headers])</f>
        <v>203</v>
      </c>
      <c r="AC227" s="34">
        <f>IF(Contract_Edits[[#This Row],[RowPos]]&gt;1, Contract_Edits[[#This Row],[RowPos]]-1, 0)</f>
        <v>202</v>
      </c>
      <c r="AD227" s="35">
        <f>IF(N(Contract_Edits[[#This Row],[Dep]])=0, N(Contract_Edits[[#This Row],[Index]]), N(Contract_Edits[[#This Row],[Dep]]))</f>
        <v>175</v>
      </c>
      <c r="AE227" s="35" cm="1">
        <f t="array" ref="AE227">IF(OR(Contract_Edits[[#This Row],[Dep]]=0, TRIM(Contract_Edits[[#This Row],[Dep]])=""),
   0,
   IFERROR(
      _xlfn.XLOOKUP(1, (Contract_Edits[Dep]=Contract_Edits[[#This Row],[Dep]])*(Contract_Edits[RowPos]&lt;Contract_Edits[[#This Row],[RowPos]]), Contract_Edits[RowPos], , 0, -1),
      0
   )
)</f>
        <v>202</v>
      </c>
      <c r="AF227" s="35">
        <f>IF(OR(Contract_Edits[[#This Row],[Dep]]=0,Contract_Edits[[#This Row],[Dep]]=""),0,
   COUNTIFS(Contract_Edits[Dep],Contract_Edits[[#This Row],[Dep]],Contract_Edits[RowPos],"&lt;="&amp;Contract_Edits[[#This Row],[RowPos]],Contract_Edits[Approve],"Yes")
)</f>
        <v>13</v>
      </c>
      <c r="AG227" s="517">
        <f>--(
  ISNUMBER(SEARCH("BASE PARENT", UPPER(CLEAN(TRIM(_xlfn.XLOOKUP(TEXT(Contract_Edits[[#This Row],[Index]],"0"), baseIdxTxt, baseCost, "")))))) +
  ISNUMBER(SEARCH("DEPENDENCY GROUP", UPPER(CLEAN(TRIM(_xlfn.XLOOKUP(TEXT(Contract_Edits[[#This Row],[Index]],"0"), baseIdxTxt, baseCost, ""))))))
)</f>
        <v>0</v>
      </c>
      <c r="AH227" s="517" t="str" cm="1">
        <f t="array" ref="AH227">IF(Contract_Edits[[#This Row],[BaseFlag]]=1,
   10*BaseDepthL(TEXT(Contract_Edits[[#This Row],[Index]],"0"),500,editsIdxTxt,editsParentKeyTxt,baseIdxTxt,baseCost)-5,
   ""
)</f>
        <v/>
      </c>
      <c r="AI227" s="517" cm="1">
        <f t="array" ref="AI2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7" s="475" t="str">
        <f>IF(Contract_Edits[[#This Row],[Dep]]=0,"Root",
   IF(ISNUMBER(MATCH(Contract_Edits[[#This Row],[Dep]],Contract_Edits[Index],0)),"OK","Missing")
)</f>
        <v>OK</v>
      </c>
      <c r="AK227" s="475" t="str">
        <f>IF(AND(Contract_Edits[[#This Row],[Dep]]&lt;&gt;0,
        ISNUMBER(MATCH(Contract_Edits[[#This Row],[Dep]], Contract_Edits[Index], 0)),
        INDEX(Contract_Edits[Dep], MATCH(Contract_Edits[[#This Row],[Dep]], Contract_Edits[Index], 0))=Contract_Edits[[#This Row],[Index]]),
   "2-cycle","")</f>
        <v/>
      </c>
      <c r="AL227" s="475" cm="1">
        <f t="array" ref="AL227">IF(Contract_Edits[[#This Row],[BaseFlag]]&lt;&gt;1,0,
   IF(TEXT(Contract_Edits[[#This Row],[Dep]],"0")=TEXT(Contract_Edits[[#This Row],[Index]],"0"),
      0,
      MAX(0, SUMPRODUCT(--(Contract_Edits[BaseFlag]=1),
                        --(TEXT(Contract_Edits[Dep],"0")=TEXT(Contract_Edits[[#This Row],[Dep]],"0"))) - 1)
   )
)</f>
        <v>0</v>
      </c>
      <c r="AM227" s="475" t="str" cm="1">
        <f t="array" ref="AM227">IF(Contract_Edits[[#This Row],[BaseFlag]]=1,
   TEXT(Contract_Edits[[#This Row],[Index]],"0"),
   NearestBaseL(TEXT(Contract_Edits[[#This Row],[ParentKey]],"0"),500,editsIdxTxt,editsParentKeyTxt,baseIdxTxt,baseCost)
)</f>
        <v>175</v>
      </c>
      <c r="AN227" s="475" cm="1">
        <f t="array" ref="AN227">1+SUMPRODUCT(
  (Contract_Edits[BaseFlag]=1)*
  (TEXT(Contract_Edits[ParentAnchor],"0")=TEXT(Contract_Edits[[#This Row],[ParentAnchor]],"0"))*
  (VALUE(TEXT(Contract_Edits[Index],"0"))&lt;VALUE(TEXT(Contract_Edits[[#This Row],[Index]],"0")))
)</f>
        <v>3</v>
      </c>
      <c r="AO227" s="34"/>
      <c r="AR227" s="190"/>
      <c r="BF227" s="34"/>
      <c r="CC227"/>
    </row>
    <row r="228" spans="1:81" ht="15">
      <c r="A228" t="s">
        <v>552</v>
      </c>
      <c r="B228" t="s">
        <v>523</v>
      </c>
      <c r="C228" t="s">
        <v>772</v>
      </c>
      <c r="D228" s="458" t="s">
        <v>777</v>
      </c>
      <c r="E228" s="458">
        <v>1</v>
      </c>
      <c r="F228">
        <v>750</v>
      </c>
      <c r="G228">
        <v>750</v>
      </c>
      <c r="H228">
        <v>175</v>
      </c>
      <c r="I228"/>
      <c r="J228">
        <v>178</v>
      </c>
      <c r="L228" s="463">
        <v>178</v>
      </c>
      <c r="M228" s="490"/>
      <c r="N228" s="160">
        <v>0</v>
      </c>
      <c r="O228" s="546" cm="1">
        <f t="array" ref="O22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8" s="567" t="s">
        <v>797</v>
      </c>
      <c r="Q228" s="567"/>
      <c r="R228" s="499"/>
      <c r="S228" s="463" cm="1">
        <f t="array" ref="S22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8" s="34">
        <v>4</v>
      </c>
      <c r="U228" s="490">
        <v>25</v>
      </c>
      <c r="V22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235.01249999999999</v>
      </c>
      <c r="W228" s="557"/>
      <c r="X228" s="545"/>
      <c r="Y228" s="548" t="s">
        <v>899</v>
      </c>
      <c r="Z228" s="160" t="s">
        <v>458</v>
      </c>
      <c r="AA228" s="563"/>
      <c r="AB228" cm="1">
        <f t="array" ref="AB228">ROW()-ROW(Contract_Edits[#Headers])</f>
        <v>204</v>
      </c>
      <c r="AC228">
        <f>IF(Contract_Edits[[#This Row],[RowPos]]&gt;1, Contract_Edits[[#This Row],[RowPos]]-1, 0)</f>
        <v>203</v>
      </c>
      <c r="AD228" s="35">
        <f>IF(N(Contract_Edits[[#This Row],[Dep]])=0, N(Contract_Edits[[#This Row],[Index]]), N(Contract_Edits[[#This Row],[Dep]]))</f>
        <v>175</v>
      </c>
      <c r="AE228" s="35" cm="1">
        <f t="array" ref="AE228">IF(OR(Contract_Edits[[#This Row],[Dep]]=0, TRIM(Contract_Edits[[#This Row],[Dep]])=""),
   0,
   IFERROR(
      _xlfn.XLOOKUP(1, (Contract_Edits[Dep]=Contract_Edits[[#This Row],[Dep]])*(Contract_Edits[RowPos]&lt;Contract_Edits[[#This Row],[RowPos]]), Contract_Edits[RowPos], , 0, -1),
      0
   )
)</f>
        <v>203</v>
      </c>
      <c r="AF228" s="35">
        <f>IF(OR(Contract_Edits[[#This Row],[Dep]]=0,Contract_Edits[[#This Row],[Dep]]=""),0,
   COUNTIFS(Contract_Edits[Dep],Contract_Edits[[#This Row],[Dep]],Contract_Edits[RowPos],"&lt;="&amp;Contract_Edits[[#This Row],[RowPos]],Contract_Edits[Approve],"Yes")
)</f>
        <v>14</v>
      </c>
      <c r="AG228" s="517">
        <f>--(
  ISNUMBER(SEARCH("BASE PARENT", UPPER(CLEAN(TRIM(_xlfn.XLOOKUP(TEXT(Contract_Edits[[#This Row],[Index]],"0"), baseIdxTxt, baseCost, "")))))) +
  ISNUMBER(SEARCH("DEPENDENCY GROUP", UPPER(CLEAN(TRIM(_xlfn.XLOOKUP(TEXT(Contract_Edits[[#This Row],[Index]],"0"), baseIdxTxt, baseCost, ""))))))
)</f>
        <v>0</v>
      </c>
      <c r="AH228" s="517" t="str" cm="1">
        <f t="array" ref="AH228">IF(Contract_Edits[[#This Row],[BaseFlag]]=1,
   10*BaseDepthL(TEXT(Contract_Edits[[#This Row],[Index]],"0"),500,editsIdxTxt,editsParentKeyTxt,baseIdxTxt,baseCost)-5,
   ""
)</f>
        <v/>
      </c>
      <c r="AI228" s="517" cm="1">
        <f t="array" ref="AI2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8" s="475" t="str">
        <f>IF(Contract_Edits[[#This Row],[Dep]]=0,"Root",
   IF(ISNUMBER(MATCH(Contract_Edits[[#This Row],[Dep]],Contract_Edits[Index],0)),"OK","Missing")
)</f>
        <v>OK</v>
      </c>
      <c r="AK228" s="475" t="str">
        <f>IF(AND(Contract_Edits[[#This Row],[Dep]]&lt;&gt;0,
        ISNUMBER(MATCH(Contract_Edits[[#This Row],[Dep]], Contract_Edits[Index], 0)),
        INDEX(Contract_Edits[Dep], MATCH(Contract_Edits[[#This Row],[Dep]], Contract_Edits[Index], 0))=Contract_Edits[[#This Row],[Index]]),
   "2-cycle","")</f>
        <v/>
      </c>
      <c r="AL228" s="475" cm="1">
        <f t="array" ref="AL228">IF(Contract_Edits[[#This Row],[BaseFlag]]&lt;&gt;1,0,
   IF(TEXT(Contract_Edits[[#This Row],[Dep]],"0")=TEXT(Contract_Edits[[#This Row],[Index]],"0"),
      0,
      MAX(0, SUMPRODUCT(--(Contract_Edits[BaseFlag]=1),
                        --(TEXT(Contract_Edits[Dep],"0")=TEXT(Contract_Edits[[#This Row],[Dep]],"0"))) - 1)
   )
)</f>
        <v>0</v>
      </c>
      <c r="AM228" s="475" t="str" cm="1">
        <f t="array" ref="AM228">IF(Contract_Edits[[#This Row],[BaseFlag]]=1,
   TEXT(Contract_Edits[[#This Row],[Index]],"0"),
   NearestBaseL(TEXT(Contract_Edits[[#This Row],[ParentKey]],"0"),500,editsIdxTxt,editsParentKeyTxt,baseIdxTxt,baseCost)
)</f>
        <v>175</v>
      </c>
      <c r="AN228" s="475" cm="1">
        <f t="array" ref="AN228">1+SUMPRODUCT(
  (Contract_Edits[BaseFlag]=1)*
  (TEXT(Contract_Edits[ParentAnchor],"0")=TEXT(Contract_Edits[[#This Row],[ParentAnchor]],"0"))*
  (VALUE(TEXT(Contract_Edits[Index],"0"))&lt;VALUE(TEXT(Contract_Edits[[#This Row],[Index]],"0")))
)</f>
        <v>2</v>
      </c>
      <c r="AO228" s="34"/>
      <c r="AR228" s="190"/>
      <c r="BF228" s="34"/>
      <c r="CC228"/>
    </row>
    <row r="229" spans="1:81" ht="15">
      <c r="A229" t="s">
        <v>552</v>
      </c>
      <c r="B229" t="s">
        <v>523</v>
      </c>
      <c r="C229" t="s">
        <v>723</v>
      </c>
      <c r="D229" s="458" t="s">
        <v>1383</v>
      </c>
      <c r="E229" s="458">
        <v>62</v>
      </c>
      <c r="F229">
        <v>169</v>
      </c>
      <c r="G229">
        <v>10478</v>
      </c>
      <c r="H229">
        <v>175</v>
      </c>
      <c r="I229"/>
      <c r="J229">
        <v>133</v>
      </c>
      <c r="L229" s="463">
        <v>133</v>
      </c>
      <c r="M229" s="176">
        <v>0</v>
      </c>
      <c r="N229" s="160">
        <v>0</v>
      </c>
      <c r="O229" s="546" cm="1">
        <f t="array" ref="O22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9" s="566" t="s">
        <v>797</v>
      </c>
      <c r="Q229" s="566">
        <v>0</v>
      </c>
      <c r="R229" s="22"/>
      <c r="S229" s="463" cm="1">
        <f t="array" ref="S22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9" s="34">
        <v>4</v>
      </c>
      <c r="U229" s="176">
        <v>30</v>
      </c>
      <c r="V22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235.01299999999998</v>
      </c>
      <c r="W229" s="497"/>
      <c r="X229" s="176" t="s">
        <v>900</v>
      </c>
      <c r="Y229" s="547" t="s">
        <v>899</v>
      </c>
      <c r="Z229" s="160" t="s">
        <v>458</v>
      </c>
      <c r="AA229" s="563">
        <v>104800</v>
      </c>
      <c r="AB229" cm="1">
        <f t="array" ref="AB229">ROW()-ROW(Contract_Edits[#Headers])</f>
        <v>205</v>
      </c>
      <c r="AC229">
        <f>IF(Contract_Edits[[#This Row],[RowPos]]&gt;1, Contract_Edits[[#This Row],[RowPos]]-1, 0)</f>
        <v>204</v>
      </c>
      <c r="AD229" s="35">
        <f>IF(N(Contract_Edits[[#This Row],[Dep]])=0, N(Contract_Edits[[#This Row],[Index]]), N(Contract_Edits[[#This Row],[Dep]]))</f>
        <v>175</v>
      </c>
      <c r="AE229" s="35" cm="1">
        <f t="array" ref="AE229">IF(OR(Contract_Edits[[#This Row],[Dep]]=0, TRIM(Contract_Edits[[#This Row],[Dep]])=""),
   0,
   IFERROR(
      _xlfn.XLOOKUP(1, (Contract_Edits[Dep]=Contract_Edits[[#This Row],[Dep]])*(Contract_Edits[RowPos]&lt;Contract_Edits[[#This Row],[RowPos]]), Contract_Edits[RowPos], , 0, -1),
      0
   )
)</f>
        <v>204</v>
      </c>
      <c r="AF229" s="35">
        <f>IF(OR(Contract_Edits[[#This Row],[Dep]]=0,Contract_Edits[[#This Row],[Dep]]=""),0,
   COUNTIFS(Contract_Edits[Dep],Contract_Edits[[#This Row],[Dep]],Contract_Edits[RowPos],"&lt;="&amp;Contract_Edits[[#This Row],[RowPos]],Contract_Edits[Approve],"Yes")
)</f>
        <v>15</v>
      </c>
      <c r="AG229" s="517">
        <f>--(
  ISNUMBER(SEARCH("BASE PARENT", UPPER(CLEAN(TRIM(_xlfn.XLOOKUP(TEXT(Contract_Edits[[#This Row],[Index]],"0"), baseIdxTxt, baseCost, "")))))) +
  ISNUMBER(SEARCH("DEPENDENCY GROUP", UPPER(CLEAN(TRIM(_xlfn.XLOOKUP(TEXT(Contract_Edits[[#This Row],[Index]],"0"), baseIdxTxt, baseCost, ""))))))
)</f>
        <v>0</v>
      </c>
      <c r="AH229" s="517" t="str" cm="1">
        <f t="array" ref="AH229">IF(Contract_Edits[[#This Row],[BaseFlag]]=1,
   10*BaseDepthL(TEXT(Contract_Edits[[#This Row],[Index]],"0"),500,editsIdxTxt,editsParentKeyTxt,baseIdxTxt,baseCost)-5,
   ""
)</f>
        <v/>
      </c>
      <c r="AI229" s="517" cm="1">
        <f t="array" ref="AI2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9" s="475" t="str">
        <f>IF(Contract_Edits[[#This Row],[Dep]]=0,"Root",
   IF(ISNUMBER(MATCH(Contract_Edits[[#This Row],[Dep]],Contract_Edits[Index],0)),"OK","Missing")
)</f>
        <v>OK</v>
      </c>
      <c r="AK229" s="475" t="str">
        <f>IF(AND(Contract_Edits[[#This Row],[Dep]]&lt;&gt;0,
        ISNUMBER(MATCH(Contract_Edits[[#This Row],[Dep]], Contract_Edits[Index], 0)),
        INDEX(Contract_Edits[Dep], MATCH(Contract_Edits[[#This Row],[Dep]], Contract_Edits[Index], 0))=Contract_Edits[[#This Row],[Index]]),
   "2-cycle","")</f>
        <v/>
      </c>
      <c r="AL229" s="475" cm="1">
        <f t="array" ref="AL229">IF(Contract_Edits[[#This Row],[BaseFlag]]&lt;&gt;1,0,
   IF(TEXT(Contract_Edits[[#This Row],[Dep]],"0")=TEXT(Contract_Edits[[#This Row],[Index]],"0"),
      0,
      MAX(0, SUMPRODUCT(--(Contract_Edits[BaseFlag]=1),
                        --(TEXT(Contract_Edits[Dep],"0")=TEXT(Contract_Edits[[#This Row],[Dep]],"0"))) - 1)
   )
)</f>
        <v>0</v>
      </c>
      <c r="AM229" s="475" t="str" cm="1">
        <f t="array" ref="AM229">IF(Contract_Edits[[#This Row],[BaseFlag]]=1,
   TEXT(Contract_Edits[[#This Row],[Index]],"0"),
   NearestBaseL(TEXT(Contract_Edits[[#This Row],[ParentKey]],"0"),500,editsIdxTxt,editsParentKeyTxt,baseIdxTxt,baseCost)
)</f>
        <v>175</v>
      </c>
      <c r="AN229" s="475" cm="1">
        <f t="array" ref="AN229">1+SUMPRODUCT(
  (Contract_Edits[BaseFlag]=1)*
  (TEXT(Contract_Edits[ParentAnchor],"0")=TEXT(Contract_Edits[[#This Row],[ParentAnchor]],"0"))*
  (VALUE(TEXT(Contract_Edits[Index],"0"))&lt;VALUE(TEXT(Contract_Edits[[#This Row],[Index]],"0")))
)</f>
        <v>1</v>
      </c>
      <c r="AO229" s="34"/>
      <c r="AR229" s="190"/>
      <c r="BF229" s="34"/>
      <c r="CC229"/>
    </row>
    <row r="230" spans="1:81" ht="15">
      <c r="A230" t="s">
        <v>747</v>
      </c>
      <c r="B230" t="s">
        <v>744</v>
      </c>
      <c r="C230" t="s">
        <v>1462</v>
      </c>
      <c r="D230" s="458" t="s">
        <v>1467</v>
      </c>
      <c r="E230" s="458">
        <v>0</v>
      </c>
      <c r="F230"/>
      <c r="G230"/>
      <c r="H230">
        <v>174</v>
      </c>
      <c r="I230"/>
      <c r="J230">
        <v>195</v>
      </c>
      <c r="L230" s="463">
        <v>195</v>
      </c>
      <c r="M230" s="543"/>
      <c r="N230" s="544"/>
      <c r="O230" s="546" cm="1">
        <f t="array" ref="O23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0" s="568"/>
      <c r="Q230" s="568"/>
      <c r="R230" s="499"/>
      <c r="S230" s="463" cm="1">
        <f t="array" ref="S23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174</v>
      </c>
      <c r="T230" s="34"/>
      <c r="U230" s="490"/>
      <c r="V23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235.02</v>
      </c>
      <c r="W230" s="557"/>
      <c r="X230" s="545"/>
      <c r="Y230" s="548"/>
      <c r="Z230" s="160" t="s">
        <v>458</v>
      </c>
      <c r="AA230" s="563"/>
      <c r="AB230" s="34" cm="1">
        <f t="array" ref="AB230">ROW()-ROW(Contract_Edits[#Headers])</f>
        <v>206</v>
      </c>
      <c r="AC230" s="34">
        <f>IF(Contract_Edits[[#This Row],[RowPos]]&gt;1, Contract_Edits[[#This Row],[RowPos]]-1, 0)</f>
        <v>205</v>
      </c>
      <c r="AD230" s="35">
        <f>IF(N(Contract_Edits[[#This Row],[Dep]])=0, N(Contract_Edits[[#This Row],[Index]]), N(Contract_Edits[[#This Row],[Dep]]))</f>
        <v>174</v>
      </c>
      <c r="AE230" s="35" cm="1">
        <f t="array" ref="AE230">IF(OR(Contract_Edits[[#This Row],[Dep]]=0, TRIM(Contract_Edits[[#This Row],[Dep]])=""),
   0,
   IFERROR(
      _xlfn.XLOOKUP(1, (Contract_Edits[Dep]=Contract_Edits[[#This Row],[Dep]])*(Contract_Edits[RowPos]&lt;Contract_Edits[[#This Row],[RowPos]]), Contract_Edits[RowPos], , 0, -1),
      0
   )
)</f>
        <v>190</v>
      </c>
      <c r="AF230" s="35">
        <f>IF(OR(Contract_Edits[[#This Row],[Dep]]=0,Contract_Edits[[#This Row],[Dep]]=""),0,
   COUNTIFS(Contract_Edits[Dep],Contract_Edits[[#This Row],[Dep]],Contract_Edits[RowPos],"&lt;="&amp;Contract_Edits[[#This Row],[RowPos]],Contract_Edits[Approve],"Yes")
)</f>
        <v>5</v>
      </c>
      <c r="AG230" s="517">
        <f>--(
  ISNUMBER(SEARCH("BASE PARENT", UPPER(CLEAN(TRIM(_xlfn.XLOOKUP(TEXT(Contract_Edits[[#This Row],[Index]],"0"), baseIdxTxt, baseCost, "")))))) +
  ISNUMBER(SEARCH("DEPENDENCY GROUP", UPPER(CLEAN(TRIM(_xlfn.XLOOKUP(TEXT(Contract_Edits[[#This Row],[Index]],"0"), baseIdxTxt, baseCost, ""))))))
)</f>
        <v>1</v>
      </c>
      <c r="AH230" s="517" cm="1">
        <f t="array" ref="AH230">IF(Contract_Edits[[#This Row],[BaseFlag]]=1,
   10*BaseDepthL(TEXT(Contract_Edits[[#This Row],[Index]],"0"),500,editsIdxTxt,editsParentKeyTxt,baseIdxTxt,baseCost)-5,
   ""
)</f>
        <v>235</v>
      </c>
      <c r="AI230" s="517" cm="1">
        <f t="array" ref="AI2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J230" s="475" t="str">
        <f>IF(Contract_Edits[[#This Row],[Dep]]=0,"Root",
   IF(ISNUMBER(MATCH(Contract_Edits[[#This Row],[Dep]],Contract_Edits[Index],0)),"OK","Missing")
)</f>
        <v>OK</v>
      </c>
      <c r="AK230" s="475" t="str">
        <f>IF(AND(Contract_Edits[[#This Row],[Dep]]&lt;&gt;0,
        ISNUMBER(MATCH(Contract_Edits[[#This Row],[Dep]], Contract_Edits[Index], 0)),
        INDEX(Contract_Edits[Dep], MATCH(Contract_Edits[[#This Row],[Dep]], Contract_Edits[Index], 0))=Contract_Edits[[#This Row],[Index]]),
   "2-cycle","")</f>
        <v/>
      </c>
      <c r="AL230" s="475" cm="1">
        <f t="array" ref="AL230">IF(Contract_Edits[[#This Row],[BaseFlag]]&lt;&gt;1,0,
   IF(TEXT(Contract_Edits[[#This Row],[Dep]],"0")=TEXT(Contract_Edits[[#This Row],[Index]],"0"),
      0,
      MAX(0, SUMPRODUCT(--(Contract_Edits[BaseFlag]=1),
                        --(TEXT(Contract_Edits[Dep],"0")=TEXT(Contract_Edits[[#This Row],[Dep]],"0"))) - 1)
   )
)</f>
        <v>1</v>
      </c>
      <c r="AM230" s="475" t="str" cm="1">
        <f t="array" ref="AM230">IF(Contract_Edits[[#This Row],[BaseFlag]]=1,
   TEXT(Contract_Edits[[#This Row],[Index]],"0"),
   NearestBaseL(TEXT(Contract_Edits[[#This Row],[ParentKey]],"0"),500,editsIdxTxt,editsParentKeyTxt,baseIdxTxt,baseCost)
)</f>
        <v>195</v>
      </c>
      <c r="AN230" s="475" cm="1">
        <f t="array" ref="AN230">1+SUMPRODUCT(
  (Contract_Edits[BaseFlag]=1)*
  (TEXT(Contract_Edits[ParentAnchor],"0")=TEXT(Contract_Edits[[#This Row],[ParentAnchor]],"0"))*
  (VALUE(TEXT(Contract_Edits[Index],"0"))&lt;VALUE(TEXT(Contract_Edits[[#This Row],[Index]],"0")))
)</f>
        <v>2</v>
      </c>
      <c r="AO230" s="34"/>
      <c r="AR230" s="190"/>
      <c r="BF230" s="34"/>
      <c r="CC230"/>
    </row>
    <row r="231" spans="1:81" ht="15">
      <c r="A231" t="s">
        <v>552</v>
      </c>
      <c r="B231" t="s">
        <v>793</v>
      </c>
      <c r="C231" t="s">
        <v>560</v>
      </c>
      <c r="D231" s="458" t="s">
        <v>1479</v>
      </c>
      <c r="E231" s="458">
        <v>1</v>
      </c>
      <c r="F231">
        <v>0</v>
      </c>
      <c r="G231">
        <v>0</v>
      </c>
      <c r="H231">
        <v>195</v>
      </c>
      <c r="I231"/>
      <c r="J231">
        <v>197</v>
      </c>
      <c r="L231" s="463">
        <v>197</v>
      </c>
      <c r="M231" s="543"/>
      <c r="N231" s="544"/>
      <c r="O231" s="546" cm="1">
        <f t="array" ref="O23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1" s="568"/>
      <c r="Q231" s="568"/>
      <c r="R231" s="499"/>
      <c r="S231" s="463" cm="1">
        <f t="array" ref="S23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195</v>
      </c>
      <c r="T231" s="34"/>
      <c r="U231" s="490"/>
      <c r="V23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235.02010000000001</v>
      </c>
      <c r="W231" s="557"/>
      <c r="X231" s="545"/>
      <c r="Y231" s="548" t="s">
        <v>1485</v>
      </c>
      <c r="Z231" s="160" t="s">
        <v>458</v>
      </c>
      <c r="AA231" s="563"/>
      <c r="AB231" s="34" cm="1">
        <f t="array" ref="AB231">ROW()-ROW(Contract_Edits[#Headers])</f>
        <v>207</v>
      </c>
      <c r="AC231" s="34">
        <f>IF(Contract_Edits[[#This Row],[RowPos]]&gt;1, Contract_Edits[[#This Row],[RowPos]]-1, 0)</f>
        <v>206</v>
      </c>
      <c r="AD231" s="35">
        <f>IF(N(Contract_Edits[[#This Row],[Dep]])=0, N(Contract_Edits[[#This Row],[Index]]), N(Contract_Edits[[#This Row],[Dep]]))</f>
        <v>195</v>
      </c>
      <c r="AE231" s="35" cm="1">
        <f t="array" ref="AE231">IF(OR(Contract_Edits[[#This Row],[Dep]]=0, TRIM(Contract_Edits[[#This Row],[Dep]])=""),
   0,
   IFERROR(
      _xlfn.XLOOKUP(1, (Contract_Edits[Dep]=Contract_Edits[[#This Row],[Dep]])*(Contract_Edits[RowPos]&lt;Contract_Edits[[#This Row],[RowPos]]), Contract_Edits[RowPos], , 0, -1),
      0
   )
)</f>
        <v>0</v>
      </c>
      <c r="AF231" s="35">
        <f>IF(OR(Contract_Edits[[#This Row],[Dep]]=0,Contract_Edits[[#This Row],[Dep]]=""),0,
   COUNTIFS(Contract_Edits[Dep],Contract_Edits[[#This Row],[Dep]],Contract_Edits[RowPos],"&lt;="&amp;Contract_Edits[[#This Row],[RowPos]],Contract_Edits[Approve],"Yes")
)</f>
        <v>1</v>
      </c>
      <c r="AG231" s="517">
        <f>--(
  ISNUMBER(SEARCH("BASE PARENT", UPPER(CLEAN(TRIM(_xlfn.XLOOKUP(TEXT(Contract_Edits[[#This Row],[Index]],"0"), baseIdxTxt, baseCost, "")))))) +
  ISNUMBER(SEARCH("DEPENDENCY GROUP", UPPER(CLEAN(TRIM(_xlfn.XLOOKUP(TEXT(Contract_Edits[[#This Row],[Index]],"0"), baseIdxTxt, baseCost, ""))))))
)</f>
        <v>0</v>
      </c>
      <c r="AH231" s="517" t="str" cm="1">
        <f t="array" ref="AH231">IF(Contract_Edits[[#This Row],[BaseFlag]]=1,
   10*BaseDepthL(TEXT(Contract_Edits[[#This Row],[Index]],"0"),500,editsIdxTxt,editsParentKeyTxt,baseIdxTxt,baseCost)-5,
   ""
)</f>
        <v/>
      </c>
      <c r="AI231" s="517" cm="1">
        <f t="array" ref="AI2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31" s="475" t="str">
        <f>IF(Contract_Edits[[#This Row],[Dep]]=0,"Root",
   IF(ISNUMBER(MATCH(Contract_Edits[[#This Row],[Dep]],Contract_Edits[Index],0)),"OK","Missing")
)</f>
        <v>OK</v>
      </c>
      <c r="AK231" s="475" t="str">
        <f>IF(AND(Contract_Edits[[#This Row],[Dep]]&lt;&gt;0,
        ISNUMBER(MATCH(Contract_Edits[[#This Row],[Dep]], Contract_Edits[Index], 0)),
        INDEX(Contract_Edits[Dep], MATCH(Contract_Edits[[#This Row],[Dep]], Contract_Edits[Index], 0))=Contract_Edits[[#This Row],[Index]]),
   "2-cycle","")</f>
        <v/>
      </c>
      <c r="AL231" s="475" cm="1">
        <f t="array" ref="AL231">IF(Contract_Edits[[#This Row],[BaseFlag]]&lt;&gt;1,0,
   IF(TEXT(Contract_Edits[[#This Row],[Dep]],"0")=TEXT(Contract_Edits[[#This Row],[Index]],"0"),
      0,
      MAX(0, SUMPRODUCT(--(Contract_Edits[BaseFlag]=1),
                        --(TEXT(Contract_Edits[Dep],"0")=TEXT(Contract_Edits[[#This Row],[Dep]],"0"))) - 1)
   )
)</f>
        <v>0</v>
      </c>
      <c r="AM231" s="475" t="str" cm="1">
        <f t="array" ref="AM231">IF(Contract_Edits[[#This Row],[BaseFlag]]=1,
   TEXT(Contract_Edits[[#This Row],[Index]],"0"),
   NearestBaseL(TEXT(Contract_Edits[[#This Row],[ParentKey]],"0"),500,editsIdxTxt,editsParentKeyTxt,baseIdxTxt,baseCost)
)</f>
        <v>195</v>
      </c>
      <c r="AN231" s="475" cm="1">
        <f t="array" ref="AN231">1+SUMPRODUCT(
  (Contract_Edits[BaseFlag]=1)*
  (TEXT(Contract_Edits[ParentAnchor],"0")=TEXT(Contract_Edits[[#This Row],[ParentAnchor]],"0"))*
  (VALUE(TEXT(Contract_Edits[Index],"0"))&lt;VALUE(TEXT(Contract_Edits[[#This Row],[Index]],"0")))
)</f>
        <v>3</v>
      </c>
      <c r="AO231" s="34"/>
      <c r="AR231" s="190"/>
      <c r="BF231" s="34"/>
      <c r="CC231"/>
    </row>
    <row r="232" spans="1:81" ht="15">
      <c r="A232" t="s">
        <v>552</v>
      </c>
      <c r="B232" t="s">
        <v>793</v>
      </c>
      <c r="C232" t="s">
        <v>560</v>
      </c>
      <c r="D232" s="458" t="s">
        <v>1483</v>
      </c>
      <c r="E232" s="458">
        <v>1</v>
      </c>
      <c r="F232">
        <v>0</v>
      </c>
      <c r="G232">
        <v>0</v>
      </c>
      <c r="H232">
        <v>195</v>
      </c>
      <c r="I232"/>
      <c r="J232">
        <v>199</v>
      </c>
      <c r="L232" s="463">
        <v>199</v>
      </c>
      <c r="M232" s="543"/>
      <c r="N232" s="544"/>
      <c r="O232" s="546" cm="1">
        <f t="array" ref="O23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2" s="568"/>
      <c r="Q232" s="568"/>
      <c r="R232" s="499"/>
      <c r="S232" s="463" cm="1">
        <f t="array" ref="S23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195</v>
      </c>
      <c r="T232" s="34"/>
      <c r="U232" s="490"/>
      <c r="V23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235.02020000000002</v>
      </c>
      <c r="W232" s="557"/>
      <c r="X232" s="545"/>
      <c r="Y232" s="548" t="s">
        <v>1485</v>
      </c>
      <c r="Z232" s="160" t="s">
        <v>458</v>
      </c>
      <c r="AA232" s="563"/>
      <c r="AB232" s="34" cm="1">
        <f t="array" ref="AB232">ROW()-ROW(Contract_Edits[#Headers])</f>
        <v>208</v>
      </c>
      <c r="AC232" s="34">
        <f>IF(Contract_Edits[[#This Row],[RowPos]]&gt;1, Contract_Edits[[#This Row],[RowPos]]-1, 0)</f>
        <v>207</v>
      </c>
      <c r="AD232" s="35">
        <f>IF(N(Contract_Edits[[#This Row],[Dep]])=0, N(Contract_Edits[[#This Row],[Index]]), N(Contract_Edits[[#This Row],[Dep]]))</f>
        <v>195</v>
      </c>
      <c r="AE232" s="35" cm="1">
        <f t="array" ref="AE232">IF(OR(Contract_Edits[[#This Row],[Dep]]=0, TRIM(Contract_Edits[[#This Row],[Dep]])=""),
   0,
   IFERROR(
      _xlfn.XLOOKUP(1, (Contract_Edits[Dep]=Contract_Edits[[#This Row],[Dep]])*(Contract_Edits[RowPos]&lt;Contract_Edits[[#This Row],[RowPos]]), Contract_Edits[RowPos], , 0, -1),
      0
   )
)</f>
        <v>207</v>
      </c>
      <c r="AF232" s="35">
        <f>IF(OR(Contract_Edits[[#This Row],[Dep]]=0,Contract_Edits[[#This Row],[Dep]]=""),0,
   COUNTIFS(Contract_Edits[Dep],Contract_Edits[[#This Row],[Dep]],Contract_Edits[RowPos],"&lt;="&amp;Contract_Edits[[#This Row],[RowPos]],Contract_Edits[Approve],"Yes")
)</f>
        <v>2</v>
      </c>
      <c r="AG232" s="517">
        <f>--(
  ISNUMBER(SEARCH("BASE PARENT", UPPER(CLEAN(TRIM(_xlfn.XLOOKUP(TEXT(Contract_Edits[[#This Row],[Index]],"0"), baseIdxTxt, baseCost, "")))))) +
  ISNUMBER(SEARCH("DEPENDENCY GROUP", UPPER(CLEAN(TRIM(_xlfn.XLOOKUP(TEXT(Contract_Edits[[#This Row],[Index]],"0"), baseIdxTxt, baseCost, ""))))))
)</f>
        <v>0</v>
      </c>
      <c r="AH232" s="517" t="str" cm="1">
        <f t="array" ref="AH232">IF(Contract_Edits[[#This Row],[BaseFlag]]=1,
   10*BaseDepthL(TEXT(Contract_Edits[[#This Row],[Index]],"0"),500,editsIdxTxt,editsParentKeyTxt,baseIdxTxt,baseCost)-5,
   ""
)</f>
        <v/>
      </c>
      <c r="AI232" s="517" cm="1">
        <f t="array" ref="AI2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32" s="475" t="str">
        <f>IF(Contract_Edits[[#This Row],[Dep]]=0,"Root",
   IF(ISNUMBER(MATCH(Contract_Edits[[#This Row],[Dep]],Contract_Edits[Index],0)),"OK","Missing")
)</f>
        <v>OK</v>
      </c>
      <c r="AK232" s="475" t="str">
        <f>IF(AND(Contract_Edits[[#This Row],[Dep]]&lt;&gt;0,
        ISNUMBER(MATCH(Contract_Edits[[#This Row],[Dep]], Contract_Edits[Index], 0)),
        INDEX(Contract_Edits[Dep], MATCH(Contract_Edits[[#This Row],[Dep]], Contract_Edits[Index], 0))=Contract_Edits[[#This Row],[Index]]),
   "2-cycle","")</f>
        <v/>
      </c>
      <c r="AL232" s="475" cm="1">
        <f t="array" ref="AL232">IF(Contract_Edits[[#This Row],[BaseFlag]]&lt;&gt;1,0,
   IF(TEXT(Contract_Edits[[#This Row],[Dep]],"0")=TEXT(Contract_Edits[[#This Row],[Index]],"0"),
      0,
      MAX(0, SUMPRODUCT(--(Contract_Edits[BaseFlag]=1),
                        --(TEXT(Contract_Edits[Dep],"0")=TEXT(Contract_Edits[[#This Row],[Dep]],"0"))) - 1)
   )
)</f>
        <v>0</v>
      </c>
      <c r="AM232" s="475" t="str" cm="1">
        <f t="array" ref="AM232">IF(Contract_Edits[[#This Row],[BaseFlag]]=1,
   TEXT(Contract_Edits[[#This Row],[Index]],"0"),
   NearestBaseL(TEXT(Contract_Edits[[#This Row],[ParentKey]],"0"),500,editsIdxTxt,editsParentKeyTxt,baseIdxTxt,baseCost)
)</f>
        <v>195</v>
      </c>
      <c r="AN232" s="475" cm="1">
        <f t="array" ref="AN232">1+SUMPRODUCT(
  (Contract_Edits[BaseFlag]=1)*
  (TEXT(Contract_Edits[ParentAnchor],"0")=TEXT(Contract_Edits[[#This Row],[ParentAnchor]],"0"))*
  (VALUE(TEXT(Contract_Edits[Index],"0"))&lt;VALUE(TEXT(Contract_Edits[[#This Row],[Index]],"0")))
)</f>
        <v>3</v>
      </c>
      <c r="AO232" s="34"/>
      <c r="AR232" s="190"/>
      <c r="BF232" s="34"/>
      <c r="CC232"/>
    </row>
    <row r="233" spans="1:81" ht="15">
      <c r="A233" t="s">
        <v>747</v>
      </c>
      <c r="B233" t="s">
        <v>744</v>
      </c>
      <c r="C233" t="s">
        <v>774</v>
      </c>
      <c r="D233" s="458" t="s">
        <v>775</v>
      </c>
      <c r="E233" s="458">
        <v>0</v>
      </c>
      <c r="F233"/>
      <c r="G233"/>
      <c r="H233">
        <v>175</v>
      </c>
      <c r="I233"/>
      <c r="J233">
        <v>176</v>
      </c>
      <c r="L233" s="463">
        <v>176</v>
      </c>
      <c r="M233" s="490"/>
      <c r="N233" s="160">
        <v>0</v>
      </c>
      <c r="O233" s="546" cm="1">
        <f t="array" ref="O23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33" s="567" t="s">
        <v>797</v>
      </c>
      <c r="Q233" s="567"/>
      <c r="R233" s="499"/>
      <c r="S233" s="463" cm="1">
        <f t="array" ref="S23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33" s="34">
        <v>1</v>
      </c>
      <c r="U233" s="490"/>
      <c r="V23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245.01</v>
      </c>
      <c r="W233" s="557"/>
      <c r="X233" s="545"/>
      <c r="Y233" s="548"/>
      <c r="Z233" s="535" t="s">
        <v>458</v>
      </c>
      <c r="AA233" s="563">
        <v>103400</v>
      </c>
      <c r="AB233" cm="1">
        <f t="array" ref="AB233">ROW()-ROW(Contract_Edits[#Headers])</f>
        <v>209</v>
      </c>
      <c r="AC233">
        <f>IF(Contract_Edits[[#This Row],[RowPos]]&gt;1, Contract_Edits[[#This Row],[RowPos]]-1, 0)</f>
        <v>208</v>
      </c>
      <c r="AD233" s="35">
        <f>IF(N(Contract_Edits[[#This Row],[Dep]])=0, N(Contract_Edits[[#This Row],[Index]]), N(Contract_Edits[[#This Row],[Dep]]))</f>
        <v>175</v>
      </c>
      <c r="AE233" s="35" cm="1">
        <f t="array" ref="AE233">IF(OR(Contract_Edits[[#This Row],[Dep]]=0, TRIM(Contract_Edits[[#This Row],[Dep]])=""),
   0,
   IFERROR(
      _xlfn.XLOOKUP(1, (Contract_Edits[Dep]=Contract_Edits[[#This Row],[Dep]])*(Contract_Edits[RowPos]&lt;Contract_Edits[[#This Row],[RowPos]]), Contract_Edits[RowPos], , 0, -1),
      0
   )
)</f>
        <v>205</v>
      </c>
      <c r="AF233" s="35">
        <f>IF(OR(Contract_Edits[[#This Row],[Dep]]=0,Contract_Edits[[#This Row],[Dep]]=""),0,
   COUNTIFS(Contract_Edits[Dep],Contract_Edits[[#This Row],[Dep]],Contract_Edits[RowPos],"&lt;="&amp;Contract_Edits[[#This Row],[RowPos]],Contract_Edits[Approve],"Yes")
)</f>
        <v>16</v>
      </c>
      <c r="AG233" s="517">
        <f>--(
  ISNUMBER(SEARCH("BASE PARENT", UPPER(CLEAN(TRIM(_xlfn.XLOOKUP(TEXT(Contract_Edits[[#This Row],[Index]],"0"), baseIdxTxt, baseCost, "")))))) +
  ISNUMBER(SEARCH("DEPENDENCY GROUP", UPPER(CLEAN(TRIM(_xlfn.XLOOKUP(TEXT(Contract_Edits[[#This Row],[Index]],"0"), baseIdxTxt, baseCost, ""))))))
)</f>
        <v>1</v>
      </c>
      <c r="AH233" s="517" cm="1">
        <f t="array" ref="AH233">IF(Contract_Edits[[#This Row],[BaseFlag]]=1,
   10*BaseDepthL(TEXT(Contract_Edits[[#This Row],[Index]],"0"),500,editsIdxTxt,editsParentKeyTxt,baseIdxTxt,baseCost)-5,
   ""
)</f>
        <v>245</v>
      </c>
      <c r="AI233" s="517" cm="1">
        <f t="array" ref="AI2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33" s="475" t="str">
        <f>IF(Contract_Edits[[#This Row],[Dep]]=0,"Root",
   IF(ISNUMBER(MATCH(Contract_Edits[[#This Row],[Dep]],Contract_Edits[Index],0)),"OK","Missing")
)</f>
        <v>OK</v>
      </c>
      <c r="AK233" s="475" t="str">
        <f>IF(AND(Contract_Edits[[#This Row],[Dep]]&lt;&gt;0,
        ISNUMBER(MATCH(Contract_Edits[[#This Row],[Dep]], Contract_Edits[Index], 0)),
        INDEX(Contract_Edits[Dep], MATCH(Contract_Edits[[#This Row],[Dep]], Contract_Edits[Index], 0))=Contract_Edits[[#This Row],[Index]]),
   "2-cycle","")</f>
        <v/>
      </c>
      <c r="AL233" s="475" cm="1">
        <f t="array" ref="AL233">IF(Contract_Edits[[#This Row],[BaseFlag]]&lt;&gt;1,0,
   IF(TEXT(Contract_Edits[[#This Row],[Dep]],"0")=TEXT(Contract_Edits[[#This Row],[Index]],"0"),
      0,
      MAX(0, SUMPRODUCT(--(Contract_Edits[BaseFlag]=1),
                        --(TEXT(Contract_Edits[Dep],"0")=TEXT(Contract_Edits[[#This Row],[Dep]],"0"))) - 1)
   )
)</f>
        <v>0</v>
      </c>
      <c r="AM233" s="475" t="str" cm="1">
        <f t="array" ref="AM233">IF(Contract_Edits[[#This Row],[BaseFlag]]=1,
   TEXT(Contract_Edits[[#This Row],[Index]],"0"),
   NearestBaseL(TEXT(Contract_Edits[[#This Row],[ParentKey]],"0"),500,editsIdxTxt,editsParentKeyTxt,baseIdxTxt,baseCost)
)</f>
        <v>176</v>
      </c>
      <c r="AN233" s="475" cm="1">
        <f t="array" ref="AN233">1+SUMPRODUCT(
  (Contract_Edits[BaseFlag]=1)*
  (TEXT(Contract_Edits[ParentAnchor],"0")=TEXT(Contract_Edits[[#This Row],[ParentAnchor]],"0"))*
  (VALUE(TEXT(Contract_Edits[Index],"0"))&lt;VALUE(TEXT(Contract_Edits[[#This Row],[Index]],"0")))
)</f>
        <v>1</v>
      </c>
      <c r="AO233" s="34"/>
      <c r="AR233" s="190"/>
      <c r="BF233" s="34"/>
      <c r="CC233"/>
    </row>
    <row r="234" spans="1:81" ht="15">
      <c r="A234" t="s">
        <v>806</v>
      </c>
      <c r="B234" t="s">
        <v>517</v>
      </c>
      <c r="C234" t="s">
        <v>774</v>
      </c>
      <c r="D234" s="458" t="s">
        <v>844</v>
      </c>
      <c r="E234" s="458">
        <v>1</v>
      </c>
      <c r="F234">
        <v>1953.8484749999998</v>
      </c>
      <c r="G234">
        <v>1953.8484749999998</v>
      </c>
      <c r="H234"/>
      <c r="I234"/>
      <c r="J234">
        <v>909</v>
      </c>
      <c r="L234" s="463">
        <v>909</v>
      </c>
      <c r="M234" s="176">
        <v>0</v>
      </c>
      <c r="N234" s="160">
        <v>0</v>
      </c>
      <c r="O234" s="546" cm="1">
        <f t="array" ref="O23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34" s="566" t="s">
        <v>797</v>
      </c>
      <c r="Q234" s="566">
        <v>0</v>
      </c>
      <c r="R234" s="22"/>
      <c r="S234" s="463" cm="1">
        <f t="array" ref="S23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176</v>
      </c>
      <c r="T234">
        <v>1</v>
      </c>
      <c r="U234" s="176"/>
      <c r="V23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245.01009999999999</v>
      </c>
      <c r="W234" s="497"/>
      <c r="X234" s="176">
        <v>0</v>
      </c>
      <c r="Y234" s="547" t="s">
        <v>901</v>
      </c>
      <c r="Z234" s="160" t="s">
        <v>458</v>
      </c>
      <c r="AA234" s="563">
        <v>103400</v>
      </c>
      <c r="AB234" cm="1">
        <f t="array" ref="AB234">ROW()-ROW(Contract_Edits[#Headers])</f>
        <v>210</v>
      </c>
      <c r="AC234">
        <f>IF(Contract_Edits[[#This Row],[RowPos]]&gt;1, Contract_Edits[[#This Row],[RowPos]]-1, 0)</f>
        <v>209</v>
      </c>
      <c r="AD234" s="35">
        <f>IF(N(Contract_Edits[[#This Row],[Dep]])=0, N(Contract_Edits[[#This Row],[Index]]), N(Contract_Edits[[#This Row],[Dep]]))</f>
        <v>176</v>
      </c>
      <c r="AE234" s="35" cm="1">
        <f t="array" ref="AE234">IF(OR(Contract_Edits[[#This Row],[Dep]]=0, TRIM(Contract_Edits[[#This Row],[Dep]])=""),
   0,
   IFERROR(
      _xlfn.XLOOKUP(1, (Contract_Edits[Dep]=Contract_Edits[[#This Row],[Dep]])*(Contract_Edits[RowPos]&lt;Contract_Edits[[#This Row],[RowPos]]), Contract_Edits[RowPos], , 0, -1),
      0
   )
)</f>
        <v>0</v>
      </c>
      <c r="AF234" s="35">
        <f>IF(OR(Contract_Edits[[#This Row],[Dep]]=0,Contract_Edits[[#This Row],[Dep]]=""),0,
   COUNTIFS(Contract_Edits[Dep],Contract_Edits[[#This Row],[Dep]],Contract_Edits[RowPos],"&lt;="&amp;Contract_Edits[[#This Row],[RowPos]],Contract_Edits[Approve],"Yes")
)</f>
        <v>1</v>
      </c>
      <c r="AG234" s="517">
        <f>--(
  ISNUMBER(SEARCH("BASE PARENT", UPPER(CLEAN(TRIM(_xlfn.XLOOKUP(TEXT(Contract_Edits[[#This Row],[Index]],"0"), baseIdxTxt, baseCost, "")))))) +
  ISNUMBER(SEARCH("DEPENDENCY GROUP", UPPER(CLEAN(TRIM(_xlfn.XLOOKUP(TEXT(Contract_Edits[[#This Row],[Index]],"0"), baseIdxTxt, baseCost, ""))))))
)</f>
        <v>0</v>
      </c>
      <c r="AH234" s="517" t="str" cm="1">
        <f t="array" ref="AH234">IF(Contract_Edits[[#This Row],[BaseFlag]]=1,
   10*BaseDepthL(TEXT(Contract_Edits[[#This Row],[Index]],"0"),500,editsIdxTxt,editsParentKeyTxt,baseIdxTxt,baseCost)-5,
   ""
)</f>
        <v/>
      </c>
      <c r="AI234" s="517" cm="1">
        <f t="array" ref="AI2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34" s="475" t="str">
        <f>IF(Contract_Edits[[#This Row],[Dep]]=0,"Root",
   IF(ISNUMBER(MATCH(Contract_Edits[[#This Row],[Dep]],Contract_Edits[Index],0)),"OK","Missing")
)</f>
        <v>OK</v>
      </c>
      <c r="AK234" s="475" t="str">
        <f>IF(AND(Contract_Edits[[#This Row],[Dep]]&lt;&gt;0,
        ISNUMBER(MATCH(Contract_Edits[[#This Row],[Dep]], Contract_Edits[Index], 0)),
        INDEX(Contract_Edits[Dep], MATCH(Contract_Edits[[#This Row],[Dep]], Contract_Edits[Index], 0))=Contract_Edits[[#This Row],[Index]]),
   "2-cycle","")</f>
        <v/>
      </c>
      <c r="AL234" s="475" cm="1">
        <f t="array" ref="AL234">IF(Contract_Edits[[#This Row],[BaseFlag]]&lt;&gt;1,0,
   IF(TEXT(Contract_Edits[[#This Row],[Dep]],"0")=TEXT(Contract_Edits[[#This Row],[Index]],"0"),
      0,
      MAX(0, SUMPRODUCT(--(Contract_Edits[BaseFlag]=1),
                        --(TEXT(Contract_Edits[Dep],"0")=TEXT(Contract_Edits[[#This Row],[Dep]],"0"))) - 1)
   )
)</f>
        <v>0</v>
      </c>
      <c r="AM234" s="475" t="str" cm="1">
        <f t="array" ref="AM234">IF(Contract_Edits[[#This Row],[BaseFlag]]=1,
   TEXT(Contract_Edits[[#This Row],[Index]],"0"),
   NearestBaseL(TEXT(Contract_Edits[[#This Row],[ParentKey]],"0"),500,editsIdxTxt,editsParentKeyTxt,baseIdxTxt,baseCost)
)</f>
        <v>176</v>
      </c>
      <c r="AN234" s="475" cm="1">
        <f t="array" ref="AN234">1+SUMPRODUCT(
  (Contract_Edits[BaseFlag]=1)*
  (TEXT(Contract_Edits[ParentAnchor],"0")=TEXT(Contract_Edits[[#This Row],[ParentAnchor]],"0"))*
  (VALUE(TEXT(Contract_Edits[Index],"0"))&lt;VALUE(TEXT(Contract_Edits[[#This Row],[Index]],"0")))
)</f>
        <v>1</v>
      </c>
      <c r="AO234" s="34"/>
      <c r="AR234" s="190"/>
      <c r="BF234" s="34"/>
      <c r="CC234"/>
    </row>
    <row r="235" spans="1:81" ht="15">
      <c r="A235" t="s">
        <v>747</v>
      </c>
      <c r="B235" t="s">
        <v>744</v>
      </c>
      <c r="C235" t="s">
        <v>1463</v>
      </c>
      <c r="D235" s="458" t="s">
        <v>1464</v>
      </c>
      <c r="E235" s="458">
        <v>0</v>
      </c>
      <c r="F235"/>
      <c r="G235"/>
      <c r="H235">
        <v>195</v>
      </c>
      <c r="I235"/>
      <c r="J235">
        <v>196</v>
      </c>
      <c r="L235" s="463">
        <v>196</v>
      </c>
      <c r="M235" s="543"/>
      <c r="N235" s="544"/>
      <c r="O235" s="546" cm="1">
        <f t="array" ref="O23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5" s="568"/>
      <c r="Q235" s="568"/>
      <c r="R235" s="499"/>
      <c r="S235" s="463" cm="1">
        <f t="array" ref="S23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195</v>
      </c>
      <c r="T235" s="34"/>
      <c r="U235" s="490"/>
      <c r="V23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v>
      </c>
      <c r="W235" s="557"/>
      <c r="X235" s="545"/>
      <c r="Y235" s="548"/>
      <c r="Z235" s="160" t="s">
        <v>458</v>
      </c>
      <c r="AA235" s="563"/>
      <c r="AB235" s="34" cm="1">
        <f t="array" ref="AB235">ROW()-ROW(Contract_Edits[#Headers])</f>
        <v>211</v>
      </c>
      <c r="AC235" s="34">
        <f>IF(Contract_Edits[[#This Row],[RowPos]]&gt;1, Contract_Edits[[#This Row],[RowPos]]-1, 0)</f>
        <v>210</v>
      </c>
      <c r="AD235" s="35">
        <f>IF(N(Contract_Edits[[#This Row],[Dep]])=0, N(Contract_Edits[[#This Row],[Index]]), N(Contract_Edits[[#This Row],[Dep]]))</f>
        <v>195</v>
      </c>
      <c r="AE235" s="35" cm="1">
        <f t="array" ref="AE235">IF(OR(Contract_Edits[[#This Row],[Dep]]=0, TRIM(Contract_Edits[[#This Row],[Dep]])=""),
   0,
   IFERROR(
      _xlfn.XLOOKUP(1, (Contract_Edits[Dep]=Contract_Edits[[#This Row],[Dep]])*(Contract_Edits[RowPos]&lt;Contract_Edits[[#This Row],[RowPos]]), Contract_Edits[RowPos], , 0, -1),
      0
   )
)</f>
        <v>208</v>
      </c>
      <c r="AF235" s="35">
        <f>IF(OR(Contract_Edits[[#This Row],[Dep]]=0,Contract_Edits[[#This Row],[Dep]]=""),0,
   COUNTIFS(Contract_Edits[Dep],Contract_Edits[[#This Row],[Dep]],Contract_Edits[RowPos],"&lt;="&amp;Contract_Edits[[#This Row],[RowPos]],Contract_Edits[Approve],"Yes")
)</f>
        <v>3</v>
      </c>
      <c r="AG235" s="517">
        <f>--(
  ISNUMBER(SEARCH("BASE PARENT", UPPER(CLEAN(TRIM(_xlfn.XLOOKUP(TEXT(Contract_Edits[[#This Row],[Index]],"0"), baseIdxTxt, baseCost, "")))))) +
  ISNUMBER(SEARCH("DEPENDENCY GROUP", UPPER(CLEAN(TRIM(_xlfn.XLOOKUP(TEXT(Contract_Edits[[#This Row],[Index]],"0"), baseIdxTxt, baseCost, ""))))))
)</f>
        <v>1</v>
      </c>
      <c r="AH235" s="517" cm="1">
        <f t="array" ref="AH235">IF(Contract_Edits[[#This Row],[BaseFlag]]=1,
   10*BaseDepthL(TEXT(Contract_Edits[[#This Row],[Index]],"0"),500,editsIdxTxt,editsParentKeyTxt,baseIdxTxt,baseCost)-5,
   ""
)</f>
        <v>245</v>
      </c>
      <c r="AI235" s="517" cm="1">
        <f t="array" ref="AI2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35" s="475" t="str">
        <f>IF(Contract_Edits[[#This Row],[Dep]]=0,"Root",
   IF(ISNUMBER(MATCH(Contract_Edits[[#This Row],[Dep]],Contract_Edits[Index],0)),"OK","Missing")
)</f>
        <v>OK</v>
      </c>
      <c r="AK235" s="475" t="str">
        <f>IF(AND(Contract_Edits[[#This Row],[Dep]]&lt;&gt;0,
        ISNUMBER(MATCH(Contract_Edits[[#This Row],[Dep]], Contract_Edits[Index], 0)),
        INDEX(Contract_Edits[Dep], MATCH(Contract_Edits[[#This Row],[Dep]], Contract_Edits[Index], 0))=Contract_Edits[[#This Row],[Index]]),
   "2-cycle","")</f>
        <v/>
      </c>
      <c r="AL235" s="475" cm="1">
        <f t="array" ref="AL235">IF(Contract_Edits[[#This Row],[BaseFlag]]&lt;&gt;1,0,
   IF(TEXT(Contract_Edits[[#This Row],[Dep]],"0")=TEXT(Contract_Edits[[#This Row],[Index]],"0"),
      0,
      MAX(0, SUMPRODUCT(--(Contract_Edits[BaseFlag]=1),
                        --(TEXT(Contract_Edits[Dep],"0")=TEXT(Contract_Edits[[#This Row],[Dep]],"0"))) - 1)
   )
)</f>
        <v>0</v>
      </c>
      <c r="AM235" s="475" t="str" cm="1">
        <f t="array" ref="AM235">IF(Contract_Edits[[#This Row],[BaseFlag]]=1,
   TEXT(Contract_Edits[[#This Row],[Index]],"0"),
   NearestBaseL(TEXT(Contract_Edits[[#This Row],[ParentKey]],"0"),500,editsIdxTxt,editsParentKeyTxt,baseIdxTxt,baseCost)
)</f>
        <v>196</v>
      </c>
      <c r="AN235" s="475" cm="1">
        <f t="array" ref="AN235">1+SUMPRODUCT(
  (Contract_Edits[BaseFlag]=1)*
  (TEXT(Contract_Edits[ParentAnchor],"0")=TEXT(Contract_Edits[[#This Row],[ParentAnchor]],"0"))*
  (VALUE(TEXT(Contract_Edits[Index],"0"))&lt;VALUE(TEXT(Contract_Edits[[#This Row],[Index]],"0")))
)</f>
        <v>2</v>
      </c>
      <c r="AO235" s="34"/>
      <c r="AR235" s="190"/>
      <c r="BF235" s="34"/>
      <c r="CC235"/>
    </row>
    <row r="236" spans="1:81" ht="15">
      <c r="A236" t="s">
        <v>552</v>
      </c>
      <c r="B236" t="s">
        <v>793</v>
      </c>
      <c r="C236" t="s">
        <v>560</v>
      </c>
      <c r="D236" s="458" t="s">
        <v>1484</v>
      </c>
      <c r="E236" s="458">
        <v>1</v>
      </c>
      <c r="F236">
        <v>0</v>
      </c>
      <c r="G236">
        <v>0</v>
      </c>
      <c r="H236">
        <v>196</v>
      </c>
      <c r="I236"/>
      <c r="J236">
        <v>188</v>
      </c>
      <c r="L236" s="463">
        <v>188</v>
      </c>
      <c r="M236" s="543"/>
      <c r="N236" s="544"/>
      <c r="O236" s="546" cm="1">
        <f t="array" ref="O23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6" s="568"/>
      <c r="Q236" s="568"/>
      <c r="R236" s="499"/>
      <c r="S236" s="463" cm="1">
        <f t="array" ref="S23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36" s="34"/>
      <c r="U236" s="490"/>
      <c r="V23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36" s="557"/>
      <c r="X236" s="545"/>
      <c r="Y236" s="548" t="s">
        <v>1465</v>
      </c>
      <c r="Z236" s="160" t="s">
        <v>458</v>
      </c>
      <c r="AA236" s="563"/>
      <c r="AB236" s="34" cm="1">
        <f t="array" ref="AB236">ROW()-ROW(Contract_Edits[#Headers])</f>
        <v>212</v>
      </c>
      <c r="AC236" s="34">
        <f>IF(Contract_Edits[[#This Row],[RowPos]]&gt;1, Contract_Edits[[#This Row],[RowPos]]-1, 0)</f>
        <v>211</v>
      </c>
      <c r="AD236" s="35">
        <f>IF(N(Contract_Edits[[#This Row],[Dep]])=0, N(Contract_Edits[[#This Row],[Index]]), N(Contract_Edits[[#This Row],[Dep]]))</f>
        <v>196</v>
      </c>
      <c r="AE236" s="35" cm="1">
        <f t="array" ref="AE236">IF(OR(Contract_Edits[[#This Row],[Dep]]=0, TRIM(Contract_Edits[[#This Row],[Dep]])=""),
   0,
   IFERROR(
      _xlfn.XLOOKUP(1, (Contract_Edits[Dep]=Contract_Edits[[#This Row],[Dep]])*(Contract_Edits[RowPos]&lt;Contract_Edits[[#This Row],[RowPos]]), Contract_Edits[RowPos], , 0, -1),
      0
   )
)</f>
        <v>0</v>
      </c>
      <c r="AF236" s="35">
        <f>IF(OR(Contract_Edits[[#This Row],[Dep]]=0,Contract_Edits[[#This Row],[Dep]]=""),0,
   COUNTIFS(Contract_Edits[Dep],Contract_Edits[[#This Row],[Dep]],Contract_Edits[RowPos],"&lt;="&amp;Contract_Edits[[#This Row],[RowPos]],Contract_Edits[Approve],"Yes")
)</f>
        <v>1</v>
      </c>
      <c r="AG236" s="517">
        <f>--(
  ISNUMBER(SEARCH("BASE PARENT", UPPER(CLEAN(TRIM(_xlfn.XLOOKUP(TEXT(Contract_Edits[[#This Row],[Index]],"0"), baseIdxTxt, baseCost, "")))))) +
  ISNUMBER(SEARCH("DEPENDENCY GROUP", UPPER(CLEAN(TRIM(_xlfn.XLOOKUP(TEXT(Contract_Edits[[#This Row],[Index]],"0"), baseIdxTxt, baseCost, ""))))))
)</f>
        <v>0</v>
      </c>
      <c r="AH236" s="517" t="str" cm="1">
        <f t="array" ref="AH236">IF(Contract_Edits[[#This Row],[BaseFlag]]=1,
   10*BaseDepthL(TEXT(Contract_Edits[[#This Row],[Index]],"0"),500,editsIdxTxt,editsParentKeyTxt,baseIdxTxt,baseCost)-5,
   ""
)</f>
        <v/>
      </c>
      <c r="AI236" s="517" cm="1">
        <f t="array" ref="AI2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36" s="475" t="str">
        <f>IF(Contract_Edits[[#This Row],[Dep]]=0,"Root",
   IF(ISNUMBER(MATCH(Contract_Edits[[#This Row],[Dep]],Contract_Edits[Index],0)),"OK","Missing")
)</f>
        <v>OK</v>
      </c>
      <c r="AK236" s="475" t="str">
        <f>IF(AND(Contract_Edits[[#This Row],[Dep]]&lt;&gt;0,
        ISNUMBER(MATCH(Contract_Edits[[#This Row],[Dep]], Contract_Edits[Index], 0)),
        INDEX(Contract_Edits[Dep], MATCH(Contract_Edits[[#This Row],[Dep]], Contract_Edits[Index], 0))=Contract_Edits[[#This Row],[Index]]),
   "2-cycle","")</f>
        <v/>
      </c>
      <c r="AL236" s="475" cm="1">
        <f t="array" ref="AL236">IF(Contract_Edits[[#This Row],[BaseFlag]]&lt;&gt;1,0,
   IF(TEXT(Contract_Edits[[#This Row],[Dep]],"0")=TEXT(Contract_Edits[[#This Row],[Index]],"0"),
      0,
      MAX(0, SUMPRODUCT(--(Contract_Edits[BaseFlag]=1),
                        --(TEXT(Contract_Edits[Dep],"0")=TEXT(Contract_Edits[[#This Row],[Dep]],"0"))) - 1)
   )
)</f>
        <v>0</v>
      </c>
      <c r="AM236" s="475" t="str" cm="1">
        <f t="array" ref="AM236">IF(Contract_Edits[[#This Row],[BaseFlag]]=1,
   TEXT(Contract_Edits[[#This Row],[Index]],"0"),
   NearestBaseL(TEXT(Contract_Edits[[#This Row],[ParentKey]],"0"),500,editsIdxTxt,editsParentKeyTxt,baseIdxTxt,baseCost)
)</f>
        <v>196</v>
      </c>
      <c r="AN236" s="475" cm="1">
        <f t="array" ref="AN236">1+SUMPRODUCT(
  (Contract_Edits[BaseFlag]=1)*
  (TEXT(Contract_Edits[ParentAnchor],"0")=TEXT(Contract_Edits[[#This Row],[ParentAnchor]],"0"))*
  (VALUE(TEXT(Contract_Edits[Index],"0"))&lt;VALUE(TEXT(Contract_Edits[[#This Row],[Index]],"0")))
)</f>
        <v>1</v>
      </c>
      <c r="AO236" s="34"/>
    </row>
    <row r="237" spans="1:81" ht="15">
      <c r="L237" s="463">
        <v>212</v>
      </c>
      <c r="M237" s="543"/>
      <c r="N237" s="544"/>
      <c r="O237" s="546" cm="1">
        <f t="array" ref="O23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7" s="568"/>
      <c r="Q237" s="568"/>
      <c r="R237" s="499"/>
      <c r="S237" s="463" cm="1">
        <f t="array" ref="S23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37" s="34"/>
      <c r="U237" s="490"/>
      <c r="V23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37" s="557"/>
      <c r="X237" s="545"/>
      <c r="Y237" s="548" t="s">
        <v>1465</v>
      </c>
      <c r="Z237" s="160"/>
      <c r="AA237" s="563"/>
      <c r="AB237" s="34" cm="1">
        <f t="array" ref="AB237">ROW()-ROW(Contract_Edits[#Headers])</f>
        <v>213</v>
      </c>
      <c r="AC237" s="34">
        <f>IF(Contract_Edits[[#This Row],[RowPos]]&gt;1, Contract_Edits[[#This Row],[RowPos]]-1, 0)</f>
        <v>212</v>
      </c>
      <c r="AD237" s="35">
        <f>IF(N(Contract_Edits[[#This Row],[Dep]])=0, N(Contract_Edits[[#This Row],[Index]]), N(Contract_Edits[[#This Row],[Dep]]))</f>
        <v>196</v>
      </c>
      <c r="AE237" s="35" cm="1">
        <f t="array" ref="AE237">IF(OR(Contract_Edits[[#This Row],[Dep]]=0, TRIM(Contract_Edits[[#This Row],[Dep]])=""),
   0,
   IFERROR(
      _xlfn.XLOOKUP(1, (Contract_Edits[Dep]=Contract_Edits[[#This Row],[Dep]])*(Contract_Edits[RowPos]&lt;Contract_Edits[[#This Row],[RowPos]]), Contract_Edits[RowPos], , 0, -1),
      0
   )
)</f>
        <v>212</v>
      </c>
      <c r="AF237" s="35">
        <f>IF(OR(Contract_Edits[[#This Row],[Dep]]=0,Contract_Edits[[#This Row],[Dep]]=""),0,
   COUNTIFS(Contract_Edits[Dep],Contract_Edits[[#This Row],[Dep]],Contract_Edits[RowPos],"&lt;="&amp;Contract_Edits[[#This Row],[RowPos]],Contract_Edits[Approve],"Yes")
)</f>
        <v>1</v>
      </c>
      <c r="AG237" s="517">
        <f>--(
  ISNUMBER(SEARCH("BASE PARENT", UPPER(CLEAN(TRIM(_xlfn.XLOOKUP(TEXT(Contract_Edits[[#This Row],[Index]],"0"), baseIdxTxt, baseCost, "")))))) +
  ISNUMBER(SEARCH("DEPENDENCY GROUP", UPPER(CLEAN(TRIM(_xlfn.XLOOKUP(TEXT(Contract_Edits[[#This Row],[Index]],"0"), baseIdxTxt, baseCost, ""))))))
)</f>
        <v>0</v>
      </c>
      <c r="AH237" s="517" t="str" cm="1">
        <f t="array" ref="AH237">IF(Contract_Edits[[#This Row],[BaseFlag]]=1,
   10*BaseDepthL(TEXT(Contract_Edits[[#This Row],[Index]],"0"),500,editsIdxTxt,editsParentKeyTxt,baseIdxTxt,baseCost)-5,
   ""
)</f>
        <v/>
      </c>
      <c r="AI237" s="517" cm="1">
        <f t="array" ref="AI2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37" s="475" t="str">
        <f>IF(Contract_Edits[[#This Row],[Dep]]=0,"Root",
   IF(ISNUMBER(MATCH(Contract_Edits[[#This Row],[Dep]],Contract_Edits[Index],0)),"OK","Missing")
)</f>
        <v>OK</v>
      </c>
      <c r="AK237" s="475" t="str">
        <f>IF(AND(Contract_Edits[[#This Row],[Dep]]&lt;&gt;0,
        ISNUMBER(MATCH(Contract_Edits[[#This Row],[Dep]], Contract_Edits[Index], 0)),
        INDEX(Contract_Edits[Dep], MATCH(Contract_Edits[[#This Row],[Dep]], Contract_Edits[Index], 0))=Contract_Edits[[#This Row],[Index]]),
   "2-cycle","")</f>
        <v/>
      </c>
      <c r="AL237" s="475" cm="1">
        <f t="array" ref="AL237">IF(Contract_Edits[[#This Row],[BaseFlag]]&lt;&gt;1,0,
   IF(TEXT(Contract_Edits[[#This Row],[Dep]],"0")=TEXT(Contract_Edits[[#This Row],[Index]],"0"),
      0,
      MAX(0, SUMPRODUCT(--(Contract_Edits[BaseFlag]=1),
                        --(TEXT(Contract_Edits[Dep],"0")=TEXT(Contract_Edits[[#This Row],[Dep]],"0"))) - 1)
   )
)</f>
        <v>0</v>
      </c>
      <c r="AM237" s="475" t="str" cm="1">
        <f t="array" ref="AM237">IF(Contract_Edits[[#This Row],[BaseFlag]]=1,
   TEXT(Contract_Edits[[#This Row],[Index]],"0"),
   NearestBaseL(TEXT(Contract_Edits[[#This Row],[ParentKey]],"0"),500,editsIdxTxt,editsParentKeyTxt,baseIdxTxt,baseCost)
)</f>
        <v>196</v>
      </c>
      <c r="AN237" s="475" cm="1">
        <f t="array" ref="AN237">1+SUMPRODUCT(
  (Contract_Edits[BaseFlag]=1)*
  (TEXT(Contract_Edits[ParentAnchor],"0")=TEXT(Contract_Edits[[#This Row],[ParentAnchor]],"0"))*
  (VALUE(TEXT(Contract_Edits[Index],"0"))&lt;VALUE(TEXT(Contract_Edits[[#This Row],[Index]],"0")))
)</f>
        <v>1</v>
      </c>
    </row>
    <row r="238" spans="1:81" ht="15">
      <c r="A238"/>
      <c r="B238"/>
      <c r="C238"/>
      <c r="D238" s="458"/>
      <c r="E238" s="458"/>
      <c r="F238"/>
      <c r="G238"/>
      <c r="H238"/>
      <c r="I238"/>
      <c r="J238"/>
      <c r="L238" s="463">
        <v>213</v>
      </c>
      <c r="M238" s="543"/>
      <c r="N238" s="544"/>
      <c r="O238" s="546" cm="1">
        <f t="array" ref="O23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8" s="568"/>
      <c r="Q238" s="568"/>
      <c r="R238" s="499"/>
      <c r="S238" s="463" cm="1">
        <f t="array" ref="S23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38" s="34"/>
      <c r="U238" s="490"/>
      <c r="V23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38" s="557"/>
      <c r="X238" s="545"/>
      <c r="Y238" s="548" t="s">
        <v>1465</v>
      </c>
      <c r="Z238" s="160"/>
      <c r="AA238" s="563"/>
      <c r="AB238" s="34" cm="1">
        <f t="array" ref="AB238">ROW()-ROW(Contract_Edits[#Headers])</f>
        <v>214</v>
      </c>
      <c r="AC238" s="34">
        <f>IF(Contract_Edits[[#This Row],[RowPos]]&gt;1, Contract_Edits[[#This Row],[RowPos]]-1, 0)</f>
        <v>213</v>
      </c>
      <c r="AD238" s="35">
        <f>IF(N(Contract_Edits[[#This Row],[Dep]])=0, N(Contract_Edits[[#This Row],[Index]]), N(Contract_Edits[[#This Row],[Dep]]))</f>
        <v>196</v>
      </c>
      <c r="AE238" s="35" cm="1">
        <f t="array" ref="AE238">IF(OR(Contract_Edits[[#This Row],[Dep]]=0, TRIM(Contract_Edits[[#This Row],[Dep]])=""),
   0,
   IFERROR(
      _xlfn.XLOOKUP(1, (Contract_Edits[Dep]=Contract_Edits[[#This Row],[Dep]])*(Contract_Edits[RowPos]&lt;Contract_Edits[[#This Row],[RowPos]]), Contract_Edits[RowPos], , 0, -1),
      0
   )
)</f>
        <v>213</v>
      </c>
      <c r="AF238" s="35">
        <f>IF(OR(Contract_Edits[[#This Row],[Dep]]=0,Contract_Edits[[#This Row],[Dep]]=""),0,
   COUNTIFS(Contract_Edits[Dep],Contract_Edits[[#This Row],[Dep]],Contract_Edits[RowPos],"&lt;="&amp;Contract_Edits[[#This Row],[RowPos]],Contract_Edits[Approve],"Yes")
)</f>
        <v>1</v>
      </c>
      <c r="AG238" s="517">
        <f>--(
  ISNUMBER(SEARCH("BASE PARENT", UPPER(CLEAN(TRIM(_xlfn.XLOOKUP(TEXT(Contract_Edits[[#This Row],[Index]],"0"), baseIdxTxt, baseCost, "")))))) +
  ISNUMBER(SEARCH("DEPENDENCY GROUP", UPPER(CLEAN(TRIM(_xlfn.XLOOKUP(TEXT(Contract_Edits[[#This Row],[Index]],"0"), baseIdxTxt, baseCost, ""))))))
)</f>
        <v>0</v>
      </c>
      <c r="AH238" s="517" t="str" cm="1">
        <f t="array" ref="AH238">IF(Contract_Edits[[#This Row],[BaseFlag]]=1,
   10*BaseDepthL(TEXT(Contract_Edits[[#This Row],[Index]],"0"),500,editsIdxTxt,editsParentKeyTxt,baseIdxTxt,baseCost)-5,
   ""
)</f>
        <v/>
      </c>
      <c r="AI238" s="517" cm="1">
        <f t="array" ref="AI2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38" s="475" t="str">
        <f>IF(Contract_Edits[[#This Row],[Dep]]=0,"Root",
   IF(ISNUMBER(MATCH(Contract_Edits[[#This Row],[Dep]],Contract_Edits[Index],0)),"OK","Missing")
)</f>
        <v>OK</v>
      </c>
      <c r="AK238" s="475" t="str">
        <f>IF(AND(Contract_Edits[[#This Row],[Dep]]&lt;&gt;0,
        ISNUMBER(MATCH(Contract_Edits[[#This Row],[Dep]], Contract_Edits[Index], 0)),
        INDEX(Contract_Edits[Dep], MATCH(Contract_Edits[[#This Row],[Dep]], Contract_Edits[Index], 0))=Contract_Edits[[#This Row],[Index]]),
   "2-cycle","")</f>
        <v/>
      </c>
      <c r="AL238" s="475" cm="1">
        <f t="array" ref="AL238">IF(Contract_Edits[[#This Row],[BaseFlag]]&lt;&gt;1,0,
   IF(TEXT(Contract_Edits[[#This Row],[Dep]],"0")=TEXT(Contract_Edits[[#This Row],[Index]],"0"),
      0,
      MAX(0, SUMPRODUCT(--(Contract_Edits[BaseFlag]=1),
                        --(TEXT(Contract_Edits[Dep],"0")=TEXT(Contract_Edits[[#This Row],[Dep]],"0"))) - 1)
   )
)</f>
        <v>0</v>
      </c>
      <c r="AM238" s="475" t="str" cm="1">
        <f t="array" ref="AM238">IF(Contract_Edits[[#This Row],[BaseFlag]]=1,
   TEXT(Contract_Edits[[#This Row],[Index]],"0"),
   NearestBaseL(TEXT(Contract_Edits[[#This Row],[ParentKey]],"0"),500,editsIdxTxt,editsParentKeyTxt,baseIdxTxt,baseCost)
)</f>
        <v>196</v>
      </c>
      <c r="AN238" s="475" cm="1">
        <f t="array" ref="AN238">1+SUMPRODUCT(
  (Contract_Edits[BaseFlag]=1)*
  (TEXT(Contract_Edits[ParentAnchor],"0")=TEXT(Contract_Edits[[#This Row],[ParentAnchor]],"0"))*
  (VALUE(TEXT(Contract_Edits[Index],"0"))&lt;VALUE(TEXT(Contract_Edits[[#This Row],[Index]],"0")))
)</f>
        <v>1</v>
      </c>
    </row>
    <row r="239" spans="1:81" ht="15">
      <c r="A239"/>
      <c r="B239"/>
      <c r="C239"/>
      <c r="D239" s="458"/>
      <c r="E239" s="458"/>
      <c r="F239"/>
      <c r="G239"/>
      <c r="H239"/>
      <c r="I239"/>
      <c r="J239"/>
      <c r="L239" s="463">
        <v>214</v>
      </c>
      <c r="M239" s="543"/>
      <c r="N239" s="544"/>
      <c r="O239" s="546" cm="1">
        <f t="array" ref="O23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9" s="568"/>
      <c r="Q239" s="568"/>
      <c r="R239" s="499"/>
      <c r="S239" s="463" cm="1">
        <f t="array" ref="S23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39" s="34"/>
      <c r="U239" s="490"/>
      <c r="V23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39" s="557"/>
      <c r="X239" s="545"/>
      <c r="Y239" s="548" t="s">
        <v>1465</v>
      </c>
      <c r="Z239" s="160"/>
      <c r="AA239" s="563"/>
      <c r="AB239" s="34" cm="1">
        <f t="array" ref="AB239">ROW()-ROW(Contract_Edits[#Headers])</f>
        <v>215</v>
      </c>
      <c r="AC239" s="34">
        <f>IF(Contract_Edits[[#This Row],[RowPos]]&gt;1, Contract_Edits[[#This Row],[RowPos]]-1, 0)</f>
        <v>214</v>
      </c>
      <c r="AD239" s="35">
        <f>IF(N(Contract_Edits[[#This Row],[Dep]])=0, N(Contract_Edits[[#This Row],[Index]]), N(Contract_Edits[[#This Row],[Dep]]))</f>
        <v>196</v>
      </c>
      <c r="AE239" s="35" cm="1">
        <f t="array" ref="AE239">IF(OR(Contract_Edits[[#This Row],[Dep]]=0, TRIM(Contract_Edits[[#This Row],[Dep]])=""),
   0,
   IFERROR(
      _xlfn.XLOOKUP(1, (Contract_Edits[Dep]=Contract_Edits[[#This Row],[Dep]])*(Contract_Edits[RowPos]&lt;Contract_Edits[[#This Row],[RowPos]]), Contract_Edits[RowPos], , 0, -1),
      0
   )
)</f>
        <v>214</v>
      </c>
      <c r="AF239" s="35">
        <f>IF(OR(Contract_Edits[[#This Row],[Dep]]=0,Contract_Edits[[#This Row],[Dep]]=""),0,
   COUNTIFS(Contract_Edits[Dep],Contract_Edits[[#This Row],[Dep]],Contract_Edits[RowPos],"&lt;="&amp;Contract_Edits[[#This Row],[RowPos]],Contract_Edits[Approve],"Yes")
)</f>
        <v>1</v>
      </c>
      <c r="AG239" s="517">
        <f>--(
  ISNUMBER(SEARCH("BASE PARENT", UPPER(CLEAN(TRIM(_xlfn.XLOOKUP(TEXT(Contract_Edits[[#This Row],[Index]],"0"), baseIdxTxt, baseCost, "")))))) +
  ISNUMBER(SEARCH("DEPENDENCY GROUP", UPPER(CLEAN(TRIM(_xlfn.XLOOKUP(TEXT(Contract_Edits[[#This Row],[Index]],"0"), baseIdxTxt, baseCost, ""))))))
)</f>
        <v>0</v>
      </c>
      <c r="AH239" s="517" t="str" cm="1">
        <f t="array" ref="AH239">IF(Contract_Edits[[#This Row],[BaseFlag]]=1,
   10*BaseDepthL(TEXT(Contract_Edits[[#This Row],[Index]],"0"),500,editsIdxTxt,editsParentKeyTxt,baseIdxTxt,baseCost)-5,
   ""
)</f>
        <v/>
      </c>
      <c r="AI239" s="517" cm="1">
        <f t="array" ref="AI2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39" s="475" t="str">
        <f>IF(Contract_Edits[[#This Row],[Dep]]=0,"Root",
   IF(ISNUMBER(MATCH(Contract_Edits[[#This Row],[Dep]],Contract_Edits[Index],0)),"OK","Missing")
)</f>
        <v>OK</v>
      </c>
      <c r="AK239" s="475" t="str">
        <f>IF(AND(Contract_Edits[[#This Row],[Dep]]&lt;&gt;0,
        ISNUMBER(MATCH(Contract_Edits[[#This Row],[Dep]], Contract_Edits[Index], 0)),
        INDEX(Contract_Edits[Dep], MATCH(Contract_Edits[[#This Row],[Dep]], Contract_Edits[Index], 0))=Contract_Edits[[#This Row],[Index]]),
   "2-cycle","")</f>
        <v/>
      </c>
      <c r="AL239" s="475" cm="1">
        <f t="array" ref="AL239">IF(Contract_Edits[[#This Row],[BaseFlag]]&lt;&gt;1,0,
   IF(TEXT(Contract_Edits[[#This Row],[Dep]],"0")=TEXT(Contract_Edits[[#This Row],[Index]],"0"),
      0,
      MAX(0, SUMPRODUCT(--(Contract_Edits[BaseFlag]=1),
                        --(TEXT(Contract_Edits[Dep],"0")=TEXT(Contract_Edits[[#This Row],[Dep]],"0"))) - 1)
   )
)</f>
        <v>0</v>
      </c>
      <c r="AM239" s="475" t="str" cm="1">
        <f t="array" ref="AM239">IF(Contract_Edits[[#This Row],[BaseFlag]]=1,
   TEXT(Contract_Edits[[#This Row],[Index]],"0"),
   NearestBaseL(TEXT(Contract_Edits[[#This Row],[ParentKey]],"0"),500,editsIdxTxt,editsParentKeyTxt,baseIdxTxt,baseCost)
)</f>
        <v>196</v>
      </c>
      <c r="AN239" s="475" cm="1">
        <f t="array" ref="AN239">1+SUMPRODUCT(
  (Contract_Edits[BaseFlag]=1)*
  (TEXT(Contract_Edits[ParentAnchor],"0")=TEXT(Contract_Edits[[#This Row],[ParentAnchor]],"0"))*
  (VALUE(TEXT(Contract_Edits[Index],"0"))&lt;VALUE(TEXT(Contract_Edits[[#This Row],[Index]],"0")))
)</f>
        <v>1</v>
      </c>
    </row>
    <row r="240" spans="1:81" ht="15">
      <c r="A240"/>
      <c r="B240"/>
      <c r="C240"/>
      <c r="D240" s="458"/>
      <c r="E240" s="458"/>
      <c r="F240"/>
      <c r="G240"/>
      <c r="H240"/>
      <c r="I240"/>
      <c r="J240"/>
      <c r="L240" s="463">
        <v>215</v>
      </c>
      <c r="M240" s="543"/>
      <c r="N240" s="544"/>
      <c r="O240" s="546" cm="1">
        <f t="array" ref="O24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0" s="568"/>
      <c r="Q240" s="568"/>
      <c r="R240" s="499"/>
      <c r="S240" s="463" cm="1">
        <f t="array" ref="S24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0" s="34"/>
      <c r="U240" s="490"/>
      <c r="V24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0" s="557"/>
      <c r="X240" s="545"/>
      <c r="Y240" s="548" t="s">
        <v>1465</v>
      </c>
      <c r="Z240" s="160"/>
      <c r="AA240" s="563"/>
      <c r="AB240" s="34" cm="1">
        <f t="array" ref="AB240">ROW()-ROW(Contract_Edits[#Headers])</f>
        <v>216</v>
      </c>
      <c r="AC240" s="34">
        <f>IF(Contract_Edits[[#This Row],[RowPos]]&gt;1, Contract_Edits[[#This Row],[RowPos]]-1, 0)</f>
        <v>215</v>
      </c>
      <c r="AD240" s="35">
        <f>IF(N(Contract_Edits[[#This Row],[Dep]])=0, N(Contract_Edits[[#This Row],[Index]]), N(Contract_Edits[[#This Row],[Dep]]))</f>
        <v>196</v>
      </c>
      <c r="AE240" s="35" cm="1">
        <f t="array" ref="AE240">IF(OR(Contract_Edits[[#This Row],[Dep]]=0, TRIM(Contract_Edits[[#This Row],[Dep]])=""),
   0,
   IFERROR(
      _xlfn.XLOOKUP(1, (Contract_Edits[Dep]=Contract_Edits[[#This Row],[Dep]])*(Contract_Edits[RowPos]&lt;Contract_Edits[[#This Row],[RowPos]]), Contract_Edits[RowPos], , 0, -1),
      0
   )
)</f>
        <v>215</v>
      </c>
      <c r="AF240" s="35">
        <f>IF(OR(Contract_Edits[[#This Row],[Dep]]=0,Contract_Edits[[#This Row],[Dep]]=""),0,
   COUNTIFS(Contract_Edits[Dep],Contract_Edits[[#This Row],[Dep]],Contract_Edits[RowPos],"&lt;="&amp;Contract_Edits[[#This Row],[RowPos]],Contract_Edits[Approve],"Yes")
)</f>
        <v>1</v>
      </c>
      <c r="AG240" s="517">
        <f>--(
  ISNUMBER(SEARCH("BASE PARENT", UPPER(CLEAN(TRIM(_xlfn.XLOOKUP(TEXT(Contract_Edits[[#This Row],[Index]],"0"), baseIdxTxt, baseCost, "")))))) +
  ISNUMBER(SEARCH("DEPENDENCY GROUP", UPPER(CLEAN(TRIM(_xlfn.XLOOKUP(TEXT(Contract_Edits[[#This Row],[Index]],"0"), baseIdxTxt, baseCost, ""))))))
)</f>
        <v>0</v>
      </c>
      <c r="AH240" s="517" t="str" cm="1">
        <f t="array" ref="AH240">IF(Contract_Edits[[#This Row],[BaseFlag]]=1,
   10*BaseDepthL(TEXT(Contract_Edits[[#This Row],[Index]],"0"),500,editsIdxTxt,editsParentKeyTxt,baseIdxTxt,baseCost)-5,
   ""
)</f>
        <v/>
      </c>
      <c r="AI240" s="517" cm="1">
        <f t="array" ref="AI2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0" s="475" t="str">
        <f>IF(Contract_Edits[[#This Row],[Dep]]=0,"Root",
   IF(ISNUMBER(MATCH(Contract_Edits[[#This Row],[Dep]],Contract_Edits[Index],0)),"OK","Missing")
)</f>
        <v>OK</v>
      </c>
      <c r="AK240" s="475" t="str">
        <f>IF(AND(Contract_Edits[[#This Row],[Dep]]&lt;&gt;0,
        ISNUMBER(MATCH(Contract_Edits[[#This Row],[Dep]], Contract_Edits[Index], 0)),
        INDEX(Contract_Edits[Dep], MATCH(Contract_Edits[[#This Row],[Dep]], Contract_Edits[Index], 0))=Contract_Edits[[#This Row],[Index]]),
   "2-cycle","")</f>
        <v/>
      </c>
      <c r="AL240" s="475" cm="1">
        <f t="array" ref="AL240">IF(Contract_Edits[[#This Row],[BaseFlag]]&lt;&gt;1,0,
   IF(TEXT(Contract_Edits[[#This Row],[Dep]],"0")=TEXT(Contract_Edits[[#This Row],[Index]],"0"),
      0,
      MAX(0, SUMPRODUCT(--(Contract_Edits[BaseFlag]=1),
                        --(TEXT(Contract_Edits[Dep],"0")=TEXT(Contract_Edits[[#This Row],[Dep]],"0"))) - 1)
   )
)</f>
        <v>0</v>
      </c>
      <c r="AM240" s="475" t="str" cm="1">
        <f t="array" ref="AM240">IF(Contract_Edits[[#This Row],[BaseFlag]]=1,
   TEXT(Contract_Edits[[#This Row],[Index]],"0"),
   NearestBaseL(TEXT(Contract_Edits[[#This Row],[ParentKey]],"0"),500,editsIdxTxt,editsParentKeyTxt,baseIdxTxt,baseCost)
)</f>
        <v>196</v>
      </c>
      <c r="AN240" s="475" cm="1">
        <f t="array" ref="AN240">1+SUMPRODUCT(
  (Contract_Edits[BaseFlag]=1)*
  (TEXT(Contract_Edits[ParentAnchor],"0")=TEXT(Contract_Edits[[#This Row],[ParentAnchor]],"0"))*
  (VALUE(TEXT(Contract_Edits[Index],"0"))&lt;VALUE(TEXT(Contract_Edits[[#This Row],[Index]],"0")))
)</f>
        <v>1</v>
      </c>
    </row>
    <row r="241" spans="1:40" ht="15">
      <c r="A241"/>
      <c r="B241"/>
      <c r="C241"/>
      <c r="D241" s="458"/>
      <c r="E241" s="458"/>
      <c r="F241"/>
      <c r="G241"/>
      <c r="H241"/>
      <c r="I241"/>
      <c r="J241"/>
      <c r="L241" s="463">
        <v>216</v>
      </c>
      <c r="M241" s="543"/>
      <c r="N241" s="544"/>
      <c r="O241" s="546" cm="1">
        <f t="array" ref="O24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1" s="568"/>
      <c r="Q241" s="568"/>
      <c r="R241" s="499"/>
      <c r="S241" s="463" cm="1">
        <f t="array" ref="S24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1" s="34"/>
      <c r="U241" s="490"/>
      <c r="V24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1" s="557"/>
      <c r="X241" s="545"/>
      <c r="Y241" s="548" t="s">
        <v>1465</v>
      </c>
      <c r="Z241" s="160"/>
      <c r="AA241" s="563"/>
      <c r="AB241" s="34" cm="1">
        <f t="array" ref="AB241">ROW()-ROW(Contract_Edits[#Headers])</f>
        <v>217</v>
      </c>
      <c r="AC241" s="34">
        <f>IF(Contract_Edits[[#This Row],[RowPos]]&gt;1, Contract_Edits[[#This Row],[RowPos]]-1, 0)</f>
        <v>216</v>
      </c>
      <c r="AD241" s="35">
        <f>IF(N(Contract_Edits[[#This Row],[Dep]])=0, N(Contract_Edits[[#This Row],[Index]]), N(Contract_Edits[[#This Row],[Dep]]))</f>
        <v>196</v>
      </c>
      <c r="AE241" s="35" cm="1">
        <f t="array" ref="AE241">IF(OR(Contract_Edits[[#This Row],[Dep]]=0, TRIM(Contract_Edits[[#This Row],[Dep]])=""),
   0,
   IFERROR(
      _xlfn.XLOOKUP(1, (Contract_Edits[Dep]=Contract_Edits[[#This Row],[Dep]])*(Contract_Edits[RowPos]&lt;Contract_Edits[[#This Row],[RowPos]]), Contract_Edits[RowPos], , 0, -1),
      0
   )
)</f>
        <v>216</v>
      </c>
      <c r="AF241" s="35">
        <f>IF(OR(Contract_Edits[[#This Row],[Dep]]=0,Contract_Edits[[#This Row],[Dep]]=""),0,
   COUNTIFS(Contract_Edits[Dep],Contract_Edits[[#This Row],[Dep]],Contract_Edits[RowPos],"&lt;="&amp;Contract_Edits[[#This Row],[RowPos]],Contract_Edits[Approve],"Yes")
)</f>
        <v>1</v>
      </c>
      <c r="AG241" s="517">
        <f>--(
  ISNUMBER(SEARCH("BASE PARENT", UPPER(CLEAN(TRIM(_xlfn.XLOOKUP(TEXT(Contract_Edits[[#This Row],[Index]],"0"), baseIdxTxt, baseCost, "")))))) +
  ISNUMBER(SEARCH("DEPENDENCY GROUP", UPPER(CLEAN(TRIM(_xlfn.XLOOKUP(TEXT(Contract_Edits[[#This Row],[Index]],"0"), baseIdxTxt, baseCost, ""))))))
)</f>
        <v>0</v>
      </c>
      <c r="AH241" s="517" t="str" cm="1">
        <f t="array" ref="AH241">IF(Contract_Edits[[#This Row],[BaseFlag]]=1,
   10*BaseDepthL(TEXT(Contract_Edits[[#This Row],[Index]],"0"),500,editsIdxTxt,editsParentKeyTxt,baseIdxTxt,baseCost)-5,
   ""
)</f>
        <v/>
      </c>
      <c r="AI241" s="517" cm="1">
        <f t="array" ref="AI2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1" s="475" t="str">
        <f>IF(Contract_Edits[[#This Row],[Dep]]=0,"Root",
   IF(ISNUMBER(MATCH(Contract_Edits[[#This Row],[Dep]],Contract_Edits[Index],0)),"OK","Missing")
)</f>
        <v>OK</v>
      </c>
      <c r="AK241" s="475" t="str">
        <f>IF(AND(Contract_Edits[[#This Row],[Dep]]&lt;&gt;0,
        ISNUMBER(MATCH(Contract_Edits[[#This Row],[Dep]], Contract_Edits[Index], 0)),
        INDEX(Contract_Edits[Dep], MATCH(Contract_Edits[[#This Row],[Dep]], Contract_Edits[Index], 0))=Contract_Edits[[#This Row],[Index]]),
   "2-cycle","")</f>
        <v/>
      </c>
      <c r="AL241" s="475" cm="1">
        <f t="array" ref="AL241">IF(Contract_Edits[[#This Row],[BaseFlag]]&lt;&gt;1,0,
   IF(TEXT(Contract_Edits[[#This Row],[Dep]],"0")=TEXT(Contract_Edits[[#This Row],[Index]],"0"),
      0,
      MAX(0, SUMPRODUCT(--(Contract_Edits[BaseFlag]=1),
                        --(TEXT(Contract_Edits[Dep],"0")=TEXT(Contract_Edits[[#This Row],[Dep]],"0"))) - 1)
   )
)</f>
        <v>0</v>
      </c>
      <c r="AM241" s="475" t="str" cm="1">
        <f t="array" ref="AM241">IF(Contract_Edits[[#This Row],[BaseFlag]]=1,
   TEXT(Contract_Edits[[#This Row],[Index]],"0"),
   NearestBaseL(TEXT(Contract_Edits[[#This Row],[ParentKey]],"0"),500,editsIdxTxt,editsParentKeyTxt,baseIdxTxt,baseCost)
)</f>
        <v>196</v>
      </c>
      <c r="AN241" s="475" cm="1">
        <f t="array" ref="AN241">1+SUMPRODUCT(
  (Contract_Edits[BaseFlag]=1)*
  (TEXT(Contract_Edits[ParentAnchor],"0")=TEXT(Contract_Edits[[#This Row],[ParentAnchor]],"0"))*
  (VALUE(TEXT(Contract_Edits[Index],"0"))&lt;VALUE(TEXT(Contract_Edits[[#This Row],[Index]],"0")))
)</f>
        <v>1</v>
      </c>
    </row>
    <row r="242" spans="1:40" ht="15">
      <c r="A242"/>
      <c r="B242"/>
      <c r="C242"/>
      <c r="D242" s="458"/>
      <c r="E242" s="458"/>
      <c r="F242"/>
      <c r="G242"/>
      <c r="H242"/>
      <c r="I242"/>
      <c r="J242"/>
      <c r="L242" s="463">
        <v>217</v>
      </c>
      <c r="M242" s="543"/>
      <c r="N242" s="544"/>
      <c r="O242" s="546" cm="1">
        <f t="array" ref="O24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2" s="568"/>
      <c r="Q242" s="568"/>
      <c r="R242" s="499"/>
      <c r="S242" s="463" cm="1">
        <f t="array" ref="S24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2" s="34"/>
      <c r="U242" s="490"/>
      <c r="V24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2" s="557"/>
      <c r="X242" s="545"/>
      <c r="Y242" s="548" t="s">
        <v>1465</v>
      </c>
      <c r="Z242" s="160"/>
      <c r="AA242" s="563"/>
      <c r="AB242" s="34" cm="1">
        <f t="array" ref="AB242">ROW()-ROW(Contract_Edits[#Headers])</f>
        <v>218</v>
      </c>
      <c r="AC242" s="34">
        <f>IF(Contract_Edits[[#This Row],[RowPos]]&gt;1, Contract_Edits[[#This Row],[RowPos]]-1, 0)</f>
        <v>217</v>
      </c>
      <c r="AD242" s="35">
        <f>IF(N(Contract_Edits[[#This Row],[Dep]])=0, N(Contract_Edits[[#This Row],[Index]]), N(Contract_Edits[[#This Row],[Dep]]))</f>
        <v>196</v>
      </c>
      <c r="AE242" s="35" cm="1">
        <f t="array" ref="AE242">IF(OR(Contract_Edits[[#This Row],[Dep]]=0, TRIM(Contract_Edits[[#This Row],[Dep]])=""),
   0,
   IFERROR(
      _xlfn.XLOOKUP(1, (Contract_Edits[Dep]=Contract_Edits[[#This Row],[Dep]])*(Contract_Edits[RowPos]&lt;Contract_Edits[[#This Row],[RowPos]]), Contract_Edits[RowPos], , 0, -1),
      0
   )
)</f>
        <v>217</v>
      </c>
      <c r="AF242" s="35">
        <f>IF(OR(Contract_Edits[[#This Row],[Dep]]=0,Contract_Edits[[#This Row],[Dep]]=""),0,
   COUNTIFS(Contract_Edits[Dep],Contract_Edits[[#This Row],[Dep]],Contract_Edits[RowPos],"&lt;="&amp;Contract_Edits[[#This Row],[RowPos]],Contract_Edits[Approve],"Yes")
)</f>
        <v>1</v>
      </c>
      <c r="AG242" s="517">
        <f>--(
  ISNUMBER(SEARCH("BASE PARENT", UPPER(CLEAN(TRIM(_xlfn.XLOOKUP(TEXT(Contract_Edits[[#This Row],[Index]],"0"), baseIdxTxt, baseCost, "")))))) +
  ISNUMBER(SEARCH("DEPENDENCY GROUP", UPPER(CLEAN(TRIM(_xlfn.XLOOKUP(TEXT(Contract_Edits[[#This Row],[Index]],"0"), baseIdxTxt, baseCost, ""))))))
)</f>
        <v>0</v>
      </c>
      <c r="AH242" s="517" t="str" cm="1">
        <f t="array" ref="AH242">IF(Contract_Edits[[#This Row],[BaseFlag]]=1,
   10*BaseDepthL(TEXT(Contract_Edits[[#This Row],[Index]],"0"),500,editsIdxTxt,editsParentKeyTxt,baseIdxTxt,baseCost)-5,
   ""
)</f>
        <v/>
      </c>
      <c r="AI242" s="517" cm="1">
        <f t="array" ref="AI2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2" s="475" t="str">
        <f>IF(Contract_Edits[[#This Row],[Dep]]=0,"Root",
   IF(ISNUMBER(MATCH(Contract_Edits[[#This Row],[Dep]],Contract_Edits[Index],0)),"OK","Missing")
)</f>
        <v>OK</v>
      </c>
      <c r="AK242" s="475" t="str">
        <f>IF(AND(Contract_Edits[[#This Row],[Dep]]&lt;&gt;0,
        ISNUMBER(MATCH(Contract_Edits[[#This Row],[Dep]], Contract_Edits[Index], 0)),
        INDEX(Contract_Edits[Dep], MATCH(Contract_Edits[[#This Row],[Dep]], Contract_Edits[Index], 0))=Contract_Edits[[#This Row],[Index]]),
   "2-cycle","")</f>
        <v/>
      </c>
      <c r="AL242" s="475" cm="1">
        <f t="array" ref="AL242">IF(Contract_Edits[[#This Row],[BaseFlag]]&lt;&gt;1,0,
   IF(TEXT(Contract_Edits[[#This Row],[Dep]],"0")=TEXT(Contract_Edits[[#This Row],[Index]],"0"),
      0,
      MAX(0, SUMPRODUCT(--(Contract_Edits[BaseFlag]=1),
                        --(TEXT(Contract_Edits[Dep],"0")=TEXT(Contract_Edits[[#This Row],[Dep]],"0"))) - 1)
   )
)</f>
        <v>0</v>
      </c>
      <c r="AM242" s="475" t="str" cm="1">
        <f t="array" ref="AM242">IF(Contract_Edits[[#This Row],[BaseFlag]]=1,
   TEXT(Contract_Edits[[#This Row],[Index]],"0"),
   NearestBaseL(TEXT(Contract_Edits[[#This Row],[ParentKey]],"0"),500,editsIdxTxt,editsParentKeyTxt,baseIdxTxt,baseCost)
)</f>
        <v>196</v>
      </c>
      <c r="AN242" s="475" cm="1">
        <f t="array" ref="AN242">1+SUMPRODUCT(
  (Contract_Edits[BaseFlag]=1)*
  (TEXT(Contract_Edits[ParentAnchor],"0")=TEXT(Contract_Edits[[#This Row],[ParentAnchor]],"0"))*
  (VALUE(TEXT(Contract_Edits[Index],"0"))&lt;VALUE(TEXT(Contract_Edits[[#This Row],[Index]],"0")))
)</f>
        <v>1</v>
      </c>
    </row>
    <row r="243" spans="1:40" ht="15">
      <c r="A243"/>
      <c r="B243"/>
      <c r="C243"/>
      <c r="D243" s="458"/>
      <c r="E243" s="458"/>
      <c r="F243"/>
      <c r="G243"/>
      <c r="H243"/>
      <c r="I243"/>
      <c r="J243"/>
      <c r="L243" s="463">
        <v>218</v>
      </c>
      <c r="M243" s="543"/>
      <c r="N243" s="544"/>
      <c r="O243" s="546" cm="1">
        <f t="array" ref="O24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3" s="568"/>
      <c r="Q243" s="568"/>
      <c r="R243" s="499"/>
      <c r="S243" s="463" cm="1">
        <f t="array" ref="S24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3" s="34"/>
      <c r="U243" s="490"/>
      <c r="V24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3" s="557"/>
      <c r="X243" s="545"/>
      <c r="Y243" s="548" t="s">
        <v>1465</v>
      </c>
      <c r="Z243" s="160"/>
      <c r="AA243" s="563"/>
      <c r="AB243" s="34" cm="1">
        <f t="array" ref="AB243">ROW()-ROW(Contract_Edits[#Headers])</f>
        <v>219</v>
      </c>
      <c r="AC243" s="34">
        <f>IF(Contract_Edits[[#This Row],[RowPos]]&gt;1, Contract_Edits[[#This Row],[RowPos]]-1, 0)</f>
        <v>218</v>
      </c>
      <c r="AD243" s="35">
        <f>IF(N(Contract_Edits[[#This Row],[Dep]])=0, N(Contract_Edits[[#This Row],[Index]]), N(Contract_Edits[[#This Row],[Dep]]))</f>
        <v>196</v>
      </c>
      <c r="AE243" s="35" cm="1">
        <f t="array" ref="AE243">IF(OR(Contract_Edits[[#This Row],[Dep]]=0, TRIM(Contract_Edits[[#This Row],[Dep]])=""),
   0,
   IFERROR(
      _xlfn.XLOOKUP(1, (Contract_Edits[Dep]=Contract_Edits[[#This Row],[Dep]])*(Contract_Edits[RowPos]&lt;Contract_Edits[[#This Row],[RowPos]]), Contract_Edits[RowPos], , 0, -1),
      0
   )
)</f>
        <v>218</v>
      </c>
      <c r="AF243" s="35">
        <f>IF(OR(Contract_Edits[[#This Row],[Dep]]=0,Contract_Edits[[#This Row],[Dep]]=""),0,
   COUNTIFS(Contract_Edits[Dep],Contract_Edits[[#This Row],[Dep]],Contract_Edits[RowPos],"&lt;="&amp;Contract_Edits[[#This Row],[RowPos]],Contract_Edits[Approve],"Yes")
)</f>
        <v>1</v>
      </c>
      <c r="AG243" s="517">
        <f>--(
  ISNUMBER(SEARCH("BASE PARENT", UPPER(CLEAN(TRIM(_xlfn.XLOOKUP(TEXT(Contract_Edits[[#This Row],[Index]],"0"), baseIdxTxt, baseCost, "")))))) +
  ISNUMBER(SEARCH("DEPENDENCY GROUP", UPPER(CLEAN(TRIM(_xlfn.XLOOKUP(TEXT(Contract_Edits[[#This Row],[Index]],"0"), baseIdxTxt, baseCost, ""))))))
)</f>
        <v>0</v>
      </c>
      <c r="AH243" s="517" t="str" cm="1">
        <f t="array" ref="AH243">IF(Contract_Edits[[#This Row],[BaseFlag]]=1,
   10*BaseDepthL(TEXT(Contract_Edits[[#This Row],[Index]],"0"),500,editsIdxTxt,editsParentKeyTxt,baseIdxTxt,baseCost)-5,
   ""
)</f>
        <v/>
      </c>
      <c r="AI243" s="517" cm="1">
        <f t="array" ref="AI2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3" s="475" t="str">
        <f>IF(Contract_Edits[[#This Row],[Dep]]=0,"Root",
   IF(ISNUMBER(MATCH(Contract_Edits[[#This Row],[Dep]],Contract_Edits[Index],0)),"OK","Missing")
)</f>
        <v>OK</v>
      </c>
      <c r="AK243" s="475" t="str">
        <f>IF(AND(Contract_Edits[[#This Row],[Dep]]&lt;&gt;0,
        ISNUMBER(MATCH(Contract_Edits[[#This Row],[Dep]], Contract_Edits[Index], 0)),
        INDEX(Contract_Edits[Dep], MATCH(Contract_Edits[[#This Row],[Dep]], Contract_Edits[Index], 0))=Contract_Edits[[#This Row],[Index]]),
   "2-cycle","")</f>
        <v/>
      </c>
      <c r="AL243" s="475" cm="1">
        <f t="array" ref="AL243">IF(Contract_Edits[[#This Row],[BaseFlag]]&lt;&gt;1,0,
   IF(TEXT(Contract_Edits[[#This Row],[Dep]],"0")=TEXT(Contract_Edits[[#This Row],[Index]],"0"),
      0,
      MAX(0, SUMPRODUCT(--(Contract_Edits[BaseFlag]=1),
                        --(TEXT(Contract_Edits[Dep],"0")=TEXT(Contract_Edits[[#This Row],[Dep]],"0"))) - 1)
   )
)</f>
        <v>0</v>
      </c>
      <c r="AM243" s="475" t="str" cm="1">
        <f t="array" ref="AM243">IF(Contract_Edits[[#This Row],[BaseFlag]]=1,
   TEXT(Contract_Edits[[#This Row],[Index]],"0"),
   NearestBaseL(TEXT(Contract_Edits[[#This Row],[ParentKey]],"0"),500,editsIdxTxt,editsParentKeyTxt,baseIdxTxt,baseCost)
)</f>
        <v>196</v>
      </c>
      <c r="AN243" s="475" cm="1">
        <f t="array" ref="AN243">1+SUMPRODUCT(
  (Contract_Edits[BaseFlag]=1)*
  (TEXT(Contract_Edits[ParentAnchor],"0")=TEXT(Contract_Edits[[#This Row],[ParentAnchor]],"0"))*
  (VALUE(TEXT(Contract_Edits[Index],"0"))&lt;VALUE(TEXT(Contract_Edits[[#This Row],[Index]],"0")))
)</f>
        <v>1</v>
      </c>
    </row>
    <row r="244" spans="1:40" ht="15">
      <c r="A244"/>
      <c r="B244"/>
      <c r="C244"/>
      <c r="D244" s="458"/>
      <c r="E244" s="458"/>
      <c r="F244"/>
      <c r="G244"/>
      <c r="H244"/>
      <c r="I244"/>
      <c r="J244"/>
      <c r="L244" s="463">
        <v>219</v>
      </c>
      <c r="M244" s="543"/>
      <c r="N244" s="544"/>
      <c r="O244" s="546" cm="1">
        <f t="array" ref="O24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4" s="568"/>
      <c r="Q244" s="568"/>
      <c r="R244" s="499"/>
      <c r="S244" s="463" cm="1">
        <f t="array" ref="S24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4" s="34"/>
      <c r="U244" s="490"/>
      <c r="V24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4" s="557"/>
      <c r="X244" s="545"/>
      <c r="Y244" s="548" t="s">
        <v>1465</v>
      </c>
      <c r="Z244" s="160"/>
      <c r="AA244" s="563"/>
      <c r="AB244" s="34" cm="1">
        <f t="array" ref="AB244">ROW()-ROW(Contract_Edits[#Headers])</f>
        <v>220</v>
      </c>
      <c r="AC244" s="34">
        <f>IF(Contract_Edits[[#This Row],[RowPos]]&gt;1, Contract_Edits[[#This Row],[RowPos]]-1, 0)</f>
        <v>219</v>
      </c>
      <c r="AD244" s="35">
        <f>IF(N(Contract_Edits[[#This Row],[Dep]])=0, N(Contract_Edits[[#This Row],[Index]]), N(Contract_Edits[[#This Row],[Dep]]))</f>
        <v>196</v>
      </c>
      <c r="AE244" s="35" cm="1">
        <f t="array" ref="AE244">IF(OR(Contract_Edits[[#This Row],[Dep]]=0, TRIM(Contract_Edits[[#This Row],[Dep]])=""),
   0,
   IFERROR(
      _xlfn.XLOOKUP(1, (Contract_Edits[Dep]=Contract_Edits[[#This Row],[Dep]])*(Contract_Edits[RowPos]&lt;Contract_Edits[[#This Row],[RowPos]]), Contract_Edits[RowPos], , 0, -1),
      0
   )
)</f>
        <v>219</v>
      </c>
      <c r="AF244" s="35">
        <f>IF(OR(Contract_Edits[[#This Row],[Dep]]=0,Contract_Edits[[#This Row],[Dep]]=""),0,
   COUNTIFS(Contract_Edits[Dep],Contract_Edits[[#This Row],[Dep]],Contract_Edits[RowPos],"&lt;="&amp;Contract_Edits[[#This Row],[RowPos]],Contract_Edits[Approve],"Yes")
)</f>
        <v>1</v>
      </c>
      <c r="AG244" s="517">
        <f>--(
  ISNUMBER(SEARCH("BASE PARENT", UPPER(CLEAN(TRIM(_xlfn.XLOOKUP(TEXT(Contract_Edits[[#This Row],[Index]],"0"), baseIdxTxt, baseCost, "")))))) +
  ISNUMBER(SEARCH("DEPENDENCY GROUP", UPPER(CLEAN(TRIM(_xlfn.XLOOKUP(TEXT(Contract_Edits[[#This Row],[Index]],"0"), baseIdxTxt, baseCost, ""))))))
)</f>
        <v>0</v>
      </c>
      <c r="AH244" s="517" t="str" cm="1">
        <f t="array" ref="AH244">IF(Contract_Edits[[#This Row],[BaseFlag]]=1,
   10*BaseDepthL(TEXT(Contract_Edits[[#This Row],[Index]],"0"),500,editsIdxTxt,editsParentKeyTxt,baseIdxTxt,baseCost)-5,
   ""
)</f>
        <v/>
      </c>
      <c r="AI244" s="517" cm="1">
        <f t="array" ref="AI2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4" s="475" t="str">
        <f>IF(Contract_Edits[[#This Row],[Dep]]=0,"Root",
   IF(ISNUMBER(MATCH(Contract_Edits[[#This Row],[Dep]],Contract_Edits[Index],0)),"OK","Missing")
)</f>
        <v>OK</v>
      </c>
      <c r="AK244" s="475" t="str">
        <f>IF(AND(Contract_Edits[[#This Row],[Dep]]&lt;&gt;0,
        ISNUMBER(MATCH(Contract_Edits[[#This Row],[Dep]], Contract_Edits[Index], 0)),
        INDEX(Contract_Edits[Dep], MATCH(Contract_Edits[[#This Row],[Dep]], Contract_Edits[Index], 0))=Contract_Edits[[#This Row],[Index]]),
   "2-cycle","")</f>
        <v/>
      </c>
      <c r="AL244" s="475" cm="1">
        <f t="array" ref="AL244">IF(Contract_Edits[[#This Row],[BaseFlag]]&lt;&gt;1,0,
   IF(TEXT(Contract_Edits[[#This Row],[Dep]],"0")=TEXT(Contract_Edits[[#This Row],[Index]],"0"),
      0,
      MAX(0, SUMPRODUCT(--(Contract_Edits[BaseFlag]=1),
                        --(TEXT(Contract_Edits[Dep],"0")=TEXT(Contract_Edits[[#This Row],[Dep]],"0"))) - 1)
   )
)</f>
        <v>0</v>
      </c>
      <c r="AM244" s="475" t="str" cm="1">
        <f t="array" ref="AM244">IF(Contract_Edits[[#This Row],[BaseFlag]]=1,
   TEXT(Contract_Edits[[#This Row],[Index]],"0"),
   NearestBaseL(TEXT(Contract_Edits[[#This Row],[ParentKey]],"0"),500,editsIdxTxt,editsParentKeyTxt,baseIdxTxt,baseCost)
)</f>
        <v>196</v>
      </c>
      <c r="AN244" s="475" cm="1">
        <f t="array" ref="AN244">1+SUMPRODUCT(
  (Contract_Edits[BaseFlag]=1)*
  (TEXT(Contract_Edits[ParentAnchor],"0")=TEXT(Contract_Edits[[#This Row],[ParentAnchor]],"0"))*
  (VALUE(TEXT(Contract_Edits[Index],"0"))&lt;VALUE(TEXT(Contract_Edits[[#This Row],[Index]],"0")))
)</f>
        <v>1</v>
      </c>
    </row>
    <row r="245" spans="1:40" ht="15">
      <c r="A245"/>
      <c r="B245"/>
      <c r="C245"/>
      <c r="D245" s="458"/>
      <c r="E245" s="458"/>
      <c r="F245"/>
      <c r="G245"/>
      <c r="H245"/>
      <c r="I245"/>
      <c r="J245"/>
      <c r="L245" s="463">
        <v>220</v>
      </c>
      <c r="M245" s="543"/>
      <c r="N245" s="544"/>
      <c r="O245" s="546" cm="1">
        <f t="array" ref="O24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5" s="568"/>
      <c r="Q245" s="568"/>
      <c r="R245" s="499"/>
      <c r="S245" s="463" cm="1">
        <f t="array" ref="S24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5" s="34"/>
      <c r="U245" s="490"/>
      <c r="V24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5" s="557"/>
      <c r="X245" s="545"/>
      <c r="Y245" s="548" t="s">
        <v>1465</v>
      </c>
      <c r="Z245" s="160"/>
      <c r="AA245" s="563"/>
      <c r="AB245" s="34" cm="1">
        <f t="array" ref="AB245">ROW()-ROW(Contract_Edits[#Headers])</f>
        <v>221</v>
      </c>
      <c r="AC245" s="34">
        <f>IF(Contract_Edits[[#This Row],[RowPos]]&gt;1, Contract_Edits[[#This Row],[RowPos]]-1, 0)</f>
        <v>220</v>
      </c>
      <c r="AD245" s="35">
        <f>IF(N(Contract_Edits[[#This Row],[Dep]])=0, N(Contract_Edits[[#This Row],[Index]]), N(Contract_Edits[[#This Row],[Dep]]))</f>
        <v>196</v>
      </c>
      <c r="AE245" s="35" cm="1">
        <f t="array" ref="AE245">IF(OR(Contract_Edits[[#This Row],[Dep]]=0, TRIM(Contract_Edits[[#This Row],[Dep]])=""),
   0,
   IFERROR(
      _xlfn.XLOOKUP(1, (Contract_Edits[Dep]=Contract_Edits[[#This Row],[Dep]])*(Contract_Edits[RowPos]&lt;Contract_Edits[[#This Row],[RowPos]]), Contract_Edits[RowPos], , 0, -1),
      0
   )
)</f>
        <v>220</v>
      </c>
      <c r="AF245" s="35">
        <f>IF(OR(Contract_Edits[[#This Row],[Dep]]=0,Contract_Edits[[#This Row],[Dep]]=""),0,
   COUNTIFS(Contract_Edits[Dep],Contract_Edits[[#This Row],[Dep]],Contract_Edits[RowPos],"&lt;="&amp;Contract_Edits[[#This Row],[RowPos]],Contract_Edits[Approve],"Yes")
)</f>
        <v>1</v>
      </c>
      <c r="AG245" s="517">
        <f>--(
  ISNUMBER(SEARCH("BASE PARENT", UPPER(CLEAN(TRIM(_xlfn.XLOOKUP(TEXT(Contract_Edits[[#This Row],[Index]],"0"), baseIdxTxt, baseCost, "")))))) +
  ISNUMBER(SEARCH("DEPENDENCY GROUP", UPPER(CLEAN(TRIM(_xlfn.XLOOKUP(TEXT(Contract_Edits[[#This Row],[Index]],"0"), baseIdxTxt, baseCost, ""))))))
)</f>
        <v>0</v>
      </c>
      <c r="AH245" s="517" t="str" cm="1">
        <f t="array" ref="AH245">IF(Contract_Edits[[#This Row],[BaseFlag]]=1,
   10*BaseDepthL(TEXT(Contract_Edits[[#This Row],[Index]],"0"),500,editsIdxTxt,editsParentKeyTxt,baseIdxTxt,baseCost)-5,
   ""
)</f>
        <v/>
      </c>
      <c r="AI245" s="517" cm="1">
        <f t="array" ref="AI2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5" s="475" t="str">
        <f>IF(Contract_Edits[[#This Row],[Dep]]=0,"Root",
   IF(ISNUMBER(MATCH(Contract_Edits[[#This Row],[Dep]],Contract_Edits[Index],0)),"OK","Missing")
)</f>
        <v>OK</v>
      </c>
      <c r="AK245" s="475" t="str">
        <f>IF(AND(Contract_Edits[[#This Row],[Dep]]&lt;&gt;0,
        ISNUMBER(MATCH(Contract_Edits[[#This Row],[Dep]], Contract_Edits[Index], 0)),
        INDEX(Contract_Edits[Dep], MATCH(Contract_Edits[[#This Row],[Dep]], Contract_Edits[Index], 0))=Contract_Edits[[#This Row],[Index]]),
   "2-cycle","")</f>
        <v/>
      </c>
      <c r="AL245" s="475" cm="1">
        <f t="array" ref="AL245">IF(Contract_Edits[[#This Row],[BaseFlag]]&lt;&gt;1,0,
   IF(TEXT(Contract_Edits[[#This Row],[Dep]],"0")=TEXT(Contract_Edits[[#This Row],[Index]],"0"),
      0,
      MAX(0, SUMPRODUCT(--(Contract_Edits[BaseFlag]=1),
                        --(TEXT(Contract_Edits[Dep],"0")=TEXT(Contract_Edits[[#This Row],[Dep]],"0"))) - 1)
   )
)</f>
        <v>0</v>
      </c>
      <c r="AM245" s="475" t="str" cm="1">
        <f t="array" ref="AM245">IF(Contract_Edits[[#This Row],[BaseFlag]]=1,
   TEXT(Contract_Edits[[#This Row],[Index]],"0"),
   NearestBaseL(TEXT(Contract_Edits[[#This Row],[ParentKey]],"0"),500,editsIdxTxt,editsParentKeyTxt,baseIdxTxt,baseCost)
)</f>
        <v>196</v>
      </c>
      <c r="AN245" s="475" cm="1">
        <f t="array" ref="AN245">1+SUMPRODUCT(
  (Contract_Edits[BaseFlag]=1)*
  (TEXT(Contract_Edits[ParentAnchor],"0")=TEXT(Contract_Edits[[#This Row],[ParentAnchor]],"0"))*
  (VALUE(TEXT(Contract_Edits[Index],"0"))&lt;VALUE(TEXT(Contract_Edits[[#This Row],[Index]],"0")))
)</f>
        <v>1</v>
      </c>
    </row>
    <row r="246" spans="1:40" ht="15">
      <c r="A246"/>
      <c r="B246"/>
      <c r="C246"/>
      <c r="D246" s="458"/>
      <c r="E246" s="458"/>
      <c r="F246"/>
      <c r="G246"/>
      <c r="H246"/>
      <c r="I246"/>
      <c r="J246"/>
      <c r="L246" s="463">
        <v>221</v>
      </c>
      <c r="M246" s="543"/>
      <c r="N246" s="544"/>
      <c r="O246" s="546" cm="1">
        <f t="array" ref="O24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6" s="568"/>
      <c r="Q246" s="568"/>
      <c r="R246" s="499"/>
      <c r="S246" s="463" cm="1">
        <f t="array" ref="S24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6" s="34"/>
      <c r="U246" s="490"/>
      <c r="V24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6" s="557"/>
      <c r="X246" s="545"/>
      <c r="Y246" s="548" t="s">
        <v>1465</v>
      </c>
      <c r="Z246" s="160"/>
      <c r="AA246" s="563"/>
      <c r="AB246" s="34" cm="1">
        <f t="array" ref="AB246">ROW()-ROW(Contract_Edits[#Headers])</f>
        <v>222</v>
      </c>
      <c r="AC246" s="34">
        <f>IF(Contract_Edits[[#This Row],[RowPos]]&gt;1, Contract_Edits[[#This Row],[RowPos]]-1, 0)</f>
        <v>221</v>
      </c>
      <c r="AD246" s="35">
        <f>IF(N(Contract_Edits[[#This Row],[Dep]])=0, N(Contract_Edits[[#This Row],[Index]]), N(Contract_Edits[[#This Row],[Dep]]))</f>
        <v>196</v>
      </c>
      <c r="AE246" s="35" cm="1">
        <f t="array" ref="AE246">IF(OR(Contract_Edits[[#This Row],[Dep]]=0, TRIM(Contract_Edits[[#This Row],[Dep]])=""),
   0,
   IFERROR(
      _xlfn.XLOOKUP(1, (Contract_Edits[Dep]=Contract_Edits[[#This Row],[Dep]])*(Contract_Edits[RowPos]&lt;Contract_Edits[[#This Row],[RowPos]]), Contract_Edits[RowPos], , 0, -1),
      0
   )
)</f>
        <v>221</v>
      </c>
      <c r="AF246" s="35">
        <f>IF(OR(Contract_Edits[[#This Row],[Dep]]=0,Contract_Edits[[#This Row],[Dep]]=""),0,
   COUNTIFS(Contract_Edits[Dep],Contract_Edits[[#This Row],[Dep]],Contract_Edits[RowPos],"&lt;="&amp;Contract_Edits[[#This Row],[RowPos]],Contract_Edits[Approve],"Yes")
)</f>
        <v>1</v>
      </c>
      <c r="AG246" s="517">
        <f>--(
  ISNUMBER(SEARCH("BASE PARENT", UPPER(CLEAN(TRIM(_xlfn.XLOOKUP(TEXT(Contract_Edits[[#This Row],[Index]],"0"), baseIdxTxt, baseCost, "")))))) +
  ISNUMBER(SEARCH("DEPENDENCY GROUP", UPPER(CLEAN(TRIM(_xlfn.XLOOKUP(TEXT(Contract_Edits[[#This Row],[Index]],"0"), baseIdxTxt, baseCost, ""))))))
)</f>
        <v>0</v>
      </c>
      <c r="AH246" s="517" t="str" cm="1">
        <f t="array" ref="AH246">IF(Contract_Edits[[#This Row],[BaseFlag]]=1,
   10*BaseDepthL(TEXT(Contract_Edits[[#This Row],[Index]],"0"),500,editsIdxTxt,editsParentKeyTxt,baseIdxTxt,baseCost)-5,
   ""
)</f>
        <v/>
      </c>
      <c r="AI246" s="517" cm="1">
        <f t="array" ref="AI2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6" s="475" t="str">
        <f>IF(Contract_Edits[[#This Row],[Dep]]=0,"Root",
   IF(ISNUMBER(MATCH(Contract_Edits[[#This Row],[Dep]],Contract_Edits[Index],0)),"OK","Missing")
)</f>
        <v>OK</v>
      </c>
      <c r="AK246" s="475" t="str">
        <f>IF(AND(Contract_Edits[[#This Row],[Dep]]&lt;&gt;0,
        ISNUMBER(MATCH(Contract_Edits[[#This Row],[Dep]], Contract_Edits[Index], 0)),
        INDEX(Contract_Edits[Dep], MATCH(Contract_Edits[[#This Row],[Dep]], Contract_Edits[Index], 0))=Contract_Edits[[#This Row],[Index]]),
   "2-cycle","")</f>
        <v/>
      </c>
      <c r="AL246" s="475" cm="1">
        <f t="array" ref="AL246">IF(Contract_Edits[[#This Row],[BaseFlag]]&lt;&gt;1,0,
   IF(TEXT(Contract_Edits[[#This Row],[Dep]],"0")=TEXT(Contract_Edits[[#This Row],[Index]],"0"),
      0,
      MAX(0, SUMPRODUCT(--(Contract_Edits[BaseFlag]=1),
                        --(TEXT(Contract_Edits[Dep],"0")=TEXT(Contract_Edits[[#This Row],[Dep]],"0"))) - 1)
   )
)</f>
        <v>0</v>
      </c>
      <c r="AM246" s="475" t="str" cm="1">
        <f t="array" ref="AM246">IF(Contract_Edits[[#This Row],[BaseFlag]]=1,
   TEXT(Contract_Edits[[#This Row],[Index]],"0"),
   NearestBaseL(TEXT(Contract_Edits[[#This Row],[ParentKey]],"0"),500,editsIdxTxt,editsParentKeyTxt,baseIdxTxt,baseCost)
)</f>
        <v>196</v>
      </c>
      <c r="AN246" s="475" cm="1">
        <f t="array" ref="AN246">1+SUMPRODUCT(
  (Contract_Edits[BaseFlag]=1)*
  (TEXT(Contract_Edits[ParentAnchor],"0")=TEXT(Contract_Edits[[#This Row],[ParentAnchor]],"0"))*
  (VALUE(TEXT(Contract_Edits[Index],"0"))&lt;VALUE(TEXT(Contract_Edits[[#This Row],[Index]],"0")))
)</f>
        <v>1</v>
      </c>
    </row>
    <row r="247" spans="1:40" ht="15">
      <c r="A247"/>
      <c r="B247"/>
      <c r="C247"/>
      <c r="D247" s="458"/>
      <c r="E247" s="458"/>
      <c r="F247"/>
      <c r="G247"/>
      <c r="H247"/>
      <c r="I247"/>
      <c r="J247"/>
      <c r="L247" s="463">
        <v>222</v>
      </c>
      <c r="M247" s="543"/>
      <c r="N247" s="544"/>
      <c r="O247" s="546" cm="1">
        <f t="array" ref="O24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7" s="568"/>
      <c r="Q247" s="568"/>
      <c r="R247" s="499"/>
      <c r="S247" s="463" cm="1">
        <f t="array" ref="S24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7" s="34"/>
      <c r="U247" s="490"/>
      <c r="V24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7" s="557"/>
      <c r="X247" s="545"/>
      <c r="Y247" s="548" t="s">
        <v>1465</v>
      </c>
      <c r="Z247" s="160"/>
      <c r="AA247" s="563"/>
      <c r="AB247" s="34" cm="1">
        <f t="array" ref="AB247">ROW()-ROW(Contract_Edits[#Headers])</f>
        <v>223</v>
      </c>
      <c r="AC247" s="34">
        <f>IF(Contract_Edits[[#This Row],[RowPos]]&gt;1, Contract_Edits[[#This Row],[RowPos]]-1, 0)</f>
        <v>222</v>
      </c>
      <c r="AD247" s="35">
        <f>IF(N(Contract_Edits[[#This Row],[Dep]])=0, N(Contract_Edits[[#This Row],[Index]]), N(Contract_Edits[[#This Row],[Dep]]))</f>
        <v>196</v>
      </c>
      <c r="AE247" s="35" cm="1">
        <f t="array" ref="AE247">IF(OR(Contract_Edits[[#This Row],[Dep]]=0, TRIM(Contract_Edits[[#This Row],[Dep]])=""),
   0,
   IFERROR(
      _xlfn.XLOOKUP(1, (Contract_Edits[Dep]=Contract_Edits[[#This Row],[Dep]])*(Contract_Edits[RowPos]&lt;Contract_Edits[[#This Row],[RowPos]]), Contract_Edits[RowPos], , 0, -1),
      0
   )
)</f>
        <v>222</v>
      </c>
      <c r="AF247" s="35">
        <f>IF(OR(Contract_Edits[[#This Row],[Dep]]=0,Contract_Edits[[#This Row],[Dep]]=""),0,
   COUNTIFS(Contract_Edits[Dep],Contract_Edits[[#This Row],[Dep]],Contract_Edits[RowPos],"&lt;="&amp;Contract_Edits[[#This Row],[RowPos]],Contract_Edits[Approve],"Yes")
)</f>
        <v>1</v>
      </c>
      <c r="AG247" s="517">
        <f>--(
  ISNUMBER(SEARCH("BASE PARENT", UPPER(CLEAN(TRIM(_xlfn.XLOOKUP(TEXT(Contract_Edits[[#This Row],[Index]],"0"), baseIdxTxt, baseCost, "")))))) +
  ISNUMBER(SEARCH("DEPENDENCY GROUP", UPPER(CLEAN(TRIM(_xlfn.XLOOKUP(TEXT(Contract_Edits[[#This Row],[Index]],"0"), baseIdxTxt, baseCost, ""))))))
)</f>
        <v>0</v>
      </c>
      <c r="AH247" s="517" t="str" cm="1">
        <f t="array" ref="AH247">IF(Contract_Edits[[#This Row],[BaseFlag]]=1,
   10*BaseDepthL(TEXT(Contract_Edits[[#This Row],[Index]],"0"),500,editsIdxTxt,editsParentKeyTxt,baseIdxTxt,baseCost)-5,
   ""
)</f>
        <v/>
      </c>
      <c r="AI247" s="517" cm="1">
        <f t="array" ref="AI2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7" s="475" t="str">
        <f>IF(Contract_Edits[[#This Row],[Dep]]=0,"Root",
   IF(ISNUMBER(MATCH(Contract_Edits[[#This Row],[Dep]],Contract_Edits[Index],0)),"OK","Missing")
)</f>
        <v>OK</v>
      </c>
      <c r="AK247" s="475" t="str">
        <f>IF(AND(Contract_Edits[[#This Row],[Dep]]&lt;&gt;0,
        ISNUMBER(MATCH(Contract_Edits[[#This Row],[Dep]], Contract_Edits[Index], 0)),
        INDEX(Contract_Edits[Dep], MATCH(Contract_Edits[[#This Row],[Dep]], Contract_Edits[Index], 0))=Contract_Edits[[#This Row],[Index]]),
   "2-cycle","")</f>
        <v/>
      </c>
      <c r="AL247" s="475" cm="1">
        <f t="array" ref="AL247">IF(Contract_Edits[[#This Row],[BaseFlag]]&lt;&gt;1,0,
   IF(TEXT(Contract_Edits[[#This Row],[Dep]],"0")=TEXT(Contract_Edits[[#This Row],[Index]],"0"),
      0,
      MAX(0, SUMPRODUCT(--(Contract_Edits[BaseFlag]=1),
                        --(TEXT(Contract_Edits[Dep],"0")=TEXT(Contract_Edits[[#This Row],[Dep]],"0"))) - 1)
   )
)</f>
        <v>0</v>
      </c>
      <c r="AM247" s="475" t="str" cm="1">
        <f t="array" ref="AM247">IF(Contract_Edits[[#This Row],[BaseFlag]]=1,
   TEXT(Contract_Edits[[#This Row],[Index]],"0"),
   NearestBaseL(TEXT(Contract_Edits[[#This Row],[ParentKey]],"0"),500,editsIdxTxt,editsParentKeyTxt,baseIdxTxt,baseCost)
)</f>
        <v>196</v>
      </c>
      <c r="AN247" s="475" cm="1">
        <f t="array" ref="AN247">1+SUMPRODUCT(
  (Contract_Edits[BaseFlag]=1)*
  (TEXT(Contract_Edits[ParentAnchor],"0")=TEXT(Contract_Edits[[#This Row],[ParentAnchor]],"0"))*
  (VALUE(TEXT(Contract_Edits[Index],"0"))&lt;VALUE(TEXT(Contract_Edits[[#This Row],[Index]],"0")))
)</f>
        <v>1</v>
      </c>
    </row>
    <row r="248" spans="1:40" ht="15">
      <c r="A248"/>
      <c r="B248"/>
      <c r="C248"/>
      <c r="D248" s="458"/>
      <c r="E248" s="458"/>
      <c r="F248"/>
      <c r="G248"/>
      <c r="H248"/>
      <c r="I248"/>
      <c r="J248"/>
      <c r="L248" s="463">
        <v>223</v>
      </c>
      <c r="M248" s="543"/>
      <c r="N248" s="544"/>
      <c r="O248" s="546" cm="1">
        <f t="array" ref="O24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8" s="568"/>
      <c r="Q248" s="568"/>
      <c r="R248" s="499"/>
      <c r="S248" s="463" cm="1">
        <f t="array" ref="S24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8" s="34"/>
      <c r="U248" s="490"/>
      <c r="V24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8" s="557"/>
      <c r="X248" s="545"/>
      <c r="Y248" s="548" t="s">
        <v>1465</v>
      </c>
      <c r="Z248" s="160"/>
      <c r="AA248" s="563"/>
      <c r="AB248" s="34" cm="1">
        <f t="array" ref="AB248">ROW()-ROW(Contract_Edits[#Headers])</f>
        <v>224</v>
      </c>
      <c r="AC248" s="34">
        <f>IF(Contract_Edits[[#This Row],[RowPos]]&gt;1, Contract_Edits[[#This Row],[RowPos]]-1, 0)</f>
        <v>223</v>
      </c>
      <c r="AD248" s="35">
        <f>IF(N(Contract_Edits[[#This Row],[Dep]])=0, N(Contract_Edits[[#This Row],[Index]]), N(Contract_Edits[[#This Row],[Dep]]))</f>
        <v>196</v>
      </c>
      <c r="AE248" s="35" cm="1">
        <f t="array" ref="AE248">IF(OR(Contract_Edits[[#This Row],[Dep]]=0, TRIM(Contract_Edits[[#This Row],[Dep]])=""),
   0,
   IFERROR(
      _xlfn.XLOOKUP(1, (Contract_Edits[Dep]=Contract_Edits[[#This Row],[Dep]])*(Contract_Edits[RowPos]&lt;Contract_Edits[[#This Row],[RowPos]]), Contract_Edits[RowPos], , 0, -1),
      0
   )
)</f>
        <v>223</v>
      </c>
      <c r="AF248" s="35">
        <f>IF(OR(Contract_Edits[[#This Row],[Dep]]=0,Contract_Edits[[#This Row],[Dep]]=""),0,
   COUNTIFS(Contract_Edits[Dep],Contract_Edits[[#This Row],[Dep]],Contract_Edits[RowPos],"&lt;="&amp;Contract_Edits[[#This Row],[RowPos]],Contract_Edits[Approve],"Yes")
)</f>
        <v>1</v>
      </c>
      <c r="AG248" s="517">
        <f>--(
  ISNUMBER(SEARCH("BASE PARENT", UPPER(CLEAN(TRIM(_xlfn.XLOOKUP(TEXT(Contract_Edits[[#This Row],[Index]],"0"), baseIdxTxt, baseCost, "")))))) +
  ISNUMBER(SEARCH("DEPENDENCY GROUP", UPPER(CLEAN(TRIM(_xlfn.XLOOKUP(TEXT(Contract_Edits[[#This Row],[Index]],"0"), baseIdxTxt, baseCost, ""))))))
)</f>
        <v>0</v>
      </c>
      <c r="AH248" s="517" t="str" cm="1">
        <f t="array" ref="AH248">IF(Contract_Edits[[#This Row],[BaseFlag]]=1,
   10*BaseDepthL(TEXT(Contract_Edits[[#This Row],[Index]],"0"),500,editsIdxTxt,editsParentKeyTxt,baseIdxTxt,baseCost)-5,
   ""
)</f>
        <v/>
      </c>
      <c r="AI248" s="517" cm="1">
        <f t="array" ref="AI2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8" s="475" t="str">
        <f>IF(Contract_Edits[[#This Row],[Dep]]=0,"Root",
   IF(ISNUMBER(MATCH(Contract_Edits[[#This Row],[Dep]],Contract_Edits[Index],0)),"OK","Missing")
)</f>
        <v>OK</v>
      </c>
      <c r="AK248" s="475" t="str">
        <f>IF(AND(Contract_Edits[[#This Row],[Dep]]&lt;&gt;0,
        ISNUMBER(MATCH(Contract_Edits[[#This Row],[Dep]], Contract_Edits[Index], 0)),
        INDEX(Contract_Edits[Dep], MATCH(Contract_Edits[[#This Row],[Dep]], Contract_Edits[Index], 0))=Contract_Edits[[#This Row],[Index]]),
   "2-cycle","")</f>
        <v/>
      </c>
      <c r="AL248" s="475" cm="1">
        <f t="array" ref="AL248">IF(Contract_Edits[[#This Row],[BaseFlag]]&lt;&gt;1,0,
   IF(TEXT(Contract_Edits[[#This Row],[Dep]],"0")=TEXT(Contract_Edits[[#This Row],[Index]],"0"),
      0,
      MAX(0, SUMPRODUCT(--(Contract_Edits[BaseFlag]=1),
                        --(TEXT(Contract_Edits[Dep],"0")=TEXT(Contract_Edits[[#This Row],[Dep]],"0"))) - 1)
   )
)</f>
        <v>0</v>
      </c>
      <c r="AM248" s="475" t="str" cm="1">
        <f t="array" ref="AM248">IF(Contract_Edits[[#This Row],[BaseFlag]]=1,
   TEXT(Contract_Edits[[#This Row],[Index]],"0"),
   NearestBaseL(TEXT(Contract_Edits[[#This Row],[ParentKey]],"0"),500,editsIdxTxt,editsParentKeyTxt,baseIdxTxt,baseCost)
)</f>
        <v>196</v>
      </c>
      <c r="AN248" s="475" cm="1">
        <f t="array" ref="AN248">1+SUMPRODUCT(
  (Contract_Edits[BaseFlag]=1)*
  (TEXT(Contract_Edits[ParentAnchor],"0")=TEXT(Contract_Edits[[#This Row],[ParentAnchor]],"0"))*
  (VALUE(TEXT(Contract_Edits[Index],"0"))&lt;VALUE(TEXT(Contract_Edits[[#This Row],[Index]],"0")))
)</f>
        <v>1</v>
      </c>
    </row>
    <row r="249" spans="1:40" ht="18" customHeight="1">
      <c r="A249"/>
      <c r="B249"/>
      <c r="C249"/>
      <c r="D249" s="458"/>
      <c r="E249" s="458"/>
      <c r="F249"/>
      <c r="G249"/>
      <c r="H249"/>
      <c r="I249"/>
      <c r="J249"/>
      <c r="L249" s="463">
        <v>224</v>
      </c>
      <c r="M249" s="543"/>
      <c r="N249" s="544"/>
      <c r="O249" s="546" cm="1">
        <f t="array" ref="O24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9" s="568"/>
      <c r="Q249" s="568"/>
      <c r="R249" s="499"/>
      <c r="S249" s="463" cm="1">
        <f t="array" ref="S24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9" s="34"/>
      <c r="U249" s="490"/>
      <c r="V24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9" s="557"/>
      <c r="X249" s="545"/>
      <c r="Y249" s="548" t="s">
        <v>1465</v>
      </c>
      <c r="Z249" s="160"/>
      <c r="AA249" s="563"/>
      <c r="AB249" s="34" cm="1">
        <f t="array" ref="AB249">ROW()-ROW(Contract_Edits[#Headers])</f>
        <v>225</v>
      </c>
      <c r="AC249" s="34">
        <f>IF(Contract_Edits[[#This Row],[RowPos]]&gt;1, Contract_Edits[[#This Row],[RowPos]]-1, 0)</f>
        <v>224</v>
      </c>
      <c r="AD249" s="35">
        <f>IF(N(Contract_Edits[[#This Row],[Dep]])=0, N(Contract_Edits[[#This Row],[Index]]), N(Contract_Edits[[#This Row],[Dep]]))</f>
        <v>196</v>
      </c>
      <c r="AE249" s="35" cm="1">
        <f t="array" ref="AE249">IF(OR(Contract_Edits[[#This Row],[Dep]]=0, TRIM(Contract_Edits[[#This Row],[Dep]])=""),
   0,
   IFERROR(
      _xlfn.XLOOKUP(1, (Contract_Edits[Dep]=Contract_Edits[[#This Row],[Dep]])*(Contract_Edits[RowPos]&lt;Contract_Edits[[#This Row],[RowPos]]), Contract_Edits[RowPos], , 0, -1),
      0
   )
)</f>
        <v>224</v>
      </c>
      <c r="AF249" s="35">
        <f>IF(OR(Contract_Edits[[#This Row],[Dep]]=0,Contract_Edits[[#This Row],[Dep]]=""),0,
   COUNTIFS(Contract_Edits[Dep],Contract_Edits[[#This Row],[Dep]],Contract_Edits[RowPos],"&lt;="&amp;Contract_Edits[[#This Row],[RowPos]],Contract_Edits[Approve],"Yes")
)</f>
        <v>1</v>
      </c>
      <c r="AG249" s="517">
        <f>--(
  ISNUMBER(SEARCH("BASE PARENT", UPPER(CLEAN(TRIM(_xlfn.XLOOKUP(TEXT(Contract_Edits[[#This Row],[Index]],"0"), baseIdxTxt, baseCost, "")))))) +
  ISNUMBER(SEARCH("DEPENDENCY GROUP", UPPER(CLEAN(TRIM(_xlfn.XLOOKUP(TEXT(Contract_Edits[[#This Row],[Index]],"0"), baseIdxTxt, baseCost, ""))))))
)</f>
        <v>0</v>
      </c>
      <c r="AH249" s="517" t="str" cm="1">
        <f t="array" ref="AH249">IF(Contract_Edits[[#This Row],[BaseFlag]]=1,
   10*BaseDepthL(TEXT(Contract_Edits[[#This Row],[Index]],"0"),500,editsIdxTxt,editsParentKeyTxt,baseIdxTxt,baseCost)-5,
   ""
)</f>
        <v/>
      </c>
      <c r="AI249" s="517" cm="1">
        <f t="array" ref="AI2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9" s="475" t="str">
        <f>IF(Contract_Edits[[#This Row],[Dep]]=0,"Root",
   IF(ISNUMBER(MATCH(Contract_Edits[[#This Row],[Dep]],Contract_Edits[Index],0)),"OK","Missing")
)</f>
        <v>OK</v>
      </c>
      <c r="AK249" s="475" t="str">
        <f>IF(AND(Contract_Edits[[#This Row],[Dep]]&lt;&gt;0,
        ISNUMBER(MATCH(Contract_Edits[[#This Row],[Dep]], Contract_Edits[Index], 0)),
        INDEX(Contract_Edits[Dep], MATCH(Contract_Edits[[#This Row],[Dep]], Contract_Edits[Index], 0))=Contract_Edits[[#This Row],[Index]]),
   "2-cycle","")</f>
        <v/>
      </c>
      <c r="AL249" s="475" cm="1">
        <f t="array" ref="AL249">IF(Contract_Edits[[#This Row],[BaseFlag]]&lt;&gt;1,0,
   IF(TEXT(Contract_Edits[[#This Row],[Dep]],"0")=TEXT(Contract_Edits[[#This Row],[Index]],"0"),
      0,
      MAX(0, SUMPRODUCT(--(Contract_Edits[BaseFlag]=1),
                        --(TEXT(Contract_Edits[Dep],"0")=TEXT(Contract_Edits[[#This Row],[Dep]],"0"))) - 1)
   )
)</f>
        <v>0</v>
      </c>
      <c r="AM249" s="475" t="str" cm="1">
        <f t="array" ref="AM249">IF(Contract_Edits[[#This Row],[BaseFlag]]=1,
   TEXT(Contract_Edits[[#This Row],[Index]],"0"),
   NearestBaseL(TEXT(Contract_Edits[[#This Row],[ParentKey]],"0"),500,editsIdxTxt,editsParentKeyTxt,baseIdxTxt,baseCost)
)</f>
        <v>196</v>
      </c>
      <c r="AN249" s="475" cm="1">
        <f t="array" ref="AN249">1+SUMPRODUCT(
  (Contract_Edits[BaseFlag]=1)*
  (TEXT(Contract_Edits[ParentAnchor],"0")=TEXT(Contract_Edits[[#This Row],[ParentAnchor]],"0"))*
  (VALUE(TEXT(Contract_Edits[Index],"0"))&lt;VALUE(TEXT(Contract_Edits[[#This Row],[Index]],"0")))
)</f>
        <v>1</v>
      </c>
    </row>
    <row r="250" spans="1:40" ht="18" customHeight="1">
      <c r="A250"/>
      <c r="B250"/>
      <c r="C250"/>
      <c r="D250" s="458"/>
      <c r="E250" s="458"/>
      <c r="F250"/>
      <c r="G250"/>
      <c r="H250"/>
      <c r="I250"/>
      <c r="J250"/>
      <c r="L250" s="463">
        <v>225</v>
      </c>
      <c r="M250" s="543"/>
      <c r="N250" s="544"/>
      <c r="O250" s="546" cm="1">
        <f t="array" ref="O25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0" s="568"/>
      <c r="Q250" s="568"/>
      <c r="R250" s="499"/>
      <c r="S250" s="463" cm="1">
        <f t="array" ref="S25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0" s="34"/>
      <c r="U250" s="490"/>
      <c r="V25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0" s="557"/>
      <c r="X250" s="545"/>
      <c r="Y250" s="548" t="s">
        <v>1465</v>
      </c>
      <c r="Z250" s="160"/>
      <c r="AA250" s="563"/>
      <c r="AB250" s="34" cm="1">
        <f t="array" ref="AB250">ROW()-ROW(Contract_Edits[#Headers])</f>
        <v>226</v>
      </c>
      <c r="AC250" s="34">
        <f>IF(Contract_Edits[[#This Row],[RowPos]]&gt;1, Contract_Edits[[#This Row],[RowPos]]-1, 0)</f>
        <v>225</v>
      </c>
      <c r="AD250" s="35">
        <f>IF(N(Contract_Edits[[#This Row],[Dep]])=0, N(Contract_Edits[[#This Row],[Index]]), N(Contract_Edits[[#This Row],[Dep]]))</f>
        <v>196</v>
      </c>
      <c r="AE250" s="35" cm="1">
        <f t="array" ref="AE250">IF(OR(Contract_Edits[[#This Row],[Dep]]=0, TRIM(Contract_Edits[[#This Row],[Dep]])=""),
   0,
   IFERROR(
      _xlfn.XLOOKUP(1, (Contract_Edits[Dep]=Contract_Edits[[#This Row],[Dep]])*(Contract_Edits[RowPos]&lt;Contract_Edits[[#This Row],[RowPos]]), Contract_Edits[RowPos], , 0, -1),
      0
   )
)</f>
        <v>225</v>
      </c>
      <c r="AF250" s="35">
        <f>IF(OR(Contract_Edits[[#This Row],[Dep]]=0,Contract_Edits[[#This Row],[Dep]]=""),0,
   COUNTIFS(Contract_Edits[Dep],Contract_Edits[[#This Row],[Dep]],Contract_Edits[RowPos],"&lt;="&amp;Contract_Edits[[#This Row],[RowPos]],Contract_Edits[Approve],"Yes")
)</f>
        <v>1</v>
      </c>
      <c r="AG250" s="517">
        <f>--(
  ISNUMBER(SEARCH("BASE PARENT", UPPER(CLEAN(TRIM(_xlfn.XLOOKUP(TEXT(Contract_Edits[[#This Row],[Index]],"0"), baseIdxTxt, baseCost, "")))))) +
  ISNUMBER(SEARCH("DEPENDENCY GROUP", UPPER(CLEAN(TRIM(_xlfn.XLOOKUP(TEXT(Contract_Edits[[#This Row],[Index]],"0"), baseIdxTxt, baseCost, ""))))))
)</f>
        <v>0</v>
      </c>
      <c r="AH250" s="517" t="str" cm="1">
        <f t="array" ref="AH250">IF(Contract_Edits[[#This Row],[BaseFlag]]=1,
   10*BaseDepthL(TEXT(Contract_Edits[[#This Row],[Index]],"0"),500,editsIdxTxt,editsParentKeyTxt,baseIdxTxt,baseCost)-5,
   ""
)</f>
        <v/>
      </c>
      <c r="AI250" s="517" cm="1">
        <f t="array" ref="AI2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0" s="475" t="str">
        <f>IF(Contract_Edits[[#This Row],[Dep]]=0,"Root",
   IF(ISNUMBER(MATCH(Contract_Edits[[#This Row],[Dep]],Contract_Edits[Index],0)),"OK","Missing")
)</f>
        <v>OK</v>
      </c>
      <c r="AK250" s="475" t="str">
        <f>IF(AND(Contract_Edits[[#This Row],[Dep]]&lt;&gt;0,
        ISNUMBER(MATCH(Contract_Edits[[#This Row],[Dep]], Contract_Edits[Index], 0)),
        INDEX(Contract_Edits[Dep], MATCH(Contract_Edits[[#This Row],[Dep]], Contract_Edits[Index], 0))=Contract_Edits[[#This Row],[Index]]),
   "2-cycle","")</f>
        <v/>
      </c>
      <c r="AL250" s="475" cm="1">
        <f t="array" ref="AL250">IF(Contract_Edits[[#This Row],[BaseFlag]]&lt;&gt;1,0,
   IF(TEXT(Contract_Edits[[#This Row],[Dep]],"0")=TEXT(Contract_Edits[[#This Row],[Index]],"0"),
      0,
      MAX(0, SUMPRODUCT(--(Contract_Edits[BaseFlag]=1),
                        --(TEXT(Contract_Edits[Dep],"0")=TEXT(Contract_Edits[[#This Row],[Dep]],"0"))) - 1)
   )
)</f>
        <v>0</v>
      </c>
      <c r="AM250" s="475" t="str" cm="1">
        <f t="array" ref="AM250">IF(Contract_Edits[[#This Row],[BaseFlag]]=1,
   TEXT(Contract_Edits[[#This Row],[Index]],"0"),
   NearestBaseL(TEXT(Contract_Edits[[#This Row],[ParentKey]],"0"),500,editsIdxTxt,editsParentKeyTxt,baseIdxTxt,baseCost)
)</f>
        <v>196</v>
      </c>
      <c r="AN250" s="475" cm="1">
        <f t="array" ref="AN250">1+SUMPRODUCT(
  (Contract_Edits[BaseFlag]=1)*
  (TEXT(Contract_Edits[ParentAnchor],"0")=TEXT(Contract_Edits[[#This Row],[ParentAnchor]],"0"))*
  (VALUE(TEXT(Contract_Edits[Index],"0"))&lt;VALUE(TEXT(Contract_Edits[[#This Row],[Index]],"0")))
)</f>
        <v>1</v>
      </c>
    </row>
    <row r="251" spans="1:40" ht="18" customHeight="1">
      <c r="A251"/>
      <c r="B251"/>
      <c r="C251"/>
      <c r="D251" s="458"/>
      <c r="E251" s="458"/>
      <c r="F251"/>
      <c r="G251"/>
      <c r="H251"/>
      <c r="I251"/>
      <c r="J251"/>
      <c r="L251" s="463">
        <v>226</v>
      </c>
      <c r="M251" s="543"/>
      <c r="N251" s="544"/>
      <c r="O251" s="546" cm="1">
        <f t="array" ref="O25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1" s="568"/>
      <c r="Q251" s="568"/>
      <c r="R251" s="499"/>
      <c r="S251" s="463" cm="1">
        <f t="array" ref="S25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1" s="34"/>
      <c r="U251" s="490"/>
      <c r="V25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1" s="557"/>
      <c r="X251" s="545"/>
      <c r="Y251" s="548" t="s">
        <v>1465</v>
      </c>
      <c r="Z251" s="160"/>
      <c r="AA251" s="563"/>
      <c r="AB251" s="34" cm="1">
        <f t="array" ref="AB251">ROW()-ROW(Contract_Edits[#Headers])</f>
        <v>227</v>
      </c>
      <c r="AC251" s="34">
        <f>IF(Contract_Edits[[#This Row],[RowPos]]&gt;1, Contract_Edits[[#This Row],[RowPos]]-1, 0)</f>
        <v>226</v>
      </c>
      <c r="AD251" s="35">
        <f>IF(N(Contract_Edits[[#This Row],[Dep]])=0, N(Contract_Edits[[#This Row],[Index]]), N(Contract_Edits[[#This Row],[Dep]]))</f>
        <v>196</v>
      </c>
      <c r="AE251" s="35" cm="1">
        <f t="array" ref="AE251">IF(OR(Contract_Edits[[#This Row],[Dep]]=0, TRIM(Contract_Edits[[#This Row],[Dep]])=""),
   0,
   IFERROR(
      _xlfn.XLOOKUP(1, (Contract_Edits[Dep]=Contract_Edits[[#This Row],[Dep]])*(Contract_Edits[RowPos]&lt;Contract_Edits[[#This Row],[RowPos]]), Contract_Edits[RowPos], , 0, -1),
      0
   )
)</f>
        <v>226</v>
      </c>
      <c r="AF251" s="35">
        <f>IF(OR(Contract_Edits[[#This Row],[Dep]]=0,Contract_Edits[[#This Row],[Dep]]=""),0,
   COUNTIFS(Contract_Edits[Dep],Contract_Edits[[#This Row],[Dep]],Contract_Edits[RowPos],"&lt;="&amp;Contract_Edits[[#This Row],[RowPos]],Contract_Edits[Approve],"Yes")
)</f>
        <v>1</v>
      </c>
      <c r="AG251" s="517">
        <f>--(
  ISNUMBER(SEARCH("BASE PARENT", UPPER(CLEAN(TRIM(_xlfn.XLOOKUP(TEXT(Contract_Edits[[#This Row],[Index]],"0"), baseIdxTxt, baseCost, "")))))) +
  ISNUMBER(SEARCH("DEPENDENCY GROUP", UPPER(CLEAN(TRIM(_xlfn.XLOOKUP(TEXT(Contract_Edits[[#This Row],[Index]],"0"), baseIdxTxt, baseCost, ""))))))
)</f>
        <v>0</v>
      </c>
      <c r="AH251" s="517" t="str" cm="1">
        <f t="array" ref="AH251">IF(Contract_Edits[[#This Row],[BaseFlag]]=1,
   10*BaseDepthL(TEXT(Contract_Edits[[#This Row],[Index]],"0"),500,editsIdxTxt,editsParentKeyTxt,baseIdxTxt,baseCost)-5,
   ""
)</f>
        <v/>
      </c>
      <c r="AI251" s="517" cm="1">
        <f t="array" ref="AI2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1" s="475" t="str">
        <f>IF(Contract_Edits[[#This Row],[Dep]]=0,"Root",
   IF(ISNUMBER(MATCH(Contract_Edits[[#This Row],[Dep]],Contract_Edits[Index],0)),"OK","Missing")
)</f>
        <v>OK</v>
      </c>
      <c r="AK251" s="475" t="str">
        <f>IF(AND(Contract_Edits[[#This Row],[Dep]]&lt;&gt;0,
        ISNUMBER(MATCH(Contract_Edits[[#This Row],[Dep]], Contract_Edits[Index], 0)),
        INDEX(Contract_Edits[Dep], MATCH(Contract_Edits[[#This Row],[Dep]], Contract_Edits[Index], 0))=Contract_Edits[[#This Row],[Index]]),
   "2-cycle","")</f>
        <v/>
      </c>
      <c r="AL251" s="475" cm="1">
        <f t="array" ref="AL251">IF(Contract_Edits[[#This Row],[BaseFlag]]&lt;&gt;1,0,
   IF(TEXT(Contract_Edits[[#This Row],[Dep]],"0")=TEXT(Contract_Edits[[#This Row],[Index]],"0"),
      0,
      MAX(0, SUMPRODUCT(--(Contract_Edits[BaseFlag]=1),
                        --(TEXT(Contract_Edits[Dep],"0")=TEXT(Contract_Edits[[#This Row],[Dep]],"0"))) - 1)
   )
)</f>
        <v>0</v>
      </c>
      <c r="AM251" s="475" t="str" cm="1">
        <f t="array" ref="AM251">IF(Contract_Edits[[#This Row],[BaseFlag]]=1,
   TEXT(Contract_Edits[[#This Row],[Index]],"0"),
   NearestBaseL(TEXT(Contract_Edits[[#This Row],[ParentKey]],"0"),500,editsIdxTxt,editsParentKeyTxt,baseIdxTxt,baseCost)
)</f>
        <v>196</v>
      </c>
      <c r="AN251" s="475" cm="1">
        <f t="array" ref="AN251">1+SUMPRODUCT(
  (Contract_Edits[BaseFlag]=1)*
  (TEXT(Contract_Edits[ParentAnchor],"0")=TEXT(Contract_Edits[[#This Row],[ParentAnchor]],"0"))*
  (VALUE(TEXT(Contract_Edits[Index],"0"))&lt;VALUE(TEXT(Contract_Edits[[#This Row],[Index]],"0")))
)</f>
        <v>1</v>
      </c>
    </row>
    <row r="252" spans="1:40" ht="18" customHeight="1">
      <c r="A252"/>
      <c r="B252"/>
      <c r="C252"/>
      <c r="D252" s="458"/>
      <c r="E252" s="458"/>
      <c r="F252"/>
      <c r="G252"/>
      <c r="H252"/>
      <c r="I252"/>
      <c r="J252"/>
      <c r="L252" s="463">
        <v>227</v>
      </c>
      <c r="M252" s="543"/>
      <c r="N252" s="544"/>
      <c r="O252" s="546" cm="1">
        <f t="array" ref="O25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2" s="568"/>
      <c r="Q252" s="568"/>
      <c r="R252" s="499"/>
      <c r="S252" s="463" cm="1">
        <f t="array" ref="S25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2" s="34"/>
      <c r="U252" s="490"/>
      <c r="V25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2" s="557"/>
      <c r="X252" s="545"/>
      <c r="Y252" s="548" t="s">
        <v>1465</v>
      </c>
      <c r="Z252" s="160"/>
      <c r="AA252" s="563"/>
      <c r="AB252" s="34" cm="1">
        <f t="array" ref="AB252">ROW()-ROW(Contract_Edits[#Headers])</f>
        <v>228</v>
      </c>
      <c r="AC252" s="34">
        <f>IF(Contract_Edits[[#This Row],[RowPos]]&gt;1, Contract_Edits[[#This Row],[RowPos]]-1, 0)</f>
        <v>227</v>
      </c>
      <c r="AD252" s="35">
        <f>IF(N(Contract_Edits[[#This Row],[Dep]])=0, N(Contract_Edits[[#This Row],[Index]]), N(Contract_Edits[[#This Row],[Dep]]))</f>
        <v>196</v>
      </c>
      <c r="AE252" s="35" cm="1">
        <f t="array" ref="AE252">IF(OR(Contract_Edits[[#This Row],[Dep]]=0, TRIM(Contract_Edits[[#This Row],[Dep]])=""),
   0,
   IFERROR(
      _xlfn.XLOOKUP(1, (Contract_Edits[Dep]=Contract_Edits[[#This Row],[Dep]])*(Contract_Edits[RowPos]&lt;Contract_Edits[[#This Row],[RowPos]]), Contract_Edits[RowPos], , 0, -1),
      0
   )
)</f>
        <v>227</v>
      </c>
      <c r="AF252" s="35">
        <f>IF(OR(Contract_Edits[[#This Row],[Dep]]=0,Contract_Edits[[#This Row],[Dep]]=""),0,
   COUNTIFS(Contract_Edits[Dep],Contract_Edits[[#This Row],[Dep]],Contract_Edits[RowPos],"&lt;="&amp;Contract_Edits[[#This Row],[RowPos]],Contract_Edits[Approve],"Yes")
)</f>
        <v>1</v>
      </c>
      <c r="AG252" s="517">
        <f>--(
  ISNUMBER(SEARCH("BASE PARENT", UPPER(CLEAN(TRIM(_xlfn.XLOOKUP(TEXT(Contract_Edits[[#This Row],[Index]],"0"), baseIdxTxt, baseCost, "")))))) +
  ISNUMBER(SEARCH("DEPENDENCY GROUP", UPPER(CLEAN(TRIM(_xlfn.XLOOKUP(TEXT(Contract_Edits[[#This Row],[Index]],"0"), baseIdxTxt, baseCost, ""))))))
)</f>
        <v>0</v>
      </c>
      <c r="AH252" s="517" t="str" cm="1">
        <f t="array" ref="AH252">IF(Contract_Edits[[#This Row],[BaseFlag]]=1,
   10*BaseDepthL(TEXT(Contract_Edits[[#This Row],[Index]],"0"),500,editsIdxTxt,editsParentKeyTxt,baseIdxTxt,baseCost)-5,
   ""
)</f>
        <v/>
      </c>
      <c r="AI252" s="517" cm="1">
        <f t="array" ref="AI2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2" s="475" t="str">
        <f>IF(Contract_Edits[[#This Row],[Dep]]=0,"Root",
   IF(ISNUMBER(MATCH(Contract_Edits[[#This Row],[Dep]],Contract_Edits[Index],0)),"OK","Missing")
)</f>
        <v>OK</v>
      </c>
      <c r="AK252" s="475" t="str">
        <f>IF(AND(Contract_Edits[[#This Row],[Dep]]&lt;&gt;0,
        ISNUMBER(MATCH(Contract_Edits[[#This Row],[Dep]], Contract_Edits[Index], 0)),
        INDEX(Contract_Edits[Dep], MATCH(Contract_Edits[[#This Row],[Dep]], Contract_Edits[Index], 0))=Contract_Edits[[#This Row],[Index]]),
   "2-cycle","")</f>
        <v/>
      </c>
      <c r="AL252" s="475" cm="1">
        <f t="array" ref="AL252">IF(Contract_Edits[[#This Row],[BaseFlag]]&lt;&gt;1,0,
   IF(TEXT(Contract_Edits[[#This Row],[Dep]],"0")=TEXT(Contract_Edits[[#This Row],[Index]],"0"),
      0,
      MAX(0, SUMPRODUCT(--(Contract_Edits[BaseFlag]=1),
                        --(TEXT(Contract_Edits[Dep],"0")=TEXT(Contract_Edits[[#This Row],[Dep]],"0"))) - 1)
   )
)</f>
        <v>0</v>
      </c>
      <c r="AM252" s="475" t="str" cm="1">
        <f t="array" ref="AM252">IF(Contract_Edits[[#This Row],[BaseFlag]]=1,
   TEXT(Contract_Edits[[#This Row],[Index]],"0"),
   NearestBaseL(TEXT(Contract_Edits[[#This Row],[ParentKey]],"0"),500,editsIdxTxt,editsParentKeyTxt,baseIdxTxt,baseCost)
)</f>
        <v>196</v>
      </c>
      <c r="AN252" s="475" cm="1">
        <f t="array" ref="AN252">1+SUMPRODUCT(
  (Contract_Edits[BaseFlag]=1)*
  (TEXT(Contract_Edits[ParentAnchor],"0")=TEXT(Contract_Edits[[#This Row],[ParentAnchor]],"0"))*
  (VALUE(TEXT(Contract_Edits[Index],"0"))&lt;VALUE(TEXT(Contract_Edits[[#This Row],[Index]],"0")))
)</f>
        <v>1</v>
      </c>
    </row>
    <row r="253" spans="1:40" ht="18" customHeight="1">
      <c r="A253"/>
      <c r="B253"/>
      <c r="C253"/>
      <c r="D253" s="458"/>
      <c r="E253" s="458"/>
      <c r="F253"/>
      <c r="G253"/>
      <c r="H253"/>
      <c r="I253"/>
      <c r="J253"/>
      <c r="L253" s="463">
        <v>228</v>
      </c>
      <c r="M253" s="543"/>
      <c r="N253" s="544"/>
      <c r="O253" s="546" cm="1">
        <f t="array" ref="O25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3" s="568"/>
      <c r="Q253" s="568"/>
      <c r="R253" s="499"/>
      <c r="S253" s="463" cm="1">
        <f t="array" ref="S25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3" s="34"/>
      <c r="U253" s="490"/>
      <c r="V25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3" s="557"/>
      <c r="X253" s="545"/>
      <c r="Y253" s="548" t="s">
        <v>1465</v>
      </c>
      <c r="Z253" s="160"/>
      <c r="AA253" s="563"/>
      <c r="AB253" s="34" cm="1">
        <f t="array" ref="AB253">ROW()-ROW(Contract_Edits[#Headers])</f>
        <v>229</v>
      </c>
      <c r="AC253" s="34">
        <f>IF(Contract_Edits[[#This Row],[RowPos]]&gt;1, Contract_Edits[[#This Row],[RowPos]]-1, 0)</f>
        <v>228</v>
      </c>
      <c r="AD253" s="35">
        <f>IF(N(Contract_Edits[[#This Row],[Dep]])=0, N(Contract_Edits[[#This Row],[Index]]), N(Contract_Edits[[#This Row],[Dep]]))</f>
        <v>196</v>
      </c>
      <c r="AE253" s="35" cm="1">
        <f t="array" ref="AE253">IF(OR(Contract_Edits[[#This Row],[Dep]]=0, TRIM(Contract_Edits[[#This Row],[Dep]])=""),
   0,
   IFERROR(
      _xlfn.XLOOKUP(1, (Contract_Edits[Dep]=Contract_Edits[[#This Row],[Dep]])*(Contract_Edits[RowPos]&lt;Contract_Edits[[#This Row],[RowPos]]), Contract_Edits[RowPos], , 0, -1),
      0
   )
)</f>
        <v>228</v>
      </c>
      <c r="AF253" s="35">
        <f>IF(OR(Contract_Edits[[#This Row],[Dep]]=0,Contract_Edits[[#This Row],[Dep]]=""),0,
   COUNTIFS(Contract_Edits[Dep],Contract_Edits[[#This Row],[Dep]],Contract_Edits[RowPos],"&lt;="&amp;Contract_Edits[[#This Row],[RowPos]],Contract_Edits[Approve],"Yes")
)</f>
        <v>1</v>
      </c>
      <c r="AG253" s="517">
        <f>--(
  ISNUMBER(SEARCH("BASE PARENT", UPPER(CLEAN(TRIM(_xlfn.XLOOKUP(TEXT(Contract_Edits[[#This Row],[Index]],"0"), baseIdxTxt, baseCost, "")))))) +
  ISNUMBER(SEARCH("DEPENDENCY GROUP", UPPER(CLEAN(TRIM(_xlfn.XLOOKUP(TEXT(Contract_Edits[[#This Row],[Index]],"0"), baseIdxTxt, baseCost, ""))))))
)</f>
        <v>0</v>
      </c>
      <c r="AH253" s="517" t="str" cm="1">
        <f t="array" ref="AH253">IF(Contract_Edits[[#This Row],[BaseFlag]]=1,
   10*BaseDepthL(TEXT(Contract_Edits[[#This Row],[Index]],"0"),500,editsIdxTxt,editsParentKeyTxt,baseIdxTxt,baseCost)-5,
   ""
)</f>
        <v/>
      </c>
      <c r="AI253" s="517" cm="1">
        <f t="array" ref="AI2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3" s="475" t="str">
        <f>IF(Contract_Edits[[#This Row],[Dep]]=0,"Root",
   IF(ISNUMBER(MATCH(Contract_Edits[[#This Row],[Dep]],Contract_Edits[Index],0)),"OK","Missing")
)</f>
        <v>OK</v>
      </c>
      <c r="AK253" s="475" t="str">
        <f>IF(AND(Contract_Edits[[#This Row],[Dep]]&lt;&gt;0,
        ISNUMBER(MATCH(Contract_Edits[[#This Row],[Dep]], Contract_Edits[Index], 0)),
        INDEX(Contract_Edits[Dep], MATCH(Contract_Edits[[#This Row],[Dep]], Contract_Edits[Index], 0))=Contract_Edits[[#This Row],[Index]]),
   "2-cycle","")</f>
        <v/>
      </c>
      <c r="AL253" s="475" cm="1">
        <f t="array" ref="AL253">IF(Contract_Edits[[#This Row],[BaseFlag]]&lt;&gt;1,0,
   IF(TEXT(Contract_Edits[[#This Row],[Dep]],"0")=TEXT(Contract_Edits[[#This Row],[Index]],"0"),
      0,
      MAX(0, SUMPRODUCT(--(Contract_Edits[BaseFlag]=1),
                        --(TEXT(Contract_Edits[Dep],"0")=TEXT(Contract_Edits[[#This Row],[Dep]],"0"))) - 1)
   )
)</f>
        <v>0</v>
      </c>
      <c r="AM253" s="475" t="str" cm="1">
        <f t="array" ref="AM253">IF(Contract_Edits[[#This Row],[BaseFlag]]=1,
   TEXT(Contract_Edits[[#This Row],[Index]],"0"),
   NearestBaseL(TEXT(Contract_Edits[[#This Row],[ParentKey]],"0"),500,editsIdxTxt,editsParentKeyTxt,baseIdxTxt,baseCost)
)</f>
        <v>196</v>
      </c>
      <c r="AN253" s="475" cm="1">
        <f t="array" ref="AN253">1+SUMPRODUCT(
  (Contract_Edits[BaseFlag]=1)*
  (TEXT(Contract_Edits[ParentAnchor],"0")=TEXT(Contract_Edits[[#This Row],[ParentAnchor]],"0"))*
  (VALUE(TEXT(Contract_Edits[Index],"0"))&lt;VALUE(TEXT(Contract_Edits[[#This Row],[Index]],"0")))
)</f>
        <v>1</v>
      </c>
    </row>
    <row r="254" spans="1:40" ht="18" customHeight="1">
      <c r="A254"/>
      <c r="B254"/>
      <c r="C254"/>
      <c r="D254" s="458"/>
      <c r="E254" s="458"/>
      <c r="F254"/>
      <c r="G254"/>
      <c r="H254"/>
      <c r="I254"/>
      <c r="J254"/>
      <c r="L254" s="463">
        <v>229</v>
      </c>
      <c r="M254" s="543"/>
      <c r="N254" s="544"/>
      <c r="O254" s="546" cm="1">
        <f t="array" ref="O25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4" s="568"/>
      <c r="Q254" s="568"/>
      <c r="R254" s="499"/>
      <c r="S254" s="463" cm="1">
        <f t="array" ref="S25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4" s="34"/>
      <c r="U254" s="490"/>
      <c r="V25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4" s="557"/>
      <c r="X254" s="545"/>
      <c r="Y254" s="548" t="s">
        <v>1465</v>
      </c>
      <c r="Z254" s="160"/>
      <c r="AA254" s="563"/>
      <c r="AB254" s="34" cm="1">
        <f t="array" ref="AB254">ROW()-ROW(Contract_Edits[#Headers])</f>
        <v>230</v>
      </c>
      <c r="AC254" s="34">
        <f>IF(Contract_Edits[[#This Row],[RowPos]]&gt;1, Contract_Edits[[#This Row],[RowPos]]-1, 0)</f>
        <v>229</v>
      </c>
      <c r="AD254" s="35">
        <f>IF(N(Contract_Edits[[#This Row],[Dep]])=0, N(Contract_Edits[[#This Row],[Index]]), N(Contract_Edits[[#This Row],[Dep]]))</f>
        <v>196</v>
      </c>
      <c r="AE254" s="35" cm="1">
        <f t="array" ref="AE254">IF(OR(Contract_Edits[[#This Row],[Dep]]=0, TRIM(Contract_Edits[[#This Row],[Dep]])=""),
   0,
   IFERROR(
      _xlfn.XLOOKUP(1, (Contract_Edits[Dep]=Contract_Edits[[#This Row],[Dep]])*(Contract_Edits[RowPos]&lt;Contract_Edits[[#This Row],[RowPos]]), Contract_Edits[RowPos], , 0, -1),
      0
   )
)</f>
        <v>229</v>
      </c>
      <c r="AF254" s="35">
        <f>IF(OR(Contract_Edits[[#This Row],[Dep]]=0,Contract_Edits[[#This Row],[Dep]]=""),0,
   COUNTIFS(Contract_Edits[Dep],Contract_Edits[[#This Row],[Dep]],Contract_Edits[RowPos],"&lt;="&amp;Contract_Edits[[#This Row],[RowPos]],Contract_Edits[Approve],"Yes")
)</f>
        <v>1</v>
      </c>
      <c r="AG254" s="517">
        <f>--(
  ISNUMBER(SEARCH("BASE PARENT", UPPER(CLEAN(TRIM(_xlfn.XLOOKUP(TEXT(Contract_Edits[[#This Row],[Index]],"0"), baseIdxTxt, baseCost, "")))))) +
  ISNUMBER(SEARCH("DEPENDENCY GROUP", UPPER(CLEAN(TRIM(_xlfn.XLOOKUP(TEXT(Contract_Edits[[#This Row],[Index]],"0"), baseIdxTxt, baseCost, ""))))))
)</f>
        <v>0</v>
      </c>
      <c r="AH254" s="517" t="str" cm="1">
        <f t="array" ref="AH254">IF(Contract_Edits[[#This Row],[BaseFlag]]=1,
   10*BaseDepthL(TEXT(Contract_Edits[[#This Row],[Index]],"0"),500,editsIdxTxt,editsParentKeyTxt,baseIdxTxt,baseCost)-5,
   ""
)</f>
        <v/>
      </c>
      <c r="AI254" s="517" cm="1">
        <f t="array" ref="AI2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4" s="475" t="str">
        <f>IF(Contract_Edits[[#This Row],[Dep]]=0,"Root",
   IF(ISNUMBER(MATCH(Contract_Edits[[#This Row],[Dep]],Contract_Edits[Index],0)),"OK","Missing")
)</f>
        <v>OK</v>
      </c>
      <c r="AK254" s="475" t="str">
        <f>IF(AND(Contract_Edits[[#This Row],[Dep]]&lt;&gt;0,
        ISNUMBER(MATCH(Contract_Edits[[#This Row],[Dep]], Contract_Edits[Index], 0)),
        INDEX(Contract_Edits[Dep], MATCH(Contract_Edits[[#This Row],[Dep]], Contract_Edits[Index], 0))=Contract_Edits[[#This Row],[Index]]),
   "2-cycle","")</f>
        <v/>
      </c>
      <c r="AL254" s="475" cm="1">
        <f t="array" ref="AL254">IF(Contract_Edits[[#This Row],[BaseFlag]]&lt;&gt;1,0,
   IF(TEXT(Contract_Edits[[#This Row],[Dep]],"0")=TEXT(Contract_Edits[[#This Row],[Index]],"0"),
      0,
      MAX(0, SUMPRODUCT(--(Contract_Edits[BaseFlag]=1),
                        --(TEXT(Contract_Edits[Dep],"0")=TEXT(Contract_Edits[[#This Row],[Dep]],"0"))) - 1)
   )
)</f>
        <v>0</v>
      </c>
      <c r="AM254" s="475" t="str" cm="1">
        <f t="array" ref="AM254">IF(Contract_Edits[[#This Row],[BaseFlag]]=1,
   TEXT(Contract_Edits[[#This Row],[Index]],"0"),
   NearestBaseL(TEXT(Contract_Edits[[#This Row],[ParentKey]],"0"),500,editsIdxTxt,editsParentKeyTxt,baseIdxTxt,baseCost)
)</f>
        <v>196</v>
      </c>
      <c r="AN254" s="475" cm="1">
        <f t="array" ref="AN254">1+SUMPRODUCT(
  (Contract_Edits[BaseFlag]=1)*
  (TEXT(Contract_Edits[ParentAnchor],"0")=TEXT(Contract_Edits[[#This Row],[ParentAnchor]],"0"))*
  (VALUE(TEXT(Contract_Edits[Index],"0"))&lt;VALUE(TEXT(Contract_Edits[[#This Row],[Index]],"0")))
)</f>
        <v>1</v>
      </c>
    </row>
    <row r="255" spans="1:40" ht="18" customHeight="1">
      <c r="L255" s="463">
        <v>230</v>
      </c>
      <c r="M255" s="543"/>
      <c r="N255" s="544"/>
      <c r="O255" s="546" cm="1">
        <f t="array" ref="O25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5" s="568"/>
      <c r="Q255" s="568"/>
      <c r="R255" s="499"/>
      <c r="S255" s="463" cm="1">
        <f t="array" ref="S25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5" s="34"/>
      <c r="U255" s="490"/>
      <c r="V25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5" s="557"/>
      <c r="X255" s="545"/>
      <c r="Y255" s="548" t="s">
        <v>1465</v>
      </c>
      <c r="Z255" s="160"/>
      <c r="AA255" s="563"/>
      <c r="AB255" s="34" cm="1">
        <f t="array" ref="AB255">ROW()-ROW(Contract_Edits[#Headers])</f>
        <v>231</v>
      </c>
      <c r="AC255" s="34">
        <f>IF(Contract_Edits[[#This Row],[RowPos]]&gt;1, Contract_Edits[[#This Row],[RowPos]]-1, 0)</f>
        <v>230</v>
      </c>
      <c r="AD255" s="35">
        <f>IF(N(Contract_Edits[[#This Row],[Dep]])=0, N(Contract_Edits[[#This Row],[Index]]), N(Contract_Edits[[#This Row],[Dep]]))</f>
        <v>196</v>
      </c>
      <c r="AE255" s="35" cm="1">
        <f t="array" ref="AE255">IF(OR(Contract_Edits[[#This Row],[Dep]]=0, TRIM(Contract_Edits[[#This Row],[Dep]])=""),
   0,
   IFERROR(
      _xlfn.XLOOKUP(1, (Contract_Edits[Dep]=Contract_Edits[[#This Row],[Dep]])*(Contract_Edits[RowPos]&lt;Contract_Edits[[#This Row],[RowPos]]), Contract_Edits[RowPos], , 0, -1),
      0
   )
)</f>
        <v>230</v>
      </c>
      <c r="AF255" s="35">
        <f>IF(OR(Contract_Edits[[#This Row],[Dep]]=0,Contract_Edits[[#This Row],[Dep]]=""),0,
   COUNTIFS(Contract_Edits[Dep],Contract_Edits[[#This Row],[Dep]],Contract_Edits[RowPos],"&lt;="&amp;Contract_Edits[[#This Row],[RowPos]],Contract_Edits[Approve],"Yes")
)</f>
        <v>1</v>
      </c>
      <c r="AG255" s="517">
        <f>--(
  ISNUMBER(SEARCH("BASE PARENT", UPPER(CLEAN(TRIM(_xlfn.XLOOKUP(TEXT(Contract_Edits[[#This Row],[Index]],"0"), baseIdxTxt, baseCost, "")))))) +
  ISNUMBER(SEARCH("DEPENDENCY GROUP", UPPER(CLEAN(TRIM(_xlfn.XLOOKUP(TEXT(Contract_Edits[[#This Row],[Index]],"0"), baseIdxTxt, baseCost, ""))))))
)</f>
        <v>0</v>
      </c>
      <c r="AH255" s="517" t="str" cm="1">
        <f t="array" ref="AH255">IF(Contract_Edits[[#This Row],[BaseFlag]]=1,
   10*BaseDepthL(TEXT(Contract_Edits[[#This Row],[Index]],"0"),500,editsIdxTxt,editsParentKeyTxt,baseIdxTxt,baseCost)-5,
   ""
)</f>
        <v/>
      </c>
      <c r="AI255" s="517" cm="1">
        <f t="array" ref="AI2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5" s="475" t="str">
        <f>IF(Contract_Edits[[#This Row],[Dep]]=0,"Root",
   IF(ISNUMBER(MATCH(Contract_Edits[[#This Row],[Dep]],Contract_Edits[Index],0)),"OK","Missing")
)</f>
        <v>OK</v>
      </c>
      <c r="AK255" s="475" t="str">
        <f>IF(AND(Contract_Edits[[#This Row],[Dep]]&lt;&gt;0,
        ISNUMBER(MATCH(Contract_Edits[[#This Row],[Dep]], Contract_Edits[Index], 0)),
        INDEX(Contract_Edits[Dep], MATCH(Contract_Edits[[#This Row],[Dep]], Contract_Edits[Index], 0))=Contract_Edits[[#This Row],[Index]]),
   "2-cycle","")</f>
        <v/>
      </c>
      <c r="AL255" s="475" cm="1">
        <f t="array" ref="AL255">IF(Contract_Edits[[#This Row],[BaseFlag]]&lt;&gt;1,0,
   IF(TEXT(Contract_Edits[[#This Row],[Dep]],"0")=TEXT(Contract_Edits[[#This Row],[Index]],"0"),
      0,
      MAX(0, SUMPRODUCT(--(Contract_Edits[BaseFlag]=1),
                        --(TEXT(Contract_Edits[Dep],"0")=TEXT(Contract_Edits[[#This Row],[Dep]],"0"))) - 1)
   )
)</f>
        <v>0</v>
      </c>
      <c r="AM255" s="475" t="str" cm="1">
        <f t="array" ref="AM255">IF(Contract_Edits[[#This Row],[BaseFlag]]=1,
   TEXT(Contract_Edits[[#This Row],[Index]],"0"),
   NearestBaseL(TEXT(Contract_Edits[[#This Row],[ParentKey]],"0"),500,editsIdxTxt,editsParentKeyTxt,baseIdxTxt,baseCost)
)</f>
        <v>196</v>
      </c>
      <c r="AN255" s="475" cm="1">
        <f t="array" ref="AN255">1+SUMPRODUCT(
  (Contract_Edits[BaseFlag]=1)*
  (TEXT(Contract_Edits[ParentAnchor],"0")=TEXT(Contract_Edits[[#This Row],[ParentAnchor]],"0"))*
  (VALUE(TEXT(Contract_Edits[Index],"0"))&lt;VALUE(TEXT(Contract_Edits[[#This Row],[Index]],"0")))
)</f>
        <v>1</v>
      </c>
    </row>
    <row r="256" spans="1:40" ht="18" customHeight="1">
      <c r="L256" s="463">
        <v>231</v>
      </c>
      <c r="M256" s="543"/>
      <c r="N256" s="544"/>
      <c r="O256" s="546" cm="1">
        <f t="array" ref="O25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6" s="568"/>
      <c r="Q256" s="568"/>
      <c r="R256" s="499"/>
      <c r="S256" s="463" cm="1">
        <f t="array" ref="S25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6" s="34"/>
      <c r="U256" s="490"/>
      <c r="V25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6" s="557"/>
      <c r="X256" s="545"/>
      <c r="Y256" s="548" t="s">
        <v>1465</v>
      </c>
      <c r="Z256" s="160"/>
      <c r="AA256" s="563"/>
      <c r="AB256" s="34" cm="1">
        <f t="array" ref="AB256">ROW()-ROW(Contract_Edits[#Headers])</f>
        <v>232</v>
      </c>
      <c r="AC256" s="34">
        <f>IF(Contract_Edits[[#This Row],[RowPos]]&gt;1, Contract_Edits[[#This Row],[RowPos]]-1, 0)</f>
        <v>231</v>
      </c>
      <c r="AD256" s="35">
        <f>IF(N(Contract_Edits[[#This Row],[Dep]])=0, N(Contract_Edits[[#This Row],[Index]]), N(Contract_Edits[[#This Row],[Dep]]))</f>
        <v>196</v>
      </c>
      <c r="AE256" s="35" cm="1">
        <f t="array" ref="AE256">IF(OR(Contract_Edits[[#This Row],[Dep]]=0, TRIM(Contract_Edits[[#This Row],[Dep]])=""),
   0,
   IFERROR(
      _xlfn.XLOOKUP(1, (Contract_Edits[Dep]=Contract_Edits[[#This Row],[Dep]])*(Contract_Edits[RowPos]&lt;Contract_Edits[[#This Row],[RowPos]]), Contract_Edits[RowPos], , 0, -1),
      0
   )
)</f>
        <v>231</v>
      </c>
      <c r="AF256" s="35">
        <f>IF(OR(Contract_Edits[[#This Row],[Dep]]=0,Contract_Edits[[#This Row],[Dep]]=""),0,
   COUNTIFS(Contract_Edits[Dep],Contract_Edits[[#This Row],[Dep]],Contract_Edits[RowPos],"&lt;="&amp;Contract_Edits[[#This Row],[RowPos]],Contract_Edits[Approve],"Yes")
)</f>
        <v>1</v>
      </c>
      <c r="AG256" s="517">
        <f>--(
  ISNUMBER(SEARCH("BASE PARENT", UPPER(CLEAN(TRIM(_xlfn.XLOOKUP(TEXT(Contract_Edits[[#This Row],[Index]],"0"), baseIdxTxt, baseCost, "")))))) +
  ISNUMBER(SEARCH("DEPENDENCY GROUP", UPPER(CLEAN(TRIM(_xlfn.XLOOKUP(TEXT(Contract_Edits[[#This Row],[Index]],"0"), baseIdxTxt, baseCost, ""))))))
)</f>
        <v>0</v>
      </c>
      <c r="AH256" s="517" t="str" cm="1">
        <f t="array" ref="AH256">IF(Contract_Edits[[#This Row],[BaseFlag]]=1,
   10*BaseDepthL(TEXT(Contract_Edits[[#This Row],[Index]],"0"),500,editsIdxTxt,editsParentKeyTxt,baseIdxTxt,baseCost)-5,
   ""
)</f>
        <v/>
      </c>
      <c r="AI256" s="517" cm="1">
        <f t="array" ref="AI2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6" s="475" t="str">
        <f>IF(Contract_Edits[[#This Row],[Dep]]=0,"Root",
   IF(ISNUMBER(MATCH(Contract_Edits[[#This Row],[Dep]],Contract_Edits[Index],0)),"OK","Missing")
)</f>
        <v>OK</v>
      </c>
      <c r="AK256" s="475" t="str">
        <f>IF(AND(Contract_Edits[[#This Row],[Dep]]&lt;&gt;0,
        ISNUMBER(MATCH(Contract_Edits[[#This Row],[Dep]], Contract_Edits[Index], 0)),
        INDEX(Contract_Edits[Dep], MATCH(Contract_Edits[[#This Row],[Dep]], Contract_Edits[Index], 0))=Contract_Edits[[#This Row],[Index]]),
   "2-cycle","")</f>
        <v/>
      </c>
      <c r="AL256" s="475" cm="1">
        <f t="array" ref="AL256">IF(Contract_Edits[[#This Row],[BaseFlag]]&lt;&gt;1,0,
   IF(TEXT(Contract_Edits[[#This Row],[Dep]],"0")=TEXT(Contract_Edits[[#This Row],[Index]],"0"),
      0,
      MAX(0, SUMPRODUCT(--(Contract_Edits[BaseFlag]=1),
                        --(TEXT(Contract_Edits[Dep],"0")=TEXT(Contract_Edits[[#This Row],[Dep]],"0"))) - 1)
   )
)</f>
        <v>0</v>
      </c>
      <c r="AM256" s="475" t="str" cm="1">
        <f t="array" ref="AM256">IF(Contract_Edits[[#This Row],[BaseFlag]]=1,
   TEXT(Contract_Edits[[#This Row],[Index]],"0"),
   NearestBaseL(TEXT(Contract_Edits[[#This Row],[ParentKey]],"0"),500,editsIdxTxt,editsParentKeyTxt,baseIdxTxt,baseCost)
)</f>
        <v>196</v>
      </c>
      <c r="AN256" s="475" cm="1">
        <f t="array" ref="AN256">1+SUMPRODUCT(
  (Contract_Edits[BaseFlag]=1)*
  (TEXT(Contract_Edits[ParentAnchor],"0")=TEXT(Contract_Edits[[#This Row],[ParentAnchor]],"0"))*
  (VALUE(TEXT(Contract_Edits[Index],"0"))&lt;VALUE(TEXT(Contract_Edits[[#This Row],[Index]],"0")))
)</f>
        <v>1</v>
      </c>
    </row>
    <row r="257" spans="12:40" ht="18" customHeight="1">
      <c r="L257" s="463">
        <v>232</v>
      </c>
      <c r="M257" s="543"/>
      <c r="N257" s="544"/>
      <c r="O257" s="546" cm="1">
        <f t="array" ref="O25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7" s="568"/>
      <c r="Q257" s="568"/>
      <c r="R257" s="499"/>
      <c r="S257" s="463" cm="1">
        <f t="array" ref="S25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7" s="34"/>
      <c r="U257" s="490"/>
      <c r="V25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7" s="557"/>
      <c r="X257" s="545"/>
      <c r="Y257" s="548" t="s">
        <v>1465</v>
      </c>
      <c r="Z257" s="160"/>
      <c r="AA257" s="563"/>
      <c r="AB257" s="34" cm="1">
        <f t="array" ref="AB257">ROW()-ROW(Contract_Edits[#Headers])</f>
        <v>233</v>
      </c>
      <c r="AC257" s="34">
        <f>IF(Contract_Edits[[#This Row],[RowPos]]&gt;1, Contract_Edits[[#This Row],[RowPos]]-1, 0)</f>
        <v>232</v>
      </c>
      <c r="AD257" s="35">
        <f>IF(N(Contract_Edits[[#This Row],[Dep]])=0, N(Contract_Edits[[#This Row],[Index]]), N(Contract_Edits[[#This Row],[Dep]]))</f>
        <v>196</v>
      </c>
      <c r="AE257" s="35" cm="1">
        <f t="array" ref="AE257">IF(OR(Contract_Edits[[#This Row],[Dep]]=0, TRIM(Contract_Edits[[#This Row],[Dep]])=""),
   0,
   IFERROR(
      _xlfn.XLOOKUP(1, (Contract_Edits[Dep]=Contract_Edits[[#This Row],[Dep]])*(Contract_Edits[RowPos]&lt;Contract_Edits[[#This Row],[RowPos]]), Contract_Edits[RowPos], , 0, -1),
      0
   )
)</f>
        <v>232</v>
      </c>
      <c r="AF257" s="35">
        <f>IF(OR(Contract_Edits[[#This Row],[Dep]]=0,Contract_Edits[[#This Row],[Dep]]=""),0,
   COUNTIFS(Contract_Edits[Dep],Contract_Edits[[#This Row],[Dep]],Contract_Edits[RowPos],"&lt;="&amp;Contract_Edits[[#This Row],[RowPos]],Contract_Edits[Approve],"Yes")
)</f>
        <v>1</v>
      </c>
      <c r="AG257" s="517">
        <f>--(
  ISNUMBER(SEARCH("BASE PARENT", UPPER(CLEAN(TRIM(_xlfn.XLOOKUP(TEXT(Contract_Edits[[#This Row],[Index]],"0"), baseIdxTxt, baseCost, "")))))) +
  ISNUMBER(SEARCH("DEPENDENCY GROUP", UPPER(CLEAN(TRIM(_xlfn.XLOOKUP(TEXT(Contract_Edits[[#This Row],[Index]],"0"), baseIdxTxt, baseCost, ""))))))
)</f>
        <v>0</v>
      </c>
      <c r="AH257" s="517" t="str" cm="1">
        <f t="array" ref="AH257">IF(Contract_Edits[[#This Row],[BaseFlag]]=1,
   10*BaseDepthL(TEXT(Contract_Edits[[#This Row],[Index]],"0"),500,editsIdxTxt,editsParentKeyTxt,baseIdxTxt,baseCost)-5,
   ""
)</f>
        <v/>
      </c>
      <c r="AI257" s="517" cm="1">
        <f t="array" ref="AI2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7" s="475" t="str">
        <f>IF(Contract_Edits[[#This Row],[Dep]]=0,"Root",
   IF(ISNUMBER(MATCH(Contract_Edits[[#This Row],[Dep]],Contract_Edits[Index],0)),"OK","Missing")
)</f>
        <v>OK</v>
      </c>
      <c r="AK257" s="475" t="str">
        <f>IF(AND(Contract_Edits[[#This Row],[Dep]]&lt;&gt;0,
        ISNUMBER(MATCH(Contract_Edits[[#This Row],[Dep]], Contract_Edits[Index], 0)),
        INDEX(Contract_Edits[Dep], MATCH(Contract_Edits[[#This Row],[Dep]], Contract_Edits[Index], 0))=Contract_Edits[[#This Row],[Index]]),
   "2-cycle","")</f>
        <v/>
      </c>
      <c r="AL257" s="475" cm="1">
        <f t="array" ref="AL257">IF(Contract_Edits[[#This Row],[BaseFlag]]&lt;&gt;1,0,
   IF(TEXT(Contract_Edits[[#This Row],[Dep]],"0")=TEXT(Contract_Edits[[#This Row],[Index]],"0"),
      0,
      MAX(0, SUMPRODUCT(--(Contract_Edits[BaseFlag]=1),
                        --(TEXT(Contract_Edits[Dep],"0")=TEXT(Contract_Edits[[#This Row],[Dep]],"0"))) - 1)
   )
)</f>
        <v>0</v>
      </c>
      <c r="AM257" s="475" t="str" cm="1">
        <f t="array" ref="AM257">IF(Contract_Edits[[#This Row],[BaseFlag]]=1,
   TEXT(Contract_Edits[[#This Row],[Index]],"0"),
   NearestBaseL(TEXT(Contract_Edits[[#This Row],[ParentKey]],"0"),500,editsIdxTxt,editsParentKeyTxt,baseIdxTxt,baseCost)
)</f>
        <v>196</v>
      </c>
      <c r="AN257" s="475" cm="1">
        <f t="array" ref="AN257">1+SUMPRODUCT(
  (Contract_Edits[BaseFlag]=1)*
  (TEXT(Contract_Edits[ParentAnchor],"0")=TEXT(Contract_Edits[[#This Row],[ParentAnchor]],"0"))*
  (VALUE(TEXT(Contract_Edits[Index],"0"))&lt;VALUE(TEXT(Contract_Edits[[#This Row],[Index]],"0")))
)</f>
        <v>1</v>
      </c>
    </row>
    <row r="258" spans="12:40" ht="18" customHeight="1">
      <c r="L258" s="463">
        <v>233</v>
      </c>
      <c r="M258" s="543"/>
      <c r="N258" s="544"/>
      <c r="O258" s="546" cm="1">
        <f t="array" ref="O25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8" s="568"/>
      <c r="Q258" s="568"/>
      <c r="R258" s="499"/>
      <c r="S258" s="463" cm="1">
        <f t="array" ref="S25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8" s="34"/>
      <c r="U258" s="490"/>
      <c r="V25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8" s="557"/>
      <c r="X258" s="545"/>
      <c r="Y258" s="548" t="s">
        <v>1465</v>
      </c>
      <c r="Z258" s="160"/>
      <c r="AA258" s="563"/>
      <c r="AB258" s="34" cm="1">
        <f t="array" ref="AB258">ROW()-ROW(Contract_Edits[#Headers])</f>
        <v>234</v>
      </c>
      <c r="AC258" s="34">
        <f>IF(Contract_Edits[[#This Row],[RowPos]]&gt;1, Contract_Edits[[#This Row],[RowPos]]-1, 0)</f>
        <v>233</v>
      </c>
      <c r="AD258" s="35">
        <f>IF(N(Contract_Edits[[#This Row],[Dep]])=0, N(Contract_Edits[[#This Row],[Index]]), N(Contract_Edits[[#This Row],[Dep]]))</f>
        <v>196</v>
      </c>
      <c r="AE258" s="35" cm="1">
        <f t="array" ref="AE258">IF(OR(Contract_Edits[[#This Row],[Dep]]=0, TRIM(Contract_Edits[[#This Row],[Dep]])=""),
   0,
   IFERROR(
      _xlfn.XLOOKUP(1, (Contract_Edits[Dep]=Contract_Edits[[#This Row],[Dep]])*(Contract_Edits[RowPos]&lt;Contract_Edits[[#This Row],[RowPos]]), Contract_Edits[RowPos], , 0, -1),
      0
   )
)</f>
        <v>233</v>
      </c>
      <c r="AF258" s="35">
        <f>IF(OR(Contract_Edits[[#This Row],[Dep]]=0,Contract_Edits[[#This Row],[Dep]]=""),0,
   COUNTIFS(Contract_Edits[Dep],Contract_Edits[[#This Row],[Dep]],Contract_Edits[RowPos],"&lt;="&amp;Contract_Edits[[#This Row],[RowPos]],Contract_Edits[Approve],"Yes")
)</f>
        <v>1</v>
      </c>
      <c r="AG258" s="517">
        <f>--(
  ISNUMBER(SEARCH("BASE PARENT", UPPER(CLEAN(TRIM(_xlfn.XLOOKUP(TEXT(Contract_Edits[[#This Row],[Index]],"0"), baseIdxTxt, baseCost, "")))))) +
  ISNUMBER(SEARCH("DEPENDENCY GROUP", UPPER(CLEAN(TRIM(_xlfn.XLOOKUP(TEXT(Contract_Edits[[#This Row],[Index]],"0"), baseIdxTxt, baseCost, ""))))))
)</f>
        <v>0</v>
      </c>
      <c r="AH258" s="517" t="str" cm="1">
        <f t="array" ref="AH258">IF(Contract_Edits[[#This Row],[BaseFlag]]=1,
   10*BaseDepthL(TEXT(Contract_Edits[[#This Row],[Index]],"0"),500,editsIdxTxt,editsParentKeyTxt,baseIdxTxt,baseCost)-5,
   ""
)</f>
        <v/>
      </c>
      <c r="AI258" s="517" cm="1">
        <f t="array" ref="AI2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8" s="475" t="str">
        <f>IF(Contract_Edits[[#This Row],[Dep]]=0,"Root",
   IF(ISNUMBER(MATCH(Contract_Edits[[#This Row],[Dep]],Contract_Edits[Index],0)),"OK","Missing")
)</f>
        <v>OK</v>
      </c>
      <c r="AK258" s="475" t="str">
        <f>IF(AND(Contract_Edits[[#This Row],[Dep]]&lt;&gt;0,
        ISNUMBER(MATCH(Contract_Edits[[#This Row],[Dep]], Contract_Edits[Index], 0)),
        INDEX(Contract_Edits[Dep], MATCH(Contract_Edits[[#This Row],[Dep]], Contract_Edits[Index], 0))=Contract_Edits[[#This Row],[Index]]),
   "2-cycle","")</f>
        <v/>
      </c>
      <c r="AL258" s="475" cm="1">
        <f t="array" ref="AL258">IF(Contract_Edits[[#This Row],[BaseFlag]]&lt;&gt;1,0,
   IF(TEXT(Contract_Edits[[#This Row],[Dep]],"0")=TEXT(Contract_Edits[[#This Row],[Index]],"0"),
      0,
      MAX(0, SUMPRODUCT(--(Contract_Edits[BaseFlag]=1),
                        --(TEXT(Contract_Edits[Dep],"0")=TEXT(Contract_Edits[[#This Row],[Dep]],"0"))) - 1)
   )
)</f>
        <v>0</v>
      </c>
      <c r="AM258" s="475" t="str" cm="1">
        <f t="array" ref="AM258">IF(Contract_Edits[[#This Row],[BaseFlag]]=1,
   TEXT(Contract_Edits[[#This Row],[Index]],"0"),
   NearestBaseL(TEXT(Contract_Edits[[#This Row],[ParentKey]],"0"),500,editsIdxTxt,editsParentKeyTxt,baseIdxTxt,baseCost)
)</f>
        <v>196</v>
      </c>
      <c r="AN258" s="475" cm="1">
        <f t="array" ref="AN258">1+SUMPRODUCT(
  (Contract_Edits[BaseFlag]=1)*
  (TEXT(Contract_Edits[ParentAnchor],"0")=TEXT(Contract_Edits[[#This Row],[ParentAnchor]],"0"))*
  (VALUE(TEXT(Contract_Edits[Index],"0"))&lt;VALUE(TEXT(Contract_Edits[[#This Row],[Index]],"0")))
)</f>
        <v>1</v>
      </c>
    </row>
    <row r="259" spans="12:40" ht="18" customHeight="1">
      <c r="L259" s="463">
        <v>234</v>
      </c>
      <c r="M259" s="543"/>
      <c r="N259" s="544"/>
      <c r="O259" s="546" cm="1">
        <f t="array" ref="O25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9" s="568"/>
      <c r="Q259" s="568"/>
      <c r="R259" s="499"/>
      <c r="S259" s="463" cm="1">
        <f t="array" ref="S25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9" s="34"/>
      <c r="U259" s="490"/>
      <c r="V25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9" s="557"/>
      <c r="X259" s="545"/>
      <c r="Y259" s="548" t="s">
        <v>1465</v>
      </c>
      <c r="Z259" s="160"/>
      <c r="AA259" s="563"/>
      <c r="AB259" s="34" cm="1">
        <f t="array" ref="AB259">ROW()-ROW(Contract_Edits[#Headers])</f>
        <v>235</v>
      </c>
      <c r="AC259" s="34">
        <f>IF(Contract_Edits[[#This Row],[RowPos]]&gt;1, Contract_Edits[[#This Row],[RowPos]]-1, 0)</f>
        <v>234</v>
      </c>
      <c r="AD259" s="35">
        <f>IF(N(Contract_Edits[[#This Row],[Dep]])=0, N(Contract_Edits[[#This Row],[Index]]), N(Contract_Edits[[#This Row],[Dep]]))</f>
        <v>196</v>
      </c>
      <c r="AE259" s="35" cm="1">
        <f t="array" ref="AE259">IF(OR(Contract_Edits[[#This Row],[Dep]]=0, TRIM(Contract_Edits[[#This Row],[Dep]])=""),
   0,
   IFERROR(
      _xlfn.XLOOKUP(1, (Contract_Edits[Dep]=Contract_Edits[[#This Row],[Dep]])*(Contract_Edits[RowPos]&lt;Contract_Edits[[#This Row],[RowPos]]), Contract_Edits[RowPos], , 0, -1),
      0
   )
)</f>
        <v>234</v>
      </c>
      <c r="AF259" s="35">
        <f>IF(OR(Contract_Edits[[#This Row],[Dep]]=0,Contract_Edits[[#This Row],[Dep]]=""),0,
   COUNTIFS(Contract_Edits[Dep],Contract_Edits[[#This Row],[Dep]],Contract_Edits[RowPos],"&lt;="&amp;Contract_Edits[[#This Row],[RowPos]],Contract_Edits[Approve],"Yes")
)</f>
        <v>1</v>
      </c>
      <c r="AG259" s="517">
        <f>--(
  ISNUMBER(SEARCH("BASE PARENT", UPPER(CLEAN(TRIM(_xlfn.XLOOKUP(TEXT(Contract_Edits[[#This Row],[Index]],"0"), baseIdxTxt, baseCost, "")))))) +
  ISNUMBER(SEARCH("DEPENDENCY GROUP", UPPER(CLEAN(TRIM(_xlfn.XLOOKUP(TEXT(Contract_Edits[[#This Row],[Index]],"0"), baseIdxTxt, baseCost, ""))))))
)</f>
        <v>0</v>
      </c>
      <c r="AH259" s="517" t="str" cm="1">
        <f t="array" ref="AH259">IF(Contract_Edits[[#This Row],[BaseFlag]]=1,
   10*BaseDepthL(TEXT(Contract_Edits[[#This Row],[Index]],"0"),500,editsIdxTxt,editsParentKeyTxt,baseIdxTxt,baseCost)-5,
   ""
)</f>
        <v/>
      </c>
      <c r="AI259" s="517" cm="1">
        <f t="array" ref="AI2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9" s="475" t="str">
        <f>IF(Contract_Edits[[#This Row],[Dep]]=0,"Root",
   IF(ISNUMBER(MATCH(Contract_Edits[[#This Row],[Dep]],Contract_Edits[Index],0)),"OK","Missing")
)</f>
        <v>OK</v>
      </c>
      <c r="AK259" s="475" t="str">
        <f>IF(AND(Contract_Edits[[#This Row],[Dep]]&lt;&gt;0,
        ISNUMBER(MATCH(Contract_Edits[[#This Row],[Dep]], Contract_Edits[Index], 0)),
        INDEX(Contract_Edits[Dep], MATCH(Contract_Edits[[#This Row],[Dep]], Contract_Edits[Index], 0))=Contract_Edits[[#This Row],[Index]]),
   "2-cycle","")</f>
        <v/>
      </c>
      <c r="AL259" s="475" cm="1">
        <f t="array" ref="AL259">IF(Contract_Edits[[#This Row],[BaseFlag]]&lt;&gt;1,0,
   IF(TEXT(Contract_Edits[[#This Row],[Dep]],"0")=TEXT(Contract_Edits[[#This Row],[Index]],"0"),
      0,
      MAX(0, SUMPRODUCT(--(Contract_Edits[BaseFlag]=1),
                        --(TEXT(Contract_Edits[Dep],"0")=TEXT(Contract_Edits[[#This Row],[Dep]],"0"))) - 1)
   )
)</f>
        <v>0</v>
      </c>
      <c r="AM259" s="475" t="str" cm="1">
        <f t="array" ref="AM259">IF(Contract_Edits[[#This Row],[BaseFlag]]=1,
   TEXT(Contract_Edits[[#This Row],[Index]],"0"),
   NearestBaseL(TEXT(Contract_Edits[[#This Row],[ParentKey]],"0"),500,editsIdxTxt,editsParentKeyTxt,baseIdxTxt,baseCost)
)</f>
        <v>196</v>
      </c>
      <c r="AN259" s="475" cm="1">
        <f t="array" ref="AN259">1+SUMPRODUCT(
  (Contract_Edits[BaseFlag]=1)*
  (TEXT(Contract_Edits[ParentAnchor],"0")=TEXT(Contract_Edits[[#This Row],[ParentAnchor]],"0"))*
  (VALUE(TEXT(Contract_Edits[Index],"0"))&lt;VALUE(TEXT(Contract_Edits[[#This Row],[Index]],"0")))
)</f>
        <v>1</v>
      </c>
    </row>
    <row r="260" spans="12:40" ht="18" customHeight="1">
      <c r="L260" s="463">
        <v>235</v>
      </c>
      <c r="M260" s="543"/>
      <c r="N260" s="544"/>
      <c r="O260" s="546" cm="1">
        <f t="array" ref="O26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0" s="568"/>
      <c r="Q260" s="568"/>
      <c r="R260" s="499"/>
      <c r="S260" s="463" cm="1">
        <f t="array" ref="S26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0" s="34"/>
      <c r="U260" s="490"/>
      <c r="V26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0" s="557"/>
      <c r="X260" s="545"/>
      <c r="Y260" s="548" t="s">
        <v>1465</v>
      </c>
      <c r="Z260" s="160"/>
      <c r="AA260" s="563"/>
      <c r="AB260" s="34" cm="1">
        <f t="array" ref="AB260">ROW()-ROW(Contract_Edits[#Headers])</f>
        <v>236</v>
      </c>
      <c r="AC260" s="34">
        <f>IF(Contract_Edits[[#This Row],[RowPos]]&gt;1, Contract_Edits[[#This Row],[RowPos]]-1, 0)</f>
        <v>235</v>
      </c>
      <c r="AD260" s="35">
        <f>IF(N(Contract_Edits[[#This Row],[Dep]])=0, N(Contract_Edits[[#This Row],[Index]]), N(Contract_Edits[[#This Row],[Dep]]))</f>
        <v>196</v>
      </c>
      <c r="AE260" s="35" cm="1">
        <f t="array" ref="AE260">IF(OR(Contract_Edits[[#This Row],[Dep]]=0, TRIM(Contract_Edits[[#This Row],[Dep]])=""),
   0,
   IFERROR(
      _xlfn.XLOOKUP(1, (Contract_Edits[Dep]=Contract_Edits[[#This Row],[Dep]])*(Contract_Edits[RowPos]&lt;Contract_Edits[[#This Row],[RowPos]]), Contract_Edits[RowPos], , 0, -1),
      0
   )
)</f>
        <v>235</v>
      </c>
      <c r="AF260" s="35">
        <f>IF(OR(Contract_Edits[[#This Row],[Dep]]=0,Contract_Edits[[#This Row],[Dep]]=""),0,
   COUNTIFS(Contract_Edits[Dep],Contract_Edits[[#This Row],[Dep]],Contract_Edits[RowPos],"&lt;="&amp;Contract_Edits[[#This Row],[RowPos]],Contract_Edits[Approve],"Yes")
)</f>
        <v>1</v>
      </c>
      <c r="AG260" s="517">
        <f>--(
  ISNUMBER(SEARCH("BASE PARENT", UPPER(CLEAN(TRIM(_xlfn.XLOOKUP(TEXT(Contract_Edits[[#This Row],[Index]],"0"), baseIdxTxt, baseCost, "")))))) +
  ISNUMBER(SEARCH("DEPENDENCY GROUP", UPPER(CLEAN(TRIM(_xlfn.XLOOKUP(TEXT(Contract_Edits[[#This Row],[Index]],"0"), baseIdxTxt, baseCost, ""))))))
)</f>
        <v>0</v>
      </c>
      <c r="AH260" s="517" t="str" cm="1">
        <f t="array" ref="AH260">IF(Contract_Edits[[#This Row],[BaseFlag]]=1,
   10*BaseDepthL(TEXT(Contract_Edits[[#This Row],[Index]],"0"),500,editsIdxTxt,editsParentKeyTxt,baseIdxTxt,baseCost)-5,
   ""
)</f>
        <v/>
      </c>
      <c r="AI260" s="517" cm="1">
        <f t="array" ref="AI2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0" s="475" t="str">
        <f>IF(Contract_Edits[[#This Row],[Dep]]=0,"Root",
   IF(ISNUMBER(MATCH(Contract_Edits[[#This Row],[Dep]],Contract_Edits[Index],0)),"OK","Missing")
)</f>
        <v>OK</v>
      </c>
      <c r="AK260" s="475" t="str">
        <f>IF(AND(Contract_Edits[[#This Row],[Dep]]&lt;&gt;0,
        ISNUMBER(MATCH(Contract_Edits[[#This Row],[Dep]], Contract_Edits[Index], 0)),
        INDEX(Contract_Edits[Dep], MATCH(Contract_Edits[[#This Row],[Dep]], Contract_Edits[Index], 0))=Contract_Edits[[#This Row],[Index]]),
   "2-cycle","")</f>
        <v/>
      </c>
      <c r="AL260" s="475" cm="1">
        <f t="array" ref="AL260">IF(Contract_Edits[[#This Row],[BaseFlag]]&lt;&gt;1,0,
   IF(TEXT(Contract_Edits[[#This Row],[Dep]],"0")=TEXT(Contract_Edits[[#This Row],[Index]],"0"),
      0,
      MAX(0, SUMPRODUCT(--(Contract_Edits[BaseFlag]=1),
                        --(TEXT(Contract_Edits[Dep],"0")=TEXT(Contract_Edits[[#This Row],[Dep]],"0"))) - 1)
   )
)</f>
        <v>0</v>
      </c>
      <c r="AM260" s="475" t="str" cm="1">
        <f t="array" ref="AM260">IF(Contract_Edits[[#This Row],[BaseFlag]]=1,
   TEXT(Contract_Edits[[#This Row],[Index]],"0"),
   NearestBaseL(TEXT(Contract_Edits[[#This Row],[ParentKey]],"0"),500,editsIdxTxt,editsParentKeyTxt,baseIdxTxt,baseCost)
)</f>
        <v>196</v>
      </c>
      <c r="AN260" s="475" cm="1">
        <f t="array" ref="AN260">1+SUMPRODUCT(
  (Contract_Edits[BaseFlag]=1)*
  (TEXT(Contract_Edits[ParentAnchor],"0")=TEXT(Contract_Edits[[#This Row],[ParentAnchor]],"0"))*
  (VALUE(TEXT(Contract_Edits[Index],"0"))&lt;VALUE(TEXT(Contract_Edits[[#This Row],[Index]],"0")))
)</f>
        <v>1</v>
      </c>
    </row>
    <row r="261" spans="12:40" ht="18" customHeight="1">
      <c r="L261" s="463">
        <v>236</v>
      </c>
      <c r="M261" s="543"/>
      <c r="N261" s="544"/>
      <c r="O261" s="546" cm="1">
        <f t="array" ref="O26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1" s="568"/>
      <c r="Q261" s="568"/>
      <c r="R261" s="499"/>
      <c r="S261" s="463" cm="1">
        <f t="array" ref="S26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1" s="34"/>
      <c r="U261" s="490"/>
      <c r="V26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1" s="557"/>
      <c r="X261" s="545"/>
      <c r="Y261" s="548" t="s">
        <v>1465</v>
      </c>
      <c r="Z261" s="160"/>
      <c r="AA261" s="563"/>
      <c r="AB261" s="34" cm="1">
        <f t="array" ref="AB261">ROW()-ROW(Contract_Edits[#Headers])</f>
        <v>237</v>
      </c>
      <c r="AC261" s="34">
        <f>IF(Contract_Edits[[#This Row],[RowPos]]&gt;1, Contract_Edits[[#This Row],[RowPos]]-1, 0)</f>
        <v>236</v>
      </c>
      <c r="AD261" s="35">
        <f>IF(N(Contract_Edits[[#This Row],[Dep]])=0, N(Contract_Edits[[#This Row],[Index]]), N(Contract_Edits[[#This Row],[Dep]]))</f>
        <v>196</v>
      </c>
      <c r="AE261" s="35" cm="1">
        <f t="array" ref="AE261">IF(OR(Contract_Edits[[#This Row],[Dep]]=0, TRIM(Contract_Edits[[#This Row],[Dep]])=""),
   0,
   IFERROR(
      _xlfn.XLOOKUP(1, (Contract_Edits[Dep]=Contract_Edits[[#This Row],[Dep]])*(Contract_Edits[RowPos]&lt;Contract_Edits[[#This Row],[RowPos]]), Contract_Edits[RowPos], , 0, -1),
      0
   )
)</f>
        <v>236</v>
      </c>
      <c r="AF261" s="35">
        <f>IF(OR(Contract_Edits[[#This Row],[Dep]]=0,Contract_Edits[[#This Row],[Dep]]=""),0,
   COUNTIFS(Contract_Edits[Dep],Contract_Edits[[#This Row],[Dep]],Contract_Edits[RowPos],"&lt;="&amp;Contract_Edits[[#This Row],[RowPos]],Contract_Edits[Approve],"Yes")
)</f>
        <v>1</v>
      </c>
      <c r="AG261" s="517">
        <f>--(
  ISNUMBER(SEARCH("BASE PARENT", UPPER(CLEAN(TRIM(_xlfn.XLOOKUP(TEXT(Contract_Edits[[#This Row],[Index]],"0"), baseIdxTxt, baseCost, "")))))) +
  ISNUMBER(SEARCH("DEPENDENCY GROUP", UPPER(CLEAN(TRIM(_xlfn.XLOOKUP(TEXT(Contract_Edits[[#This Row],[Index]],"0"), baseIdxTxt, baseCost, ""))))))
)</f>
        <v>0</v>
      </c>
      <c r="AH261" s="517" t="str" cm="1">
        <f t="array" ref="AH261">IF(Contract_Edits[[#This Row],[BaseFlag]]=1,
   10*BaseDepthL(TEXT(Contract_Edits[[#This Row],[Index]],"0"),500,editsIdxTxt,editsParentKeyTxt,baseIdxTxt,baseCost)-5,
   ""
)</f>
        <v/>
      </c>
      <c r="AI261" s="517" cm="1">
        <f t="array" ref="AI2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1" s="475" t="str">
        <f>IF(Contract_Edits[[#This Row],[Dep]]=0,"Root",
   IF(ISNUMBER(MATCH(Contract_Edits[[#This Row],[Dep]],Contract_Edits[Index],0)),"OK","Missing")
)</f>
        <v>OK</v>
      </c>
      <c r="AK261" s="475" t="str">
        <f>IF(AND(Contract_Edits[[#This Row],[Dep]]&lt;&gt;0,
        ISNUMBER(MATCH(Contract_Edits[[#This Row],[Dep]], Contract_Edits[Index], 0)),
        INDEX(Contract_Edits[Dep], MATCH(Contract_Edits[[#This Row],[Dep]], Contract_Edits[Index], 0))=Contract_Edits[[#This Row],[Index]]),
   "2-cycle","")</f>
        <v/>
      </c>
      <c r="AL261" s="475" cm="1">
        <f t="array" ref="AL261">IF(Contract_Edits[[#This Row],[BaseFlag]]&lt;&gt;1,0,
   IF(TEXT(Contract_Edits[[#This Row],[Dep]],"0")=TEXT(Contract_Edits[[#This Row],[Index]],"0"),
      0,
      MAX(0, SUMPRODUCT(--(Contract_Edits[BaseFlag]=1),
                        --(TEXT(Contract_Edits[Dep],"0")=TEXT(Contract_Edits[[#This Row],[Dep]],"0"))) - 1)
   )
)</f>
        <v>0</v>
      </c>
      <c r="AM261" s="475" t="str" cm="1">
        <f t="array" ref="AM261">IF(Contract_Edits[[#This Row],[BaseFlag]]=1,
   TEXT(Contract_Edits[[#This Row],[Index]],"0"),
   NearestBaseL(TEXT(Contract_Edits[[#This Row],[ParentKey]],"0"),500,editsIdxTxt,editsParentKeyTxt,baseIdxTxt,baseCost)
)</f>
        <v>196</v>
      </c>
      <c r="AN261" s="475" cm="1">
        <f t="array" ref="AN261">1+SUMPRODUCT(
  (Contract_Edits[BaseFlag]=1)*
  (TEXT(Contract_Edits[ParentAnchor],"0")=TEXT(Contract_Edits[[#This Row],[ParentAnchor]],"0"))*
  (VALUE(TEXT(Contract_Edits[Index],"0"))&lt;VALUE(TEXT(Contract_Edits[[#This Row],[Index]],"0")))
)</f>
        <v>1</v>
      </c>
    </row>
    <row r="262" spans="12:40" ht="18" customHeight="1">
      <c r="L262" s="463">
        <v>237</v>
      </c>
      <c r="M262" s="543"/>
      <c r="N262" s="544"/>
      <c r="O262" s="546" cm="1">
        <f t="array" ref="O26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2" s="568"/>
      <c r="Q262" s="568"/>
      <c r="R262" s="499"/>
      <c r="S262" s="463" cm="1">
        <f t="array" ref="S26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2" s="34"/>
      <c r="U262" s="490"/>
      <c r="V26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2" s="557"/>
      <c r="X262" s="545"/>
      <c r="Y262" s="548" t="s">
        <v>1465</v>
      </c>
      <c r="Z262" s="160"/>
      <c r="AA262" s="563"/>
      <c r="AB262" s="34" cm="1">
        <f t="array" ref="AB262">ROW()-ROW(Contract_Edits[#Headers])</f>
        <v>238</v>
      </c>
      <c r="AC262" s="34">
        <f>IF(Contract_Edits[[#This Row],[RowPos]]&gt;1, Contract_Edits[[#This Row],[RowPos]]-1, 0)</f>
        <v>237</v>
      </c>
      <c r="AD262" s="35">
        <f>IF(N(Contract_Edits[[#This Row],[Dep]])=0, N(Contract_Edits[[#This Row],[Index]]), N(Contract_Edits[[#This Row],[Dep]]))</f>
        <v>196</v>
      </c>
      <c r="AE262" s="35" cm="1">
        <f t="array" ref="AE262">IF(OR(Contract_Edits[[#This Row],[Dep]]=0, TRIM(Contract_Edits[[#This Row],[Dep]])=""),
   0,
   IFERROR(
      _xlfn.XLOOKUP(1, (Contract_Edits[Dep]=Contract_Edits[[#This Row],[Dep]])*(Contract_Edits[RowPos]&lt;Contract_Edits[[#This Row],[RowPos]]), Contract_Edits[RowPos], , 0, -1),
      0
   )
)</f>
        <v>237</v>
      </c>
      <c r="AF262" s="35">
        <f>IF(OR(Contract_Edits[[#This Row],[Dep]]=0,Contract_Edits[[#This Row],[Dep]]=""),0,
   COUNTIFS(Contract_Edits[Dep],Contract_Edits[[#This Row],[Dep]],Contract_Edits[RowPos],"&lt;="&amp;Contract_Edits[[#This Row],[RowPos]],Contract_Edits[Approve],"Yes")
)</f>
        <v>1</v>
      </c>
      <c r="AG262" s="517">
        <f>--(
  ISNUMBER(SEARCH("BASE PARENT", UPPER(CLEAN(TRIM(_xlfn.XLOOKUP(TEXT(Contract_Edits[[#This Row],[Index]],"0"), baseIdxTxt, baseCost, "")))))) +
  ISNUMBER(SEARCH("DEPENDENCY GROUP", UPPER(CLEAN(TRIM(_xlfn.XLOOKUP(TEXT(Contract_Edits[[#This Row],[Index]],"0"), baseIdxTxt, baseCost, ""))))))
)</f>
        <v>0</v>
      </c>
      <c r="AH262" s="517" t="str" cm="1">
        <f t="array" ref="AH262">IF(Contract_Edits[[#This Row],[BaseFlag]]=1,
   10*BaseDepthL(TEXT(Contract_Edits[[#This Row],[Index]],"0"),500,editsIdxTxt,editsParentKeyTxt,baseIdxTxt,baseCost)-5,
   ""
)</f>
        <v/>
      </c>
      <c r="AI262" s="517" cm="1">
        <f t="array" ref="AI2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2" s="475" t="str">
        <f>IF(Contract_Edits[[#This Row],[Dep]]=0,"Root",
   IF(ISNUMBER(MATCH(Contract_Edits[[#This Row],[Dep]],Contract_Edits[Index],0)),"OK","Missing")
)</f>
        <v>OK</v>
      </c>
      <c r="AK262" s="475" t="str">
        <f>IF(AND(Contract_Edits[[#This Row],[Dep]]&lt;&gt;0,
        ISNUMBER(MATCH(Contract_Edits[[#This Row],[Dep]], Contract_Edits[Index], 0)),
        INDEX(Contract_Edits[Dep], MATCH(Contract_Edits[[#This Row],[Dep]], Contract_Edits[Index], 0))=Contract_Edits[[#This Row],[Index]]),
   "2-cycle","")</f>
        <v/>
      </c>
      <c r="AL262" s="475" cm="1">
        <f t="array" ref="AL262">IF(Contract_Edits[[#This Row],[BaseFlag]]&lt;&gt;1,0,
   IF(TEXT(Contract_Edits[[#This Row],[Dep]],"0")=TEXT(Contract_Edits[[#This Row],[Index]],"0"),
      0,
      MAX(0, SUMPRODUCT(--(Contract_Edits[BaseFlag]=1),
                        --(TEXT(Contract_Edits[Dep],"0")=TEXT(Contract_Edits[[#This Row],[Dep]],"0"))) - 1)
   )
)</f>
        <v>0</v>
      </c>
      <c r="AM262" s="475" t="str" cm="1">
        <f t="array" ref="AM262">IF(Contract_Edits[[#This Row],[BaseFlag]]=1,
   TEXT(Contract_Edits[[#This Row],[Index]],"0"),
   NearestBaseL(TEXT(Contract_Edits[[#This Row],[ParentKey]],"0"),500,editsIdxTxt,editsParentKeyTxt,baseIdxTxt,baseCost)
)</f>
        <v>196</v>
      </c>
      <c r="AN262" s="475" cm="1">
        <f t="array" ref="AN262">1+SUMPRODUCT(
  (Contract_Edits[BaseFlag]=1)*
  (TEXT(Contract_Edits[ParentAnchor],"0")=TEXT(Contract_Edits[[#This Row],[ParentAnchor]],"0"))*
  (VALUE(TEXT(Contract_Edits[Index],"0"))&lt;VALUE(TEXT(Contract_Edits[[#This Row],[Index]],"0")))
)</f>
        <v>1</v>
      </c>
    </row>
    <row r="263" spans="12:40" ht="18" customHeight="1">
      <c r="L263" s="463">
        <v>238</v>
      </c>
      <c r="M263" s="543"/>
      <c r="N263" s="544"/>
      <c r="O263" s="546" cm="1">
        <f t="array" ref="O26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3" s="568"/>
      <c r="Q263" s="568"/>
      <c r="R263" s="499"/>
      <c r="S263" s="463" cm="1">
        <f t="array" ref="S26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3" s="34"/>
      <c r="U263" s="490"/>
      <c r="V26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3" s="557"/>
      <c r="X263" s="545"/>
      <c r="Y263" s="548" t="s">
        <v>1465</v>
      </c>
      <c r="Z263" s="160"/>
      <c r="AA263" s="563"/>
      <c r="AB263" s="34" cm="1">
        <f t="array" ref="AB263">ROW()-ROW(Contract_Edits[#Headers])</f>
        <v>239</v>
      </c>
      <c r="AC263" s="34">
        <f>IF(Contract_Edits[[#This Row],[RowPos]]&gt;1, Contract_Edits[[#This Row],[RowPos]]-1, 0)</f>
        <v>238</v>
      </c>
      <c r="AD263" s="35">
        <f>IF(N(Contract_Edits[[#This Row],[Dep]])=0, N(Contract_Edits[[#This Row],[Index]]), N(Contract_Edits[[#This Row],[Dep]]))</f>
        <v>196</v>
      </c>
      <c r="AE263" s="35" cm="1">
        <f t="array" ref="AE263">IF(OR(Contract_Edits[[#This Row],[Dep]]=0, TRIM(Contract_Edits[[#This Row],[Dep]])=""),
   0,
   IFERROR(
      _xlfn.XLOOKUP(1, (Contract_Edits[Dep]=Contract_Edits[[#This Row],[Dep]])*(Contract_Edits[RowPos]&lt;Contract_Edits[[#This Row],[RowPos]]), Contract_Edits[RowPos], , 0, -1),
      0
   )
)</f>
        <v>238</v>
      </c>
      <c r="AF263" s="35">
        <f>IF(OR(Contract_Edits[[#This Row],[Dep]]=0,Contract_Edits[[#This Row],[Dep]]=""),0,
   COUNTIFS(Contract_Edits[Dep],Contract_Edits[[#This Row],[Dep]],Contract_Edits[RowPos],"&lt;="&amp;Contract_Edits[[#This Row],[RowPos]],Contract_Edits[Approve],"Yes")
)</f>
        <v>1</v>
      </c>
      <c r="AG263" s="517">
        <f>--(
  ISNUMBER(SEARCH("BASE PARENT", UPPER(CLEAN(TRIM(_xlfn.XLOOKUP(TEXT(Contract_Edits[[#This Row],[Index]],"0"), baseIdxTxt, baseCost, "")))))) +
  ISNUMBER(SEARCH("DEPENDENCY GROUP", UPPER(CLEAN(TRIM(_xlfn.XLOOKUP(TEXT(Contract_Edits[[#This Row],[Index]],"0"), baseIdxTxt, baseCost, ""))))))
)</f>
        <v>0</v>
      </c>
      <c r="AH263" s="517" t="str" cm="1">
        <f t="array" ref="AH263">IF(Contract_Edits[[#This Row],[BaseFlag]]=1,
   10*BaseDepthL(TEXT(Contract_Edits[[#This Row],[Index]],"0"),500,editsIdxTxt,editsParentKeyTxt,baseIdxTxt,baseCost)-5,
   ""
)</f>
        <v/>
      </c>
      <c r="AI263" s="517" cm="1">
        <f t="array" ref="AI2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3" s="475" t="str">
        <f>IF(Contract_Edits[[#This Row],[Dep]]=0,"Root",
   IF(ISNUMBER(MATCH(Contract_Edits[[#This Row],[Dep]],Contract_Edits[Index],0)),"OK","Missing")
)</f>
        <v>OK</v>
      </c>
      <c r="AK263" s="475" t="str">
        <f>IF(AND(Contract_Edits[[#This Row],[Dep]]&lt;&gt;0,
        ISNUMBER(MATCH(Contract_Edits[[#This Row],[Dep]], Contract_Edits[Index], 0)),
        INDEX(Contract_Edits[Dep], MATCH(Contract_Edits[[#This Row],[Dep]], Contract_Edits[Index], 0))=Contract_Edits[[#This Row],[Index]]),
   "2-cycle","")</f>
        <v/>
      </c>
      <c r="AL263" s="475" cm="1">
        <f t="array" ref="AL263">IF(Contract_Edits[[#This Row],[BaseFlag]]&lt;&gt;1,0,
   IF(TEXT(Contract_Edits[[#This Row],[Dep]],"0")=TEXT(Contract_Edits[[#This Row],[Index]],"0"),
      0,
      MAX(0, SUMPRODUCT(--(Contract_Edits[BaseFlag]=1),
                        --(TEXT(Contract_Edits[Dep],"0")=TEXT(Contract_Edits[[#This Row],[Dep]],"0"))) - 1)
   )
)</f>
        <v>0</v>
      </c>
      <c r="AM263" s="475" t="str" cm="1">
        <f t="array" ref="AM263">IF(Contract_Edits[[#This Row],[BaseFlag]]=1,
   TEXT(Contract_Edits[[#This Row],[Index]],"0"),
   NearestBaseL(TEXT(Contract_Edits[[#This Row],[ParentKey]],"0"),500,editsIdxTxt,editsParentKeyTxt,baseIdxTxt,baseCost)
)</f>
        <v>196</v>
      </c>
      <c r="AN263" s="475" cm="1">
        <f t="array" ref="AN263">1+SUMPRODUCT(
  (Contract_Edits[BaseFlag]=1)*
  (TEXT(Contract_Edits[ParentAnchor],"0")=TEXT(Contract_Edits[[#This Row],[ParentAnchor]],"0"))*
  (VALUE(TEXT(Contract_Edits[Index],"0"))&lt;VALUE(TEXT(Contract_Edits[[#This Row],[Index]],"0")))
)</f>
        <v>1</v>
      </c>
    </row>
    <row r="264" spans="12:40" ht="18" customHeight="1">
      <c r="L264" s="463">
        <v>239</v>
      </c>
      <c r="M264" s="543"/>
      <c r="N264" s="544"/>
      <c r="O264" s="546" cm="1">
        <f t="array" ref="O26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4" s="568"/>
      <c r="Q264" s="568"/>
      <c r="R264" s="499"/>
      <c r="S264" s="463" cm="1">
        <f t="array" ref="S26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4" s="34"/>
      <c r="U264" s="490"/>
      <c r="V26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4" s="557"/>
      <c r="X264" s="545"/>
      <c r="Y264" s="548" t="s">
        <v>1465</v>
      </c>
      <c r="Z264" s="160"/>
      <c r="AA264" s="563"/>
      <c r="AB264" s="34" cm="1">
        <f t="array" ref="AB264">ROW()-ROW(Contract_Edits[#Headers])</f>
        <v>240</v>
      </c>
      <c r="AC264" s="34">
        <f>IF(Contract_Edits[[#This Row],[RowPos]]&gt;1, Contract_Edits[[#This Row],[RowPos]]-1, 0)</f>
        <v>239</v>
      </c>
      <c r="AD264" s="35">
        <f>IF(N(Contract_Edits[[#This Row],[Dep]])=0, N(Contract_Edits[[#This Row],[Index]]), N(Contract_Edits[[#This Row],[Dep]]))</f>
        <v>196</v>
      </c>
      <c r="AE264" s="35" cm="1">
        <f t="array" ref="AE264">IF(OR(Contract_Edits[[#This Row],[Dep]]=0, TRIM(Contract_Edits[[#This Row],[Dep]])=""),
   0,
   IFERROR(
      _xlfn.XLOOKUP(1, (Contract_Edits[Dep]=Contract_Edits[[#This Row],[Dep]])*(Contract_Edits[RowPos]&lt;Contract_Edits[[#This Row],[RowPos]]), Contract_Edits[RowPos], , 0, -1),
      0
   )
)</f>
        <v>239</v>
      </c>
      <c r="AF264" s="35">
        <f>IF(OR(Contract_Edits[[#This Row],[Dep]]=0,Contract_Edits[[#This Row],[Dep]]=""),0,
   COUNTIFS(Contract_Edits[Dep],Contract_Edits[[#This Row],[Dep]],Contract_Edits[RowPos],"&lt;="&amp;Contract_Edits[[#This Row],[RowPos]],Contract_Edits[Approve],"Yes")
)</f>
        <v>1</v>
      </c>
      <c r="AG264" s="517">
        <f>--(
  ISNUMBER(SEARCH("BASE PARENT", UPPER(CLEAN(TRIM(_xlfn.XLOOKUP(TEXT(Contract_Edits[[#This Row],[Index]],"0"), baseIdxTxt, baseCost, "")))))) +
  ISNUMBER(SEARCH("DEPENDENCY GROUP", UPPER(CLEAN(TRIM(_xlfn.XLOOKUP(TEXT(Contract_Edits[[#This Row],[Index]],"0"), baseIdxTxt, baseCost, ""))))))
)</f>
        <v>0</v>
      </c>
      <c r="AH264" s="517" t="str" cm="1">
        <f t="array" ref="AH264">IF(Contract_Edits[[#This Row],[BaseFlag]]=1,
   10*BaseDepthL(TEXT(Contract_Edits[[#This Row],[Index]],"0"),500,editsIdxTxt,editsParentKeyTxt,baseIdxTxt,baseCost)-5,
   ""
)</f>
        <v/>
      </c>
      <c r="AI264" s="517" cm="1">
        <f t="array" ref="AI2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4" s="475" t="str">
        <f>IF(Contract_Edits[[#This Row],[Dep]]=0,"Root",
   IF(ISNUMBER(MATCH(Contract_Edits[[#This Row],[Dep]],Contract_Edits[Index],0)),"OK","Missing")
)</f>
        <v>OK</v>
      </c>
      <c r="AK264" s="475" t="str">
        <f>IF(AND(Contract_Edits[[#This Row],[Dep]]&lt;&gt;0,
        ISNUMBER(MATCH(Contract_Edits[[#This Row],[Dep]], Contract_Edits[Index], 0)),
        INDEX(Contract_Edits[Dep], MATCH(Contract_Edits[[#This Row],[Dep]], Contract_Edits[Index], 0))=Contract_Edits[[#This Row],[Index]]),
   "2-cycle","")</f>
        <v/>
      </c>
      <c r="AL264" s="475" cm="1">
        <f t="array" ref="AL264">IF(Contract_Edits[[#This Row],[BaseFlag]]&lt;&gt;1,0,
   IF(TEXT(Contract_Edits[[#This Row],[Dep]],"0")=TEXT(Contract_Edits[[#This Row],[Index]],"0"),
      0,
      MAX(0, SUMPRODUCT(--(Contract_Edits[BaseFlag]=1),
                        --(TEXT(Contract_Edits[Dep],"0")=TEXT(Contract_Edits[[#This Row],[Dep]],"0"))) - 1)
   )
)</f>
        <v>0</v>
      </c>
      <c r="AM264" s="475" t="str" cm="1">
        <f t="array" ref="AM264">IF(Contract_Edits[[#This Row],[BaseFlag]]=1,
   TEXT(Contract_Edits[[#This Row],[Index]],"0"),
   NearestBaseL(TEXT(Contract_Edits[[#This Row],[ParentKey]],"0"),500,editsIdxTxt,editsParentKeyTxt,baseIdxTxt,baseCost)
)</f>
        <v>196</v>
      </c>
      <c r="AN264" s="475" cm="1">
        <f t="array" ref="AN264">1+SUMPRODUCT(
  (Contract_Edits[BaseFlag]=1)*
  (TEXT(Contract_Edits[ParentAnchor],"0")=TEXT(Contract_Edits[[#This Row],[ParentAnchor]],"0"))*
  (VALUE(TEXT(Contract_Edits[Index],"0"))&lt;VALUE(TEXT(Contract_Edits[[#This Row],[Index]],"0")))
)</f>
        <v>1</v>
      </c>
    </row>
    <row r="265" spans="12:40" ht="18" customHeight="1">
      <c r="L265" s="463">
        <v>240</v>
      </c>
      <c r="M265" s="543"/>
      <c r="N265" s="544"/>
      <c r="O265" s="546" cm="1">
        <f t="array" ref="O26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5" s="568"/>
      <c r="Q265" s="568"/>
      <c r="R265" s="499"/>
      <c r="S265" s="463" cm="1">
        <f t="array" ref="S26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5" s="34"/>
      <c r="U265" s="490"/>
      <c r="V26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5" s="557"/>
      <c r="X265" s="545"/>
      <c r="Y265" s="548" t="s">
        <v>1465</v>
      </c>
      <c r="Z265" s="160"/>
      <c r="AA265" s="563"/>
      <c r="AB265" s="34" cm="1">
        <f t="array" ref="AB265">ROW()-ROW(Contract_Edits[#Headers])</f>
        <v>241</v>
      </c>
      <c r="AC265" s="34">
        <f>IF(Contract_Edits[[#This Row],[RowPos]]&gt;1, Contract_Edits[[#This Row],[RowPos]]-1, 0)</f>
        <v>240</v>
      </c>
      <c r="AD265" s="35">
        <f>IF(N(Contract_Edits[[#This Row],[Dep]])=0, N(Contract_Edits[[#This Row],[Index]]), N(Contract_Edits[[#This Row],[Dep]]))</f>
        <v>196</v>
      </c>
      <c r="AE265" s="35" cm="1">
        <f t="array" ref="AE265">IF(OR(Contract_Edits[[#This Row],[Dep]]=0, TRIM(Contract_Edits[[#This Row],[Dep]])=""),
   0,
   IFERROR(
      _xlfn.XLOOKUP(1, (Contract_Edits[Dep]=Contract_Edits[[#This Row],[Dep]])*(Contract_Edits[RowPos]&lt;Contract_Edits[[#This Row],[RowPos]]), Contract_Edits[RowPos], , 0, -1),
      0
   )
)</f>
        <v>240</v>
      </c>
      <c r="AF265" s="35">
        <f>IF(OR(Contract_Edits[[#This Row],[Dep]]=0,Contract_Edits[[#This Row],[Dep]]=""),0,
   COUNTIFS(Contract_Edits[Dep],Contract_Edits[[#This Row],[Dep]],Contract_Edits[RowPos],"&lt;="&amp;Contract_Edits[[#This Row],[RowPos]],Contract_Edits[Approve],"Yes")
)</f>
        <v>1</v>
      </c>
      <c r="AG265" s="517">
        <f>--(
  ISNUMBER(SEARCH("BASE PARENT", UPPER(CLEAN(TRIM(_xlfn.XLOOKUP(TEXT(Contract_Edits[[#This Row],[Index]],"0"), baseIdxTxt, baseCost, "")))))) +
  ISNUMBER(SEARCH("DEPENDENCY GROUP", UPPER(CLEAN(TRIM(_xlfn.XLOOKUP(TEXT(Contract_Edits[[#This Row],[Index]],"0"), baseIdxTxt, baseCost, ""))))))
)</f>
        <v>0</v>
      </c>
      <c r="AH265" s="517" t="str" cm="1">
        <f t="array" ref="AH265">IF(Contract_Edits[[#This Row],[BaseFlag]]=1,
   10*BaseDepthL(TEXT(Contract_Edits[[#This Row],[Index]],"0"),500,editsIdxTxt,editsParentKeyTxt,baseIdxTxt,baseCost)-5,
   ""
)</f>
        <v/>
      </c>
      <c r="AI265" s="517" cm="1">
        <f t="array" ref="AI2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5" s="475" t="str">
        <f>IF(Contract_Edits[[#This Row],[Dep]]=0,"Root",
   IF(ISNUMBER(MATCH(Contract_Edits[[#This Row],[Dep]],Contract_Edits[Index],0)),"OK","Missing")
)</f>
        <v>OK</v>
      </c>
      <c r="AK265" s="475" t="str">
        <f>IF(AND(Contract_Edits[[#This Row],[Dep]]&lt;&gt;0,
        ISNUMBER(MATCH(Contract_Edits[[#This Row],[Dep]], Contract_Edits[Index], 0)),
        INDEX(Contract_Edits[Dep], MATCH(Contract_Edits[[#This Row],[Dep]], Contract_Edits[Index], 0))=Contract_Edits[[#This Row],[Index]]),
   "2-cycle","")</f>
        <v/>
      </c>
      <c r="AL265" s="475" cm="1">
        <f t="array" ref="AL265">IF(Contract_Edits[[#This Row],[BaseFlag]]&lt;&gt;1,0,
   IF(TEXT(Contract_Edits[[#This Row],[Dep]],"0")=TEXT(Contract_Edits[[#This Row],[Index]],"0"),
      0,
      MAX(0, SUMPRODUCT(--(Contract_Edits[BaseFlag]=1),
                        --(TEXT(Contract_Edits[Dep],"0")=TEXT(Contract_Edits[[#This Row],[Dep]],"0"))) - 1)
   )
)</f>
        <v>0</v>
      </c>
      <c r="AM265" s="475" t="str" cm="1">
        <f t="array" ref="AM265">IF(Contract_Edits[[#This Row],[BaseFlag]]=1,
   TEXT(Contract_Edits[[#This Row],[Index]],"0"),
   NearestBaseL(TEXT(Contract_Edits[[#This Row],[ParentKey]],"0"),500,editsIdxTxt,editsParentKeyTxt,baseIdxTxt,baseCost)
)</f>
        <v>196</v>
      </c>
      <c r="AN265" s="475" cm="1">
        <f t="array" ref="AN265">1+SUMPRODUCT(
  (Contract_Edits[BaseFlag]=1)*
  (TEXT(Contract_Edits[ParentAnchor],"0")=TEXT(Contract_Edits[[#This Row],[ParentAnchor]],"0"))*
  (VALUE(TEXT(Contract_Edits[Index],"0"))&lt;VALUE(TEXT(Contract_Edits[[#This Row],[Index]],"0")))
)</f>
        <v>1</v>
      </c>
    </row>
    <row r="266" spans="12:40" ht="18" customHeight="1">
      <c r="L266" s="463">
        <v>241</v>
      </c>
      <c r="M266" s="543"/>
      <c r="N266" s="544"/>
      <c r="O266" s="546" cm="1">
        <f t="array" ref="O26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6" s="568"/>
      <c r="Q266" s="568"/>
      <c r="R266" s="499"/>
      <c r="S266" s="463" cm="1">
        <f t="array" ref="S26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6" s="34"/>
      <c r="U266" s="490"/>
      <c r="V26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6" s="557"/>
      <c r="X266" s="545"/>
      <c r="Y266" s="548" t="s">
        <v>1465</v>
      </c>
      <c r="Z266" s="160"/>
      <c r="AA266" s="563"/>
      <c r="AB266" s="34" cm="1">
        <f t="array" ref="AB266">ROW()-ROW(Contract_Edits[#Headers])</f>
        <v>242</v>
      </c>
      <c r="AC266" s="34">
        <f>IF(Contract_Edits[[#This Row],[RowPos]]&gt;1, Contract_Edits[[#This Row],[RowPos]]-1, 0)</f>
        <v>241</v>
      </c>
      <c r="AD266" s="35">
        <f>IF(N(Contract_Edits[[#This Row],[Dep]])=0, N(Contract_Edits[[#This Row],[Index]]), N(Contract_Edits[[#This Row],[Dep]]))</f>
        <v>196</v>
      </c>
      <c r="AE266" s="35" cm="1">
        <f t="array" ref="AE266">IF(OR(Contract_Edits[[#This Row],[Dep]]=0, TRIM(Contract_Edits[[#This Row],[Dep]])=""),
   0,
   IFERROR(
      _xlfn.XLOOKUP(1, (Contract_Edits[Dep]=Contract_Edits[[#This Row],[Dep]])*(Contract_Edits[RowPos]&lt;Contract_Edits[[#This Row],[RowPos]]), Contract_Edits[RowPos], , 0, -1),
      0
   )
)</f>
        <v>241</v>
      </c>
      <c r="AF266" s="35">
        <f>IF(OR(Contract_Edits[[#This Row],[Dep]]=0,Contract_Edits[[#This Row],[Dep]]=""),0,
   COUNTIFS(Contract_Edits[Dep],Contract_Edits[[#This Row],[Dep]],Contract_Edits[RowPos],"&lt;="&amp;Contract_Edits[[#This Row],[RowPos]],Contract_Edits[Approve],"Yes")
)</f>
        <v>1</v>
      </c>
      <c r="AG266" s="517">
        <f>--(
  ISNUMBER(SEARCH("BASE PARENT", UPPER(CLEAN(TRIM(_xlfn.XLOOKUP(TEXT(Contract_Edits[[#This Row],[Index]],"0"), baseIdxTxt, baseCost, "")))))) +
  ISNUMBER(SEARCH("DEPENDENCY GROUP", UPPER(CLEAN(TRIM(_xlfn.XLOOKUP(TEXT(Contract_Edits[[#This Row],[Index]],"0"), baseIdxTxt, baseCost, ""))))))
)</f>
        <v>0</v>
      </c>
      <c r="AH266" s="517" t="str" cm="1">
        <f t="array" ref="AH266">IF(Contract_Edits[[#This Row],[BaseFlag]]=1,
   10*BaseDepthL(TEXT(Contract_Edits[[#This Row],[Index]],"0"),500,editsIdxTxt,editsParentKeyTxt,baseIdxTxt,baseCost)-5,
   ""
)</f>
        <v/>
      </c>
      <c r="AI266" s="517" cm="1">
        <f t="array" ref="AI2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6" s="475" t="str">
        <f>IF(Contract_Edits[[#This Row],[Dep]]=0,"Root",
   IF(ISNUMBER(MATCH(Contract_Edits[[#This Row],[Dep]],Contract_Edits[Index],0)),"OK","Missing")
)</f>
        <v>OK</v>
      </c>
      <c r="AK266" s="475" t="str">
        <f>IF(AND(Contract_Edits[[#This Row],[Dep]]&lt;&gt;0,
        ISNUMBER(MATCH(Contract_Edits[[#This Row],[Dep]], Contract_Edits[Index], 0)),
        INDEX(Contract_Edits[Dep], MATCH(Contract_Edits[[#This Row],[Dep]], Contract_Edits[Index], 0))=Contract_Edits[[#This Row],[Index]]),
   "2-cycle","")</f>
        <v/>
      </c>
      <c r="AL266" s="475" cm="1">
        <f t="array" ref="AL266">IF(Contract_Edits[[#This Row],[BaseFlag]]&lt;&gt;1,0,
   IF(TEXT(Contract_Edits[[#This Row],[Dep]],"0")=TEXT(Contract_Edits[[#This Row],[Index]],"0"),
      0,
      MAX(0, SUMPRODUCT(--(Contract_Edits[BaseFlag]=1),
                        --(TEXT(Contract_Edits[Dep],"0")=TEXT(Contract_Edits[[#This Row],[Dep]],"0"))) - 1)
   )
)</f>
        <v>0</v>
      </c>
      <c r="AM266" s="475" t="str" cm="1">
        <f t="array" ref="AM266">IF(Contract_Edits[[#This Row],[BaseFlag]]=1,
   TEXT(Contract_Edits[[#This Row],[Index]],"0"),
   NearestBaseL(TEXT(Contract_Edits[[#This Row],[ParentKey]],"0"),500,editsIdxTxt,editsParentKeyTxt,baseIdxTxt,baseCost)
)</f>
        <v>196</v>
      </c>
      <c r="AN266" s="475" cm="1">
        <f t="array" ref="AN266">1+SUMPRODUCT(
  (Contract_Edits[BaseFlag]=1)*
  (TEXT(Contract_Edits[ParentAnchor],"0")=TEXT(Contract_Edits[[#This Row],[ParentAnchor]],"0"))*
  (VALUE(TEXT(Contract_Edits[Index],"0"))&lt;VALUE(TEXT(Contract_Edits[[#This Row],[Index]],"0")))
)</f>
        <v>1</v>
      </c>
    </row>
    <row r="267" spans="12:40" ht="18" customHeight="1">
      <c r="L267" s="463">
        <v>242</v>
      </c>
      <c r="M267" s="543"/>
      <c r="N267" s="544"/>
      <c r="O267" s="546" cm="1">
        <f t="array" ref="O26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7" s="568"/>
      <c r="Q267" s="568"/>
      <c r="R267" s="499"/>
      <c r="S267" s="463" cm="1">
        <f t="array" ref="S26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7" s="34"/>
      <c r="U267" s="490"/>
      <c r="V26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7" s="557"/>
      <c r="X267" s="545"/>
      <c r="Y267" s="548" t="s">
        <v>1465</v>
      </c>
      <c r="Z267" s="160"/>
      <c r="AA267" s="563"/>
      <c r="AB267" s="34" cm="1">
        <f t="array" ref="AB267">ROW()-ROW(Contract_Edits[#Headers])</f>
        <v>243</v>
      </c>
      <c r="AC267" s="34">
        <f>IF(Contract_Edits[[#This Row],[RowPos]]&gt;1, Contract_Edits[[#This Row],[RowPos]]-1, 0)</f>
        <v>242</v>
      </c>
      <c r="AD267" s="35">
        <f>IF(N(Contract_Edits[[#This Row],[Dep]])=0, N(Contract_Edits[[#This Row],[Index]]), N(Contract_Edits[[#This Row],[Dep]]))</f>
        <v>196</v>
      </c>
      <c r="AE267" s="35" cm="1">
        <f t="array" ref="AE267">IF(OR(Contract_Edits[[#This Row],[Dep]]=0, TRIM(Contract_Edits[[#This Row],[Dep]])=""),
   0,
   IFERROR(
      _xlfn.XLOOKUP(1, (Contract_Edits[Dep]=Contract_Edits[[#This Row],[Dep]])*(Contract_Edits[RowPos]&lt;Contract_Edits[[#This Row],[RowPos]]), Contract_Edits[RowPos], , 0, -1),
      0
   )
)</f>
        <v>242</v>
      </c>
      <c r="AF267" s="35">
        <f>IF(OR(Contract_Edits[[#This Row],[Dep]]=0,Contract_Edits[[#This Row],[Dep]]=""),0,
   COUNTIFS(Contract_Edits[Dep],Contract_Edits[[#This Row],[Dep]],Contract_Edits[RowPos],"&lt;="&amp;Contract_Edits[[#This Row],[RowPos]],Contract_Edits[Approve],"Yes")
)</f>
        <v>1</v>
      </c>
      <c r="AG267" s="517">
        <f>--(
  ISNUMBER(SEARCH("BASE PARENT", UPPER(CLEAN(TRIM(_xlfn.XLOOKUP(TEXT(Contract_Edits[[#This Row],[Index]],"0"), baseIdxTxt, baseCost, "")))))) +
  ISNUMBER(SEARCH("DEPENDENCY GROUP", UPPER(CLEAN(TRIM(_xlfn.XLOOKUP(TEXT(Contract_Edits[[#This Row],[Index]],"0"), baseIdxTxt, baseCost, ""))))))
)</f>
        <v>0</v>
      </c>
      <c r="AH267" s="517" t="str" cm="1">
        <f t="array" ref="AH267">IF(Contract_Edits[[#This Row],[BaseFlag]]=1,
   10*BaseDepthL(TEXT(Contract_Edits[[#This Row],[Index]],"0"),500,editsIdxTxt,editsParentKeyTxt,baseIdxTxt,baseCost)-5,
   ""
)</f>
        <v/>
      </c>
      <c r="AI267" s="517" cm="1">
        <f t="array" ref="AI2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7" s="475" t="str">
        <f>IF(Contract_Edits[[#This Row],[Dep]]=0,"Root",
   IF(ISNUMBER(MATCH(Contract_Edits[[#This Row],[Dep]],Contract_Edits[Index],0)),"OK","Missing")
)</f>
        <v>OK</v>
      </c>
      <c r="AK267" s="475" t="str">
        <f>IF(AND(Contract_Edits[[#This Row],[Dep]]&lt;&gt;0,
        ISNUMBER(MATCH(Contract_Edits[[#This Row],[Dep]], Contract_Edits[Index], 0)),
        INDEX(Contract_Edits[Dep], MATCH(Contract_Edits[[#This Row],[Dep]], Contract_Edits[Index], 0))=Contract_Edits[[#This Row],[Index]]),
   "2-cycle","")</f>
        <v/>
      </c>
      <c r="AL267" s="475" cm="1">
        <f t="array" ref="AL267">IF(Contract_Edits[[#This Row],[BaseFlag]]&lt;&gt;1,0,
   IF(TEXT(Contract_Edits[[#This Row],[Dep]],"0")=TEXT(Contract_Edits[[#This Row],[Index]],"0"),
      0,
      MAX(0, SUMPRODUCT(--(Contract_Edits[BaseFlag]=1),
                        --(TEXT(Contract_Edits[Dep],"0")=TEXT(Contract_Edits[[#This Row],[Dep]],"0"))) - 1)
   )
)</f>
        <v>0</v>
      </c>
      <c r="AM267" s="475" t="str" cm="1">
        <f t="array" ref="AM267">IF(Contract_Edits[[#This Row],[BaseFlag]]=1,
   TEXT(Contract_Edits[[#This Row],[Index]],"0"),
   NearestBaseL(TEXT(Contract_Edits[[#This Row],[ParentKey]],"0"),500,editsIdxTxt,editsParentKeyTxt,baseIdxTxt,baseCost)
)</f>
        <v>196</v>
      </c>
      <c r="AN267" s="475" cm="1">
        <f t="array" ref="AN267">1+SUMPRODUCT(
  (Contract_Edits[BaseFlag]=1)*
  (TEXT(Contract_Edits[ParentAnchor],"0")=TEXT(Contract_Edits[[#This Row],[ParentAnchor]],"0"))*
  (VALUE(TEXT(Contract_Edits[Index],"0"))&lt;VALUE(TEXT(Contract_Edits[[#This Row],[Index]],"0")))
)</f>
        <v>1</v>
      </c>
    </row>
    <row r="268" spans="12:40" ht="18" customHeight="1">
      <c r="L268" s="463">
        <v>243</v>
      </c>
      <c r="M268" s="543"/>
      <c r="N268" s="544"/>
      <c r="O268" s="546" cm="1">
        <f t="array" ref="O26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8" s="568"/>
      <c r="Q268" s="568"/>
      <c r="R268" s="499"/>
      <c r="S268" s="463" cm="1">
        <f t="array" ref="S26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8" s="34"/>
      <c r="U268" s="490"/>
      <c r="V26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8" s="557"/>
      <c r="X268" s="545"/>
      <c r="Y268" s="548" t="s">
        <v>1465</v>
      </c>
      <c r="Z268" s="160"/>
      <c r="AA268" s="563"/>
      <c r="AB268" s="34" cm="1">
        <f t="array" ref="AB268">ROW()-ROW(Contract_Edits[#Headers])</f>
        <v>244</v>
      </c>
      <c r="AC268" s="34">
        <f>IF(Contract_Edits[[#This Row],[RowPos]]&gt;1, Contract_Edits[[#This Row],[RowPos]]-1, 0)</f>
        <v>243</v>
      </c>
      <c r="AD268" s="35">
        <f>IF(N(Contract_Edits[[#This Row],[Dep]])=0, N(Contract_Edits[[#This Row],[Index]]), N(Contract_Edits[[#This Row],[Dep]]))</f>
        <v>196</v>
      </c>
      <c r="AE268" s="35" cm="1">
        <f t="array" ref="AE268">IF(OR(Contract_Edits[[#This Row],[Dep]]=0, TRIM(Contract_Edits[[#This Row],[Dep]])=""),
   0,
   IFERROR(
      _xlfn.XLOOKUP(1, (Contract_Edits[Dep]=Contract_Edits[[#This Row],[Dep]])*(Contract_Edits[RowPos]&lt;Contract_Edits[[#This Row],[RowPos]]), Contract_Edits[RowPos], , 0, -1),
      0
   )
)</f>
        <v>243</v>
      </c>
      <c r="AF268" s="35">
        <f>IF(OR(Contract_Edits[[#This Row],[Dep]]=0,Contract_Edits[[#This Row],[Dep]]=""),0,
   COUNTIFS(Contract_Edits[Dep],Contract_Edits[[#This Row],[Dep]],Contract_Edits[RowPos],"&lt;="&amp;Contract_Edits[[#This Row],[RowPos]],Contract_Edits[Approve],"Yes")
)</f>
        <v>1</v>
      </c>
      <c r="AG268" s="517">
        <f>--(
  ISNUMBER(SEARCH("BASE PARENT", UPPER(CLEAN(TRIM(_xlfn.XLOOKUP(TEXT(Contract_Edits[[#This Row],[Index]],"0"), baseIdxTxt, baseCost, "")))))) +
  ISNUMBER(SEARCH("DEPENDENCY GROUP", UPPER(CLEAN(TRIM(_xlfn.XLOOKUP(TEXT(Contract_Edits[[#This Row],[Index]],"0"), baseIdxTxt, baseCost, ""))))))
)</f>
        <v>0</v>
      </c>
      <c r="AH268" s="517" t="str" cm="1">
        <f t="array" ref="AH268">IF(Contract_Edits[[#This Row],[BaseFlag]]=1,
   10*BaseDepthL(TEXT(Contract_Edits[[#This Row],[Index]],"0"),500,editsIdxTxt,editsParentKeyTxt,baseIdxTxt,baseCost)-5,
   ""
)</f>
        <v/>
      </c>
      <c r="AI268" s="517" cm="1">
        <f t="array" ref="AI2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8" s="475" t="str">
        <f>IF(Contract_Edits[[#This Row],[Dep]]=0,"Root",
   IF(ISNUMBER(MATCH(Contract_Edits[[#This Row],[Dep]],Contract_Edits[Index],0)),"OK","Missing")
)</f>
        <v>OK</v>
      </c>
      <c r="AK268" s="475" t="str">
        <f>IF(AND(Contract_Edits[[#This Row],[Dep]]&lt;&gt;0,
        ISNUMBER(MATCH(Contract_Edits[[#This Row],[Dep]], Contract_Edits[Index], 0)),
        INDEX(Contract_Edits[Dep], MATCH(Contract_Edits[[#This Row],[Dep]], Contract_Edits[Index], 0))=Contract_Edits[[#This Row],[Index]]),
   "2-cycle","")</f>
        <v/>
      </c>
      <c r="AL268" s="475" cm="1">
        <f t="array" ref="AL268">IF(Contract_Edits[[#This Row],[BaseFlag]]&lt;&gt;1,0,
   IF(TEXT(Contract_Edits[[#This Row],[Dep]],"0")=TEXT(Contract_Edits[[#This Row],[Index]],"0"),
      0,
      MAX(0, SUMPRODUCT(--(Contract_Edits[BaseFlag]=1),
                        --(TEXT(Contract_Edits[Dep],"0")=TEXT(Contract_Edits[[#This Row],[Dep]],"0"))) - 1)
   )
)</f>
        <v>0</v>
      </c>
      <c r="AM268" s="475" t="str" cm="1">
        <f t="array" ref="AM268">IF(Contract_Edits[[#This Row],[BaseFlag]]=1,
   TEXT(Contract_Edits[[#This Row],[Index]],"0"),
   NearestBaseL(TEXT(Contract_Edits[[#This Row],[ParentKey]],"0"),500,editsIdxTxt,editsParentKeyTxt,baseIdxTxt,baseCost)
)</f>
        <v>196</v>
      </c>
      <c r="AN268" s="475" cm="1">
        <f t="array" ref="AN268">1+SUMPRODUCT(
  (Contract_Edits[BaseFlag]=1)*
  (TEXT(Contract_Edits[ParentAnchor],"0")=TEXT(Contract_Edits[[#This Row],[ParentAnchor]],"0"))*
  (VALUE(TEXT(Contract_Edits[Index],"0"))&lt;VALUE(TEXT(Contract_Edits[[#This Row],[Index]],"0")))
)</f>
        <v>1</v>
      </c>
    </row>
    <row r="269" spans="12:40" ht="18" customHeight="1">
      <c r="L269" s="463">
        <v>244</v>
      </c>
      <c r="M269" s="543"/>
      <c r="N269" s="544"/>
      <c r="O269" s="546" cm="1">
        <f t="array" ref="O26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9" s="568"/>
      <c r="Q269" s="568"/>
      <c r="R269" s="499"/>
      <c r="S269" s="463" cm="1">
        <f t="array" ref="S26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9" s="34"/>
      <c r="U269" s="490"/>
      <c r="V26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9" s="557"/>
      <c r="X269" s="545"/>
      <c r="Y269" s="548" t="s">
        <v>1465</v>
      </c>
      <c r="Z269" s="160"/>
      <c r="AA269" s="563"/>
      <c r="AB269" s="34" cm="1">
        <f t="array" ref="AB269">ROW()-ROW(Contract_Edits[#Headers])</f>
        <v>245</v>
      </c>
      <c r="AC269" s="34">
        <f>IF(Contract_Edits[[#This Row],[RowPos]]&gt;1, Contract_Edits[[#This Row],[RowPos]]-1, 0)</f>
        <v>244</v>
      </c>
      <c r="AD269" s="35">
        <f>IF(N(Contract_Edits[[#This Row],[Dep]])=0, N(Contract_Edits[[#This Row],[Index]]), N(Contract_Edits[[#This Row],[Dep]]))</f>
        <v>196</v>
      </c>
      <c r="AE269" s="35" cm="1">
        <f t="array" ref="AE269">IF(OR(Contract_Edits[[#This Row],[Dep]]=0, TRIM(Contract_Edits[[#This Row],[Dep]])=""),
   0,
   IFERROR(
      _xlfn.XLOOKUP(1, (Contract_Edits[Dep]=Contract_Edits[[#This Row],[Dep]])*(Contract_Edits[RowPos]&lt;Contract_Edits[[#This Row],[RowPos]]), Contract_Edits[RowPos], , 0, -1),
      0
   )
)</f>
        <v>244</v>
      </c>
      <c r="AF269" s="35">
        <f>IF(OR(Contract_Edits[[#This Row],[Dep]]=0,Contract_Edits[[#This Row],[Dep]]=""),0,
   COUNTIFS(Contract_Edits[Dep],Contract_Edits[[#This Row],[Dep]],Contract_Edits[RowPos],"&lt;="&amp;Contract_Edits[[#This Row],[RowPos]],Contract_Edits[Approve],"Yes")
)</f>
        <v>1</v>
      </c>
      <c r="AG269" s="517">
        <f>--(
  ISNUMBER(SEARCH("BASE PARENT", UPPER(CLEAN(TRIM(_xlfn.XLOOKUP(TEXT(Contract_Edits[[#This Row],[Index]],"0"), baseIdxTxt, baseCost, "")))))) +
  ISNUMBER(SEARCH("DEPENDENCY GROUP", UPPER(CLEAN(TRIM(_xlfn.XLOOKUP(TEXT(Contract_Edits[[#This Row],[Index]],"0"), baseIdxTxt, baseCost, ""))))))
)</f>
        <v>0</v>
      </c>
      <c r="AH269" s="517" t="str" cm="1">
        <f t="array" ref="AH269">IF(Contract_Edits[[#This Row],[BaseFlag]]=1,
   10*BaseDepthL(TEXT(Contract_Edits[[#This Row],[Index]],"0"),500,editsIdxTxt,editsParentKeyTxt,baseIdxTxt,baseCost)-5,
   ""
)</f>
        <v/>
      </c>
      <c r="AI269" s="517" cm="1">
        <f t="array" ref="AI2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9" s="475" t="str">
        <f>IF(Contract_Edits[[#This Row],[Dep]]=0,"Root",
   IF(ISNUMBER(MATCH(Contract_Edits[[#This Row],[Dep]],Contract_Edits[Index],0)),"OK","Missing")
)</f>
        <v>OK</v>
      </c>
      <c r="AK269" s="475" t="str">
        <f>IF(AND(Contract_Edits[[#This Row],[Dep]]&lt;&gt;0,
        ISNUMBER(MATCH(Contract_Edits[[#This Row],[Dep]], Contract_Edits[Index], 0)),
        INDEX(Contract_Edits[Dep], MATCH(Contract_Edits[[#This Row],[Dep]], Contract_Edits[Index], 0))=Contract_Edits[[#This Row],[Index]]),
   "2-cycle","")</f>
        <v/>
      </c>
      <c r="AL269" s="475" cm="1">
        <f t="array" ref="AL269">IF(Contract_Edits[[#This Row],[BaseFlag]]&lt;&gt;1,0,
   IF(TEXT(Contract_Edits[[#This Row],[Dep]],"0")=TEXT(Contract_Edits[[#This Row],[Index]],"0"),
      0,
      MAX(0, SUMPRODUCT(--(Contract_Edits[BaseFlag]=1),
                        --(TEXT(Contract_Edits[Dep],"0")=TEXT(Contract_Edits[[#This Row],[Dep]],"0"))) - 1)
   )
)</f>
        <v>0</v>
      </c>
      <c r="AM269" s="475" t="str" cm="1">
        <f t="array" ref="AM269">IF(Contract_Edits[[#This Row],[BaseFlag]]=1,
   TEXT(Contract_Edits[[#This Row],[Index]],"0"),
   NearestBaseL(TEXT(Contract_Edits[[#This Row],[ParentKey]],"0"),500,editsIdxTxt,editsParentKeyTxt,baseIdxTxt,baseCost)
)</f>
        <v>196</v>
      </c>
      <c r="AN269" s="475" cm="1">
        <f t="array" ref="AN269">1+SUMPRODUCT(
  (Contract_Edits[BaseFlag]=1)*
  (TEXT(Contract_Edits[ParentAnchor],"0")=TEXT(Contract_Edits[[#This Row],[ParentAnchor]],"0"))*
  (VALUE(TEXT(Contract_Edits[Index],"0"))&lt;VALUE(TEXT(Contract_Edits[[#This Row],[Index]],"0")))
)</f>
        <v>1</v>
      </c>
    </row>
    <row r="270" spans="12:40" ht="18" customHeight="1">
      <c r="L270" s="463">
        <v>245</v>
      </c>
      <c r="M270" s="543"/>
      <c r="N270" s="544"/>
      <c r="O270" s="546" cm="1">
        <f t="array" ref="O27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0" s="568"/>
      <c r="Q270" s="568"/>
      <c r="R270" s="499"/>
      <c r="S270" s="463" cm="1">
        <f t="array" ref="S27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0" s="34"/>
      <c r="U270" s="490"/>
      <c r="V27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0" s="557"/>
      <c r="X270" s="545"/>
      <c r="Y270" s="548" t="s">
        <v>1465</v>
      </c>
      <c r="Z270" s="160"/>
      <c r="AA270" s="563"/>
      <c r="AB270" s="34" cm="1">
        <f t="array" ref="AB270">ROW()-ROW(Contract_Edits[#Headers])</f>
        <v>246</v>
      </c>
      <c r="AC270" s="34">
        <f>IF(Contract_Edits[[#This Row],[RowPos]]&gt;1, Contract_Edits[[#This Row],[RowPos]]-1, 0)</f>
        <v>245</v>
      </c>
      <c r="AD270" s="35">
        <f>IF(N(Contract_Edits[[#This Row],[Dep]])=0, N(Contract_Edits[[#This Row],[Index]]), N(Contract_Edits[[#This Row],[Dep]]))</f>
        <v>196</v>
      </c>
      <c r="AE270" s="35" cm="1">
        <f t="array" ref="AE270">IF(OR(Contract_Edits[[#This Row],[Dep]]=0, TRIM(Contract_Edits[[#This Row],[Dep]])=""),
   0,
   IFERROR(
      _xlfn.XLOOKUP(1, (Contract_Edits[Dep]=Contract_Edits[[#This Row],[Dep]])*(Contract_Edits[RowPos]&lt;Contract_Edits[[#This Row],[RowPos]]), Contract_Edits[RowPos], , 0, -1),
      0
   )
)</f>
        <v>245</v>
      </c>
      <c r="AF270" s="35">
        <f>IF(OR(Contract_Edits[[#This Row],[Dep]]=0,Contract_Edits[[#This Row],[Dep]]=""),0,
   COUNTIFS(Contract_Edits[Dep],Contract_Edits[[#This Row],[Dep]],Contract_Edits[RowPos],"&lt;="&amp;Contract_Edits[[#This Row],[RowPos]],Contract_Edits[Approve],"Yes")
)</f>
        <v>1</v>
      </c>
      <c r="AG270" s="517">
        <f>--(
  ISNUMBER(SEARCH("BASE PARENT", UPPER(CLEAN(TRIM(_xlfn.XLOOKUP(TEXT(Contract_Edits[[#This Row],[Index]],"0"), baseIdxTxt, baseCost, "")))))) +
  ISNUMBER(SEARCH("DEPENDENCY GROUP", UPPER(CLEAN(TRIM(_xlfn.XLOOKUP(TEXT(Contract_Edits[[#This Row],[Index]],"0"), baseIdxTxt, baseCost, ""))))))
)</f>
        <v>0</v>
      </c>
      <c r="AH270" s="517" t="str" cm="1">
        <f t="array" ref="AH270">IF(Contract_Edits[[#This Row],[BaseFlag]]=1,
   10*BaseDepthL(TEXT(Contract_Edits[[#This Row],[Index]],"0"),500,editsIdxTxt,editsParentKeyTxt,baseIdxTxt,baseCost)-5,
   ""
)</f>
        <v/>
      </c>
      <c r="AI270" s="517" cm="1">
        <f t="array" ref="AI2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0" s="475" t="str">
        <f>IF(Contract_Edits[[#This Row],[Dep]]=0,"Root",
   IF(ISNUMBER(MATCH(Contract_Edits[[#This Row],[Dep]],Contract_Edits[Index],0)),"OK","Missing")
)</f>
        <v>OK</v>
      </c>
      <c r="AK270" s="475" t="str">
        <f>IF(AND(Contract_Edits[[#This Row],[Dep]]&lt;&gt;0,
        ISNUMBER(MATCH(Contract_Edits[[#This Row],[Dep]], Contract_Edits[Index], 0)),
        INDEX(Contract_Edits[Dep], MATCH(Contract_Edits[[#This Row],[Dep]], Contract_Edits[Index], 0))=Contract_Edits[[#This Row],[Index]]),
   "2-cycle","")</f>
        <v/>
      </c>
      <c r="AL270" s="475" cm="1">
        <f t="array" ref="AL270">IF(Contract_Edits[[#This Row],[BaseFlag]]&lt;&gt;1,0,
   IF(TEXT(Contract_Edits[[#This Row],[Dep]],"0")=TEXT(Contract_Edits[[#This Row],[Index]],"0"),
      0,
      MAX(0, SUMPRODUCT(--(Contract_Edits[BaseFlag]=1),
                        --(TEXT(Contract_Edits[Dep],"0")=TEXT(Contract_Edits[[#This Row],[Dep]],"0"))) - 1)
   )
)</f>
        <v>0</v>
      </c>
      <c r="AM270" s="475" t="str" cm="1">
        <f t="array" ref="AM270">IF(Contract_Edits[[#This Row],[BaseFlag]]=1,
   TEXT(Contract_Edits[[#This Row],[Index]],"0"),
   NearestBaseL(TEXT(Contract_Edits[[#This Row],[ParentKey]],"0"),500,editsIdxTxt,editsParentKeyTxt,baseIdxTxt,baseCost)
)</f>
        <v>196</v>
      </c>
      <c r="AN270" s="475" cm="1">
        <f t="array" ref="AN270">1+SUMPRODUCT(
  (Contract_Edits[BaseFlag]=1)*
  (TEXT(Contract_Edits[ParentAnchor],"0")=TEXT(Contract_Edits[[#This Row],[ParentAnchor]],"0"))*
  (VALUE(TEXT(Contract_Edits[Index],"0"))&lt;VALUE(TEXT(Contract_Edits[[#This Row],[Index]],"0")))
)</f>
        <v>1</v>
      </c>
    </row>
    <row r="271" spans="12:40" ht="18" customHeight="1">
      <c r="L271" s="463">
        <v>246</v>
      </c>
      <c r="M271" s="543"/>
      <c r="N271" s="544"/>
      <c r="O271" s="546" cm="1">
        <f t="array" ref="O27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1" s="568"/>
      <c r="Q271" s="568"/>
      <c r="R271" s="499"/>
      <c r="S271" s="463" cm="1">
        <f t="array" ref="S27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1" s="34"/>
      <c r="U271" s="490"/>
      <c r="V27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1" s="557"/>
      <c r="X271" s="545"/>
      <c r="Y271" s="548" t="s">
        <v>1465</v>
      </c>
      <c r="Z271" s="160"/>
      <c r="AA271" s="563"/>
      <c r="AB271" s="34" cm="1">
        <f t="array" ref="AB271">ROW()-ROW(Contract_Edits[#Headers])</f>
        <v>247</v>
      </c>
      <c r="AC271" s="34">
        <f>IF(Contract_Edits[[#This Row],[RowPos]]&gt;1, Contract_Edits[[#This Row],[RowPos]]-1, 0)</f>
        <v>246</v>
      </c>
      <c r="AD271" s="35">
        <f>IF(N(Contract_Edits[[#This Row],[Dep]])=0, N(Contract_Edits[[#This Row],[Index]]), N(Contract_Edits[[#This Row],[Dep]]))</f>
        <v>196</v>
      </c>
      <c r="AE271" s="35" cm="1">
        <f t="array" ref="AE271">IF(OR(Contract_Edits[[#This Row],[Dep]]=0, TRIM(Contract_Edits[[#This Row],[Dep]])=""),
   0,
   IFERROR(
      _xlfn.XLOOKUP(1, (Contract_Edits[Dep]=Contract_Edits[[#This Row],[Dep]])*(Contract_Edits[RowPos]&lt;Contract_Edits[[#This Row],[RowPos]]), Contract_Edits[RowPos], , 0, -1),
      0
   )
)</f>
        <v>246</v>
      </c>
      <c r="AF271" s="35">
        <f>IF(OR(Contract_Edits[[#This Row],[Dep]]=0,Contract_Edits[[#This Row],[Dep]]=""),0,
   COUNTIFS(Contract_Edits[Dep],Contract_Edits[[#This Row],[Dep]],Contract_Edits[RowPos],"&lt;="&amp;Contract_Edits[[#This Row],[RowPos]],Contract_Edits[Approve],"Yes")
)</f>
        <v>1</v>
      </c>
      <c r="AG271" s="517">
        <f>--(
  ISNUMBER(SEARCH("BASE PARENT", UPPER(CLEAN(TRIM(_xlfn.XLOOKUP(TEXT(Contract_Edits[[#This Row],[Index]],"0"), baseIdxTxt, baseCost, "")))))) +
  ISNUMBER(SEARCH("DEPENDENCY GROUP", UPPER(CLEAN(TRIM(_xlfn.XLOOKUP(TEXT(Contract_Edits[[#This Row],[Index]],"0"), baseIdxTxt, baseCost, ""))))))
)</f>
        <v>0</v>
      </c>
      <c r="AH271" s="517" t="str" cm="1">
        <f t="array" ref="AH271">IF(Contract_Edits[[#This Row],[BaseFlag]]=1,
   10*BaseDepthL(TEXT(Contract_Edits[[#This Row],[Index]],"0"),500,editsIdxTxt,editsParentKeyTxt,baseIdxTxt,baseCost)-5,
   ""
)</f>
        <v/>
      </c>
      <c r="AI271" s="517" cm="1">
        <f t="array" ref="AI2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1" s="475" t="str">
        <f>IF(Contract_Edits[[#This Row],[Dep]]=0,"Root",
   IF(ISNUMBER(MATCH(Contract_Edits[[#This Row],[Dep]],Contract_Edits[Index],0)),"OK","Missing")
)</f>
        <v>OK</v>
      </c>
      <c r="AK271" s="475" t="str">
        <f>IF(AND(Contract_Edits[[#This Row],[Dep]]&lt;&gt;0,
        ISNUMBER(MATCH(Contract_Edits[[#This Row],[Dep]], Contract_Edits[Index], 0)),
        INDEX(Contract_Edits[Dep], MATCH(Contract_Edits[[#This Row],[Dep]], Contract_Edits[Index], 0))=Contract_Edits[[#This Row],[Index]]),
   "2-cycle","")</f>
        <v/>
      </c>
      <c r="AL271" s="475" cm="1">
        <f t="array" ref="AL271">IF(Contract_Edits[[#This Row],[BaseFlag]]&lt;&gt;1,0,
   IF(TEXT(Contract_Edits[[#This Row],[Dep]],"0")=TEXT(Contract_Edits[[#This Row],[Index]],"0"),
      0,
      MAX(0, SUMPRODUCT(--(Contract_Edits[BaseFlag]=1),
                        --(TEXT(Contract_Edits[Dep],"0")=TEXT(Contract_Edits[[#This Row],[Dep]],"0"))) - 1)
   )
)</f>
        <v>0</v>
      </c>
      <c r="AM271" s="475" t="str" cm="1">
        <f t="array" ref="AM271">IF(Contract_Edits[[#This Row],[BaseFlag]]=1,
   TEXT(Contract_Edits[[#This Row],[Index]],"0"),
   NearestBaseL(TEXT(Contract_Edits[[#This Row],[ParentKey]],"0"),500,editsIdxTxt,editsParentKeyTxt,baseIdxTxt,baseCost)
)</f>
        <v>196</v>
      </c>
      <c r="AN271" s="475" cm="1">
        <f t="array" ref="AN271">1+SUMPRODUCT(
  (Contract_Edits[BaseFlag]=1)*
  (TEXT(Contract_Edits[ParentAnchor],"0")=TEXT(Contract_Edits[[#This Row],[ParentAnchor]],"0"))*
  (VALUE(TEXT(Contract_Edits[Index],"0"))&lt;VALUE(TEXT(Contract_Edits[[#This Row],[Index]],"0")))
)</f>
        <v>1</v>
      </c>
    </row>
    <row r="272" spans="12:40" ht="18" customHeight="1">
      <c r="L272" s="463">
        <v>247</v>
      </c>
      <c r="M272" s="543"/>
      <c r="N272" s="544"/>
      <c r="O272" s="546" cm="1">
        <f t="array" ref="O27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2" s="568"/>
      <c r="Q272" s="568"/>
      <c r="R272" s="499"/>
      <c r="S272" s="463" cm="1">
        <f t="array" ref="S27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2" s="34"/>
      <c r="U272" s="490"/>
      <c r="V27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2" s="557"/>
      <c r="X272" s="545"/>
      <c r="Y272" s="548" t="s">
        <v>1465</v>
      </c>
      <c r="Z272" s="160"/>
      <c r="AA272" s="563"/>
      <c r="AB272" s="34" cm="1">
        <f t="array" ref="AB272">ROW()-ROW(Contract_Edits[#Headers])</f>
        <v>248</v>
      </c>
      <c r="AC272" s="34">
        <f>IF(Contract_Edits[[#This Row],[RowPos]]&gt;1, Contract_Edits[[#This Row],[RowPos]]-1, 0)</f>
        <v>247</v>
      </c>
      <c r="AD272" s="35">
        <f>IF(N(Contract_Edits[[#This Row],[Dep]])=0, N(Contract_Edits[[#This Row],[Index]]), N(Contract_Edits[[#This Row],[Dep]]))</f>
        <v>196</v>
      </c>
      <c r="AE272" s="35" cm="1">
        <f t="array" ref="AE272">IF(OR(Contract_Edits[[#This Row],[Dep]]=0, TRIM(Contract_Edits[[#This Row],[Dep]])=""),
   0,
   IFERROR(
      _xlfn.XLOOKUP(1, (Contract_Edits[Dep]=Contract_Edits[[#This Row],[Dep]])*(Contract_Edits[RowPos]&lt;Contract_Edits[[#This Row],[RowPos]]), Contract_Edits[RowPos], , 0, -1),
      0
   )
)</f>
        <v>247</v>
      </c>
      <c r="AF272" s="35">
        <f>IF(OR(Contract_Edits[[#This Row],[Dep]]=0,Contract_Edits[[#This Row],[Dep]]=""),0,
   COUNTIFS(Contract_Edits[Dep],Contract_Edits[[#This Row],[Dep]],Contract_Edits[RowPos],"&lt;="&amp;Contract_Edits[[#This Row],[RowPos]],Contract_Edits[Approve],"Yes")
)</f>
        <v>1</v>
      </c>
      <c r="AG272" s="517">
        <f>--(
  ISNUMBER(SEARCH("BASE PARENT", UPPER(CLEAN(TRIM(_xlfn.XLOOKUP(TEXT(Contract_Edits[[#This Row],[Index]],"0"), baseIdxTxt, baseCost, "")))))) +
  ISNUMBER(SEARCH("DEPENDENCY GROUP", UPPER(CLEAN(TRIM(_xlfn.XLOOKUP(TEXT(Contract_Edits[[#This Row],[Index]],"0"), baseIdxTxt, baseCost, ""))))))
)</f>
        <v>0</v>
      </c>
      <c r="AH272" s="517" t="str" cm="1">
        <f t="array" ref="AH272">IF(Contract_Edits[[#This Row],[BaseFlag]]=1,
   10*BaseDepthL(TEXT(Contract_Edits[[#This Row],[Index]],"0"),500,editsIdxTxt,editsParentKeyTxt,baseIdxTxt,baseCost)-5,
   ""
)</f>
        <v/>
      </c>
      <c r="AI272" s="517" cm="1">
        <f t="array" ref="AI2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2" s="475" t="str">
        <f>IF(Contract_Edits[[#This Row],[Dep]]=0,"Root",
   IF(ISNUMBER(MATCH(Contract_Edits[[#This Row],[Dep]],Contract_Edits[Index],0)),"OK","Missing")
)</f>
        <v>OK</v>
      </c>
      <c r="AK272" s="475" t="str">
        <f>IF(AND(Contract_Edits[[#This Row],[Dep]]&lt;&gt;0,
        ISNUMBER(MATCH(Contract_Edits[[#This Row],[Dep]], Contract_Edits[Index], 0)),
        INDEX(Contract_Edits[Dep], MATCH(Contract_Edits[[#This Row],[Dep]], Contract_Edits[Index], 0))=Contract_Edits[[#This Row],[Index]]),
   "2-cycle","")</f>
        <v/>
      </c>
      <c r="AL272" s="475" cm="1">
        <f t="array" ref="AL272">IF(Contract_Edits[[#This Row],[BaseFlag]]&lt;&gt;1,0,
   IF(TEXT(Contract_Edits[[#This Row],[Dep]],"0")=TEXT(Contract_Edits[[#This Row],[Index]],"0"),
      0,
      MAX(0, SUMPRODUCT(--(Contract_Edits[BaseFlag]=1),
                        --(TEXT(Contract_Edits[Dep],"0")=TEXT(Contract_Edits[[#This Row],[Dep]],"0"))) - 1)
   )
)</f>
        <v>0</v>
      </c>
      <c r="AM272" s="475" t="str" cm="1">
        <f t="array" ref="AM272">IF(Contract_Edits[[#This Row],[BaseFlag]]=1,
   TEXT(Contract_Edits[[#This Row],[Index]],"0"),
   NearestBaseL(TEXT(Contract_Edits[[#This Row],[ParentKey]],"0"),500,editsIdxTxt,editsParentKeyTxt,baseIdxTxt,baseCost)
)</f>
        <v>196</v>
      </c>
      <c r="AN272" s="475" cm="1">
        <f t="array" ref="AN272">1+SUMPRODUCT(
  (Contract_Edits[BaseFlag]=1)*
  (TEXT(Contract_Edits[ParentAnchor],"0")=TEXT(Contract_Edits[[#This Row],[ParentAnchor]],"0"))*
  (VALUE(TEXT(Contract_Edits[Index],"0"))&lt;VALUE(TEXT(Contract_Edits[[#This Row],[Index]],"0")))
)</f>
        <v>1</v>
      </c>
    </row>
    <row r="273" spans="12:40" ht="18" customHeight="1">
      <c r="L273" s="463">
        <v>248</v>
      </c>
      <c r="M273" s="543"/>
      <c r="N273" s="544"/>
      <c r="O273" s="546" cm="1">
        <f t="array" ref="O27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3" s="568"/>
      <c r="Q273" s="568"/>
      <c r="R273" s="499"/>
      <c r="S273" s="463" cm="1">
        <f t="array" ref="S27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3" s="34"/>
      <c r="U273" s="490"/>
      <c r="V27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3" s="557"/>
      <c r="X273" s="545"/>
      <c r="Y273" s="548" t="s">
        <v>1465</v>
      </c>
      <c r="Z273" s="160"/>
      <c r="AA273" s="563"/>
      <c r="AB273" s="34" cm="1">
        <f t="array" ref="AB273">ROW()-ROW(Contract_Edits[#Headers])</f>
        <v>249</v>
      </c>
      <c r="AC273" s="34">
        <f>IF(Contract_Edits[[#This Row],[RowPos]]&gt;1, Contract_Edits[[#This Row],[RowPos]]-1, 0)</f>
        <v>248</v>
      </c>
      <c r="AD273" s="35">
        <f>IF(N(Contract_Edits[[#This Row],[Dep]])=0, N(Contract_Edits[[#This Row],[Index]]), N(Contract_Edits[[#This Row],[Dep]]))</f>
        <v>196</v>
      </c>
      <c r="AE273" s="35" cm="1">
        <f t="array" ref="AE273">IF(OR(Contract_Edits[[#This Row],[Dep]]=0, TRIM(Contract_Edits[[#This Row],[Dep]])=""),
   0,
   IFERROR(
      _xlfn.XLOOKUP(1, (Contract_Edits[Dep]=Contract_Edits[[#This Row],[Dep]])*(Contract_Edits[RowPos]&lt;Contract_Edits[[#This Row],[RowPos]]), Contract_Edits[RowPos], , 0, -1),
      0
   )
)</f>
        <v>248</v>
      </c>
      <c r="AF273" s="35">
        <f>IF(OR(Contract_Edits[[#This Row],[Dep]]=0,Contract_Edits[[#This Row],[Dep]]=""),0,
   COUNTIFS(Contract_Edits[Dep],Contract_Edits[[#This Row],[Dep]],Contract_Edits[RowPos],"&lt;="&amp;Contract_Edits[[#This Row],[RowPos]],Contract_Edits[Approve],"Yes")
)</f>
        <v>1</v>
      </c>
      <c r="AG273" s="517">
        <f>--(
  ISNUMBER(SEARCH("BASE PARENT", UPPER(CLEAN(TRIM(_xlfn.XLOOKUP(TEXT(Contract_Edits[[#This Row],[Index]],"0"), baseIdxTxt, baseCost, "")))))) +
  ISNUMBER(SEARCH("DEPENDENCY GROUP", UPPER(CLEAN(TRIM(_xlfn.XLOOKUP(TEXT(Contract_Edits[[#This Row],[Index]],"0"), baseIdxTxt, baseCost, ""))))))
)</f>
        <v>0</v>
      </c>
      <c r="AH273" s="517" t="str" cm="1">
        <f t="array" ref="AH273">IF(Contract_Edits[[#This Row],[BaseFlag]]=1,
   10*BaseDepthL(TEXT(Contract_Edits[[#This Row],[Index]],"0"),500,editsIdxTxt,editsParentKeyTxt,baseIdxTxt,baseCost)-5,
   ""
)</f>
        <v/>
      </c>
      <c r="AI273" s="517" cm="1">
        <f t="array" ref="AI2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3" s="475" t="str">
        <f>IF(Contract_Edits[[#This Row],[Dep]]=0,"Root",
   IF(ISNUMBER(MATCH(Contract_Edits[[#This Row],[Dep]],Contract_Edits[Index],0)),"OK","Missing")
)</f>
        <v>OK</v>
      </c>
      <c r="AK273" s="475" t="str">
        <f>IF(AND(Contract_Edits[[#This Row],[Dep]]&lt;&gt;0,
        ISNUMBER(MATCH(Contract_Edits[[#This Row],[Dep]], Contract_Edits[Index], 0)),
        INDEX(Contract_Edits[Dep], MATCH(Contract_Edits[[#This Row],[Dep]], Contract_Edits[Index], 0))=Contract_Edits[[#This Row],[Index]]),
   "2-cycle","")</f>
        <v/>
      </c>
      <c r="AL273" s="475" cm="1">
        <f t="array" ref="AL273">IF(Contract_Edits[[#This Row],[BaseFlag]]&lt;&gt;1,0,
   IF(TEXT(Contract_Edits[[#This Row],[Dep]],"0")=TEXT(Contract_Edits[[#This Row],[Index]],"0"),
      0,
      MAX(0, SUMPRODUCT(--(Contract_Edits[BaseFlag]=1),
                        --(TEXT(Contract_Edits[Dep],"0")=TEXT(Contract_Edits[[#This Row],[Dep]],"0"))) - 1)
   )
)</f>
        <v>0</v>
      </c>
      <c r="AM273" s="475" t="str" cm="1">
        <f t="array" ref="AM273">IF(Contract_Edits[[#This Row],[BaseFlag]]=1,
   TEXT(Contract_Edits[[#This Row],[Index]],"0"),
   NearestBaseL(TEXT(Contract_Edits[[#This Row],[ParentKey]],"0"),500,editsIdxTxt,editsParentKeyTxt,baseIdxTxt,baseCost)
)</f>
        <v>196</v>
      </c>
      <c r="AN273" s="475" cm="1">
        <f t="array" ref="AN273">1+SUMPRODUCT(
  (Contract_Edits[BaseFlag]=1)*
  (TEXT(Contract_Edits[ParentAnchor],"0")=TEXT(Contract_Edits[[#This Row],[ParentAnchor]],"0"))*
  (VALUE(TEXT(Contract_Edits[Index],"0"))&lt;VALUE(TEXT(Contract_Edits[[#This Row],[Index]],"0")))
)</f>
        <v>1</v>
      </c>
    </row>
    <row r="274" spans="12:40" ht="18" customHeight="1">
      <c r="L274" s="463">
        <v>249</v>
      </c>
      <c r="M274" s="543"/>
      <c r="N274" s="544"/>
      <c r="O274" s="546" cm="1">
        <f t="array" ref="O27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4" s="568"/>
      <c r="Q274" s="568"/>
      <c r="R274" s="499"/>
      <c r="S274" s="463" cm="1">
        <f t="array" ref="S27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4" s="34"/>
      <c r="U274" s="490"/>
      <c r="V27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4" s="557"/>
      <c r="X274" s="545"/>
      <c r="Y274" s="548" t="s">
        <v>1465</v>
      </c>
      <c r="Z274" s="160"/>
      <c r="AA274" s="563"/>
      <c r="AB274" s="34" cm="1">
        <f t="array" ref="AB274">ROW()-ROW(Contract_Edits[#Headers])</f>
        <v>250</v>
      </c>
      <c r="AC274" s="34">
        <f>IF(Contract_Edits[[#This Row],[RowPos]]&gt;1, Contract_Edits[[#This Row],[RowPos]]-1, 0)</f>
        <v>249</v>
      </c>
      <c r="AD274" s="35">
        <f>IF(N(Contract_Edits[[#This Row],[Dep]])=0, N(Contract_Edits[[#This Row],[Index]]), N(Contract_Edits[[#This Row],[Dep]]))</f>
        <v>196</v>
      </c>
      <c r="AE274" s="35" cm="1">
        <f t="array" ref="AE274">IF(OR(Contract_Edits[[#This Row],[Dep]]=0, TRIM(Contract_Edits[[#This Row],[Dep]])=""),
   0,
   IFERROR(
      _xlfn.XLOOKUP(1, (Contract_Edits[Dep]=Contract_Edits[[#This Row],[Dep]])*(Contract_Edits[RowPos]&lt;Contract_Edits[[#This Row],[RowPos]]), Contract_Edits[RowPos], , 0, -1),
      0
   )
)</f>
        <v>249</v>
      </c>
      <c r="AF274" s="35">
        <f>IF(OR(Contract_Edits[[#This Row],[Dep]]=0,Contract_Edits[[#This Row],[Dep]]=""),0,
   COUNTIFS(Contract_Edits[Dep],Contract_Edits[[#This Row],[Dep]],Contract_Edits[RowPos],"&lt;="&amp;Contract_Edits[[#This Row],[RowPos]],Contract_Edits[Approve],"Yes")
)</f>
        <v>1</v>
      </c>
      <c r="AG274" s="517">
        <f>--(
  ISNUMBER(SEARCH("BASE PARENT", UPPER(CLEAN(TRIM(_xlfn.XLOOKUP(TEXT(Contract_Edits[[#This Row],[Index]],"0"), baseIdxTxt, baseCost, "")))))) +
  ISNUMBER(SEARCH("DEPENDENCY GROUP", UPPER(CLEAN(TRIM(_xlfn.XLOOKUP(TEXT(Contract_Edits[[#This Row],[Index]],"0"), baseIdxTxt, baseCost, ""))))))
)</f>
        <v>0</v>
      </c>
      <c r="AH274" s="517" t="str" cm="1">
        <f t="array" ref="AH274">IF(Contract_Edits[[#This Row],[BaseFlag]]=1,
   10*BaseDepthL(TEXT(Contract_Edits[[#This Row],[Index]],"0"),500,editsIdxTxt,editsParentKeyTxt,baseIdxTxt,baseCost)-5,
   ""
)</f>
        <v/>
      </c>
      <c r="AI274" s="517" cm="1">
        <f t="array" ref="AI2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4" s="475" t="str">
        <f>IF(Contract_Edits[[#This Row],[Dep]]=0,"Root",
   IF(ISNUMBER(MATCH(Contract_Edits[[#This Row],[Dep]],Contract_Edits[Index],0)),"OK","Missing")
)</f>
        <v>OK</v>
      </c>
      <c r="AK274" s="475" t="str">
        <f>IF(AND(Contract_Edits[[#This Row],[Dep]]&lt;&gt;0,
        ISNUMBER(MATCH(Contract_Edits[[#This Row],[Dep]], Contract_Edits[Index], 0)),
        INDEX(Contract_Edits[Dep], MATCH(Contract_Edits[[#This Row],[Dep]], Contract_Edits[Index], 0))=Contract_Edits[[#This Row],[Index]]),
   "2-cycle","")</f>
        <v/>
      </c>
      <c r="AL274" s="475" cm="1">
        <f t="array" ref="AL274">IF(Contract_Edits[[#This Row],[BaseFlag]]&lt;&gt;1,0,
   IF(TEXT(Contract_Edits[[#This Row],[Dep]],"0")=TEXT(Contract_Edits[[#This Row],[Index]],"0"),
      0,
      MAX(0, SUMPRODUCT(--(Contract_Edits[BaseFlag]=1),
                        --(TEXT(Contract_Edits[Dep],"0")=TEXT(Contract_Edits[[#This Row],[Dep]],"0"))) - 1)
   )
)</f>
        <v>0</v>
      </c>
      <c r="AM274" s="475" t="str" cm="1">
        <f t="array" ref="AM274">IF(Contract_Edits[[#This Row],[BaseFlag]]=1,
   TEXT(Contract_Edits[[#This Row],[Index]],"0"),
   NearestBaseL(TEXT(Contract_Edits[[#This Row],[ParentKey]],"0"),500,editsIdxTxt,editsParentKeyTxt,baseIdxTxt,baseCost)
)</f>
        <v>196</v>
      </c>
      <c r="AN274" s="475" cm="1">
        <f t="array" ref="AN274">1+SUMPRODUCT(
  (Contract_Edits[BaseFlag]=1)*
  (TEXT(Contract_Edits[ParentAnchor],"0")=TEXT(Contract_Edits[[#This Row],[ParentAnchor]],"0"))*
  (VALUE(TEXT(Contract_Edits[Index],"0"))&lt;VALUE(TEXT(Contract_Edits[[#This Row],[Index]],"0")))
)</f>
        <v>1</v>
      </c>
    </row>
    <row r="275" spans="12:40" ht="18" customHeight="1">
      <c r="L275" s="463">
        <v>250</v>
      </c>
      <c r="M275" s="543"/>
      <c r="N275" s="544"/>
      <c r="O275" s="546" cm="1">
        <f t="array" ref="O27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5" s="568"/>
      <c r="Q275" s="568"/>
      <c r="R275" s="499"/>
      <c r="S275" s="463" cm="1">
        <f t="array" ref="S27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5" s="34"/>
      <c r="U275" s="490"/>
      <c r="V27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5" s="557"/>
      <c r="X275" s="545"/>
      <c r="Y275" s="548" t="s">
        <v>1465</v>
      </c>
      <c r="Z275" s="160"/>
      <c r="AA275" s="563"/>
      <c r="AB275" s="34" cm="1">
        <f t="array" ref="AB275">ROW()-ROW(Contract_Edits[#Headers])</f>
        <v>251</v>
      </c>
      <c r="AC275" s="34">
        <f>IF(Contract_Edits[[#This Row],[RowPos]]&gt;1, Contract_Edits[[#This Row],[RowPos]]-1, 0)</f>
        <v>250</v>
      </c>
      <c r="AD275" s="35">
        <f>IF(N(Contract_Edits[[#This Row],[Dep]])=0, N(Contract_Edits[[#This Row],[Index]]), N(Contract_Edits[[#This Row],[Dep]]))</f>
        <v>196</v>
      </c>
      <c r="AE275" s="35" cm="1">
        <f t="array" ref="AE275">IF(OR(Contract_Edits[[#This Row],[Dep]]=0, TRIM(Contract_Edits[[#This Row],[Dep]])=""),
   0,
   IFERROR(
      _xlfn.XLOOKUP(1, (Contract_Edits[Dep]=Contract_Edits[[#This Row],[Dep]])*(Contract_Edits[RowPos]&lt;Contract_Edits[[#This Row],[RowPos]]), Contract_Edits[RowPos], , 0, -1),
      0
   )
)</f>
        <v>250</v>
      </c>
      <c r="AF275" s="35">
        <f>IF(OR(Contract_Edits[[#This Row],[Dep]]=0,Contract_Edits[[#This Row],[Dep]]=""),0,
   COUNTIFS(Contract_Edits[Dep],Contract_Edits[[#This Row],[Dep]],Contract_Edits[RowPos],"&lt;="&amp;Contract_Edits[[#This Row],[RowPos]],Contract_Edits[Approve],"Yes")
)</f>
        <v>1</v>
      </c>
      <c r="AG275" s="517">
        <f>--(
  ISNUMBER(SEARCH("BASE PARENT", UPPER(CLEAN(TRIM(_xlfn.XLOOKUP(TEXT(Contract_Edits[[#This Row],[Index]],"0"), baseIdxTxt, baseCost, "")))))) +
  ISNUMBER(SEARCH("DEPENDENCY GROUP", UPPER(CLEAN(TRIM(_xlfn.XLOOKUP(TEXT(Contract_Edits[[#This Row],[Index]],"0"), baseIdxTxt, baseCost, ""))))))
)</f>
        <v>0</v>
      </c>
      <c r="AH275" s="517" t="str" cm="1">
        <f t="array" ref="AH275">IF(Contract_Edits[[#This Row],[BaseFlag]]=1,
   10*BaseDepthL(TEXT(Contract_Edits[[#This Row],[Index]],"0"),500,editsIdxTxt,editsParentKeyTxt,baseIdxTxt,baseCost)-5,
   ""
)</f>
        <v/>
      </c>
      <c r="AI275" s="517" cm="1">
        <f t="array" ref="AI2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5" s="475" t="str">
        <f>IF(Contract_Edits[[#This Row],[Dep]]=0,"Root",
   IF(ISNUMBER(MATCH(Contract_Edits[[#This Row],[Dep]],Contract_Edits[Index],0)),"OK","Missing")
)</f>
        <v>OK</v>
      </c>
      <c r="AK275" s="475" t="str">
        <f>IF(AND(Contract_Edits[[#This Row],[Dep]]&lt;&gt;0,
        ISNUMBER(MATCH(Contract_Edits[[#This Row],[Dep]], Contract_Edits[Index], 0)),
        INDEX(Contract_Edits[Dep], MATCH(Contract_Edits[[#This Row],[Dep]], Contract_Edits[Index], 0))=Contract_Edits[[#This Row],[Index]]),
   "2-cycle","")</f>
        <v/>
      </c>
      <c r="AL275" s="475" cm="1">
        <f t="array" ref="AL275">IF(Contract_Edits[[#This Row],[BaseFlag]]&lt;&gt;1,0,
   IF(TEXT(Contract_Edits[[#This Row],[Dep]],"0")=TEXT(Contract_Edits[[#This Row],[Index]],"0"),
      0,
      MAX(0, SUMPRODUCT(--(Contract_Edits[BaseFlag]=1),
                        --(TEXT(Contract_Edits[Dep],"0")=TEXT(Contract_Edits[[#This Row],[Dep]],"0"))) - 1)
   )
)</f>
        <v>0</v>
      </c>
      <c r="AM275" s="475" t="str" cm="1">
        <f t="array" ref="AM275">IF(Contract_Edits[[#This Row],[BaseFlag]]=1,
   TEXT(Contract_Edits[[#This Row],[Index]],"0"),
   NearestBaseL(TEXT(Contract_Edits[[#This Row],[ParentKey]],"0"),500,editsIdxTxt,editsParentKeyTxt,baseIdxTxt,baseCost)
)</f>
        <v>196</v>
      </c>
      <c r="AN275" s="475" cm="1">
        <f t="array" ref="AN275">1+SUMPRODUCT(
  (Contract_Edits[BaseFlag]=1)*
  (TEXT(Contract_Edits[ParentAnchor],"0")=TEXT(Contract_Edits[[#This Row],[ParentAnchor]],"0"))*
  (VALUE(TEXT(Contract_Edits[Index],"0"))&lt;VALUE(TEXT(Contract_Edits[[#This Row],[Index]],"0")))
)</f>
        <v>1</v>
      </c>
    </row>
    <row r="276" spans="12:40" ht="18" customHeight="1">
      <c r="L276" s="463">
        <v>251</v>
      </c>
      <c r="M276" s="543"/>
      <c r="N276" s="544"/>
      <c r="O276" s="546" cm="1">
        <f t="array" ref="O27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6" s="568"/>
      <c r="Q276" s="568"/>
      <c r="R276" s="499"/>
      <c r="S276" s="463" cm="1">
        <f t="array" ref="S27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6" s="34"/>
      <c r="U276" s="490"/>
      <c r="V27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6" s="557"/>
      <c r="X276" s="545"/>
      <c r="Y276" s="548" t="s">
        <v>1465</v>
      </c>
      <c r="Z276" s="160"/>
      <c r="AA276" s="563"/>
      <c r="AB276" s="34" cm="1">
        <f t="array" ref="AB276">ROW()-ROW(Contract_Edits[#Headers])</f>
        <v>252</v>
      </c>
      <c r="AC276" s="34">
        <f>IF(Contract_Edits[[#This Row],[RowPos]]&gt;1, Contract_Edits[[#This Row],[RowPos]]-1, 0)</f>
        <v>251</v>
      </c>
      <c r="AD276" s="35">
        <f>IF(N(Contract_Edits[[#This Row],[Dep]])=0, N(Contract_Edits[[#This Row],[Index]]), N(Contract_Edits[[#This Row],[Dep]]))</f>
        <v>196</v>
      </c>
      <c r="AE276" s="35" cm="1">
        <f t="array" ref="AE276">IF(OR(Contract_Edits[[#This Row],[Dep]]=0, TRIM(Contract_Edits[[#This Row],[Dep]])=""),
   0,
   IFERROR(
      _xlfn.XLOOKUP(1, (Contract_Edits[Dep]=Contract_Edits[[#This Row],[Dep]])*(Contract_Edits[RowPos]&lt;Contract_Edits[[#This Row],[RowPos]]), Contract_Edits[RowPos], , 0, -1),
      0
   )
)</f>
        <v>251</v>
      </c>
      <c r="AF276" s="35">
        <f>IF(OR(Contract_Edits[[#This Row],[Dep]]=0,Contract_Edits[[#This Row],[Dep]]=""),0,
   COUNTIFS(Contract_Edits[Dep],Contract_Edits[[#This Row],[Dep]],Contract_Edits[RowPos],"&lt;="&amp;Contract_Edits[[#This Row],[RowPos]],Contract_Edits[Approve],"Yes")
)</f>
        <v>1</v>
      </c>
      <c r="AG276" s="517">
        <f>--(
  ISNUMBER(SEARCH("BASE PARENT", UPPER(CLEAN(TRIM(_xlfn.XLOOKUP(TEXT(Contract_Edits[[#This Row],[Index]],"0"), baseIdxTxt, baseCost, "")))))) +
  ISNUMBER(SEARCH("DEPENDENCY GROUP", UPPER(CLEAN(TRIM(_xlfn.XLOOKUP(TEXT(Contract_Edits[[#This Row],[Index]],"0"), baseIdxTxt, baseCost, ""))))))
)</f>
        <v>0</v>
      </c>
      <c r="AH276" s="517" t="str" cm="1">
        <f t="array" ref="AH276">IF(Contract_Edits[[#This Row],[BaseFlag]]=1,
   10*BaseDepthL(TEXT(Contract_Edits[[#This Row],[Index]],"0"),500,editsIdxTxt,editsParentKeyTxt,baseIdxTxt,baseCost)-5,
   ""
)</f>
        <v/>
      </c>
      <c r="AI276" s="517" cm="1">
        <f t="array" ref="AI2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6" s="475" t="str">
        <f>IF(Contract_Edits[[#This Row],[Dep]]=0,"Root",
   IF(ISNUMBER(MATCH(Contract_Edits[[#This Row],[Dep]],Contract_Edits[Index],0)),"OK","Missing")
)</f>
        <v>OK</v>
      </c>
      <c r="AK276" s="475" t="str">
        <f>IF(AND(Contract_Edits[[#This Row],[Dep]]&lt;&gt;0,
        ISNUMBER(MATCH(Contract_Edits[[#This Row],[Dep]], Contract_Edits[Index], 0)),
        INDEX(Contract_Edits[Dep], MATCH(Contract_Edits[[#This Row],[Dep]], Contract_Edits[Index], 0))=Contract_Edits[[#This Row],[Index]]),
   "2-cycle","")</f>
        <v/>
      </c>
      <c r="AL276" s="475" cm="1">
        <f t="array" ref="AL276">IF(Contract_Edits[[#This Row],[BaseFlag]]&lt;&gt;1,0,
   IF(TEXT(Contract_Edits[[#This Row],[Dep]],"0")=TEXT(Contract_Edits[[#This Row],[Index]],"0"),
      0,
      MAX(0, SUMPRODUCT(--(Contract_Edits[BaseFlag]=1),
                        --(TEXT(Contract_Edits[Dep],"0")=TEXT(Contract_Edits[[#This Row],[Dep]],"0"))) - 1)
   )
)</f>
        <v>0</v>
      </c>
      <c r="AM276" s="475" t="str" cm="1">
        <f t="array" ref="AM276">IF(Contract_Edits[[#This Row],[BaseFlag]]=1,
   TEXT(Contract_Edits[[#This Row],[Index]],"0"),
   NearestBaseL(TEXT(Contract_Edits[[#This Row],[ParentKey]],"0"),500,editsIdxTxt,editsParentKeyTxt,baseIdxTxt,baseCost)
)</f>
        <v>196</v>
      </c>
      <c r="AN276" s="475" cm="1">
        <f t="array" ref="AN276">1+SUMPRODUCT(
  (Contract_Edits[BaseFlag]=1)*
  (TEXT(Contract_Edits[ParentAnchor],"0")=TEXT(Contract_Edits[[#This Row],[ParentAnchor]],"0"))*
  (VALUE(TEXT(Contract_Edits[Index],"0"))&lt;VALUE(TEXT(Contract_Edits[[#This Row],[Index]],"0")))
)</f>
        <v>1</v>
      </c>
    </row>
    <row r="277" spans="12:40" ht="18" customHeight="1">
      <c r="L277" s="463">
        <v>252</v>
      </c>
      <c r="M277" s="543"/>
      <c r="N277" s="544"/>
      <c r="O277" s="546" cm="1">
        <f t="array" ref="O27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7" s="568"/>
      <c r="Q277" s="568"/>
      <c r="R277" s="499"/>
      <c r="S277" s="463" cm="1">
        <f t="array" ref="S27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7" s="34"/>
      <c r="U277" s="490"/>
      <c r="V27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7" s="557"/>
      <c r="X277" s="545"/>
      <c r="Y277" s="548" t="s">
        <v>1465</v>
      </c>
      <c r="Z277" s="160"/>
      <c r="AA277" s="563"/>
      <c r="AB277" s="34" cm="1">
        <f t="array" ref="AB277">ROW()-ROW(Contract_Edits[#Headers])</f>
        <v>253</v>
      </c>
      <c r="AC277" s="34">
        <f>IF(Contract_Edits[[#This Row],[RowPos]]&gt;1, Contract_Edits[[#This Row],[RowPos]]-1, 0)</f>
        <v>252</v>
      </c>
      <c r="AD277" s="35">
        <f>IF(N(Contract_Edits[[#This Row],[Dep]])=0, N(Contract_Edits[[#This Row],[Index]]), N(Contract_Edits[[#This Row],[Dep]]))</f>
        <v>196</v>
      </c>
      <c r="AE277" s="35" cm="1">
        <f t="array" ref="AE277">IF(OR(Contract_Edits[[#This Row],[Dep]]=0, TRIM(Contract_Edits[[#This Row],[Dep]])=""),
   0,
   IFERROR(
      _xlfn.XLOOKUP(1, (Contract_Edits[Dep]=Contract_Edits[[#This Row],[Dep]])*(Contract_Edits[RowPos]&lt;Contract_Edits[[#This Row],[RowPos]]), Contract_Edits[RowPos], , 0, -1),
      0
   )
)</f>
        <v>252</v>
      </c>
      <c r="AF277" s="35">
        <f>IF(OR(Contract_Edits[[#This Row],[Dep]]=0,Contract_Edits[[#This Row],[Dep]]=""),0,
   COUNTIFS(Contract_Edits[Dep],Contract_Edits[[#This Row],[Dep]],Contract_Edits[RowPos],"&lt;="&amp;Contract_Edits[[#This Row],[RowPos]],Contract_Edits[Approve],"Yes")
)</f>
        <v>1</v>
      </c>
      <c r="AG277" s="517">
        <f>--(
  ISNUMBER(SEARCH("BASE PARENT", UPPER(CLEAN(TRIM(_xlfn.XLOOKUP(TEXT(Contract_Edits[[#This Row],[Index]],"0"), baseIdxTxt, baseCost, "")))))) +
  ISNUMBER(SEARCH("DEPENDENCY GROUP", UPPER(CLEAN(TRIM(_xlfn.XLOOKUP(TEXT(Contract_Edits[[#This Row],[Index]],"0"), baseIdxTxt, baseCost, ""))))))
)</f>
        <v>0</v>
      </c>
      <c r="AH277" s="517" t="str" cm="1">
        <f t="array" ref="AH277">IF(Contract_Edits[[#This Row],[BaseFlag]]=1,
   10*BaseDepthL(TEXT(Contract_Edits[[#This Row],[Index]],"0"),500,editsIdxTxt,editsParentKeyTxt,baseIdxTxt,baseCost)-5,
   ""
)</f>
        <v/>
      </c>
      <c r="AI277" s="517" cm="1">
        <f t="array" ref="AI2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7" s="475" t="str">
        <f>IF(Contract_Edits[[#This Row],[Dep]]=0,"Root",
   IF(ISNUMBER(MATCH(Contract_Edits[[#This Row],[Dep]],Contract_Edits[Index],0)),"OK","Missing")
)</f>
        <v>OK</v>
      </c>
      <c r="AK277" s="475" t="str">
        <f>IF(AND(Contract_Edits[[#This Row],[Dep]]&lt;&gt;0,
        ISNUMBER(MATCH(Contract_Edits[[#This Row],[Dep]], Contract_Edits[Index], 0)),
        INDEX(Contract_Edits[Dep], MATCH(Contract_Edits[[#This Row],[Dep]], Contract_Edits[Index], 0))=Contract_Edits[[#This Row],[Index]]),
   "2-cycle","")</f>
        <v/>
      </c>
      <c r="AL277" s="475" cm="1">
        <f t="array" ref="AL277">IF(Contract_Edits[[#This Row],[BaseFlag]]&lt;&gt;1,0,
   IF(TEXT(Contract_Edits[[#This Row],[Dep]],"0")=TEXT(Contract_Edits[[#This Row],[Index]],"0"),
      0,
      MAX(0, SUMPRODUCT(--(Contract_Edits[BaseFlag]=1),
                        --(TEXT(Contract_Edits[Dep],"0")=TEXT(Contract_Edits[[#This Row],[Dep]],"0"))) - 1)
   )
)</f>
        <v>0</v>
      </c>
      <c r="AM277" s="475" t="str" cm="1">
        <f t="array" ref="AM277">IF(Contract_Edits[[#This Row],[BaseFlag]]=1,
   TEXT(Contract_Edits[[#This Row],[Index]],"0"),
   NearestBaseL(TEXT(Contract_Edits[[#This Row],[ParentKey]],"0"),500,editsIdxTxt,editsParentKeyTxt,baseIdxTxt,baseCost)
)</f>
        <v>196</v>
      </c>
      <c r="AN277" s="475" cm="1">
        <f t="array" ref="AN277">1+SUMPRODUCT(
  (Contract_Edits[BaseFlag]=1)*
  (TEXT(Contract_Edits[ParentAnchor],"0")=TEXT(Contract_Edits[[#This Row],[ParentAnchor]],"0"))*
  (VALUE(TEXT(Contract_Edits[Index],"0"))&lt;VALUE(TEXT(Contract_Edits[[#This Row],[Index]],"0")))
)</f>
        <v>1</v>
      </c>
    </row>
    <row r="278" spans="12:40" ht="18" customHeight="1">
      <c r="L278" s="463">
        <v>253</v>
      </c>
      <c r="M278" s="543"/>
      <c r="N278" s="544"/>
      <c r="O278" s="546" cm="1">
        <f t="array" ref="O27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8" s="568"/>
      <c r="Q278" s="568"/>
      <c r="R278" s="499"/>
      <c r="S278" s="463" cm="1">
        <f t="array" ref="S27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8" s="34"/>
      <c r="U278" s="490"/>
      <c r="V27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8" s="557"/>
      <c r="X278" s="545"/>
      <c r="Y278" s="548" t="s">
        <v>1465</v>
      </c>
      <c r="Z278" s="160"/>
      <c r="AA278" s="563"/>
      <c r="AB278" s="34" cm="1">
        <f t="array" ref="AB278">ROW()-ROW(Contract_Edits[#Headers])</f>
        <v>254</v>
      </c>
      <c r="AC278" s="34">
        <f>IF(Contract_Edits[[#This Row],[RowPos]]&gt;1, Contract_Edits[[#This Row],[RowPos]]-1, 0)</f>
        <v>253</v>
      </c>
      <c r="AD278" s="35">
        <f>IF(N(Contract_Edits[[#This Row],[Dep]])=0, N(Contract_Edits[[#This Row],[Index]]), N(Contract_Edits[[#This Row],[Dep]]))</f>
        <v>196</v>
      </c>
      <c r="AE278" s="35" cm="1">
        <f t="array" ref="AE278">IF(OR(Contract_Edits[[#This Row],[Dep]]=0, TRIM(Contract_Edits[[#This Row],[Dep]])=""),
   0,
   IFERROR(
      _xlfn.XLOOKUP(1, (Contract_Edits[Dep]=Contract_Edits[[#This Row],[Dep]])*(Contract_Edits[RowPos]&lt;Contract_Edits[[#This Row],[RowPos]]), Contract_Edits[RowPos], , 0, -1),
      0
   )
)</f>
        <v>253</v>
      </c>
      <c r="AF278" s="35">
        <f>IF(OR(Contract_Edits[[#This Row],[Dep]]=0,Contract_Edits[[#This Row],[Dep]]=""),0,
   COUNTIFS(Contract_Edits[Dep],Contract_Edits[[#This Row],[Dep]],Contract_Edits[RowPos],"&lt;="&amp;Contract_Edits[[#This Row],[RowPos]],Contract_Edits[Approve],"Yes")
)</f>
        <v>1</v>
      </c>
      <c r="AG278" s="517">
        <f>--(
  ISNUMBER(SEARCH("BASE PARENT", UPPER(CLEAN(TRIM(_xlfn.XLOOKUP(TEXT(Contract_Edits[[#This Row],[Index]],"0"), baseIdxTxt, baseCost, "")))))) +
  ISNUMBER(SEARCH("DEPENDENCY GROUP", UPPER(CLEAN(TRIM(_xlfn.XLOOKUP(TEXT(Contract_Edits[[#This Row],[Index]],"0"), baseIdxTxt, baseCost, ""))))))
)</f>
        <v>0</v>
      </c>
      <c r="AH278" s="517" t="str" cm="1">
        <f t="array" ref="AH278">IF(Contract_Edits[[#This Row],[BaseFlag]]=1,
   10*BaseDepthL(TEXT(Contract_Edits[[#This Row],[Index]],"0"),500,editsIdxTxt,editsParentKeyTxt,baseIdxTxt,baseCost)-5,
   ""
)</f>
        <v/>
      </c>
      <c r="AI278" s="517" cm="1">
        <f t="array" ref="AI2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8" s="475" t="str">
        <f>IF(Contract_Edits[[#This Row],[Dep]]=0,"Root",
   IF(ISNUMBER(MATCH(Contract_Edits[[#This Row],[Dep]],Contract_Edits[Index],0)),"OK","Missing")
)</f>
        <v>OK</v>
      </c>
      <c r="AK278" s="475" t="str">
        <f>IF(AND(Contract_Edits[[#This Row],[Dep]]&lt;&gt;0,
        ISNUMBER(MATCH(Contract_Edits[[#This Row],[Dep]], Contract_Edits[Index], 0)),
        INDEX(Contract_Edits[Dep], MATCH(Contract_Edits[[#This Row],[Dep]], Contract_Edits[Index], 0))=Contract_Edits[[#This Row],[Index]]),
   "2-cycle","")</f>
        <v/>
      </c>
      <c r="AL278" s="475" cm="1">
        <f t="array" ref="AL278">IF(Contract_Edits[[#This Row],[BaseFlag]]&lt;&gt;1,0,
   IF(TEXT(Contract_Edits[[#This Row],[Dep]],"0")=TEXT(Contract_Edits[[#This Row],[Index]],"0"),
      0,
      MAX(0, SUMPRODUCT(--(Contract_Edits[BaseFlag]=1),
                        --(TEXT(Contract_Edits[Dep],"0")=TEXT(Contract_Edits[[#This Row],[Dep]],"0"))) - 1)
   )
)</f>
        <v>0</v>
      </c>
      <c r="AM278" s="475" t="str" cm="1">
        <f t="array" ref="AM278">IF(Contract_Edits[[#This Row],[BaseFlag]]=1,
   TEXT(Contract_Edits[[#This Row],[Index]],"0"),
   NearestBaseL(TEXT(Contract_Edits[[#This Row],[ParentKey]],"0"),500,editsIdxTxt,editsParentKeyTxt,baseIdxTxt,baseCost)
)</f>
        <v>196</v>
      </c>
      <c r="AN278" s="475" cm="1">
        <f t="array" ref="AN278">1+SUMPRODUCT(
  (Contract_Edits[BaseFlag]=1)*
  (TEXT(Contract_Edits[ParentAnchor],"0")=TEXT(Contract_Edits[[#This Row],[ParentAnchor]],"0"))*
  (VALUE(TEXT(Contract_Edits[Index],"0"))&lt;VALUE(TEXT(Contract_Edits[[#This Row],[Index]],"0")))
)</f>
        <v>1</v>
      </c>
    </row>
    <row r="279" spans="12:40" ht="18" customHeight="1">
      <c r="L279" s="463">
        <v>254</v>
      </c>
      <c r="M279" s="543"/>
      <c r="N279" s="544"/>
      <c r="O279" s="546" cm="1">
        <f t="array" ref="O27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9" s="568"/>
      <c r="Q279" s="568"/>
      <c r="R279" s="499"/>
      <c r="S279" s="463" cm="1">
        <f t="array" ref="S27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9" s="34"/>
      <c r="U279" s="490"/>
      <c r="V27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9" s="557"/>
      <c r="X279" s="545"/>
      <c r="Y279" s="548" t="s">
        <v>1465</v>
      </c>
      <c r="Z279" s="160"/>
      <c r="AA279" s="563"/>
      <c r="AB279" s="34" cm="1">
        <f t="array" ref="AB279">ROW()-ROW(Contract_Edits[#Headers])</f>
        <v>255</v>
      </c>
      <c r="AC279" s="34">
        <f>IF(Contract_Edits[[#This Row],[RowPos]]&gt;1, Contract_Edits[[#This Row],[RowPos]]-1, 0)</f>
        <v>254</v>
      </c>
      <c r="AD279" s="35">
        <f>IF(N(Contract_Edits[[#This Row],[Dep]])=0, N(Contract_Edits[[#This Row],[Index]]), N(Contract_Edits[[#This Row],[Dep]]))</f>
        <v>196</v>
      </c>
      <c r="AE279" s="35" cm="1">
        <f t="array" ref="AE279">IF(OR(Contract_Edits[[#This Row],[Dep]]=0, TRIM(Contract_Edits[[#This Row],[Dep]])=""),
   0,
   IFERROR(
      _xlfn.XLOOKUP(1, (Contract_Edits[Dep]=Contract_Edits[[#This Row],[Dep]])*(Contract_Edits[RowPos]&lt;Contract_Edits[[#This Row],[RowPos]]), Contract_Edits[RowPos], , 0, -1),
      0
   )
)</f>
        <v>254</v>
      </c>
      <c r="AF279" s="35">
        <f>IF(OR(Contract_Edits[[#This Row],[Dep]]=0,Contract_Edits[[#This Row],[Dep]]=""),0,
   COUNTIFS(Contract_Edits[Dep],Contract_Edits[[#This Row],[Dep]],Contract_Edits[RowPos],"&lt;="&amp;Contract_Edits[[#This Row],[RowPos]],Contract_Edits[Approve],"Yes")
)</f>
        <v>1</v>
      </c>
      <c r="AG279" s="517">
        <f>--(
  ISNUMBER(SEARCH("BASE PARENT", UPPER(CLEAN(TRIM(_xlfn.XLOOKUP(TEXT(Contract_Edits[[#This Row],[Index]],"0"), baseIdxTxt, baseCost, "")))))) +
  ISNUMBER(SEARCH("DEPENDENCY GROUP", UPPER(CLEAN(TRIM(_xlfn.XLOOKUP(TEXT(Contract_Edits[[#This Row],[Index]],"0"), baseIdxTxt, baseCost, ""))))))
)</f>
        <v>0</v>
      </c>
      <c r="AH279" s="517" t="str" cm="1">
        <f t="array" ref="AH279">IF(Contract_Edits[[#This Row],[BaseFlag]]=1,
   10*BaseDepthL(TEXT(Contract_Edits[[#This Row],[Index]],"0"),500,editsIdxTxt,editsParentKeyTxt,baseIdxTxt,baseCost)-5,
   ""
)</f>
        <v/>
      </c>
      <c r="AI279" s="517" cm="1">
        <f t="array" ref="AI2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9" s="475" t="str">
        <f>IF(Contract_Edits[[#This Row],[Dep]]=0,"Root",
   IF(ISNUMBER(MATCH(Contract_Edits[[#This Row],[Dep]],Contract_Edits[Index],0)),"OK","Missing")
)</f>
        <v>OK</v>
      </c>
      <c r="AK279" s="475" t="str">
        <f>IF(AND(Contract_Edits[[#This Row],[Dep]]&lt;&gt;0,
        ISNUMBER(MATCH(Contract_Edits[[#This Row],[Dep]], Contract_Edits[Index], 0)),
        INDEX(Contract_Edits[Dep], MATCH(Contract_Edits[[#This Row],[Dep]], Contract_Edits[Index], 0))=Contract_Edits[[#This Row],[Index]]),
   "2-cycle","")</f>
        <v/>
      </c>
      <c r="AL279" s="475" cm="1">
        <f t="array" ref="AL279">IF(Contract_Edits[[#This Row],[BaseFlag]]&lt;&gt;1,0,
   IF(TEXT(Contract_Edits[[#This Row],[Dep]],"0")=TEXT(Contract_Edits[[#This Row],[Index]],"0"),
      0,
      MAX(0, SUMPRODUCT(--(Contract_Edits[BaseFlag]=1),
                        --(TEXT(Contract_Edits[Dep],"0")=TEXT(Contract_Edits[[#This Row],[Dep]],"0"))) - 1)
   )
)</f>
        <v>0</v>
      </c>
      <c r="AM279" s="475" t="str" cm="1">
        <f t="array" ref="AM279">IF(Contract_Edits[[#This Row],[BaseFlag]]=1,
   TEXT(Contract_Edits[[#This Row],[Index]],"0"),
   NearestBaseL(TEXT(Contract_Edits[[#This Row],[ParentKey]],"0"),500,editsIdxTxt,editsParentKeyTxt,baseIdxTxt,baseCost)
)</f>
        <v>196</v>
      </c>
      <c r="AN279" s="475" cm="1">
        <f t="array" ref="AN279">1+SUMPRODUCT(
  (Contract_Edits[BaseFlag]=1)*
  (TEXT(Contract_Edits[ParentAnchor],"0")=TEXT(Contract_Edits[[#This Row],[ParentAnchor]],"0"))*
  (VALUE(TEXT(Contract_Edits[Index],"0"))&lt;VALUE(TEXT(Contract_Edits[[#This Row],[Index]],"0")))
)</f>
        <v>1</v>
      </c>
    </row>
    <row r="280" spans="12:40" ht="18" customHeight="1">
      <c r="L280" s="463">
        <v>255</v>
      </c>
      <c r="M280" s="543"/>
      <c r="N280" s="544"/>
      <c r="O280" s="546" cm="1">
        <f t="array" ref="O28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0" s="568"/>
      <c r="Q280" s="568"/>
      <c r="R280" s="499"/>
      <c r="S280" s="463" cm="1">
        <f t="array" ref="S28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0" s="34"/>
      <c r="U280" s="490"/>
      <c r="V28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0" s="557"/>
      <c r="X280" s="545"/>
      <c r="Y280" s="548" t="s">
        <v>1465</v>
      </c>
      <c r="Z280" s="160"/>
      <c r="AA280" s="563"/>
      <c r="AB280" s="34" cm="1">
        <f t="array" ref="AB280">ROW()-ROW(Contract_Edits[#Headers])</f>
        <v>256</v>
      </c>
      <c r="AC280" s="34">
        <f>IF(Contract_Edits[[#This Row],[RowPos]]&gt;1, Contract_Edits[[#This Row],[RowPos]]-1, 0)</f>
        <v>255</v>
      </c>
      <c r="AD280" s="35">
        <f>IF(N(Contract_Edits[[#This Row],[Dep]])=0, N(Contract_Edits[[#This Row],[Index]]), N(Contract_Edits[[#This Row],[Dep]]))</f>
        <v>196</v>
      </c>
      <c r="AE280" s="35" cm="1">
        <f t="array" ref="AE280">IF(OR(Contract_Edits[[#This Row],[Dep]]=0, TRIM(Contract_Edits[[#This Row],[Dep]])=""),
   0,
   IFERROR(
      _xlfn.XLOOKUP(1, (Contract_Edits[Dep]=Contract_Edits[[#This Row],[Dep]])*(Contract_Edits[RowPos]&lt;Contract_Edits[[#This Row],[RowPos]]), Contract_Edits[RowPos], , 0, -1),
      0
   )
)</f>
        <v>255</v>
      </c>
      <c r="AF280" s="35">
        <f>IF(OR(Contract_Edits[[#This Row],[Dep]]=0,Contract_Edits[[#This Row],[Dep]]=""),0,
   COUNTIFS(Contract_Edits[Dep],Contract_Edits[[#This Row],[Dep]],Contract_Edits[RowPos],"&lt;="&amp;Contract_Edits[[#This Row],[RowPos]],Contract_Edits[Approve],"Yes")
)</f>
        <v>1</v>
      </c>
      <c r="AG280" s="517">
        <f>--(
  ISNUMBER(SEARCH("BASE PARENT", UPPER(CLEAN(TRIM(_xlfn.XLOOKUP(TEXT(Contract_Edits[[#This Row],[Index]],"0"), baseIdxTxt, baseCost, "")))))) +
  ISNUMBER(SEARCH("DEPENDENCY GROUP", UPPER(CLEAN(TRIM(_xlfn.XLOOKUP(TEXT(Contract_Edits[[#This Row],[Index]],"0"), baseIdxTxt, baseCost, ""))))))
)</f>
        <v>0</v>
      </c>
      <c r="AH280" s="517" t="str" cm="1">
        <f t="array" ref="AH280">IF(Contract_Edits[[#This Row],[BaseFlag]]=1,
   10*BaseDepthL(TEXT(Contract_Edits[[#This Row],[Index]],"0"),500,editsIdxTxt,editsParentKeyTxt,baseIdxTxt,baseCost)-5,
   ""
)</f>
        <v/>
      </c>
      <c r="AI280" s="517" cm="1">
        <f t="array" ref="AI2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0" s="475" t="str">
        <f>IF(Contract_Edits[[#This Row],[Dep]]=0,"Root",
   IF(ISNUMBER(MATCH(Contract_Edits[[#This Row],[Dep]],Contract_Edits[Index],0)),"OK","Missing")
)</f>
        <v>OK</v>
      </c>
      <c r="AK280" s="475" t="str">
        <f>IF(AND(Contract_Edits[[#This Row],[Dep]]&lt;&gt;0,
        ISNUMBER(MATCH(Contract_Edits[[#This Row],[Dep]], Contract_Edits[Index], 0)),
        INDEX(Contract_Edits[Dep], MATCH(Contract_Edits[[#This Row],[Dep]], Contract_Edits[Index], 0))=Contract_Edits[[#This Row],[Index]]),
   "2-cycle","")</f>
        <v/>
      </c>
      <c r="AL280" s="475" cm="1">
        <f t="array" ref="AL280">IF(Contract_Edits[[#This Row],[BaseFlag]]&lt;&gt;1,0,
   IF(TEXT(Contract_Edits[[#This Row],[Dep]],"0")=TEXT(Contract_Edits[[#This Row],[Index]],"0"),
      0,
      MAX(0, SUMPRODUCT(--(Contract_Edits[BaseFlag]=1),
                        --(TEXT(Contract_Edits[Dep],"0")=TEXT(Contract_Edits[[#This Row],[Dep]],"0"))) - 1)
   )
)</f>
        <v>0</v>
      </c>
      <c r="AM280" s="475" t="str" cm="1">
        <f t="array" ref="AM280">IF(Contract_Edits[[#This Row],[BaseFlag]]=1,
   TEXT(Contract_Edits[[#This Row],[Index]],"0"),
   NearestBaseL(TEXT(Contract_Edits[[#This Row],[ParentKey]],"0"),500,editsIdxTxt,editsParentKeyTxt,baseIdxTxt,baseCost)
)</f>
        <v>196</v>
      </c>
      <c r="AN280" s="475" cm="1">
        <f t="array" ref="AN280">1+SUMPRODUCT(
  (Contract_Edits[BaseFlag]=1)*
  (TEXT(Contract_Edits[ParentAnchor],"0")=TEXT(Contract_Edits[[#This Row],[ParentAnchor]],"0"))*
  (VALUE(TEXT(Contract_Edits[Index],"0"))&lt;VALUE(TEXT(Contract_Edits[[#This Row],[Index]],"0")))
)</f>
        <v>1</v>
      </c>
    </row>
    <row r="281" spans="12:40" ht="18" customHeight="1">
      <c r="L281" s="463">
        <v>256</v>
      </c>
      <c r="M281" s="543"/>
      <c r="N281" s="544"/>
      <c r="O281" s="546" cm="1">
        <f t="array" ref="O28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1" s="568"/>
      <c r="Q281" s="568"/>
      <c r="R281" s="499"/>
      <c r="S281" s="463" cm="1">
        <f t="array" ref="S28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1" s="34"/>
      <c r="U281" s="490"/>
      <c r="V28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1" s="557"/>
      <c r="X281" s="545"/>
      <c r="Y281" s="548" t="s">
        <v>1465</v>
      </c>
      <c r="Z281" s="160"/>
      <c r="AA281" s="563"/>
      <c r="AB281" s="34" cm="1">
        <f t="array" ref="AB281">ROW()-ROW(Contract_Edits[#Headers])</f>
        <v>257</v>
      </c>
      <c r="AC281" s="34">
        <f>IF(Contract_Edits[[#This Row],[RowPos]]&gt;1, Contract_Edits[[#This Row],[RowPos]]-1, 0)</f>
        <v>256</v>
      </c>
      <c r="AD281" s="35">
        <f>IF(N(Contract_Edits[[#This Row],[Dep]])=0, N(Contract_Edits[[#This Row],[Index]]), N(Contract_Edits[[#This Row],[Dep]]))</f>
        <v>196</v>
      </c>
      <c r="AE281" s="35" cm="1">
        <f t="array" ref="AE281">IF(OR(Contract_Edits[[#This Row],[Dep]]=0, TRIM(Contract_Edits[[#This Row],[Dep]])=""),
   0,
   IFERROR(
      _xlfn.XLOOKUP(1, (Contract_Edits[Dep]=Contract_Edits[[#This Row],[Dep]])*(Contract_Edits[RowPos]&lt;Contract_Edits[[#This Row],[RowPos]]), Contract_Edits[RowPos], , 0, -1),
      0
   )
)</f>
        <v>256</v>
      </c>
      <c r="AF281" s="35">
        <f>IF(OR(Contract_Edits[[#This Row],[Dep]]=0,Contract_Edits[[#This Row],[Dep]]=""),0,
   COUNTIFS(Contract_Edits[Dep],Contract_Edits[[#This Row],[Dep]],Contract_Edits[RowPos],"&lt;="&amp;Contract_Edits[[#This Row],[RowPos]],Contract_Edits[Approve],"Yes")
)</f>
        <v>1</v>
      </c>
      <c r="AG281" s="517">
        <f>--(
  ISNUMBER(SEARCH("BASE PARENT", UPPER(CLEAN(TRIM(_xlfn.XLOOKUP(TEXT(Contract_Edits[[#This Row],[Index]],"0"), baseIdxTxt, baseCost, "")))))) +
  ISNUMBER(SEARCH("DEPENDENCY GROUP", UPPER(CLEAN(TRIM(_xlfn.XLOOKUP(TEXT(Contract_Edits[[#This Row],[Index]],"0"), baseIdxTxt, baseCost, ""))))))
)</f>
        <v>0</v>
      </c>
      <c r="AH281" s="517" t="str" cm="1">
        <f t="array" ref="AH281">IF(Contract_Edits[[#This Row],[BaseFlag]]=1,
   10*BaseDepthL(TEXT(Contract_Edits[[#This Row],[Index]],"0"),500,editsIdxTxt,editsParentKeyTxt,baseIdxTxt,baseCost)-5,
   ""
)</f>
        <v/>
      </c>
      <c r="AI281" s="517" cm="1">
        <f t="array" ref="AI2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1" s="475" t="str">
        <f>IF(Contract_Edits[[#This Row],[Dep]]=0,"Root",
   IF(ISNUMBER(MATCH(Contract_Edits[[#This Row],[Dep]],Contract_Edits[Index],0)),"OK","Missing")
)</f>
        <v>OK</v>
      </c>
      <c r="AK281" s="475" t="str">
        <f>IF(AND(Contract_Edits[[#This Row],[Dep]]&lt;&gt;0,
        ISNUMBER(MATCH(Contract_Edits[[#This Row],[Dep]], Contract_Edits[Index], 0)),
        INDEX(Contract_Edits[Dep], MATCH(Contract_Edits[[#This Row],[Dep]], Contract_Edits[Index], 0))=Contract_Edits[[#This Row],[Index]]),
   "2-cycle","")</f>
        <v/>
      </c>
      <c r="AL281" s="475" cm="1">
        <f t="array" ref="AL281">IF(Contract_Edits[[#This Row],[BaseFlag]]&lt;&gt;1,0,
   IF(TEXT(Contract_Edits[[#This Row],[Dep]],"0")=TEXT(Contract_Edits[[#This Row],[Index]],"0"),
      0,
      MAX(0, SUMPRODUCT(--(Contract_Edits[BaseFlag]=1),
                        --(TEXT(Contract_Edits[Dep],"0")=TEXT(Contract_Edits[[#This Row],[Dep]],"0"))) - 1)
   )
)</f>
        <v>0</v>
      </c>
      <c r="AM281" s="475" t="str" cm="1">
        <f t="array" ref="AM281">IF(Contract_Edits[[#This Row],[BaseFlag]]=1,
   TEXT(Contract_Edits[[#This Row],[Index]],"0"),
   NearestBaseL(TEXT(Contract_Edits[[#This Row],[ParentKey]],"0"),500,editsIdxTxt,editsParentKeyTxt,baseIdxTxt,baseCost)
)</f>
        <v>196</v>
      </c>
      <c r="AN281" s="475" cm="1">
        <f t="array" ref="AN281">1+SUMPRODUCT(
  (Contract_Edits[BaseFlag]=1)*
  (TEXT(Contract_Edits[ParentAnchor],"0")=TEXT(Contract_Edits[[#This Row],[ParentAnchor]],"0"))*
  (VALUE(TEXT(Contract_Edits[Index],"0"))&lt;VALUE(TEXT(Contract_Edits[[#This Row],[Index]],"0")))
)</f>
        <v>1</v>
      </c>
    </row>
    <row r="282" spans="12:40" ht="18" customHeight="1">
      <c r="L282" s="463">
        <v>257</v>
      </c>
      <c r="M282" s="543"/>
      <c r="N282" s="544"/>
      <c r="O282" s="546" cm="1">
        <f t="array" ref="O28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2" s="568"/>
      <c r="Q282" s="568"/>
      <c r="R282" s="499"/>
      <c r="S282" s="463" cm="1">
        <f t="array" ref="S28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2" s="34"/>
      <c r="U282" s="490"/>
      <c r="V28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2" s="557"/>
      <c r="X282" s="545"/>
      <c r="Y282" s="548" t="s">
        <v>1465</v>
      </c>
      <c r="Z282" s="160"/>
      <c r="AA282" s="563"/>
      <c r="AB282" s="34" cm="1">
        <f t="array" ref="AB282">ROW()-ROW(Contract_Edits[#Headers])</f>
        <v>258</v>
      </c>
      <c r="AC282" s="34">
        <f>IF(Contract_Edits[[#This Row],[RowPos]]&gt;1, Contract_Edits[[#This Row],[RowPos]]-1, 0)</f>
        <v>257</v>
      </c>
      <c r="AD282" s="35">
        <f>IF(N(Contract_Edits[[#This Row],[Dep]])=0, N(Contract_Edits[[#This Row],[Index]]), N(Contract_Edits[[#This Row],[Dep]]))</f>
        <v>196</v>
      </c>
      <c r="AE282" s="35" cm="1">
        <f t="array" ref="AE282">IF(OR(Contract_Edits[[#This Row],[Dep]]=0, TRIM(Contract_Edits[[#This Row],[Dep]])=""),
   0,
   IFERROR(
      _xlfn.XLOOKUP(1, (Contract_Edits[Dep]=Contract_Edits[[#This Row],[Dep]])*(Contract_Edits[RowPos]&lt;Contract_Edits[[#This Row],[RowPos]]), Contract_Edits[RowPos], , 0, -1),
      0
   )
)</f>
        <v>257</v>
      </c>
      <c r="AF282" s="35">
        <f>IF(OR(Contract_Edits[[#This Row],[Dep]]=0,Contract_Edits[[#This Row],[Dep]]=""),0,
   COUNTIFS(Contract_Edits[Dep],Contract_Edits[[#This Row],[Dep]],Contract_Edits[RowPos],"&lt;="&amp;Contract_Edits[[#This Row],[RowPos]],Contract_Edits[Approve],"Yes")
)</f>
        <v>1</v>
      </c>
      <c r="AG282" s="517">
        <f>--(
  ISNUMBER(SEARCH("BASE PARENT", UPPER(CLEAN(TRIM(_xlfn.XLOOKUP(TEXT(Contract_Edits[[#This Row],[Index]],"0"), baseIdxTxt, baseCost, "")))))) +
  ISNUMBER(SEARCH("DEPENDENCY GROUP", UPPER(CLEAN(TRIM(_xlfn.XLOOKUP(TEXT(Contract_Edits[[#This Row],[Index]],"0"), baseIdxTxt, baseCost, ""))))))
)</f>
        <v>0</v>
      </c>
      <c r="AH282" s="517" t="str" cm="1">
        <f t="array" ref="AH282">IF(Contract_Edits[[#This Row],[BaseFlag]]=1,
   10*BaseDepthL(TEXT(Contract_Edits[[#This Row],[Index]],"0"),500,editsIdxTxt,editsParentKeyTxt,baseIdxTxt,baseCost)-5,
   ""
)</f>
        <v/>
      </c>
      <c r="AI282" s="517" cm="1">
        <f t="array" ref="AI2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2" s="475" t="str">
        <f>IF(Contract_Edits[[#This Row],[Dep]]=0,"Root",
   IF(ISNUMBER(MATCH(Contract_Edits[[#This Row],[Dep]],Contract_Edits[Index],0)),"OK","Missing")
)</f>
        <v>OK</v>
      </c>
      <c r="AK282" s="475" t="str">
        <f>IF(AND(Contract_Edits[[#This Row],[Dep]]&lt;&gt;0,
        ISNUMBER(MATCH(Contract_Edits[[#This Row],[Dep]], Contract_Edits[Index], 0)),
        INDEX(Contract_Edits[Dep], MATCH(Contract_Edits[[#This Row],[Dep]], Contract_Edits[Index], 0))=Contract_Edits[[#This Row],[Index]]),
   "2-cycle","")</f>
        <v/>
      </c>
      <c r="AL282" s="475" cm="1">
        <f t="array" ref="AL282">IF(Contract_Edits[[#This Row],[BaseFlag]]&lt;&gt;1,0,
   IF(TEXT(Contract_Edits[[#This Row],[Dep]],"0")=TEXT(Contract_Edits[[#This Row],[Index]],"0"),
      0,
      MAX(0, SUMPRODUCT(--(Contract_Edits[BaseFlag]=1),
                        --(TEXT(Contract_Edits[Dep],"0")=TEXT(Contract_Edits[[#This Row],[Dep]],"0"))) - 1)
   )
)</f>
        <v>0</v>
      </c>
      <c r="AM282" s="475" t="str" cm="1">
        <f t="array" ref="AM282">IF(Contract_Edits[[#This Row],[BaseFlag]]=1,
   TEXT(Contract_Edits[[#This Row],[Index]],"0"),
   NearestBaseL(TEXT(Contract_Edits[[#This Row],[ParentKey]],"0"),500,editsIdxTxt,editsParentKeyTxt,baseIdxTxt,baseCost)
)</f>
        <v>196</v>
      </c>
      <c r="AN282" s="475" cm="1">
        <f t="array" ref="AN282">1+SUMPRODUCT(
  (Contract_Edits[BaseFlag]=1)*
  (TEXT(Contract_Edits[ParentAnchor],"0")=TEXT(Contract_Edits[[#This Row],[ParentAnchor]],"0"))*
  (VALUE(TEXT(Contract_Edits[Index],"0"))&lt;VALUE(TEXT(Contract_Edits[[#This Row],[Index]],"0")))
)</f>
        <v>1</v>
      </c>
    </row>
    <row r="283" spans="12:40" ht="18" customHeight="1">
      <c r="L283" s="463">
        <v>258</v>
      </c>
      <c r="M283" s="543"/>
      <c r="N283" s="544"/>
      <c r="O283" s="546" cm="1">
        <f t="array" ref="O28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3" s="568"/>
      <c r="Q283" s="568"/>
      <c r="R283" s="499"/>
      <c r="S283" s="463" cm="1">
        <f t="array" ref="S28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3" s="34"/>
      <c r="U283" s="490"/>
      <c r="V28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3" s="557"/>
      <c r="X283" s="545"/>
      <c r="Y283" s="548" t="s">
        <v>1465</v>
      </c>
      <c r="Z283" s="160"/>
      <c r="AA283" s="563"/>
      <c r="AB283" s="34" cm="1">
        <f t="array" ref="AB283">ROW()-ROW(Contract_Edits[#Headers])</f>
        <v>259</v>
      </c>
      <c r="AC283" s="34">
        <f>IF(Contract_Edits[[#This Row],[RowPos]]&gt;1, Contract_Edits[[#This Row],[RowPos]]-1, 0)</f>
        <v>258</v>
      </c>
      <c r="AD283" s="35">
        <f>IF(N(Contract_Edits[[#This Row],[Dep]])=0, N(Contract_Edits[[#This Row],[Index]]), N(Contract_Edits[[#This Row],[Dep]]))</f>
        <v>196</v>
      </c>
      <c r="AE283" s="35" cm="1">
        <f t="array" ref="AE283">IF(OR(Contract_Edits[[#This Row],[Dep]]=0, TRIM(Contract_Edits[[#This Row],[Dep]])=""),
   0,
   IFERROR(
      _xlfn.XLOOKUP(1, (Contract_Edits[Dep]=Contract_Edits[[#This Row],[Dep]])*(Contract_Edits[RowPos]&lt;Contract_Edits[[#This Row],[RowPos]]), Contract_Edits[RowPos], , 0, -1),
      0
   )
)</f>
        <v>258</v>
      </c>
      <c r="AF283" s="35">
        <f>IF(OR(Contract_Edits[[#This Row],[Dep]]=0,Contract_Edits[[#This Row],[Dep]]=""),0,
   COUNTIFS(Contract_Edits[Dep],Contract_Edits[[#This Row],[Dep]],Contract_Edits[RowPos],"&lt;="&amp;Contract_Edits[[#This Row],[RowPos]],Contract_Edits[Approve],"Yes")
)</f>
        <v>1</v>
      </c>
      <c r="AG283" s="517">
        <f>--(
  ISNUMBER(SEARCH("BASE PARENT", UPPER(CLEAN(TRIM(_xlfn.XLOOKUP(TEXT(Contract_Edits[[#This Row],[Index]],"0"), baseIdxTxt, baseCost, "")))))) +
  ISNUMBER(SEARCH("DEPENDENCY GROUP", UPPER(CLEAN(TRIM(_xlfn.XLOOKUP(TEXT(Contract_Edits[[#This Row],[Index]],"0"), baseIdxTxt, baseCost, ""))))))
)</f>
        <v>0</v>
      </c>
      <c r="AH283" s="517" t="str" cm="1">
        <f t="array" ref="AH283">IF(Contract_Edits[[#This Row],[BaseFlag]]=1,
   10*BaseDepthL(TEXT(Contract_Edits[[#This Row],[Index]],"0"),500,editsIdxTxt,editsParentKeyTxt,baseIdxTxt,baseCost)-5,
   ""
)</f>
        <v/>
      </c>
      <c r="AI283" s="517" cm="1">
        <f t="array" ref="AI2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3" s="475" t="str">
        <f>IF(Contract_Edits[[#This Row],[Dep]]=0,"Root",
   IF(ISNUMBER(MATCH(Contract_Edits[[#This Row],[Dep]],Contract_Edits[Index],0)),"OK","Missing")
)</f>
        <v>OK</v>
      </c>
      <c r="AK283" s="475" t="str">
        <f>IF(AND(Contract_Edits[[#This Row],[Dep]]&lt;&gt;0,
        ISNUMBER(MATCH(Contract_Edits[[#This Row],[Dep]], Contract_Edits[Index], 0)),
        INDEX(Contract_Edits[Dep], MATCH(Contract_Edits[[#This Row],[Dep]], Contract_Edits[Index], 0))=Contract_Edits[[#This Row],[Index]]),
   "2-cycle","")</f>
        <v/>
      </c>
      <c r="AL283" s="475" cm="1">
        <f t="array" ref="AL283">IF(Contract_Edits[[#This Row],[BaseFlag]]&lt;&gt;1,0,
   IF(TEXT(Contract_Edits[[#This Row],[Dep]],"0")=TEXT(Contract_Edits[[#This Row],[Index]],"0"),
      0,
      MAX(0, SUMPRODUCT(--(Contract_Edits[BaseFlag]=1),
                        --(TEXT(Contract_Edits[Dep],"0")=TEXT(Contract_Edits[[#This Row],[Dep]],"0"))) - 1)
   )
)</f>
        <v>0</v>
      </c>
      <c r="AM283" s="475" t="str" cm="1">
        <f t="array" ref="AM283">IF(Contract_Edits[[#This Row],[BaseFlag]]=1,
   TEXT(Contract_Edits[[#This Row],[Index]],"0"),
   NearestBaseL(TEXT(Contract_Edits[[#This Row],[ParentKey]],"0"),500,editsIdxTxt,editsParentKeyTxt,baseIdxTxt,baseCost)
)</f>
        <v>196</v>
      </c>
      <c r="AN283" s="475" cm="1">
        <f t="array" ref="AN283">1+SUMPRODUCT(
  (Contract_Edits[BaseFlag]=1)*
  (TEXT(Contract_Edits[ParentAnchor],"0")=TEXT(Contract_Edits[[#This Row],[ParentAnchor]],"0"))*
  (VALUE(TEXT(Contract_Edits[Index],"0"))&lt;VALUE(TEXT(Contract_Edits[[#This Row],[Index]],"0")))
)</f>
        <v>1</v>
      </c>
    </row>
    <row r="284" spans="12:40" ht="18" customHeight="1">
      <c r="L284" s="463">
        <v>259</v>
      </c>
      <c r="M284" s="543"/>
      <c r="N284" s="544"/>
      <c r="O284" s="546" cm="1">
        <f t="array" ref="O28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4" s="568"/>
      <c r="Q284" s="568"/>
      <c r="R284" s="499"/>
      <c r="S284" s="463" cm="1">
        <f t="array" ref="S28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4" s="34"/>
      <c r="U284" s="490"/>
      <c r="V28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4" s="557"/>
      <c r="X284" s="545"/>
      <c r="Y284" s="548" t="s">
        <v>1465</v>
      </c>
      <c r="Z284" s="160"/>
      <c r="AA284" s="563"/>
      <c r="AB284" s="34" cm="1">
        <f t="array" ref="AB284">ROW()-ROW(Contract_Edits[#Headers])</f>
        <v>260</v>
      </c>
      <c r="AC284" s="34">
        <f>IF(Contract_Edits[[#This Row],[RowPos]]&gt;1, Contract_Edits[[#This Row],[RowPos]]-1, 0)</f>
        <v>259</v>
      </c>
      <c r="AD284" s="35">
        <f>IF(N(Contract_Edits[[#This Row],[Dep]])=0, N(Contract_Edits[[#This Row],[Index]]), N(Contract_Edits[[#This Row],[Dep]]))</f>
        <v>196</v>
      </c>
      <c r="AE284" s="35" cm="1">
        <f t="array" ref="AE284">IF(OR(Contract_Edits[[#This Row],[Dep]]=0, TRIM(Contract_Edits[[#This Row],[Dep]])=""),
   0,
   IFERROR(
      _xlfn.XLOOKUP(1, (Contract_Edits[Dep]=Contract_Edits[[#This Row],[Dep]])*(Contract_Edits[RowPos]&lt;Contract_Edits[[#This Row],[RowPos]]), Contract_Edits[RowPos], , 0, -1),
      0
   )
)</f>
        <v>259</v>
      </c>
      <c r="AF284" s="35">
        <f>IF(OR(Contract_Edits[[#This Row],[Dep]]=0,Contract_Edits[[#This Row],[Dep]]=""),0,
   COUNTIFS(Contract_Edits[Dep],Contract_Edits[[#This Row],[Dep]],Contract_Edits[RowPos],"&lt;="&amp;Contract_Edits[[#This Row],[RowPos]],Contract_Edits[Approve],"Yes")
)</f>
        <v>1</v>
      </c>
      <c r="AG284" s="517">
        <f>--(
  ISNUMBER(SEARCH("BASE PARENT", UPPER(CLEAN(TRIM(_xlfn.XLOOKUP(TEXT(Contract_Edits[[#This Row],[Index]],"0"), baseIdxTxt, baseCost, "")))))) +
  ISNUMBER(SEARCH("DEPENDENCY GROUP", UPPER(CLEAN(TRIM(_xlfn.XLOOKUP(TEXT(Contract_Edits[[#This Row],[Index]],"0"), baseIdxTxt, baseCost, ""))))))
)</f>
        <v>0</v>
      </c>
      <c r="AH284" s="517" t="str" cm="1">
        <f t="array" ref="AH284">IF(Contract_Edits[[#This Row],[BaseFlag]]=1,
   10*BaseDepthL(TEXT(Contract_Edits[[#This Row],[Index]],"0"),500,editsIdxTxt,editsParentKeyTxt,baseIdxTxt,baseCost)-5,
   ""
)</f>
        <v/>
      </c>
      <c r="AI284" s="517" cm="1">
        <f t="array" ref="AI2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4" s="475" t="str">
        <f>IF(Contract_Edits[[#This Row],[Dep]]=0,"Root",
   IF(ISNUMBER(MATCH(Contract_Edits[[#This Row],[Dep]],Contract_Edits[Index],0)),"OK","Missing")
)</f>
        <v>OK</v>
      </c>
      <c r="AK284" s="475" t="str">
        <f>IF(AND(Contract_Edits[[#This Row],[Dep]]&lt;&gt;0,
        ISNUMBER(MATCH(Contract_Edits[[#This Row],[Dep]], Contract_Edits[Index], 0)),
        INDEX(Contract_Edits[Dep], MATCH(Contract_Edits[[#This Row],[Dep]], Contract_Edits[Index], 0))=Contract_Edits[[#This Row],[Index]]),
   "2-cycle","")</f>
        <v/>
      </c>
      <c r="AL284" s="475" cm="1">
        <f t="array" ref="AL284">IF(Contract_Edits[[#This Row],[BaseFlag]]&lt;&gt;1,0,
   IF(TEXT(Contract_Edits[[#This Row],[Dep]],"0")=TEXT(Contract_Edits[[#This Row],[Index]],"0"),
      0,
      MAX(0, SUMPRODUCT(--(Contract_Edits[BaseFlag]=1),
                        --(TEXT(Contract_Edits[Dep],"0")=TEXT(Contract_Edits[[#This Row],[Dep]],"0"))) - 1)
   )
)</f>
        <v>0</v>
      </c>
      <c r="AM284" s="475" t="str" cm="1">
        <f t="array" ref="AM284">IF(Contract_Edits[[#This Row],[BaseFlag]]=1,
   TEXT(Contract_Edits[[#This Row],[Index]],"0"),
   NearestBaseL(TEXT(Contract_Edits[[#This Row],[ParentKey]],"0"),500,editsIdxTxt,editsParentKeyTxt,baseIdxTxt,baseCost)
)</f>
        <v>196</v>
      </c>
      <c r="AN284" s="475" cm="1">
        <f t="array" ref="AN284">1+SUMPRODUCT(
  (Contract_Edits[BaseFlag]=1)*
  (TEXT(Contract_Edits[ParentAnchor],"0")=TEXT(Contract_Edits[[#This Row],[ParentAnchor]],"0"))*
  (VALUE(TEXT(Contract_Edits[Index],"0"))&lt;VALUE(TEXT(Contract_Edits[[#This Row],[Index]],"0")))
)</f>
        <v>1</v>
      </c>
    </row>
    <row r="285" spans="12:40" ht="18" customHeight="1">
      <c r="L285" s="463">
        <v>260</v>
      </c>
      <c r="M285" s="543"/>
      <c r="N285" s="544"/>
      <c r="O285" s="546" cm="1">
        <f t="array" ref="O28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5" s="568"/>
      <c r="Q285" s="568"/>
      <c r="R285" s="499"/>
      <c r="S285" s="463" cm="1">
        <f t="array" ref="S28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5" s="34"/>
      <c r="U285" s="490"/>
      <c r="V28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5" s="557"/>
      <c r="X285" s="545"/>
      <c r="Y285" s="548" t="s">
        <v>1465</v>
      </c>
      <c r="Z285" s="160"/>
      <c r="AA285" s="563"/>
      <c r="AB285" s="34" cm="1">
        <f t="array" ref="AB285">ROW()-ROW(Contract_Edits[#Headers])</f>
        <v>261</v>
      </c>
      <c r="AC285" s="34">
        <f>IF(Contract_Edits[[#This Row],[RowPos]]&gt;1, Contract_Edits[[#This Row],[RowPos]]-1, 0)</f>
        <v>260</v>
      </c>
      <c r="AD285" s="35">
        <f>IF(N(Contract_Edits[[#This Row],[Dep]])=0, N(Contract_Edits[[#This Row],[Index]]), N(Contract_Edits[[#This Row],[Dep]]))</f>
        <v>196</v>
      </c>
      <c r="AE285" s="35" cm="1">
        <f t="array" ref="AE285">IF(OR(Contract_Edits[[#This Row],[Dep]]=0, TRIM(Contract_Edits[[#This Row],[Dep]])=""),
   0,
   IFERROR(
      _xlfn.XLOOKUP(1, (Contract_Edits[Dep]=Contract_Edits[[#This Row],[Dep]])*(Contract_Edits[RowPos]&lt;Contract_Edits[[#This Row],[RowPos]]), Contract_Edits[RowPos], , 0, -1),
      0
   )
)</f>
        <v>260</v>
      </c>
      <c r="AF285" s="35">
        <f>IF(OR(Contract_Edits[[#This Row],[Dep]]=0,Contract_Edits[[#This Row],[Dep]]=""),0,
   COUNTIFS(Contract_Edits[Dep],Contract_Edits[[#This Row],[Dep]],Contract_Edits[RowPos],"&lt;="&amp;Contract_Edits[[#This Row],[RowPos]],Contract_Edits[Approve],"Yes")
)</f>
        <v>1</v>
      </c>
      <c r="AG285" s="517">
        <f>--(
  ISNUMBER(SEARCH("BASE PARENT", UPPER(CLEAN(TRIM(_xlfn.XLOOKUP(TEXT(Contract_Edits[[#This Row],[Index]],"0"), baseIdxTxt, baseCost, "")))))) +
  ISNUMBER(SEARCH("DEPENDENCY GROUP", UPPER(CLEAN(TRIM(_xlfn.XLOOKUP(TEXT(Contract_Edits[[#This Row],[Index]],"0"), baseIdxTxt, baseCost, ""))))))
)</f>
        <v>0</v>
      </c>
      <c r="AH285" s="517" t="str" cm="1">
        <f t="array" ref="AH285">IF(Contract_Edits[[#This Row],[BaseFlag]]=1,
   10*BaseDepthL(TEXT(Contract_Edits[[#This Row],[Index]],"0"),500,editsIdxTxt,editsParentKeyTxt,baseIdxTxt,baseCost)-5,
   ""
)</f>
        <v/>
      </c>
      <c r="AI285" s="517" cm="1">
        <f t="array" ref="AI2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5" s="475" t="str">
        <f>IF(Contract_Edits[[#This Row],[Dep]]=0,"Root",
   IF(ISNUMBER(MATCH(Contract_Edits[[#This Row],[Dep]],Contract_Edits[Index],0)),"OK","Missing")
)</f>
        <v>OK</v>
      </c>
      <c r="AK285" s="475" t="str">
        <f>IF(AND(Contract_Edits[[#This Row],[Dep]]&lt;&gt;0,
        ISNUMBER(MATCH(Contract_Edits[[#This Row],[Dep]], Contract_Edits[Index], 0)),
        INDEX(Contract_Edits[Dep], MATCH(Contract_Edits[[#This Row],[Dep]], Contract_Edits[Index], 0))=Contract_Edits[[#This Row],[Index]]),
   "2-cycle","")</f>
        <v/>
      </c>
      <c r="AL285" s="475" cm="1">
        <f t="array" ref="AL285">IF(Contract_Edits[[#This Row],[BaseFlag]]&lt;&gt;1,0,
   IF(TEXT(Contract_Edits[[#This Row],[Dep]],"0")=TEXT(Contract_Edits[[#This Row],[Index]],"0"),
      0,
      MAX(0, SUMPRODUCT(--(Contract_Edits[BaseFlag]=1),
                        --(TEXT(Contract_Edits[Dep],"0")=TEXT(Contract_Edits[[#This Row],[Dep]],"0"))) - 1)
   )
)</f>
        <v>0</v>
      </c>
      <c r="AM285" s="475" t="str" cm="1">
        <f t="array" ref="AM285">IF(Contract_Edits[[#This Row],[BaseFlag]]=1,
   TEXT(Contract_Edits[[#This Row],[Index]],"0"),
   NearestBaseL(TEXT(Contract_Edits[[#This Row],[ParentKey]],"0"),500,editsIdxTxt,editsParentKeyTxt,baseIdxTxt,baseCost)
)</f>
        <v>196</v>
      </c>
      <c r="AN285" s="475" cm="1">
        <f t="array" ref="AN285">1+SUMPRODUCT(
  (Contract_Edits[BaseFlag]=1)*
  (TEXT(Contract_Edits[ParentAnchor],"0")=TEXT(Contract_Edits[[#This Row],[ParentAnchor]],"0"))*
  (VALUE(TEXT(Contract_Edits[Index],"0"))&lt;VALUE(TEXT(Contract_Edits[[#This Row],[Index]],"0")))
)</f>
        <v>1</v>
      </c>
    </row>
    <row r="286" spans="12:40" ht="18" customHeight="1">
      <c r="L286" s="463">
        <v>261</v>
      </c>
      <c r="M286" s="543"/>
      <c r="N286" s="544"/>
      <c r="O286" s="546" cm="1">
        <f t="array" ref="O28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6" s="568"/>
      <c r="Q286" s="568"/>
      <c r="R286" s="499"/>
      <c r="S286" s="463" cm="1">
        <f t="array" ref="S28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6" s="34"/>
      <c r="U286" s="490"/>
      <c r="V28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6" s="557"/>
      <c r="X286" s="545"/>
      <c r="Y286" s="548" t="s">
        <v>1465</v>
      </c>
      <c r="Z286" s="160"/>
      <c r="AA286" s="563"/>
      <c r="AB286" s="34" cm="1">
        <f t="array" ref="AB286">ROW()-ROW(Contract_Edits[#Headers])</f>
        <v>262</v>
      </c>
      <c r="AC286" s="34">
        <f>IF(Contract_Edits[[#This Row],[RowPos]]&gt;1, Contract_Edits[[#This Row],[RowPos]]-1, 0)</f>
        <v>261</v>
      </c>
      <c r="AD286" s="35">
        <f>IF(N(Contract_Edits[[#This Row],[Dep]])=0, N(Contract_Edits[[#This Row],[Index]]), N(Contract_Edits[[#This Row],[Dep]]))</f>
        <v>196</v>
      </c>
      <c r="AE286" s="35" cm="1">
        <f t="array" ref="AE286">IF(OR(Contract_Edits[[#This Row],[Dep]]=0, TRIM(Contract_Edits[[#This Row],[Dep]])=""),
   0,
   IFERROR(
      _xlfn.XLOOKUP(1, (Contract_Edits[Dep]=Contract_Edits[[#This Row],[Dep]])*(Contract_Edits[RowPos]&lt;Contract_Edits[[#This Row],[RowPos]]), Contract_Edits[RowPos], , 0, -1),
      0
   )
)</f>
        <v>261</v>
      </c>
      <c r="AF286" s="35">
        <f>IF(OR(Contract_Edits[[#This Row],[Dep]]=0,Contract_Edits[[#This Row],[Dep]]=""),0,
   COUNTIFS(Contract_Edits[Dep],Contract_Edits[[#This Row],[Dep]],Contract_Edits[RowPos],"&lt;="&amp;Contract_Edits[[#This Row],[RowPos]],Contract_Edits[Approve],"Yes")
)</f>
        <v>1</v>
      </c>
      <c r="AG286" s="517">
        <f>--(
  ISNUMBER(SEARCH("BASE PARENT", UPPER(CLEAN(TRIM(_xlfn.XLOOKUP(TEXT(Contract_Edits[[#This Row],[Index]],"0"), baseIdxTxt, baseCost, "")))))) +
  ISNUMBER(SEARCH("DEPENDENCY GROUP", UPPER(CLEAN(TRIM(_xlfn.XLOOKUP(TEXT(Contract_Edits[[#This Row],[Index]],"0"), baseIdxTxt, baseCost, ""))))))
)</f>
        <v>0</v>
      </c>
      <c r="AH286" s="517" t="str" cm="1">
        <f t="array" ref="AH286">IF(Contract_Edits[[#This Row],[BaseFlag]]=1,
   10*BaseDepthL(TEXT(Contract_Edits[[#This Row],[Index]],"0"),500,editsIdxTxt,editsParentKeyTxt,baseIdxTxt,baseCost)-5,
   ""
)</f>
        <v/>
      </c>
      <c r="AI286" s="517" cm="1">
        <f t="array" ref="AI2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6" s="475" t="str">
        <f>IF(Contract_Edits[[#This Row],[Dep]]=0,"Root",
   IF(ISNUMBER(MATCH(Contract_Edits[[#This Row],[Dep]],Contract_Edits[Index],0)),"OK","Missing")
)</f>
        <v>OK</v>
      </c>
      <c r="AK286" s="475" t="str">
        <f>IF(AND(Contract_Edits[[#This Row],[Dep]]&lt;&gt;0,
        ISNUMBER(MATCH(Contract_Edits[[#This Row],[Dep]], Contract_Edits[Index], 0)),
        INDEX(Contract_Edits[Dep], MATCH(Contract_Edits[[#This Row],[Dep]], Contract_Edits[Index], 0))=Contract_Edits[[#This Row],[Index]]),
   "2-cycle","")</f>
        <v/>
      </c>
      <c r="AL286" s="475" cm="1">
        <f t="array" ref="AL286">IF(Contract_Edits[[#This Row],[BaseFlag]]&lt;&gt;1,0,
   IF(TEXT(Contract_Edits[[#This Row],[Dep]],"0")=TEXT(Contract_Edits[[#This Row],[Index]],"0"),
      0,
      MAX(0, SUMPRODUCT(--(Contract_Edits[BaseFlag]=1),
                        --(TEXT(Contract_Edits[Dep],"0")=TEXT(Contract_Edits[[#This Row],[Dep]],"0"))) - 1)
   )
)</f>
        <v>0</v>
      </c>
      <c r="AM286" s="475" t="str" cm="1">
        <f t="array" ref="AM286">IF(Contract_Edits[[#This Row],[BaseFlag]]=1,
   TEXT(Contract_Edits[[#This Row],[Index]],"0"),
   NearestBaseL(TEXT(Contract_Edits[[#This Row],[ParentKey]],"0"),500,editsIdxTxt,editsParentKeyTxt,baseIdxTxt,baseCost)
)</f>
        <v>196</v>
      </c>
      <c r="AN286" s="475" cm="1">
        <f t="array" ref="AN286">1+SUMPRODUCT(
  (Contract_Edits[BaseFlag]=1)*
  (TEXT(Contract_Edits[ParentAnchor],"0")=TEXT(Contract_Edits[[#This Row],[ParentAnchor]],"0"))*
  (VALUE(TEXT(Contract_Edits[Index],"0"))&lt;VALUE(TEXT(Contract_Edits[[#This Row],[Index]],"0")))
)</f>
        <v>1</v>
      </c>
    </row>
    <row r="287" spans="12:40" ht="18" customHeight="1">
      <c r="L287" s="463">
        <v>262</v>
      </c>
      <c r="M287" s="543"/>
      <c r="N287" s="544"/>
      <c r="O287" s="546" cm="1">
        <f t="array" ref="O28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7" s="568"/>
      <c r="Q287" s="568"/>
      <c r="R287" s="499"/>
      <c r="S287" s="463" cm="1">
        <f t="array" ref="S28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7" s="34"/>
      <c r="U287" s="490"/>
      <c r="V28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7" s="557"/>
      <c r="X287" s="545"/>
      <c r="Y287" s="548" t="s">
        <v>1465</v>
      </c>
      <c r="Z287" s="160"/>
      <c r="AA287" s="563"/>
      <c r="AB287" s="34" cm="1">
        <f t="array" ref="AB287">ROW()-ROW(Contract_Edits[#Headers])</f>
        <v>263</v>
      </c>
      <c r="AC287" s="34">
        <f>IF(Contract_Edits[[#This Row],[RowPos]]&gt;1, Contract_Edits[[#This Row],[RowPos]]-1, 0)</f>
        <v>262</v>
      </c>
      <c r="AD287" s="35">
        <f>IF(N(Contract_Edits[[#This Row],[Dep]])=0, N(Contract_Edits[[#This Row],[Index]]), N(Contract_Edits[[#This Row],[Dep]]))</f>
        <v>196</v>
      </c>
      <c r="AE287" s="35" cm="1">
        <f t="array" ref="AE287">IF(OR(Contract_Edits[[#This Row],[Dep]]=0, TRIM(Contract_Edits[[#This Row],[Dep]])=""),
   0,
   IFERROR(
      _xlfn.XLOOKUP(1, (Contract_Edits[Dep]=Contract_Edits[[#This Row],[Dep]])*(Contract_Edits[RowPos]&lt;Contract_Edits[[#This Row],[RowPos]]), Contract_Edits[RowPos], , 0, -1),
      0
   )
)</f>
        <v>262</v>
      </c>
      <c r="AF287" s="35">
        <f>IF(OR(Contract_Edits[[#This Row],[Dep]]=0,Contract_Edits[[#This Row],[Dep]]=""),0,
   COUNTIFS(Contract_Edits[Dep],Contract_Edits[[#This Row],[Dep]],Contract_Edits[RowPos],"&lt;="&amp;Contract_Edits[[#This Row],[RowPos]],Contract_Edits[Approve],"Yes")
)</f>
        <v>1</v>
      </c>
      <c r="AG287" s="517">
        <f>--(
  ISNUMBER(SEARCH("BASE PARENT", UPPER(CLEAN(TRIM(_xlfn.XLOOKUP(TEXT(Contract_Edits[[#This Row],[Index]],"0"), baseIdxTxt, baseCost, "")))))) +
  ISNUMBER(SEARCH("DEPENDENCY GROUP", UPPER(CLEAN(TRIM(_xlfn.XLOOKUP(TEXT(Contract_Edits[[#This Row],[Index]],"0"), baseIdxTxt, baseCost, ""))))))
)</f>
        <v>0</v>
      </c>
      <c r="AH287" s="517" t="str" cm="1">
        <f t="array" ref="AH287">IF(Contract_Edits[[#This Row],[BaseFlag]]=1,
   10*BaseDepthL(TEXT(Contract_Edits[[#This Row],[Index]],"0"),500,editsIdxTxt,editsParentKeyTxt,baseIdxTxt,baseCost)-5,
   ""
)</f>
        <v/>
      </c>
      <c r="AI287" s="517" cm="1">
        <f t="array" ref="AI2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7" s="475" t="str">
        <f>IF(Contract_Edits[[#This Row],[Dep]]=0,"Root",
   IF(ISNUMBER(MATCH(Contract_Edits[[#This Row],[Dep]],Contract_Edits[Index],0)),"OK","Missing")
)</f>
        <v>OK</v>
      </c>
      <c r="AK287" s="475" t="str">
        <f>IF(AND(Contract_Edits[[#This Row],[Dep]]&lt;&gt;0,
        ISNUMBER(MATCH(Contract_Edits[[#This Row],[Dep]], Contract_Edits[Index], 0)),
        INDEX(Contract_Edits[Dep], MATCH(Contract_Edits[[#This Row],[Dep]], Contract_Edits[Index], 0))=Contract_Edits[[#This Row],[Index]]),
   "2-cycle","")</f>
        <v/>
      </c>
      <c r="AL287" s="475" cm="1">
        <f t="array" ref="AL287">IF(Contract_Edits[[#This Row],[BaseFlag]]&lt;&gt;1,0,
   IF(TEXT(Contract_Edits[[#This Row],[Dep]],"0")=TEXT(Contract_Edits[[#This Row],[Index]],"0"),
      0,
      MAX(0, SUMPRODUCT(--(Contract_Edits[BaseFlag]=1),
                        --(TEXT(Contract_Edits[Dep],"0")=TEXT(Contract_Edits[[#This Row],[Dep]],"0"))) - 1)
   )
)</f>
        <v>0</v>
      </c>
      <c r="AM287" s="475" t="str" cm="1">
        <f t="array" ref="AM287">IF(Contract_Edits[[#This Row],[BaseFlag]]=1,
   TEXT(Contract_Edits[[#This Row],[Index]],"0"),
   NearestBaseL(TEXT(Contract_Edits[[#This Row],[ParentKey]],"0"),500,editsIdxTxt,editsParentKeyTxt,baseIdxTxt,baseCost)
)</f>
        <v>196</v>
      </c>
      <c r="AN287" s="475" cm="1">
        <f t="array" ref="AN287">1+SUMPRODUCT(
  (Contract_Edits[BaseFlag]=1)*
  (TEXT(Contract_Edits[ParentAnchor],"0")=TEXT(Contract_Edits[[#This Row],[ParentAnchor]],"0"))*
  (VALUE(TEXT(Contract_Edits[Index],"0"))&lt;VALUE(TEXT(Contract_Edits[[#This Row],[Index]],"0")))
)</f>
        <v>1</v>
      </c>
    </row>
    <row r="288" spans="12:40" ht="18" customHeight="1">
      <c r="L288" s="463">
        <v>5</v>
      </c>
      <c r="M288" s="490"/>
      <c r="N288" s="160">
        <v>0</v>
      </c>
      <c r="O288" s="546" cm="1">
        <f t="array" ref="O28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8" s="567" t="s">
        <v>797</v>
      </c>
      <c r="Q288" s="567"/>
      <c r="R288" s="499"/>
      <c r="S288" s="463" cm="1">
        <f t="array" ref="S28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88" s="34">
        <v>1</v>
      </c>
      <c r="U288" s="490"/>
      <c r="V28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88" s="557"/>
      <c r="X288" s="545"/>
      <c r="Y288" s="548"/>
      <c r="Z288" s="160" t="s">
        <v>797</v>
      </c>
      <c r="AA288" s="563"/>
      <c r="AB288" cm="1">
        <f t="array" ref="AB288">ROW()-ROW(Contract_Edits[#Headers])</f>
        <v>264</v>
      </c>
      <c r="AC288">
        <f>IF(Contract_Edits[[#This Row],[RowPos]]&gt;1, Contract_Edits[[#This Row],[RowPos]]-1, 0)</f>
        <v>263</v>
      </c>
      <c r="AD288" s="35">
        <f>IF(N(Contract_Edits[[#This Row],[Dep]])=0, N(Contract_Edits[[#This Row],[Index]]), N(Contract_Edits[[#This Row],[Dep]]))</f>
        <v>5</v>
      </c>
      <c r="AE288" s="35" cm="1">
        <f t="array" ref="AE288">IF(OR(Contract_Edits[[#This Row],[Dep]]=0, TRIM(Contract_Edits[[#This Row],[Dep]])=""),
   0,
   IFERROR(
      _xlfn.XLOOKUP(1, (Contract_Edits[Dep]=Contract_Edits[[#This Row],[Dep]])*(Contract_Edits[RowPos]&lt;Contract_Edits[[#This Row],[RowPos]]), Contract_Edits[RowPos], , 0, -1),
      0
   )
)</f>
        <v>0</v>
      </c>
      <c r="AF288" s="35">
        <f>IF(OR(Contract_Edits[[#This Row],[Dep]]=0,Contract_Edits[[#This Row],[Dep]]=""),0,
   COUNTIFS(Contract_Edits[Dep],Contract_Edits[[#This Row],[Dep]],Contract_Edits[RowPos],"&lt;="&amp;Contract_Edits[[#This Row],[RowPos]],Contract_Edits[Approve],"Yes")
)</f>
        <v>0</v>
      </c>
      <c r="AG288" s="517">
        <f>--(
  ISNUMBER(SEARCH("BASE PARENT", UPPER(CLEAN(TRIM(_xlfn.XLOOKUP(TEXT(Contract_Edits[[#This Row],[Index]],"0"), baseIdxTxt, baseCost, "")))))) +
  ISNUMBER(SEARCH("DEPENDENCY GROUP", UPPER(CLEAN(TRIM(_xlfn.XLOOKUP(TEXT(Contract_Edits[[#This Row],[Index]],"0"), baseIdxTxt, baseCost, ""))))))
)</f>
        <v>0</v>
      </c>
      <c r="AH288" s="517" t="str" cm="1">
        <f t="array" ref="AH288">IF(Contract_Edits[[#This Row],[BaseFlag]]=1,
   10*BaseDepthL(TEXT(Contract_Edits[[#This Row],[Index]],"0"),500,editsIdxTxt,editsParentKeyTxt,baseIdxTxt,baseCost)-5,
   ""
)</f>
        <v/>
      </c>
      <c r="AI288" s="517" cm="1">
        <f t="array" ref="AI2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88" s="475" t="str">
        <f>IF(Contract_Edits[[#This Row],[Dep]]=0,"Root",
   IF(ISNUMBER(MATCH(Contract_Edits[[#This Row],[Dep]],Contract_Edits[Index],0)),"OK","Missing")
)</f>
        <v>Root</v>
      </c>
      <c r="AK288" s="475" t="e">
        <f>IF(AND(Contract_Edits[[#This Row],[Dep]]&lt;&gt;0,
        ISNUMBER(MATCH(Contract_Edits[[#This Row],[Dep]], Contract_Edits[Index], 0)),
        INDEX(Contract_Edits[Dep], MATCH(Contract_Edits[[#This Row],[Dep]], Contract_Edits[Index], 0))=Contract_Edits[[#This Row],[Index]]),
   "2-cycle","")</f>
        <v>#N/A</v>
      </c>
      <c r="AL288" s="475" cm="1">
        <f t="array" ref="AL288">IF(Contract_Edits[[#This Row],[BaseFlag]]&lt;&gt;1,0,
   IF(TEXT(Contract_Edits[[#This Row],[Dep]],"0")=TEXT(Contract_Edits[[#This Row],[Index]],"0"),
      0,
      MAX(0, SUMPRODUCT(--(Contract_Edits[BaseFlag]=1),
                        --(TEXT(Contract_Edits[Dep],"0")=TEXT(Contract_Edits[[#This Row],[Dep]],"0"))) - 1)
   )
)</f>
        <v>0</v>
      </c>
      <c r="AM288" s="475" t="str" cm="1">
        <f t="array" ref="AM288">IF(Contract_Edits[[#This Row],[BaseFlag]]=1,
   TEXT(Contract_Edits[[#This Row],[Index]],"0"),
   NearestBaseL(TEXT(Contract_Edits[[#This Row],[ParentKey]],"0"),500,editsIdxTxt,editsParentKeyTxt,baseIdxTxt,baseCost)
)</f>
        <v>0</v>
      </c>
      <c r="AN288" s="475" cm="1">
        <f t="array" ref="AN288">1+SUMPRODUCT(
  (Contract_Edits[BaseFlag]=1)*
  (TEXT(Contract_Edits[ParentAnchor],"0")=TEXT(Contract_Edits[[#This Row],[ParentAnchor]],"0"))*
  (VALUE(TEXT(Contract_Edits[Index],"0"))&lt;VALUE(TEXT(Contract_Edits[[#This Row],[Index]],"0")))
)</f>
        <v>1</v>
      </c>
    </row>
    <row r="289" spans="12:40" ht="18" customHeight="1">
      <c r="L289" s="463">
        <v>6</v>
      </c>
      <c r="M289" s="490"/>
      <c r="N289" s="532"/>
      <c r="O289" s="546" cm="1">
        <f t="array" ref="O28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9" s="567"/>
      <c r="Q289" s="567"/>
      <c r="R289" s="499"/>
      <c r="S289" s="463" cm="1">
        <f t="array" ref="S28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89" s="34">
        <v>1</v>
      </c>
      <c r="U289" s="490"/>
      <c r="V28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89" s="497"/>
      <c r="X289" s="545"/>
      <c r="Y289" s="548"/>
      <c r="Z289" s="160" t="s">
        <v>797</v>
      </c>
      <c r="AA289" s="563"/>
      <c r="AB289" cm="1">
        <f t="array" ref="AB289">ROW()-ROW(Contract_Edits[#Headers])</f>
        <v>265</v>
      </c>
      <c r="AC289">
        <f>IF(Contract_Edits[[#This Row],[RowPos]]&gt;1, Contract_Edits[[#This Row],[RowPos]]-1, 0)</f>
        <v>264</v>
      </c>
      <c r="AD289" s="35">
        <f>IF(N(Contract_Edits[[#This Row],[Dep]])=0, N(Contract_Edits[[#This Row],[Index]]), N(Contract_Edits[[#This Row],[Dep]]))</f>
        <v>6</v>
      </c>
      <c r="AE289" s="35" cm="1">
        <f t="array" ref="AE289">IF(OR(Contract_Edits[[#This Row],[Dep]]=0, TRIM(Contract_Edits[[#This Row],[Dep]])=""),
   0,
   IFERROR(
      _xlfn.XLOOKUP(1, (Contract_Edits[Dep]=Contract_Edits[[#This Row],[Dep]])*(Contract_Edits[RowPos]&lt;Contract_Edits[[#This Row],[RowPos]]), Contract_Edits[RowPos], , 0, -1),
      0
   )
)</f>
        <v>0</v>
      </c>
      <c r="AF289" s="35">
        <f>IF(OR(Contract_Edits[[#This Row],[Dep]]=0,Contract_Edits[[#This Row],[Dep]]=""),0,
   COUNTIFS(Contract_Edits[Dep],Contract_Edits[[#This Row],[Dep]],Contract_Edits[RowPos],"&lt;="&amp;Contract_Edits[[#This Row],[RowPos]],Contract_Edits[Approve],"Yes")
)</f>
        <v>0</v>
      </c>
      <c r="AG289" s="517">
        <f>--(
  ISNUMBER(SEARCH("BASE PARENT", UPPER(CLEAN(TRIM(_xlfn.XLOOKUP(TEXT(Contract_Edits[[#This Row],[Index]],"0"), baseIdxTxt, baseCost, "")))))) +
  ISNUMBER(SEARCH("DEPENDENCY GROUP", UPPER(CLEAN(TRIM(_xlfn.XLOOKUP(TEXT(Contract_Edits[[#This Row],[Index]],"0"), baseIdxTxt, baseCost, ""))))))
)</f>
        <v>0</v>
      </c>
      <c r="AH289" s="517" t="str" cm="1">
        <f t="array" ref="AH289">IF(Contract_Edits[[#This Row],[BaseFlag]]=1,
   10*BaseDepthL(TEXT(Contract_Edits[[#This Row],[Index]],"0"),500,editsIdxTxt,editsParentKeyTxt,baseIdxTxt,baseCost)-5,
   ""
)</f>
        <v/>
      </c>
      <c r="AI289" s="517" cm="1">
        <f t="array" ref="AI2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89" s="475" t="str">
        <f>IF(Contract_Edits[[#This Row],[Dep]]=0,"Root",
   IF(ISNUMBER(MATCH(Contract_Edits[[#This Row],[Dep]],Contract_Edits[Index],0)),"OK","Missing")
)</f>
        <v>Root</v>
      </c>
      <c r="AK289" s="475" t="e">
        <f>IF(AND(Contract_Edits[[#This Row],[Dep]]&lt;&gt;0,
        ISNUMBER(MATCH(Contract_Edits[[#This Row],[Dep]], Contract_Edits[Index], 0)),
        INDEX(Contract_Edits[Dep], MATCH(Contract_Edits[[#This Row],[Dep]], Contract_Edits[Index], 0))=Contract_Edits[[#This Row],[Index]]),
   "2-cycle","")</f>
        <v>#N/A</v>
      </c>
      <c r="AL289" s="475" cm="1">
        <f t="array" ref="AL289">IF(Contract_Edits[[#This Row],[BaseFlag]]&lt;&gt;1,0,
   IF(TEXT(Contract_Edits[[#This Row],[Dep]],"0")=TEXT(Contract_Edits[[#This Row],[Index]],"0"),
      0,
      MAX(0, SUMPRODUCT(--(Contract_Edits[BaseFlag]=1),
                        --(TEXT(Contract_Edits[Dep],"0")=TEXT(Contract_Edits[[#This Row],[Dep]],"0"))) - 1)
   )
)</f>
        <v>0</v>
      </c>
      <c r="AM289" s="475" t="str" cm="1">
        <f t="array" ref="AM289">IF(Contract_Edits[[#This Row],[BaseFlag]]=1,
   TEXT(Contract_Edits[[#This Row],[Index]],"0"),
   NearestBaseL(TEXT(Contract_Edits[[#This Row],[ParentKey]],"0"),500,editsIdxTxt,editsParentKeyTxt,baseIdxTxt,baseCost)
)</f>
        <v>0</v>
      </c>
      <c r="AN289" s="475" cm="1">
        <f t="array" ref="AN289">1+SUMPRODUCT(
  (Contract_Edits[BaseFlag]=1)*
  (TEXT(Contract_Edits[ParentAnchor],"0")=TEXT(Contract_Edits[[#This Row],[ParentAnchor]],"0"))*
  (VALUE(TEXT(Contract_Edits[Index],"0"))&lt;VALUE(TEXT(Contract_Edits[[#This Row],[Index]],"0")))
)</f>
        <v>1</v>
      </c>
    </row>
    <row r="290" spans="12:40" ht="18" customHeight="1">
      <c r="L290" s="463">
        <v>7</v>
      </c>
      <c r="M290" s="490"/>
      <c r="N290" s="532"/>
      <c r="O290" s="546" cm="1">
        <f t="array" ref="O29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90" s="567"/>
      <c r="Q290" s="567"/>
      <c r="R290" s="499"/>
      <c r="S290" s="463" cm="1">
        <f t="array" ref="S29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90" s="34">
        <v>1</v>
      </c>
      <c r="U290" s="490"/>
      <c r="V29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0" s="497"/>
      <c r="X290" s="545"/>
      <c r="Y290" s="548"/>
      <c r="Z290" s="160" t="s">
        <v>797</v>
      </c>
      <c r="AA290" s="563"/>
      <c r="AB290" cm="1">
        <f t="array" ref="AB290">ROW()-ROW(Contract_Edits[#Headers])</f>
        <v>266</v>
      </c>
      <c r="AC290">
        <f>IF(Contract_Edits[[#This Row],[RowPos]]&gt;1, Contract_Edits[[#This Row],[RowPos]]-1, 0)</f>
        <v>265</v>
      </c>
      <c r="AD290" s="35">
        <f>IF(N(Contract_Edits[[#This Row],[Dep]])=0, N(Contract_Edits[[#This Row],[Index]]), N(Contract_Edits[[#This Row],[Dep]]))</f>
        <v>7</v>
      </c>
      <c r="AE290" s="35" cm="1">
        <f t="array" ref="AE290">IF(OR(Contract_Edits[[#This Row],[Dep]]=0, TRIM(Contract_Edits[[#This Row],[Dep]])=""),
   0,
   IFERROR(
      _xlfn.XLOOKUP(1, (Contract_Edits[Dep]=Contract_Edits[[#This Row],[Dep]])*(Contract_Edits[RowPos]&lt;Contract_Edits[[#This Row],[RowPos]]), Contract_Edits[RowPos], , 0, -1),
      0
   )
)</f>
        <v>0</v>
      </c>
      <c r="AF290" s="35">
        <f>IF(OR(Contract_Edits[[#This Row],[Dep]]=0,Contract_Edits[[#This Row],[Dep]]=""),0,
   COUNTIFS(Contract_Edits[Dep],Contract_Edits[[#This Row],[Dep]],Contract_Edits[RowPos],"&lt;="&amp;Contract_Edits[[#This Row],[RowPos]],Contract_Edits[Approve],"Yes")
)</f>
        <v>0</v>
      </c>
      <c r="AG290" s="517">
        <f>--(
  ISNUMBER(SEARCH("BASE PARENT", UPPER(CLEAN(TRIM(_xlfn.XLOOKUP(TEXT(Contract_Edits[[#This Row],[Index]],"0"), baseIdxTxt, baseCost, "")))))) +
  ISNUMBER(SEARCH("DEPENDENCY GROUP", UPPER(CLEAN(TRIM(_xlfn.XLOOKUP(TEXT(Contract_Edits[[#This Row],[Index]],"0"), baseIdxTxt, baseCost, ""))))))
)</f>
        <v>0</v>
      </c>
      <c r="AH290" s="517" t="str" cm="1">
        <f t="array" ref="AH290">IF(Contract_Edits[[#This Row],[BaseFlag]]=1,
   10*BaseDepthL(TEXT(Contract_Edits[[#This Row],[Index]],"0"),500,editsIdxTxt,editsParentKeyTxt,baseIdxTxt,baseCost)-5,
   ""
)</f>
        <v/>
      </c>
      <c r="AI290" s="517" cm="1">
        <f t="array" ref="AI2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90" s="475" t="str">
        <f>IF(Contract_Edits[[#This Row],[Dep]]=0,"Root",
   IF(ISNUMBER(MATCH(Contract_Edits[[#This Row],[Dep]],Contract_Edits[Index],0)),"OK","Missing")
)</f>
        <v>Root</v>
      </c>
      <c r="AK290" s="475" t="e">
        <f>IF(AND(Contract_Edits[[#This Row],[Dep]]&lt;&gt;0,
        ISNUMBER(MATCH(Contract_Edits[[#This Row],[Dep]], Contract_Edits[Index], 0)),
        INDEX(Contract_Edits[Dep], MATCH(Contract_Edits[[#This Row],[Dep]], Contract_Edits[Index], 0))=Contract_Edits[[#This Row],[Index]]),
   "2-cycle","")</f>
        <v>#N/A</v>
      </c>
      <c r="AL290" s="475" cm="1">
        <f t="array" ref="AL290">IF(Contract_Edits[[#This Row],[BaseFlag]]&lt;&gt;1,0,
   IF(TEXT(Contract_Edits[[#This Row],[Dep]],"0")=TEXT(Contract_Edits[[#This Row],[Index]],"0"),
      0,
      MAX(0, SUMPRODUCT(--(Contract_Edits[BaseFlag]=1),
                        --(TEXT(Contract_Edits[Dep],"0")=TEXT(Contract_Edits[[#This Row],[Dep]],"0"))) - 1)
   )
)</f>
        <v>0</v>
      </c>
      <c r="AM290" s="475" t="str" cm="1">
        <f t="array" ref="AM290">IF(Contract_Edits[[#This Row],[BaseFlag]]=1,
   TEXT(Contract_Edits[[#This Row],[Index]],"0"),
   NearestBaseL(TEXT(Contract_Edits[[#This Row],[ParentKey]],"0"),500,editsIdxTxt,editsParentKeyTxt,baseIdxTxt,baseCost)
)</f>
        <v>0</v>
      </c>
      <c r="AN290" s="475" cm="1">
        <f t="array" ref="AN290">1+SUMPRODUCT(
  (Contract_Edits[BaseFlag]=1)*
  (TEXT(Contract_Edits[ParentAnchor],"0")=TEXT(Contract_Edits[[#This Row],[ParentAnchor]],"0"))*
  (VALUE(TEXT(Contract_Edits[Index],"0"))&lt;VALUE(TEXT(Contract_Edits[[#This Row],[Index]],"0")))
)</f>
        <v>1</v>
      </c>
    </row>
    <row r="291" spans="12:40" ht="18" customHeight="1">
      <c r="L291" s="463">
        <v>8</v>
      </c>
      <c r="M291" s="490"/>
      <c r="N291" s="532"/>
      <c r="O291" s="546" cm="1">
        <f t="array" ref="O29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91" s="567"/>
      <c r="Q291" s="567"/>
      <c r="R291" s="499"/>
      <c r="S291" s="463" cm="1">
        <f t="array" ref="S29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91" s="34">
        <v>1</v>
      </c>
      <c r="U291" s="490"/>
      <c r="V29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1" s="497"/>
      <c r="X291" s="545"/>
      <c r="Y291" s="548"/>
      <c r="Z291" s="160" t="s">
        <v>797</v>
      </c>
      <c r="AA291" s="563"/>
      <c r="AB291" cm="1">
        <f t="array" ref="AB291">ROW()-ROW(Contract_Edits[#Headers])</f>
        <v>267</v>
      </c>
      <c r="AC291">
        <f>IF(Contract_Edits[[#This Row],[RowPos]]&gt;1, Contract_Edits[[#This Row],[RowPos]]-1, 0)</f>
        <v>266</v>
      </c>
      <c r="AD291" s="35">
        <f>IF(N(Contract_Edits[[#This Row],[Dep]])=0, N(Contract_Edits[[#This Row],[Index]]), N(Contract_Edits[[#This Row],[Dep]]))</f>
        <v>8</v>
      </c>
      <c r="AE291" s="35" cm="1">
        <f t="array" ref="AE291">IF(OR(Contract_Edits[[#This Row],[Dep]]=0, TRIM(Contract_Edits[[#This Row],[Dep]])=""),
   0,
   IFERROR(
      _xlfn.XLOOKUP(1, (Contract_Edits[Dep]=Contract_Edits[[#This Row],[Dep]])*(Contract_Edits[RowPos]&lt;Contract_Edits[[#This Row],[RowPos]]), Contract_Edits[RowPos], , 0, -1),
      0
   )
)</f>
        <v>0</v>
      </c>
      <c r="AF291" s="35">
        <f>IF(OR(Contract_Edits[[#This Row],[Dep]]=0,Contract_Edits[[#This Row],[Dep]]=""),0,
   COUNTIFS(Contract_Edits[Dep],Contract_Edits[[#This Row],[Dep]],Contract_Edits[RowPos],"&lt;="&amp;Contract_Edits[[#This Row],[RowPos]],Contract_Edits[Approve],"Yes")
)</f>
        <v>0</v>
      </c>
      <c r="AG291" s="517">
        <f>--(
  ISNUMBER(SEARCH("BASE PARENT", UPPER(CLEAN(TRIM(_xlfn.XLOOKUP(TEXT(Contract_Edits[[#This Row],[Index]],"0"), baseIdxTxt, baseCost, "")))))) +
  ISNUMBER(SEARCH("DEPENDENCY GROUP", UPPER(CLEAN(TRIM(_xlfn.XLOOKUP(TEXT(Contract_Edits[[#This Row],[Index]],"0"), baseIdxTxt, baseCost, ""))))))
)</f>
        <v>0</v>
      </c>
      <c r="AH291" s="517" t="str" cm="1">
        <f t="array" ref="AH291">IF(Contract_Edits[[#This Row],[BaseFlag]]=1,
   10*BaseDepthL(TEXT(Contract_Edits[[#This Row],[Index]],"0"),500,editsIdxTxt,editsParentKeyTxt,baseIdxTxt,baseCost)-5,
   ""
)</f>
        <v/>
      </c>
      <c r="AI291" s="517" cm="1">
        <f t="array" ref="AI2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91" s="475" t="str">
        <f>IF(Contract_Edits[[#This Row],[Dep]]=0,"Root",
   IF(ISNUMBER(MATCH(Contract_Edits[[#This Row],[Dep]],Contract_Edits[Index],0)),"OK","Missing")
)</f>
        <v>Root</v>
      </c>
      <c r="AK291" s="475" t="e">
        <f>IF(AND(Contract_Edits[[#This Row],[Dep]]&lt;&gt;0,
        ISNUMBER(MATCH(Contract_Edits[[#This Row],[Dep]], Contract_Edits[Index], 0)),
        INDEX(Contract_Edits[Dep], MATCH(Contract_Edits[[#This Row],[Dep]], Contract_Edits[Index], 0))=Contract_Edits[[#This Row],[Index]]),
   "2-cycle","")</f>
        <v>#N/A</v>
      </c>
      <c r="AL291" s="475" cm="1">
        <f t="array" ref="AL291">IF(Contract_Edits[[#This Row],[BaseFlag]]&lt;&gt;1,0,
   IF(TEXT(Contract_Edits[[#This Row],[Dep]],"0")=TEXT(Contract_Edits[[#This Row],[Index]],"0"),
      0,
      MAX(0, SUMPRODUCT(--(Contract_Edits[BaseFlag]=1),
                        --(TEXT(Contract_Edits[Dep],"0")=TEXT(Contract_Edits[[#This Row],[Dep]],"0"))) - 1)
   )
)</f>
        <v>0</v>
      </c>
      <c r="AM291" s="475" t="str" cm="1">
        <f t="array" ref="AM291">IF(Contract_Edits[[#This Row],[BaseFlag]]=1,
   TEXT(Contract_Edits[[#This Row],[Index]],"0"),
   NearestBaseL(TEXT(Contract_Edits[[#This Row],[ParentKey]],"0"),500,editsIdxTxt,editsParentKeyTxt,baseIdxTxt,baseCost)
)</f>
        <v>0</v>
      </c>
      <c r="AN291" s="475" cm="1">
        <f t="array" ref="AN291">1+SUMPRODUCT(
  (Contract_Edits[BaseFlag]=1)*
  (TEXT(Contract_Edits[ParentAnchor],"0")=TEXT(Contract_Edits[[#This Row],[ParentAnchor]],"0"))*
  (VALUE(TEXT(Contract_Edits[Index],"0"))&lt;VALUE(TEXT(Contract_Edits[[#This Row],[Index]],"0")))
)</f>
        <v>1</v>
      </c>
    </row>
    <row r="292" spans="12:40" ht="18" customHeight="1">
      <c r="L292" s="463">
        <v>9</v>
      </c>
      <c r="M292" s="490"/>
      <c r="N292" s="532"/>
      <c r="O292" s="546" cm="1">
        <f t="array" ref="O29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92" s="567"/>
      <c r="Q292" s="567"/>
      <c r="R292" s="499"/>
      <c r="S292" s="463" cm="1">
        <f t="array" ref="S29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92" s="34">
        <v>9</v>
      </c>
      <c r="U292" s="490"/>
      <c r="V29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2" s="497"/>
      <c r="X292" s="545"/>
      <c r="Y292" s="548"/>
      <c r="Z292" s="160" t="s">
        <v>797</v>
      </c>
      <c r="AA292" s="563"/>
      <c r="AB292" cm="1">
        <f t="array" ref="AB292">ROW()-ROW(Contract_Edits[#Headers])</f>
        <v>268</v>
      </c>
      <c r="AC292">
        <f>IF(Contract_Edits[[#This Row],[RowPos]]&gt;1, Contract_Edits[[#This Row],[RowPos]]-1, 0)</f>
        <v>267</v>
      </c>
      <c r="AD292" s="35">
        <f>IF(N(Contract_Edits[[#This Row],[Dep]])=0, N(Contract_Edits[[#This Row],[Index]]), N(Contract_Edits[[#This Row],[Dep]]))</f>
        <v>9</v>
      </c>
      <c r="AE292" s="35" cm="1">
        <f t="array" ref="AE292">IF(OR(Contract_Edits[[#This Row],[Dep]]=0, TRIM(Contract_Edits[[#This Row],[Dep]])=""),
   0,
   IFERROR(
      _xlfn.XLOOKUP(1, (Contract_Edits[Dep]=Contract_Edits[[#This Row],[Dep]])*(Contract_Edits[RowPos]&lt;Contract_Edits[[#This Row],[RowPos]]), Contract_Edits[RowPos], , 0, -1),
      0
   )
)</f>
        <v>0</v>
      </c>
      <c r="AF292" s="35">
        <f>IF(OR(Contract_Edits[[#This Row],[Dep]]=0,Contract_Edits[[#This Row],[Dep]]=""),0,
   COUNTIFS(Contract_Edits[Dep],Contract_Edits[[#This Row],[Dep]],Contract_Edits[RowPos],"&lt;="&amp;Contract_Edits[[#This Row],[RowPos]],Contract_Edits[Approve],"Yes")
)</f>
        <v>0</v>
      </c>
      <c r="AG292" s="517">
        <f>--(
  ISNUMBER(SEARCH("BASE PARENT", UPPER(CLEAN(TRIM(_xlfn.XLOOKUP(TEXT(Contract_Edits[[#This Row],[Index]],"0"), baseIdxTxt, baseCost, "")))))) +
  ISNUMBER(SEARCH("DEPENDENCY GROUP", UPPER(CLEAN(TRIM(_xlfn.XLOOKUP(TEXT(Contract_Edits[[#This Row],[Index]],"0"), baseIdxTxt, baseCost, ""))))))
)</f>
        <v>0</v>
      </c>
      <c r="AH292" s="517" t="str" cm="1">
        <f t="array" ref="AH292">IF(Contract_Edits[[#This Row],[BaseFlag]]=1,
   10*BaseDepthL(TEXT(Contract_Edits[[#This Row],[Index]],"0"),500,editsIdxTxt,editsParentKeyTxt,baseIdxTxt,baseCost)-5,
   ""
)</f>
        <v/>
      </c>
      <c r="AI292" s="517" cm="1">
        <f t="array" ref="AI2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92" s="475" t="str">
        <f>IF(Contract_Edits[[#This Row],[Dep]]=0,"Root",
   IF(ISNUMBER(MATCH(Contract_Edits[[#This Row],[Dep]],Contract_Edits[Index],0)),"OK","Missing")
)</f>
        <v>Root</v>
      </c>
      <c r="AK292" s="475" t="e">
        <f>IF(AND(Contract_Edits[[#This Row],[Dep]]&lt;&gt;0,
        ISNUMBER(MATCH(Contract_Edits[[#This Row],[Dep]], Contract_Edits[Index], 0)),
        INDEX(Contract_Edits[Dep], MATCH(Contract_Edits[[#This Row],[Dep]], Contract_Edits[Index], 0))=Contract_Edits[[#This Row],[Index]]),
   "2-cycle","")</f>
        <v>#N/A</v>
      </c>
      <c r="AL292" s="475" cm="1">
        <f t="array" ref="AL292">IF(Contract_Edits[[#This Row],[BaseFlag]]&lt;&gt;1,0,
   IF(TEXT(Contract_Edits[[#This Row],[Dep]],"0")=TEXT(Contract_Edits[[#This Row],[Index]],"0"),
      0,
      MAX(0, SUMPRODUCT(--(Contract_Edits[BaseFlag]=1),
                        --(TEXT(Contract_Edits[Dep],"0")=TEXT(Contract_Edits[[#This Row],[Dep]],"0"))) - 1)
   )
)</f>
        <v>0</v>
      </c>
      <c r="AM292" s="475" t="str" cm="1">
        <f t="array" ref="AM292">IF(Contract_Edits[[#This Row],[BaseFlag]]=1,
   TEXT(Contract_Edits[[#This Row],[Index]],"0"),
   NearestBaseL(TEXT(Contract_Edits[[#This Row],[ParentKey]],"0"),500,editsIdxTxt,editsParentKeyTxt,baseIdxTxt,baseCost)
)</f>
        <v>0</v>
      </c>
      <c r="AN292" s="475" cm="1">
        <f t="array" ref="AN292">1+SUMPRODUCT(
  (Contract_Edits[BaseFlag]=1)*
  (TEXT(Contract_Edits[ParentAnchor],"0")=TEXT(Contract_Edits[[#This Row],[ParentAnchor]],"0"))*
  (VALUE(TEXT(Contract_Edits[Index],"0"))&lt;VALUE(TEXT(Contract_Edits[[#This Row],[Index]],"0")))
)</f>
        <v>1</v>
      </c>
    </row>
    <row r="293" spans="12:40" ht="18" customHeight="1">
      <c r="L293" s="463">
        <v>13</v>
      </c>
      <c r="M293" s="176">
        <v>1</v>
      </c>
      <c r="N293" s="160">
        <v>0</v>
      </c>
      <c r="O293" s="546" cm="1">
        <f t="array" ref="O29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93" s="566" t="s">
        <v>797</v>
      </c>
      <c r="Q293" s="566">
        <v>0</v>
      </c>
      <c r="R293" s="22"/>
      <c r="S293" s="463" cm="1">
        <f t="array" ref="S29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93">
        <v>1</v>
      </c>
      <c r="U293" s="176"/>
      <c r="V29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3" s="497"/>
      <c r="X293" s="176" t="s">
        <v>852</v>
      </c>
      <c r="Y293" s="547"/>
      <c r="Z293" s="160" t="s">
        <v>797</v>
      </c>
      <c r="AA293" s="563"/>
      <c r="AB293" cm="1">
        <f t="array" ref="AB293">ROW()-ROW(Contract_Edits[#Headers])</f>
        <v>269</v>
      </c>
      <c r="AC293">
        <f>IF(Contract_Edits[[#This Row],[RowPos]]&gt;1, Contract_Edits[[#This Row],[RowPos]]-1, 0)</f>
        <v>268</v>
      </c>
      <c r="AD293" s="35">
        <f>IF(N(Contract_Edits[[#This Row],[Dep]])=0, N(Contract_Edits[[#This Row],[Index]]), N(Contract_Edits[[#This Row],[Dep]]))</f>
        <v>13</v>
      </c>
      <c r="AE293" s="35" cm="1">
        <f t="array" ref="AE293">IF(OR(Contract_Edits[[#This Row],[Dep]]=0, TRIM(Contract_Edits[[#This Row],[Dep]])=""),
   0,
   IFERROR(
      _xlfn.XLOOKUP(1, (Contract_Edits[Dep]=Contract_Edits[[#This Row],[Dep]])*(Contract_Edits[RowPos]&lt;Contract_Edits[[#This Row],[RowPos]]), Contract_Edits[RowPos], , 0, -1),
      0
   )
)</f>
        <v>0</v>
      </c>
      <c r="AF293" s="35">
        <f>IF(OR(Contract_Edits[[#This Row],[Dep]]=0,Contract_Edits[[#This Row],[Dep]]=""),0,
   COUNTIFS(Contract_Edits[Dep],Contract_Edits[[#This Row],[Dep]],Contract_Edits[RowPos],"&lt;="&amp;Contract_Edits[[#This Row],[RowPos]],Contract_Edits[Approve],"Yes")
)</f>
        <v>0</v>
      </c>
      <c r="AG293" s="517">
        <f>--(
  ISNUMBER(SEARCH("BASE PARENT", UPPER(CLEAN(TRIM(_xlfn.XLOOKUP(TEXT(Contract_Edits[[#This Row],[Index]],"0"), baseIdxTxt, baseCost, "")))))) +
  ISNUMBER(SEARCH("DEPENDENCY GROUP", UPPER(CLEAN(TRIM(_xlfn.XLOOKUP(TEXT(Contract_Edits[[#This Row],[Index]],"0"), baseIdxTxt, baseCost, ""))))))
)</f>
        <v>0</v>
      </c>
      <c r="AH293" s="517" t="str" cm="1">
        <f t="array" ref="AH293">IF(Contract_Edits[[#This Row],[BaseFlag]]=1,
   10*BaseDepthL(TEXT(Contract_Edits[[#This Row],[Index]],"0"),500,editsIdxTxt,editsParentKeyTxt,baseIdxTxt,baseCost)-5,
   ""
)</f>
        <v/>
      </c>
      <c r="AI293" s="517" cm="1">
        <f t="array" ref="AI2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93" s="475" t="str">
        <f>IF(Contract_Edits[[#This Row],[Dep]]=0,"Root",
   IF(ISNUMBER(MATCH(Contract_Edits[[#This Row],[Dep]],Contract_Edits[Index],0)),"OK","Missing")
)</f>
        <v>Root</v>
      </c>
      <c r="AK293" s="475" t="e">
        <f>IF(AND(Contract_Edits[[#This Row],[Dep]]&lt;&gt;0,
        ISNUMBER(MATCH(Contract_Edits[[#This Row],[Dep]], Contract_Edits[Index], 0)),
        INDEX(Contract_Edits[Dep], MATCH(Contract_Edits[[#This Row],[Dep]], Contract_Edits[Index], 0))=Contract_Edits[[#This Row],[Index]]),
   "2-cycle","")</f>
        <v>#N/A</v>
      </c>
      <c r="AL293" s="475" cm="1">
        <f t="array" ref="AL293">IF(Contract_Edits[[#This Row],[BaseFlag]]&lt;&gt;1,0,
   IF(TEXT(Contract_Edits[[#This Row],[Dep]],"0")=TEXT(Contract_Edits[[#This Row],[Index]],"0"),
      0,
      MAX(0, SUMPRODUCT(--(Contract_Edits[BaseFlag]=1),
                        --(TEXT(Contract_Edits[Dep],"0")=TEXT(Contract_Edits[[#This Row],[Dep]],"0"))) - 1)
   )
)</f>
        <v>0</v>
      </c>
      <c r="AM293" s="475" t="str" cm="1">
        <f t="array" ref="AM293">IF(Contract_Edits[[#This Row],[BaseFlag]]=1,
   TEXT(Contract_Edits[[#This Row],[Index]],"0"),
   NearestBaseL(TEXT(Contract_Edits[[#This Row],[ParentKey]],"0"),500,editsIdxTxt,editsParentKeyTxt,baseIdxTxt,baseCost)
)</f>
        <v>0</v>
      </c>
      <c r="AN293" s="475" cm="1">
        <f t="array" ref="AN293">1+SUMPRODUCT(
  (Contract_Edits[BaseFlag]=1)*
  (TEXT(Contract_Edits[ParentAnchor],"0")=TEXT(Contract_Edits[[#This Row],[ParentAnchor]],"0"))*
  (VALUE(TEXT(Contract_Edits[Index],"0"))&lt;VALUE(TEXT(Contract_Edits[[#This Row],[Index]],"0")))
)</f>
        <v>1</v>
      </c>
    </row>
    <row r="294" spans="12:40" ht="18" customHeight="1">
      <c r="L294" s="463">
        <v>19</v>
      </c>
      <c r="M294" s="176">
        <v>1</v>
      </c>
      <c r="N294" s="160">
        <v>0</v>
      </c>
      <c r="O294" s="546" cm="1">
        <f t="array" ref="O29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46100</v>
      </c>
      <c r="P294" s="566" t="s">
        <v>797</v>
      </c>
      <c r="Q294" s="566">
        <v>0</v>
      </c>
      <c r="R294" s="22"/>
      <c r="S294" s="463" cm="1">
        <f t="array" ref="S29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294">
        <v>1</v>
      </c>
      <c r="U294" s="176"/>
      <c r="V29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4" s="497"/>
      <c r="X294" s="176" t="s">
        <v>852</v>
      </c>
      <c r="Y294" s="547" t="s">
        <v>892</v>
      </c>
      <c r="Z294" s="160" t="s">
        <v>797</v>
      </c>
      <c r="AA294" s="563"/>
      <c r="AB294" cm="1">
        <f t="array" ref="AB294">ROW()-ROW(Contract_Edits[#Headers])</f>
        <v>270</v>
      </c>
      <c r="AC294">
        <f>IF(Contract_Edits[[#This Row],[RowPos]]&gt;1, Contract_Edits[[#This Row],[RowPos]]-1, 0)</f>
        <v>269</v>
      </c>
      <c r="AD294" s="35">
        <f>IF(N(Contract_Edits[[#This Row],[Dep]])=0, N(Contract_Edits[[#This Row],[Index]]), N(Contract_Edits[[#This Row],[Dep]]))</f>
        <v>170</v>
      </c>
      <c r="AE294" s="35" cm="1">
        <f t="array" ref="AE294">IF(OR(Contract_Edits[[#This Row],[Dep]]=0, TRIM(Contract_Edits[[#This Row],[Dep]])=""),
   0,
   IFERROR(
      _xlfn.XLOOKUP(1, (Contract_Edits[Dep]=Contract_Edits[[#This Row],[Dep]])*(Contract_Edits[RowPos]&lt;Contract_Edits[[#This Row],[RowPos]]), Contract_Edits[RowPos], , 0, -1),
      0
   )
)</f>
        <v>166</v>
      </c>
      <c r="AF294" s="35">
        <f>IF(OR(Contract_Edits[[#This Row],[Dep]]=0,Contract_Edits[[#This Row],[Dep]]=""),0,
   COUNTIFS(Contract_Edits[Dep],Contract_Edits[[#This Row],[Dep]],Contract_Edits[RowPos],"&lt;="&amp;Contract_Edits[[#This Row],[RowPos]],Contract_Edits[Approve],"Yes")
)</f>
        <v>9</v>
      </c>
      <c r="AG294" s="517">
        <f>--(
  ISNUMBER(SEARCH("BASE PARENT", UPPER(CLEAN(TRIM(_xlfn.XLOOKUP(TEXT(Contract_Edits[[#This Row],[Index]],"0"), baseIdxTxt, baseCost, "")))))) +
  ISNUMBER(SEARCH("DEPENDENCY GROUP", UPPER(CLEAN(TRIM(_xlfn.XLOOKUP(TEXT(Contract_Edits[[#This Row],[Index]],"0"), baseIdxTxt, baseCost, ""))))))
)</f>
        <v>0</v>
      </c>
      <c r="AH294" s="517" t="str" cm="1">
        <f t="array" ref="AH294">IF(Contract_Edits[[#This Row],[BaseFlag]]=1,
   10*BaseDepthL(TEXT(Contract_Edits[[#This Row],[Index]],"0"),500,editsIdxTxt,editsParentKeyTxt,baseIdxTxt,baseCost)-5,
   ""
)</f>
        <v/>
      </c>
      <c r="AI294" s="517" cm="1">
        <f t="array" ref="AI2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294" s="475" t="str">
        <f>IF(Contract_Edits[[#This Row],[Dep]]=0,"Root",
   IF(ISNUMBER(MATCH(Contract_Edits[[#This Row],[Dep]],Contract_Edits[Index],0)),"OK","Missing")
)</f>
        <v>OK</v>
      </c>
      <c r="AK294" s="475" t="str">
        <f>IF(AND(Contract_Edits[[#This Row],[Dep]]&lt;&gt;0,
        ISNUMBER(MATCH(Contract_Edits[[#This Row],[Dep]], Contract_Edits[Index], 0)),
        INDEX(Contract_Edits[Dep], MATCH(Contract_Edits[[#This Row],[Dep]], Contract_Edits[Index], 0))=Contract_Edits[[#This Row],[Index]]),
   "2-cycle","")</f>
        <v/>
      </c>
      <c r="AL294" s="475" cm="1">
        <f t="array" ref="AL294">IF(Contract_Edits[[#This Row],[BaseFlag]]&lt;&gt;1,0,
   IF(TEXT(Contract_Edits[[#This Row],[Dep]],"0")=TEXT(Contract_Edits[[#This Row],[Index]],"0"),
      0,
      MAX(0, SUMPRODUCT(--(Contract_Edits[BaseFlag]=1),
                        --(TEXT(Contract_Edits[Dep],"0")=TEXT(Contract_Edits[[#This Row],[Dep]],"0"))) - 1)
   )
)</f>
        <v>0</v>
      </c>
      <c r="AM294" s="475" t="str" cm="1">
        <f t="array" ref="AM294">IF(Contract_Edits[[#This Row],[BaseFlag]]=1,
   TEXT(Contract_Edits[[#This Row],[Index]],"0"),
   NearestBaseL(TEXT(Contract_Edits[[#This Row],[ParentKey]],"0"),500,editsIdxTxt,editsParentKeyTxt,baseIdxTxt,baseCost)
)</f>
        <v>170</v>
      </c>
      <c r="AN294" s="475" cm="1">
        <f t="array" ref="AN294">1+SUMPRODUCT(
  (Contract_Edits[BaseFlag]=1)*
  (TEXT(Contract_Edits[ParentAnchor],"0")=TEXT(Contract_Edits[[#This Row],[ParentAnchor]],"0"))*
  (VALUE(TEXT(Contract_Edits[Index],"0"))&lt;VALUE(TEXT(Contract_Edits[[#This Row],[Index]],"0")))
)</f>
        <v>1</v>
      </c>
    </row>
    <row r="295" spans="12:40" ht="18" customHeight="1">
      <c r="L295" s="463">
        <v>50</v>
      </c>
      <c r="M295" s="176">
        <v>0</v>
      </c>
      <c r="N295" s="160">
        <v>0</v>
      </c>
      <c r="O295" s="546" cm="1">
        <f t="array" ref="O29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45967</v>
      </c>
      <c r="P295" s="566" t="s">
        <v>458</v>
      </c>
      <c r="Q295" s="566">
        <v>0</v>
      </c>
      <c r="R295" s="22"/>
      <c r="S295" s="463" cm="1">
        <f t="array" ref="S29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153</v>
      </c>
      <c r="T295">
        <v>1</v>
      </c>
      <c r="U295" s="176"/>
      <c r="V29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5" s="497"/>
      <c r="X295" s="176" t="s">
        <v>903</v>
      </c>
      <c r="Y295" s="547" t="s">
        <v>862</v>
      </c>
      <c r="Z295" s="160" t="s">
        <v>797</v>
      </c>
      <c r="AA295" s="563"/>
      <c r="AB295" cm="1">
        <f t="array" ref="AB295">ROW()-ROW(Contract_Edits[#Headers])</f>
        <v>271</v>
      </c>
      <c r="AC295">
        <f>IF(Contract_Edits[[#This Row],[RowPos]]&gt;1, Contract_Edits[[#This Row],[RowPos]]-1, 0)</f>
        <v>270</v>
      </c>
      <c r="AD295" s="35">
        <f>IF(N(Contract_Edits[[#This Row],[Dep]])=0, N(Contract_Edits[[#This Row],[Index]]), N(Contract_Edits[[#This Row],[Dep]]))</f>
        <v>153</v>
      </c>
      <c r="AE295" s="35" cm="1">
        <f t="array" ref="AE295">IF(OR(Contract_Edits[[#This Row],[Dep]]=0, TRIM(Contract_Edits[[#This Row],[Dep]])=""),
   0,
   IFERROR(
      _xlfn.XLOOKUP(1, (Contract_Edits[Dep]=Contract_Edits[[#This Row],[Dep]])*(Contract_Edits[RowPos]&lt;Contract_Edits[[#This Row],[RowPos]]), Contract_Edits[RowPos], , 0, -1),
      0
   )
)</f>
        <v>24</v>
      </c>
      <c r="AF295" s="35">
        <f>IF(OR(Contract_Edits[[#This Row],[Dep]]=0,Contract_Edits[[#This Row],[Dep]]=""),0,
   COUNTIFS(Contract_Edits[Dep],Contract_Edits[[#This Row],[Dep]],Contract_Edits[RowPos],"&lt;="&amp;Contract_Edits[[#This Row],[RowPos]],Contract_Edits[Approve],"Yes")
)</f>
        <v>4</v>
      </c>
      <c r="AG295" s="517">
        <f>--(
  ISNUMBER(SEARCH("BASE PARENT", UPPER(CLEAN(TRIM(_xlfn.XLOOKUP(TEXT(Contract_Edits[[#This Row],[Index]],"0"), baseIdxTxt, baseCost, "")))))) +
  ISNUMBER(SEARCH("DEPENDENCY GROUP", UPPER(CLEAN(TRIM(_xlfn.XLOOKUP(TEXT(Contract_Edits[[#This Row],[Index]],"0"), baseIdxTxt, baseCost, ""))))))
)</f>
        <v>0</v>
      </c>
      <c r="AH295" s="517" t="str" cm="1">
        <f t="array" ref="AH295">IF(Contract_Edits[[#This Row],[BaseFlag]]=1,
   10*BaseDepthL(TEXT(Contract_Edits[[#This Row],[Index]],"0"),500,editsIdxTxt,editsParentKeyTxt,baseIdxTxt,baseCost)-5,
   ""
)</f>
        <v/>
      </c>
      <c r="AI295" s="517" cm="1">
        <f t="array" ref="AI2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J295" s="475" t="str">
        <f>IF(Contract_Edits[[#This Row],[Dep]]=0,"Root",
   IF(ISNUMBER(MATCH(Contract_Edits[[#This Row],[Dep]],Contract_Edits[Index],0)),"OK","Missing")
)</f>
        <v>OK</v>
      </c>
      <c r="AK295" s="475" t="str">
        <f>IF(AND(Contract_Edits[[#This Row],[Dep]]&lt;&gt;0,
        ISNUMBER(MATCH(Contract_Edits[[#This Row],[Dep]], Contract_Edits[Index], 0)),
        INDEX(Contract_Edits[Dep], MATCH(Contract_Edits[[#This Row],[Dep]], Contract_Edits[Index], 0))=Contract_Edits[[#This Row],[Index]]),
   "2-cycle","")</f>
        <v/>
      </c>
      <c r="AL295" s="475" cm="1">
        <f t="array" ref="AL295">IF(Contract_Edits[[#This Row],[BaseFlag]]&lt;&gt;1,0,
   IF(TEXT(Contract_Edits[[#This Row],[Dep]],"0")=TEXT(Contract_Edits[[#This Row],[Index]],"0"),
      0,
      MAX(0, SUMPRODUCT(--(Contract_Edits[BaseFlag]=1),
                        --(TEXT(Contract_Edits[Dep],"0")=TEXT(Contract_Edits[[#This Row],[Dep]],"0"))) - 1)
   )
)</f>
        <v>0</v>
      </c>
      <c r="AM295" s="475" t="str" cm="1">
        <f t="array" ref="AM295">IF(Contract_Edits[[#This Row],[BaseFlag]]=1,
   TEXT(Contract_Edits[[#This Row],[Index]],"0"),
   NearestBaseL(TEXT(Contract_Edits[[#This Row],[ParentKey]],"0"),500,editsIdxTxt,editsParentKeyTxt,baseIdxTxt,baseCost)
)</f>
        <v>153</v>
      </c>
      <c r="AN295" s="475" cm="1">
        <f t="array" ref="AN295">1+SUMPRODUCT(
  (Contract_Edits[BaseFlag]=1)*
  (TEXT(Contract_Edits[ParentAnchor],"0")=TEXT(Contract_Edits[[#This Row],[ParentAnchor]],"0"))*
  (VALUE(TEXT(Contract_Edits[Index],"0"))&lt;VALUE(TEXT(Contract_Edits[[#This Row],[Index]],"0")))
)</f>
        <v>1</v>
      </c>
    </row>
    <row r="296" spans="12:40" ht="18" customHeight="1">
      <c r="L296" s="463">
        <v>51</v>
      </c>
      <c r="M296" s="176"/>
      <c r="N296" s="160">
        <v>0</v>
      </c>
      <c r="O296" s="546" cm="1">
        <f t="array" ref="O29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45972</v>
      </c>
      <c r="P296" s="566" t="s">
        <v>797</v>
      </c>
      <c r="Q296" s="566">
        <v>0</v>
      </c>
      <c r="R296" s="22"/>
      <c r="S296" s="463" cm="1">
        <f t="array" ref="S29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154</v>
      </c>
      <c r="T296">
        <v>1</v>
      </c>
      <c r="U296" s="176"/>
      <c r="V29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6" s="497"/>
      <c r="X296" s="176" t="s">
        <v>852</v>
      </c>
      <c r="Y296" s="547" t="s">
        <v>864</v>
      </c>
      <c r="Z296" s="160" t="s">
        <v>797</v>
      </c>
      <c r="AA296" s="563"/>
      <c r="AB296" cm="1">
        <f t="array" ref="AB296">ROW()-ROW(Contract_Edits[#Headers])</f>
        <v>272</v>
      </c>
      <c r="AC296">
        <f>IF(Contract_Edits[[#This Row],[RowPos]]&gt;1, Contract_Edits[[#This Row],[RowPos]]-1, 0)</f>
        <v>271</v>
      </c>
      <c r="AD296" s="35">
        <f>IF(N(Contract_Edits[[#This Row],[Dep]])=0, N(Contract_Edits[[#This Row],[Index]]), N(Contract_Edits[[#This Row],[Dep]]))</f>
        <v>154</v>
      </c>
      <c r="AE296" s="35" cm="1">
        <f t="array" ref="AE296">IF(OR(Contract_Edits[[#This Row],[Dep]]=0, TRIM(Contract_Edits[[#This Row],[Dep]])=""),
   0,
   IFERROR(
      _xlfn.XLOOKUP(1, (Contract_Edits[Dep]=Contract_Edits[[#This Row],[Dep]])*(Contract_Edits[RowPos]&lt;Contract_Edits[[#This Row],[RowPos]]), Contract_Edits[RowPos], , 0, -1),
      0
   )
)</f>
        <v>29</v>
      </c>
      <c r="AF296" s="35">
        <f>IF(OR(Contract_Edits[[#This Row],[Dep]]=0,Contract_Edits[[#This Row],[Dep]]=""),0,
   COUNTIFS(Contract_Edits[Dep],Contract_Edits[[#This Row],[Dep]],Contract_Edits[RowPos],"&lt;="&amp;Contract_Edits[[#This Row],[RowPos]],Contract_Edits[Approve],"Yes")
)</f>
        <v>4</v>
      </c>
      <c r="AG296" s="517">
        <f>--(
  ISNUMBER(SEARCH("BASE PARENT", UPPER(CLEAN(TRIM(_xlfn.XLOOKUP(TEXT(Contract_Edits[[#This Row],[Index]],"0"), baseIdxTxt, baseCost, "")))))) +
  ISNUMBER(SEARCH("DEPENDENCY GROUP", UPPER(CLEAN(TRIM(_xlfn.XLOOKUP(TEXT(Contract_Edits[[#This Row],[Index]],"0"), baseIdxTxt, baseCost, ""))))))
)</f>
        <v>0</v>
      </c>
      <c r="AH296" s="517" t="str" cm="1">
        <f t="array" ref="AH296">IF(Contract_Edits[[#This Row],[BaseFlag]]=1,
   10*BaseDepthL(TEXT(Contract_Edits[[#This Row],[Index]],"0"),500,editsIdxTxt,editsParentKeyTxt,baseIdxTxt,baseCost)-5,
   ""
)</f>
        <v/>
      </c>
      <c r="AI296" s="517" cm="1">
        <f t="array" ref="AI2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296" s="475" t="str">
        <f>IF(Contract_Edits[[#This Row],[Dep]]=0,"Root",
   IF(ISNUMBER(MATCH(Contract_Edits[[#This Row],[Dep]],Contract_Edits[Index],0)),"OK","Missing")
)</f>
        <v>OK</v>
      </c>
      <c r="AK296" s="475" t="str">
        <f>IF(AND(Contract_Edits[[#This Row],[Dep]]&lt;&gt;0,
        ISNUMBER(MATCH(Contract_Edits[[#This Row],[Dep]], Contract_Edits[Index], 0)),
        INDEX(Contract_Edits[Dep], MATCH(Contract_Edits[[#This Row],[Dep]], Contract_Edits[Index], 0))=Contract_Edits[[#This Row],[Index]]),
   "2-cycle","")</f>
        <v/>
      </c>
      <c r="AL296" s="475" cm="1">
        <f t="array" ref="AL296">IF(Contract_Edits[[#This Row],[BaseFlag]]&lt;&gt;1,0,
   IF(TEXT(Contract_Edits[[#This Row],[Dep]],"0")=TEXT(Contract_Edits[[#This Row],[Index]],"0"),
      0,
      MAX(0, SUMPRODUCT(--(Contract_Edits[BaseFlag]=1),
                        --(TEXT(Contract_Edits[Dep],"0")=TEXT(Contract_Edits[[#This Row],[Dep]],"0"))) - 1)
   )
)</f>
        <v>0</v>
      </c>
      <c r="AM296" s="475" t="str" cm="1">
        <f t="array" ref="AM296">IF(Contract_Edits[[#This Row],[BaseFlag]]=1,
   TEXT(Contract_Edits[[#This Row],[Index]],"0"),
   NearestBaseL(TEXT(Contract_Edits[[#This Row],[ParentKey]],"0"),500,editsIdxTxt,editsParentKeyTxt,baseIdxTxt,baseCost)
)</f>
        <v>154</v>
      </c>
      <c r="AN296" s="475" cm="1">
        <f t="array" ref="AN296">1+SUMPRODUCT(
  (Contract_Edits[BaseFlag]=1)*
  (TEXT(Contract_Edits[ParentAnchor],"0")=TEXT(Contract_Edits[[#This Row],[ParentAnchor]],"0"))*
  (VALUE(TEXT(Contract_Edits[Index],"0"))&lt;VALUE(TEXT(Contract_Edits[[#This Row],[Index]],"0")))
)</f>
        <v>1</v>
      </c>
    </row>
    <row r="297" spans="12:40" ht="18" customHeight="1">
      <c r="L297" s="463">
        <v>93</v>
      </c>
      <c r="M297" s="176">
        <v>1</v>
      </c>
      <c r="N297" s="160">
        <v>0</v>
      </c>
      <c r="O297" s="546" cm="1">
        <f t="array" ref="O29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46063</v>
      </c>
      <c r="P297" s="566" t="s">
        <v>797</v>
      </c>
      <c r="Q297" s="566">
        <v>0</v>
      </c>
      <c r="R297" s="22"/>
      <c r="S297" s="463" cm="1">
        <f t="array" ref="S29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297">
        <v>1</v>
      </c>
      <c r="U297" s="176"/>
      <c r="V29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7" s="497"/>
      <c r="X297" s="176" t="s">
        <v>852</v>
      </c>
      <c r="Y297" s="547" t="s">
        <v>884</v>
      </c>
      <c r="Z297" s="160" t="s">
        <v>797</v>
      </c>
      <c r="AA297" s="563"/>
      <c r="AB297" cm="1">
        <f t="array" ref="AB297">ROW()-ROW(Contract_Edits[#Headers])</f>
        <v>273</v>
      </c>
      <c r="AC297">
        <f>IF(Contract_Edits[[#This Row],[RowPos]]&gt;1, Contract_Edits[[#This Row],[RowPos]]-1, 0)</f>
        <v>272</v>
      </c>
      <c r="AD297" s="35">
        <f>IF(N(Contract_Edits[[#This Row],[Dep]])=0, N(Contract_Edits[[#This Row],[Index]]), N(Contract_Edits[[#This Row],[Dep]]))</f>
        <v>164</v>
      </c>
      <c r="AE297" s="35" cm="1">
        <f t="array" ref="AE297">IF(OR(Contract_Edits[[#This Row],[Dep]]=0, TRIM(Contract_Edits[[#This Row],[Dep]])=""),
   0,
   IFERROR(
      _xlfn.XLOOKUP(1, (Contract_Edits[Dep]=Contract_Edits[[#This Row],[Dep]])*(Contract_Edits[RowPos]&lt;Contract_Edits[[#This Row],[RowPos]]), Contract_Edits[RowPos], , 0, -1),
      0
   )
)</f>
        <v>132</v>
      </c>
      <c r="AF297" s="35">
        <f>IF(OR(Contract_Edits[[#This Row],[Dep]]=0,Contract_Edits[[#This Row],[Dep]]=""),0,
   COUNTIFS(Contract_Edits[Dep],Contract_Edits[[#This Row],[Dep]],Contract_Edits[RowPos],"&lt;="&amp;Contract_Edits[[#This Row],[RowPos]],Contract_Edits[Approve],"Yes")
)</f>
        <v>9</v>
      </c>
      <c r="AG297" s="517">
        <f>--(
  ISNUMBER(SEARCH("BASE PARENT", UPPER(CLEAN(TRIM(_xlfn.XLOOKUP(TEXT(Contract_Edits[[#This Row],[Index]],"0"), baseIdxTxt, baseCost, "")))))) +
  ISNUMBER(SEARCH("DEPENDENCY GROUP", UPPER(CLEAN(TRIM(_xlfn.XLOOKUP(TEXT(Contract_Edits[[#This Row],[Index]],"0"), baseIdxTxt, baseCost, ""))))))
)</f>
        <v>0</v>
      </c>
      <c r="AH297" s="517" t="str" cm="1">
        <f t="array" ref="AH297">IF(Contract_Edits[[#This Row],[BaseFlag]]=1,
   10*BaseDepthL(TEXT(Contract_Edits[[#This Row],[Index]],"0"),500,editsIdxTxt,editsParentKeyTxt,baseIdxTxt,baseCost)-5,
   ""
)</f>
        <v/>
      </c>
      <c r="AI297" s="517" cm="1">
        <f t="array" ref="AI2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297" s="475" t="str">
        <f>IF(Contract_Edits[[#This Row],[Dep]]=0,"Root",
   IF(ISNUMBER(MATCH(Contract_Edits[[#This Row],[Dep]],Contract_Edits[Index],0)),"OK","Missing")
)</f>
        <v>OK</v>
      </c>
      <c r="AK297" s="475" t="str">
        <f>IF(AND(Contract_Edits[[#This Row],[Dep]]&lt;&gt;0,
        ISNUMBER(MATCH(Contract_Edits[[#This Row],[Dep]], Contract_Edits[Index], 0)),
        INDEX(Contract_Edits[Dep], MATCH(Contract_Edits[[#This Row],[Dep]], Contract_Edits[Index], 0))=Contract_Edits[[#This Row],[Index]]),
   "2-cycle","")</f>
        <v/>
      </c>
      <c r="AL297" s="475" cm="1">
        <f t="array" ref="AL297">IF(Contract_Edits[[#This Row],[BaseFlag]]&lt;&gt;1,0,
   IF(TEXT(Contract_Edits[[#This Row],[Dep]],"0")=TEXT(Contract_Edits[[#This Row],[Index]],"0"),
      0,
      MAX(0, SUMPRODUCT(--(Contract_Edits[BaseFlag]=1),
                        --(TEXT(Contract_Edits[Dep],"0")=TEXT(Contract_Edits[[#This Row],[Dep]],"0"))) - 1)
   )
)</f>
        <v>0</v>
      </c>
      <c r="AM297" s="475" t="str" cm="1">
        <f t="array" ref="AM297">IF(Contract_Edits[[#This Row],[BaseFlag]]=1,
   TEXT(Contract_Edits[[#This Row],[Index]],"0"),
   NearestBaseL(TEXT(Contract_Edits[[#This Row],[ParentKey]],"0"),500,editsIdxTxt,editsParentKeyTxt,baseIdxTxt,baseCost)
)</f>
        <v>164</v>
      </c>
      <c r="AN297" s="475" cm="1">
        <f t="array" ref="AN297">1+SUMPRODUCT(
  (Contract_Edits[BaseFlag]=1)*
  (TEXT(Contract_Edits[ParentAnchor],"0")=TEXT(Contract_Edits[[#This Row],[ParentAnchor]],"0"))*
  (VALUE(TEXT(Contract_Edits[Index],"0"))&lt;VALUE(TEXT(Contract_Edits[[#This Row],[Index]],"0")))
)</f>
        <v>1</v>
      </c>
    </row>
    <row r="298" spans="12:40" ht="18" customHeight="1">
      <c r="L298" s="463">
        <v>147</v>
      </c>
      <c r="M298" s="490"/>
      <c r="N298" s="532"/>
      <c r="O298" s="546" cm="1">
        <f t="array" ref="O29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46064</v>
      </c>
      <c r="P298" s="567" t="s">
        <v>797</v>
      </c>
      <c r="Q298" s="567"/>
      <c r="R298" s="499"/>
      <c r="S298" s="463" cm="1">
        <f t="array" ref="S29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98" s="34">
        <v>1</v>
      </c>
      <c r="U298" s="490"/>
      <c r="V29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8" s="557"/>
      <c r="X298" s="545"/>
      <c r="Y298" s="548"/>
      <c r="Z298" s="160" t="s">
        <v>797</v>
      </c>
      <c r="AA298" s="563"/>
      <c r="AB298" cm="1">
        <f t="array" ref="AB298">ROW()-ROW(Contract_Edits[#Headers])</f>
        <v>274</v>
      </c>
      <c r="AC298">
        <f>IF(Contract_Edits[[#This Row],[RowPos]]&gt;1, Contract_Edits[[#This Row],[RowPos]]-1, 0)</f>
        <v>273</v>
      </c>
      <c r="AD298" s="35">
        <f>IF(N(Contract_Edits[[#This Row],[Dep]])=0, N(Contract_Edits[[#This Row],[Index]]), N(Contract_Edits[[#This Row],[Dep]]))</f>
        <v>147</v>
      </c>
      <c r="AE298" s="35" cm="1">
        <f t="array" ref="AE298">IF(OR(Contract_Edits[[#This Row],[Dep]]=0, TRIM(Contract_Edits[[#This Row],[Dep]])=""),
   0,
   IFERROR(
      _xlfn.XLOOKUP(1, (Contract_Edits[Dep]=Contract_Edits[[#This Row],[Dep]])*(Contract_Edits[RowPos]&lt;Contract_Edits[[#This Row],[RowPos]]), Contract_Edits[RowPos], , 0, -1),
      0
   )
)</f>
        <v>0</v>
      </c>
      <c r="AF298" s="35">
        <f>IF(OR(Contract_Edits[[#This Row],[Dep]]=0,Contract_Edits[[#This Row],[Dep]]=""),0,
   COUNTIFS(Contract_Edits[Dep],Contract_Edits[[#This Row],[Dep]],Contract_Edits[RowPos],"&lt;="&amp;Contract_Edits[[#This Row],[RowPos]],Contract_Edits[Approve],"Yes")
)</f>
        <v>0</v>
      </c>
      <c r="AG298" s="517">
        <f>--(
  ISNUMBER(SEARCH("BASE PARENT", UPPER(CLEAN(TRIM(_xlfn.XLOOKUP(TEXT(Contract_Edits[[#This Row],[Index]],"0"), baseIdxTxt, baseCost, "")))))) +
  ISNUMBER(SEARCH("DEPENDENCY GROUP", UPPER(CLEAN(TRIM(_xlfn.XLOOKUP(TEXT(Contract_Edits[[#This Row],[Index]],"0"), baseIdxTxt, baseCost, ""))))))
)</f>
        <v>0</v>
      </c>
      <c r="AH298" s="517" t="str" cm="1">
        <f t="array" ref="AH298">IF(Contract_Edits[[#This Row],[BaseFlag]]=1,
   10*BaseDepthL(TEXT(Contract_Edits[[#This Row],[Index]],"0"),500,editsIdxTxt,editsParentKeyTxt,baseIdxTxt,baseCost)-5,
   ""
)</f>
        <v/>
      </c>
      <c r="AI298" s="517" cm="1">
        <f t="array" ref="AI2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98" s="517" t="str">
        <f>IF(Contract_Edits[[#This Row],[Dep]]=0,"Root",
   IF(ISNUMBER(MATCH(Contract_Edits[[#This Row],[Dep]],Contract_Edits[Index],0)),"OK","Missing")
)</f>
        <v>Root</v>
      </c>
      <c r="AK298" s="517" t="e">
        <f>IF(AND(Contract_Edits[[#This Row],[Dep]]&lt;&gt;0,
        ISNUMBER(MATCH(Contract_Edits[[#This Row],[Dep]], Contract_Edits[Index], 0)),
        INDEX(Contract_Edits[Dep], MATCH(Contract_Edits[[#This Row],[Dep]], Contract_Edits[Index], 0))=Contract_Edits[[#This Row],[Index]]),
   "2-cycle","")</f>
        <v>#N/A</v>
      </c>
      <c r="AL298" s="517" cm="1">
        <f t="array" ref="AL298">IF(Contract_Edits[[#This Row],[BaseFlag]]&lt;&gt;1,0,
   IF(TEXT(Contract_Edits[[#This Row],[Dep]],"0")=TEXT(Contract_Edits[[#This Row],[Index]],"0"),
      0,
      MAX(0, SUMPRODUCT(--(Contract_Edits[BaseFlag]=1),
                        --(TEXT(Contract_Edits[Dep],"0")=TEXT(Contract_Edits[[#This Row],[Dep]],"0"))) - 1)
   )
)</f>
        <v>0</v>
      </c>
      <c r="AM298" s="517" t="str" cm="1">
        <f t="array" ref="AM298">IF(Contract_Edits[[#This Row],[BaseFlag]]=1,
   TEXT(Contract_Edits[[#This Row],[Index]],"0"),
   NearestBaseL(TEXT(Contract_Edits[[#This Row],[ParentKey]],"0"),500,editsIdxTxt,editsParentKeyTxt,baseIdxTxt,baseCost)
)</f>
        <v>0</v>
      </c>
      <c r="AN298" s="517" cm="1">
        <f t="array" ref="AN298">1+SUMPRODUCT(
  (Contract_Edits[BaseFlag]=1)*
  (TEXT(Contract_Edits[ParentAnchor],"0")=TEXT(Contract_Edits[[#This Row],[ParentAnchor]],"0"))*
  (VALUE(TEXT(Contract_Edits[Index],"0"))&lt;VALUE(TEXT(Contract_Edits[[#This Row],[Index]],"0")))
)</f>
        <v>1</v>
      </c>
    </row>
    <row r="299" spans="12:40" ht="18" customHeight="1">
      <c r="L299" s="463">
        <v>189</v>
      </c>
      <c r="M299" s="543"/>
      <c r="N299" s="544"/>
      <c r="O299" s="546" cm="1">
        <f t="array" ref="O29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46002</v>
      </c>
      <c r="P299" s="568"/>
      <c r="Q299" s="568"/>
      <c r="R299" s="499"/>
      <c r="S299" s="463" cm="1">
        <f t="array" ref="S29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299" s="34"/>
      <c r="U299" s="490"/>
      <c r="V29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9" s="557"/>
      <c r="X299" s="545"/>
      <c r="Y299" s="548" t="s">
        <v>870</v>
      </c>
      <c r="Z299" s="160" t="s">
        <v>797</v>
      </c>
      <c r="AA299" s="563"/>
      <c r="AB299" s="34" cm="1">
        <f t="array" ref="AB299">ROW()-ROW(Contract_Edits[#Headers])</f>
        <v>275</v>
      </c>
      <c r="AC299" s="34">
        <f>IF(Contract_Edits[[#This Row],[RowPos]]&gt;1, Contract_Edits[[#This Row],[RowPos]]-1, 0)</f>
        <v>274</v>
      </c>
      <c r="AD299" s="35">
        <f>IF(N(Contract_Edits[[#This Row],[Dep]])=0, N(Contract_Edits[[#This Row],[Index]]), N(Contract_Edits[[#This Row],[Dep]]))</f>
        <v>157</v>
      </c>
      <c r="AE299" s="35" cm="1">
        <f t="array" ref="AE299">IF(OR(Contract_Edits[[#This Row],[Dep]]=0, TRIM(Contract_Edits[[#This Row],[Dep]])=""),
   0,
   IFERROR(
      _xlfn.XLOOKUP(1, (Contract_Edits[Dep]=Contract_Edits[[#This Row],[Dep]])*(Contract_Edits[RowPos]&lt;Contract_Edits[[#This Row],[RowPos]]), Contract_Edits[RowPos], , 0, -1),
      0
   )
)</f>
        <v>60</v>
      </c>
      <c r="AF299" s="35">
        <f>IF(OR(Contract_Edits[[#This Row],[Dep]]=0,Contract_Edits[[#This Row],[Dep]]=""),0,
   COUNTIFS(Contract_Edits[Dep],Contract_Edits[[#This Row],[Dep]],Contract_Edits[RowPos],"&lt;="&amp;Contract_Edits[[#This Row],[RowPos]],Contract_Edits[Approve],"Yes")
)</f>
        <v>7</v>
      </c>
      <c r="AG299" s="517">
        <f>--(
  ISNUMBER(SEARCH("BASE PARENT", UPPER(CLEAN(TRIM(_xlfn.XLOOKUP(TEXT(Contract_Edits[[#This Row],[Index]],"0"), baseIdxTxt, baseCost, "")))))) +
  ISNUMBER(SEARCH("DEPENDENCY GROUP", UPPER(CLEAN(TRIM(_xlfn.XLOOKUP(TEXT(Contract_Edits[[#This Row],[Index]],"0"), baseIdxTxt, baseCost, ""))))))
)</f>
        <v>0</v>
      </c>
      <c r="AH299" s="517" t="str" cm="1">
        <f t="array" ref="AH299">IF(Contract_Edits[[#This Row],[BaseFlag]]=1,
   10*BaseDepthL(TEXT(Contract_Edits[[#This Row],[Index]],"0"),500,editsIdxTxt,editsParentKeyTxt,baseIdxTxt,baseCost)-5,
   ""
)</f>
        <v/>
      </c>
      <c r="AI299" s="517" cm="1">
        <f t="array" ref="AI2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299" s="475" t="str">
        <f>IF(Contract_Edits[[#This Row],[Dep]]=0,"Root",
   IF(ISNUMBER(MATCH(Contract_Edits[[#This Row],[Dep]],Contract_Edits[Index],0)),"OK","Missing")
)</f>
        <v>OK</v>
      </c>
      <c r="AK299" s="475" t="str">
        <f>IF(AND(Contract_Edits[[#This Row],[Dep]]&lt;&gt;0,
        ISNUMBER(MATCH(Contract_Edits[[#This Row],[Dep]], Contract_Edits[Index], 0)),
        INDEX(Contract_Edits[Dep], MATCH(Contract_Edits[[#This Row],[Dep]], Contract_Edits[Index], 0))=Contract_Edits[[#This Row],[Index]]),
   "2-cycle","")</f>
        <v/>
      </c>
      <c r="AL299" s="475" cm="1">
        <f t="array" ref="AL299">IF(Contract_Edits[[#This Row],[BaseFlag]]&lt;&gt;1,0,
   IF(TEXT(Contract_Edits[[#This Row],[Dep]],"0")=TEXT(Contract_Edits[[#This Row],[Index]],"0"),
      0,
      MAX(0, SUMPRODUCT(--(Contract_Edits[BaseFlag]=1),
                        --(TEXT(Contract_Edits[Dep],"0")=TEXT(Contract_Edits[[#This Row],[Dep]],"0"))) - 1)
   )
)</f>
        <v>0</v>
      </c>
      <c r="AM299" s="475" t="str" cm="1">
        <f t="array" ref="AM299">IF(Contract_Edits[[#This Row],[BaseFlag]]=1,
   TEXT(Contract_Edits[[#This Row],[Index]],"0"),
   NearestBaseL(TEXT(Contract_Edits[[#This Row],[ParentKey]],"0"),500,editsIdxTxt,editsParentKeyTxt,baseIdxTxt,baseCost)
)</f>
        <v>157</v>
      </c>
      <c r="AN299" s="475" cm="1">
        <f t="array" ref="AN299">1+SUMPRODUCT(
  (Contract_Edits[BaseFlag]=1)*
  (TEXT(Contract_Edits[ParentAnchor],"0")=TEXT(Contract_Edits[[#This Row],[ParentAnchor]],"0"))*
  (VALUE(TEXT(Contract_Edits[Index],"0"))&lt;VALUE(TEXT(Contract_Edits[[#This Row],[Index]],"0")))
)</f>
        <v>3</v>
      </c>
    </row>
    <row r="300" spans="12:40" ht="18" customHeight="1">
      <c r="L300" s="463">
        <f>+L260+1</f>
        <v>236</v>
      </c>
      <c r="M300" s="543"/>
      <c r="N300" s="544"/>
      <c r="O300" s="546" cm="1">
        <f t="array" ref="O30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300" s="568"/>
      <c r="Q300" s="568"/>
      <c r="R300" s="499"/>
      <c r="S300" s="463" cm="1">
        <f t="array" ref="S30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195</v>
      </c>
      <c r="T300" s="34"/>
      <c r="U300" s="490"/>
      <c r="V30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300" s="557"/>
      <c r="X300" s="545"/>
      <c r="Y300" s="548"/>
      <c r="Z300" s="160" t="s">
        <v>797</v>
      </c>
      <c r="AA300" s="563"/>
      <c r="AB300" s="34" cm="1">
        <f t="array" ref="AB300">ROW()-ROW(Contract_Edits[#Headers])</f>
        <v>276</v>
      </c>
      <c r="AC300" s="34">
        <f>IF(Contract_Edits[[#This Row],[RowPos]]&gt;1, Contract_Edits[[#This Row],[RowPos]]-1, 0)</f>
        <v>275</v>
      </c>
      <c r="AD300" s="35">
        <f>IF(N(Contract_Edits[[#This Row],[Dep]])=0, N(Contract_Edits[[#This Row],[Index]]), N(Contract_Edits[[#This Row],[Dep]]))</f>
        <v>195</v>
      </c>
      <c r="AE300" s="35" cm="1">
        <f t="array" ref="AE300">IF(OR(Contract_Edits[[#This Row],[Dep]]=0, TRIM(Contract_Edits[[#This Row],[Dep]])=""),
   0,
   IFERROR(
      _xlfn.XLOOKUP(1, (Contract_Edits[Dep]=Contract_Edits[[#This Row],[Dep]])*(Contract_Edits[RowPos]&lt;Contract_Edits[[#This Row],[RowPos]]), Contract_Edits[RowPos], , 0, -1),
      0
   )
)</f>
        <v>211</v>
      </c>
      <c r="AF300" s="35">
        <f>IF(OR(Contract_Edits[[#This Row],[Dep]]=0,Contract_Edits[[#This Row],[Dep]]=""),0,
   COUNTIFS(Contract_Edits[Dep],Contract_Edits[[#This Row],[Dep]],Contract_Edits[RowPos],"&lt;="&amp;Contract_Edits[[#This Row],[RowPos]],Contract_Edits[Approve],"Yes")
)</f>
        <v>3</v>
      </c>
      <c r="AG300" s="517">
        <f>--(
  ISNUMBER(SEARCH("BASE PARENT", UPPER(CLEAN(TRIM(_xlfn.XLOOKUP(TEXT(Contract_Edits[[#This Row],[Index]],"0"), baseIdxTxt, baseCost, "")))))) +
  ISNUMBER(SEARCH("DEPENDENCY GROUP", UPPER(CLEAN(TRIM(_xlfn.XLOOKUP(TEXT(Contract_Edits[[#This Row],[Index]],"0"), baseIdxTxt, baseCost, ""))))))
)</f>
        <v>0</v>
      </c>
      <c r="AH300" s="517" t="str" cm="1">
        <f t="array" ref="AH300">IF(Contract_Edits[[#This Row],[BaseFlag]]=1,
   10*BaseDepthL(TEXT(Contract_Edits[[#This Row],[Index]],"0"),500,editsIdxTxt,editsParentKeyTxt,baseIdxTxt,baseCost)-5,
   ""
)</f>
        <v/>
      </c>
      <c r="AI300" s="517" cm="1">
        <f t="array" ref="AI3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300" s="475" t="str">
        <f>IF(Contract_Edits[[#This Row],[Dep]]=0,"Root",
   IF(ISNUMBER(MATCH(Contract_Edits[[#This Row],[Dep]],Contract_Edits[Index],0)),"OK","Missing")
)</f>
        <v>OK</v>
      </c>
      <c r="AK300" s="475" t="str">
        <f>IF(AND(Contract_Edits[[#This Row],[Dep]]&lt;&gt;0,
        ISNUMBER(MATCH(Contract_Edits[[#This Row],[Dep]], Contract_Edits[Index], 0)),
        INDEX(Contract_Edits[Dep], MATCH(Contract_Edits[[#This Row],[Dep]], Contract_Edits[Index], 0))=Contract_Edits[[#This Row],[Index]]),
   "2-cycle","")</f>
        <v/>
      </c>
      <c r="AL300" s="475" cm="1">
        <f t="array" ref="AL300">IF(Contract_Edits[[#This Row],[BaseFlag]]&lt;&gt;1,0,
   IF(TEXT(Contract_Edits[[#This Row],[Dep]],"0")=TEXT(Contract_Edits[[#This Row],[Index]],"0"),
      0,
      MAX(0, SUMPRODUCT(--(Contract_Edits[BaseFlag]=1),
                        --(TEXT(Contract_Edits[Dep],"0")=TEXT(Contract_Edits[[#This Row],[Dep]],"0"))) - 1)
   )
)</f>
        <v>0</v>
      </c>
      <c r="AM300" s="475" t="str" cm="1">
        <f t="array" ref="AM300">IF(Contract_Edits[[#This Row],[BaseFlag]]=1,
   TEXT(Contract_Edits[[#This Row],[Index]],"0"),
   NearestBaseL(TEXT(Contract_Edits[[#This Row],[ParentKey]],"0"),500,editsIdxTxt,editsParentKeyTxt,baseIdxTxt,baseCost)
)</f>
        <v>195</v>
      </c>
      <c r="AN300" s="475" cm="1">
        <f t="array" ref="AN300">1+SUMPRODUCT(
  (Contract_Edits[BaseFlag]=1)*
  (TEXT(Contract_Edits[ParentAnchor],"0")=TEXT(Contract_Edits[[#This Row],[ParentAnchor]],"0"))*
  (VALUE(TEXT(Contract_Edits[Index],"0"))&lt;VALUE(TEXT(Contract_Edits[[#This Row],[Index]],"0")))
)</f>
        <v>3</v>
      </c>
    </row>
    <row r="301" spans="12:40" ht="18" customHeight="1">
      <c r="L301" s="463">
        <v>913</v>
      </c>
      <c r="M301" s="543"/>
      <c r="N301" s="544"/>
      <c r="O301" s="546" cm="1">
        <f t="array" ref="O30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301" s="568"/>
      <c r="Q301" s="568"/>
      <c r="R301" s="499"/>
      <c r="S301" s="463" cm="1">
        <f t="array" ref="S30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195</v>
      </c>
      <c r="T301" s="34"/>
      <c r="U301" s="490"/>
      <c r="V30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301" s="557"/>
      <c r="X301" s="545"/>
      <c r="Y301" s="548"/>
      <c r="Z301" s="160" t="s">
        <v>797</v>
      </c>
      <c r="AA301" s="563"/>
      <c r="AB301" s="34" cm="1">
        <f t="array" ref="AB301">ROW()-ROW(Contract_Edits[#Headers])</f>
        <v>277</v>
      </c>
      <c r="AC301" s="34">
        <f>IF(Contract_Edits[[#This Row],[RowPos]]&gt;1, Contract_Edits[[#This Row],[RowPos]]-1, 0)</f>
        <v>276</v>
      </c>
      <c r="AD301" s="35">
        <f>IF(N(Contract_Edits[[#This Row],[Dep]])=0, N(Contract_Edits[[#This Row],[Index]]), N(Contract_Edits[[#This Row],[Dep]]))</f>
        <v>195</v>
      </c>
      <c r="AE301" s="35" cm="1">
        <f t="array" ref="AE301">IF(OR(Contract_Edits[[#This Row],[Dep]]=0, TRIM(Contract_Edits[[#This Row],[Dep]])=""),
   0,
   IFERROR(
      _xlfn.XLOOKUP(1, (Contract_Edits[Dep]=Contract_Edits[[#This Row],[Dep]])*(Contract_Edits[RowPos]&lt;Contract_Edits[[#This Row],[RowPos]]), Contract_Edits[RowPos], , 0, -1),
      0
   )
)</f>
        <v>276</v>
      </c>
      <c r="AF301" s="35">
        <f>IF(OR(Contract_Edits[[#This Row],[Dep]]=0,Contract_Edits[[#This Row],[Dep]]=""),0,
   COUNTIFS(Contract_Edits[Dep],Contract_Edits[[#This Row],[Dep]],Contract_Edits[RowPos],"&lt;="&amp;Contract_Edits[[#This Row],[RowPos]],Contract_Edits[Approve],"Yes")
)</f>
        <v>3</v>
      </c>
      <c r="AG301" s="517">
        <f>--(
  ISNUMBER(SEARCH("BASE PARENT", UPPER(CLEAN(TRIM(_xlfn.XLOOKUP(TEXT(Contract_Edits[[#This Row],[Index]],"0"), baseIdxTxt, baseCost, "")))))) +
  ISNUMBER(SEARCH("DEPENDENCY GROUP", UPPER(CLEAN(TRIM(_xlfn.XLOOKUP(TEXT(Contract_Edits[[#This Row],[Index]],"0"), baseIdxTxt, baseCost, ""))))))
)</f>
        <v>0</v>
      </c>
      <c r="AH301" s="517" t="str" cm="1">
        <f t="array" ref="AH301">IF(Contract_Edits[[#This Row],[BaseFlag]]=1,
   10*BaseDepthL(TEXT(Contract_Edits[[#This Row],[Index]],"0"),500,editsIdxTxt,editsParentKeyTxt,baseIdxTxt,baseCost)-5,
   ""
)</f>
        <v/>
      </c>
      <c r="AI301" s="517" cm="1">
        <f t="array" ref="AI3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301" s="475" t="str">
        <f>IF(Contract_Edits[[#This Row],[Dep]]=0,"Root",
   IF(ISNUMBER(MATCH(Contract_Edits[[#This Row],[Dep]],Contract_Edits[Index],0)),"OK","Missing")
)</f>
        <v>OK</v>
      </c>
      <c r="AK301" s="475" t="str">
        <f>IF(AND(Contract_Edits[[#This Row],[Dep]]&lt;&gt;0,
        ISNUMBER(MATCH(Contract_Edits[[#This Row],[Dep]], Contract_Edits[Index], 0)),
        INDEX(Contract_Edits[Dep], MATCH(Contract_Edits[[#This Row],[Dep]], Contract_Edits[Index], 0))=Contract_Edits[[#This Row],[Index]]),
   "2-cycle","")</f>
        <v/>
      </c>
      <c r="AL301" s="475" cm="1">
        <f t="array" ref="AL301">IF(Contract_Edits[[#This Row],[BaseFlag]]&lt;&gt;1,0,
   IF(TEXT(Contract_Edits[[#This Row],[Dep]],"0")=TEXT(Contract_Edits[[#This Row],[Index]],"0"),
      0,
      MAX(0, SUMPRODUCT(--(Contract_Edits[BaseFlag]=1),
                        --(TEXT(Contract_Edits[Dep],"0")=TEXT(Contract_Edits[[#This Row],[Dep]],"0"))) - 1)
   )
)</f>
        <v>0</v>
      </c>
      <c r="AM301" s="475" t="str" cm="1">
        <f t="array" ref="AM301">IF(Contract_Edits[[#This Row],[BaseFlag]]=1,
   TEXT(Contract_Edits[[#This Row],[Index]],"0"),
   NearestBaseL(TEXT(Contract_Edits[[#This Row],[ParentKey]],"0"),500,editsIdxTxt,editsParentKeyTxt,baseIdxTxt,baseCost)
)</f>
        <v>195</v>
      </c>
      <c r="AN301" s="475" cm="1">
        <f t="array" ref="AN301">1+SUMPRODUCT(
  (Contract_Edits[BaseFlag]=1)*
  (TEXT(Contract_Edits[ParentAnchor],"0")=TEXT(Contract_Edits[[#This Row],[ParentAnchor]],"0"))*
  (VALUE(TEXT(Contract_Edits[Index],"0"))&lt;VALUE(TEXT(Contract_Edits[[#This Row],[Index]],"0")))
)</f>
        <v>3</v>
      </c>
    </row>
    <row r="302" spans="12:40" ht="18" customHeight="1">
      <c r="L302" s="463">
        <v>913</v>
      </c>
      <c r="M302" s="176">
        <v>1</v>
      </c>
      <c r="N302" s="160">
        <v>0</v>
      </c>
      <c r="O302" s="546" cm="1">
        <f t="array" ref="O30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302" s="566" t="s">
        <v>797</v>
      </c>
      <c r="Q302" s="566">
        <v>0</v>
      </c>
      <c r="R302" s="22"/>
      <c r="S302" s="463" cm="1">
        <f t="array" ref="S30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176</v>
      </c>
      <c r="T302">
        <v>4</v>
      </c>
      <c r="U302" s="176"/>
      <c r="V30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302" s="497"/>
      <c r="X302" s="176" t="s">
        <v>852</v>
      </c>
      <c r="Y302" s="547" t="s">
        <v>901</v>
      </c>
      <c r="Z302" s="160" t="s">
        <v>797</v>
      </c>
      <c r="AA302" s="563"/>
      <c r="AB302" cm="1">
        <f t="array" ref="AB302">ROW()-ROW(Contract_Edits[#Headers])</f>
        <v>278</v>
      </c>
      <c r="AC302">
        <f>IF(Contract_Edits[[#This Row],[RowPos]]&gt;1, Contract_Edits[[#This Row],[RowPos]]-1, 0)</f>
        <v>277</v>
      </c>
      <c r="AD302" s="35">
        <f>IF(N(Contract_Edits[[#This Row],[Dep]])=0, N(Contract_Edits[[#This Row],[Index]]), N(Contract_Edits[[#This Row],[Dep]]))</f>
        <v>176</v>
      </c>
      <c r="AE302" s="35" cm="1">
        <f t="array" ref="AE302">IF(OR(Contract_Edits[[#This Row],[Dep]]=0, TRIM(Contract_Edits[[#This Row],[Dep]])=""),
   0,
   IFERROR(
      _xlfn.XLOOKUP(1, (Contract_Edits[Dep]=Contract_Edits[[#This Row],[Dep]])*(Contract_Edits[RowPos]&lt;Contract_Edits[[#This Row],[RowPos]]), Contract_Edits[RowPos], , 0, -1),
      0
   )
)</f>
        <v>210</v>
      </c>
      <c r="AF302" s="35">
        <f>IF(OR(Contract_Edits[[#This Row],[Dep]]=0,Contract_Edits[[#This Row],[Dep]]=""),0,
   COUNTIFS(Contract_Edits[Dep],Contract_Edits[[#This Row],[Dep]],Contract_Edits[RowPos],"&lt;="&amp;Contract_Edits[[#This Row],[RowPos]],Contract_Edits[Approve],"Yes")
)</f>
        <v>1</v>
      </c>
      <c r="AG302" s="517">
        <f>--(
  ISNUMBER(SEARCH("BASE PARENT", UPPER(CLEAN(TRIM(_xlfn.XLOOKUP(TEXT(Contract_Edits[[#This Row],[Index]],"0"), baseIdxTxt, baseCost, "")))))) +
  ISNUMBER(SEARCH("DEPENDENCY GROUP", UPPER(CLEAN(TRIM(_xlfn.XLOOKUP(TEXT(Contract_Edits[[#This Row],[Index]],"0"), baseIdxTxt, baseCost, ""))))))
)</f>
        <v>0</v>
      </c>
      <c r="AH302" s="517" t="str" cm="1">
        <f t="array" ref="AH302">IF(Contract_Edits[[#This Row],[BaseFlag]]=1,
   10*BaseDepthL(TEXT(Contract_Edits[[#This Row],[Index]],"0"),500,editsIdxTxt,editsParentKeyTxt,baseIdxTxt,baseCost)-5,
   ""
)</f>
        <v/>
      </c>
      <c r="AI302" s="517" cm="1">
        <f t="array" ref="AI3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302" s="475" t="str">
        <f>IF(Contract_Edits[[#This Row],[Dep]]=0,"Root",
   IF(ISNUMBER(MATCH(Contract_Edits[[#This Row],[Dep]],Contract_Edits[Index],0)),"OK","Missing")
)</f>
        <v>OK</v>
      </c>
      <c r="AK302" s="475" t="str">
        <f>IF(AND(Contract_Edits[[#This Row],[Dep]]&lt;&gt;0,
        ISNUMBER(MATCH(Contract_Edits[[#This Row],[Dep]], Contract_Edits[Index], 0)),
        INDEX(Contract_Edits[Dep], MATCH(Contract_Edits[[#This Row],[Dep]], Contract_Edits[Index], 0))=Contract_Edits[[#This Row],[Index]]),
   "2-cycle","")</f>
        <v/>
      </c>
      <c r="AL302" s="475" cm="1">
        <f t="array" ref="AL302">IF(Contract_Edits[[#This Row],[BaseFlag]]&lt;&gt;1,0,
   IF(TEXT(Contract_Edits[[#This Row],[Dep]],"0")=TEXT(Contract_Edits[[#This Row],[Index]],"0"),
      0,
      MAX(0, SUMPRODUCT(--(Contract_Edits[BaseFlag]=1),
                        --(TEXT(Contract_Edits[Dep],"0")=TEXT(Contract_Edits[[#This Row],[Dep]],"0"))) - 1)
   )
)</f>
        <v>0</v>
      </c>
      <c r="AM302" s="475" t="str" cm="1">
        <f t="array" ref="AM302">IF(Contract_Edits[[#This Row],[BaseFlag]]=1,
   TEXT(Contract_Edits[[#This Row],[Index]],"0"),
   NearestBaseL(TEXT(Contract_Edits[[#This Row],[ParentKey]],"0"),500,editsIdxTxt,editsParentKeyTxt,baseIdxTxt,baseCost)
)</f>
        <v>176</v>
      </c>
      <c r="AN302" s="475" cm="1">
        <f t="array" ref="AN302">1+SUMPRODUCT(
  (Contract_Edits[BaseFlag]=1)*
  (TEXT(Contract_Edits[ParentAnchor],"0")=TEXT(Contract_Edits[[#This Row],[ParentAnchor]],"0"))*
  (VALUE(TEXT(Contract_Edits[Index],"0"))&lt;VALUE(TEXT(Contract_Edits[[#This Row],[Index]],"0")))
)</f>
        <v>1</v>
      </c>
    </row>
    <row r="303" spans="12:40" ht="18" customHeight="1">
      <c r="L303" s="463">
        <v>202</v>
      </c>
      <c r="M303" s="543"/>
      <c r="N303" s="544"/>
      <c r="O303" s="546" cm="1">
        <f t="array" ref="O30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46125</v>
      </c>
      <c r="P303" s="568"/>
      <c r="Q303" s="568"/>
      <c r="R303" s="499"/>
      <c r="S303" s="463" cm="1">
        <f t="array" ref="S30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303" s="34"/>
      <c r="U303" s="490"/>
      <c r="V30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9999.0100999999995</v>
      </c>
      <c r="W303" s="557"/>
      <c r="X303" s="545"/>
      <c r="Y303" s="548"/>
      <c r="Z303" s="160" t="s">
        <v>458</v>
      </c>
      <c r="AA303" s="563"/>
      <c r="AB303" s="34" cm="1">
        <f t="array" ref="AB303">ROW()-ROW(Contract_Edits[#Headers])</f>
        <v>279</v>
      </c>
      <c r="AC303" s="34">
        <f>IF(Contract_Edits[[#This Row],[RowPos]]&gt;1, Contract_Edits[[#This Row],[RowPos]]-1, 0)</f>
        <v>278</v>
      </c>
      <c r="AD303" s="35">
        <f>IF(N(Contract_Edits[[#This Row],[Dep]])=0, N(Contract_Edits[[#This Row],[Index]]), N(Contract_Edits[[#This Row],[Dep]]))</f>
        <v>202</v>
      </c>
      <c r="AE303" s="35" cm="1">
        <f t="array" ref="AE303">IF(OR(Contract_Edits[[#This Row],[Dep]]=0, TRIM(Contract_Edits[[#This Row],[Dep]])=""),
   0,
   IFERROR(
      _xlfn.XLOOKUP(1, (Contract_Edits[Dep]=Contract_Edits[[#This Row],[Dep]])*(Contract_Edits[RowPos]&lt;Contract_Edits[[#This Row],[RowPos]]), Contract_Edits[RowPos], , 0, -1),
      0
   )
)</f>
        <v>0</v>
      </c>
      <c r="AF303" s="35">
        <f>IF(OR(Contract_Edits[[#This Row],[Dep]]=0,Contract_Edits[[#This Row],[Dep]]=""),0,
   COUNTIFS(Contract_Edits[Dep],Contract_Edits[[#This Row],[Dep]],Contract_Edits[RowPos],"&lt;="&amp;Contract_Edits[[#This Row],[RowPos]],Contract_Edits[Approve],"Yes")
)</f>
        <v>0</v>
      </c>
      <c r="AG303" s="517">
        <f>--(
  ISNUMBER(SEARCH("BASE PARENT", UPPER(CLEAN(TRIM(_xlfn.XLOOKUP(TEXT(Contract_Edits[[#This Row],[Index]],"0"), baseIdxTxt, baseCost, "")))))) +
  ISNUMBER(SEARCH("DEPENDENCY GROUP", UPPER(CLEAN(TRIM(_xlfn.XLOOKUP(TEXT(Contract_Edits[[#This Row],[Index]],"0"), baseIdxTxt, baseCost, ""))))))
)</f>
        <v>0</v>
      </c>
      <c r="AH303" s="517" t="str" cm="1">
        <f t="array" ref="AH303">IF(Contract_Edits[[#This Row],[BaseFlag]]=1,
   10*BaseDepthL(TEXT(Contract_Edits[[#This Row],[Index]],"0"),500,editsIdxTxt,editsParentKeyTxt,baseIdxTxt,baseCost)-5,
   ""
)</f>
        <v/>
      </c>
      <c r="AI303" s="517" cm="1">
        <f t="array" ref="AI3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303" s="475" t="str">
        <f>IF(Contract_Edits[[#This Row],[Dep]]=0,"Root",
   IF(ISNUMBER(MATCH(Contract_Edits[[#This Row],[Dep]],Contract_Edits[Index],0)),"OK","Missing")
)</f>
        <v>Root</v>
      </c>
      <c r="AK303" s="475" t="e">
        <f>IF(AND(Contract_Edits[[#This Row],[Dep]]&lt;&gt;0,
        ISNUMBER(MATCH(Contract_Edits[[#This Row],[Dep]], Contract_Edits[Index], 0)),
        INDEX(Contract_Edits[Dep], MATCH(Contract_Edits[[#This Row],[Dep]], Contract_Edits[Index], 0))=Contract_Edits[[#This Row],[Index]]),
   "2-cycle","")</f>
        <v>#N/A</v>
      </c>
      <c r="AL303" s="475" cm="1">
        <f t="array" ref="AL303">IF(Contract_Edits[[#This Row],[BaseFlag]]&lt;&gt;1,0,
   IF(TEXT(Contract_Edits[[#This Row],[Dep]],"0")=TEXT(Contract_Edits[[#This Row],[Index]],"0"),
      0,
      MAX(0, SUMPRODUCT(--(Contract_Edits[BaseFlag]=1),
                        --(TEXT(Contract_Edits[Dep],"0")=TEXT(Contract_Edits[[#This Row],[Dep]],"0"))) - 1)
   )
)</f>
        <v>0</v>
      </c>
      <c r="AM303" s="475" t="str" cm="1">
        <f t="array" ref="AM303">IF(Contract_Edits[[#This Row],[BaseFlag]]=1,
   TEXT(Contract_Edits[[#This Row],[Index]],"0"),
   NearestBaseL(TEXT(Contract_Edits[[#This Row],[ParentKey]],"0"),500,editsIdxTxt,editsParentKeyTxt,baseIdxTxt,baseCost)
)</f>
        <v>0</v>
      </c>
      <c r="AN303" s="475" cm="1">
        <f t="array" ref="AN303">1+SUMPRODUCT(
  (Contract_Edits[BaseFlag]=1)*
  (TEXT(Contract_Edits[ParentAnchor],"0")=TEXT(Contract_Edits[[#This Row],[ParentAnchor]],"0"))*
  (VALUE(TEXT(Contract_Edits[Index],"0"))&lt;VALUE(TEXT(Contract_Edits[[#This Row],[Index]],"0")))
)</f>
        <v>1</v>
      </c>
    </row>
    <row r="304" spans="12:40" ht="18" customHeight="1">
      <c r="T304" s="499"/>
      <c r="AL304" s="34"/>
      <c r="AM304" s="34"/>
      <c r="AN304" s="34"/>
    </row>
    <row r="305" spans="20:40" ht="18" customHeight="1">
      <c r="T305" s="499"/>
      <c r="AL305" s="34"/>
      <c r="AM305" s="34"/>
      <c r="AN305" s="34"/>
    </row>
    <row r="306" spans="20:40" ht="18" customHeight="1">
      <c r="T306" s="499"/>
      <c r="AL306" s="34"/>
      <c r="AM306" s="34"/>
      <c r="AN306" s="34"/>
    </row>
    <row r="307" spans="20:40" ht="18" customHeight="1">
      <c r="T307" s="499"/>
      <c r="AL307" s="34"/>
      <c r="AM307" s="34"/>
      <c r="AN307" s="34"/>
    </row>
    <row r="308" spans="20:40" ht="18" customHeight="1">
      <c r="T308" s="499"/>
      <c r="AL308" s="34"/>
      <c r="AM308" s="34"/>
      <c r="AN308" s="34"/>
    </row>
    <row r="309" spans="20:40" ht="18" customHeight="1">
      <c r="T309" s="499"/>
      <c r="AL309" s="34"/>
      <c r="AM309" s="34"/>
      <c r="AN309" s="34"/>
    </row>
    <row r="310" spans="20:40" ht="18" customHeight="1">
      <c r="T310" s="499"/>
      <c r="AL310" s="34"/>
      <c r="AM310" s="34"/>
      <c r="AN310" s="34"/>
    </row>
    <row r="311" spans="20:40" ht="18" customHeight="1">
      <c r="T311" s="499"/>
      <c r="AL311" s="34"/>
      <c r="AM311" s="34"/>
      <c r="AN311" s="34"/>
    </row>
    <row r="312" spans="20:40" ht="18" customHeight="1">
      <c r="T312" s="499"/>
      <c r="AL312" s="34"/>
      <c r="AM312" s="34"/>
      <c r="AN312" s="34"/>
    </row>
    <row r="313" spans="20:40" ht="18" customHeight="1">
      <c r="T313" s="499"/>
      <c r="AL313" s="34"/>
      <c r="AM313" s="34"/>
      <c r="AN313" s="34"/>
    </row>
    <row r="314" spans="20:40" ht="18" customHeight="1">
      <c r="T314" s="499"/>
      <c r="AL314" s="34"/>
      <c r="AM314" s="34"/>
      <c r="AN314" s="34"/>
    </row>
    <row r="315" spans="20:40" ht="18" customHeight="1">
      <c r="T315" s="499"/>
      <c r="AL315" s="34"/>
      <c r="AM315" s="34"/>
      <c r="AN315" s="34"/>
    </row>
    <row r="316" spans="20:40" ht="18" customHeight="1">
      <c r="T316" s="499"/>
      <c r="AL316" s="34"/>
      <c r="AM316" s="34"/>
      <c r="AN316" s="34"/>
    </row>
    <row r="317" spans="20:40" ht="18" customHeight="1">
      <c r="AL317" s="34"/>
      <c r="AM317" s="34"/>
      <c r="AN317" s="34"/>
    </row>
    <row r="318" spans="20:40" ht="18" customHeight="1">
      <c r="AL318" s="34"/>
      <c r="AM318" s="34"/>
      <c r="AN318" s="34"/>
    </row>
    <row r="319" spans="20:40" ht="18" customHeight="1">
      <c r="AL319" s="34"/>
      <c r="AM319" s="34"/>
      <c r="AN319" s="34"/>
    </row>
    <row r="320" spans="20:40" ht="18" customHeight="1">
      <c r="AL320" s="34"/>
      <c r="AM320" s="34"/>
      <c r="AN320" s="34"/>
    </row>
    <row r="321" spans="38:40" ht="18" customHeight="1">
      <c r="AL321" s="34"/>
      <c r="AM321" s="34"/>
      <c r="AN321" s="34"/>
    </row>
  </sheetData>
  <mergeCells count="27">
    <mergeCell ref="AW154:AZ154"/>
    <mergeCell ref="I6:K6"/>
    <mergeCell ref="I5:K5"/>
    <mergeCell ref="F5:H5"/>
    <mergeCell ref="O4:Q4"/>
    <mergeCell ref="O5:Q5"/>
    <mergeCell ref="O6:Q6"/>
    <mergeCell ref="L4:N4"/>
    <mergeCell ref="L5:N5"/>
    <mergeCell ref="L6:N6"/>
    <mergeCell ref="B1:C1"/>
    <mergeCell ref="B2:C2"/>
    <mergeCell ref="I1:K1"/>
    <mergeCell ref="I2:K2"/>
    <mergeCell ref="I3:K3"/>
    <mergeCell ref="F2:H2"/>
    <mergeCell ref="F3:H3"/>
    <mergeCell ref="F1:H1"/>
    <mergeCell ref="O2:Q2"/>
    <mergeCell ref="O3:Q3"/>
    <mergeCell ref="F6:H6"/>
    <mergeCell ref="O1:Q1"/>
    <mergeCell ref="I4:K4"/>
    <mergeCell ref="F4:H4"/>
    <mergeCell ref="L2:N2"/>
    <mergeCell ref="L3:N3"/>
    <mergeCell ref="L1:N1"/>
  </mergeCells>
  <phoneticPr fontId="22" type="noConversion"/>
  <conditionalFormatting sqref="AO24:DE24">
    <cfRule type="expression" dxfId="132" priority="225">
      <formula>AO$24&lt;=TODAY()</formula>
    </cfRule>
  </conditionalFormatting>
  <conditionalFormatting sqref="AR32:EE32 AZ70:EE78">
    <cfRule type="expression" dxfId="131" priority="202">
      <formula>#REF!&lt;=Today</formula>
    </cfRule>
  </conditionalFormatting>
  <conditionalFormatting sqref="AZ74:EB78">
    <cfRule type="expression" dxfId="130" priority="200">
      <formula>#REF!&lt;=Today</formula>
    </cfRule>
  </conditionalFormatting>
  <conditionalFormatting sqref="BX11:FA12 BX14:FA22">
    <cfRule type="expression" dxfId="129" priority="209">
      <formula>#REF!&lt;=Today</formula>
    </cfRule>
  </conditionalFormatting>
  <conditionalFormatting sqref="AV8:EA8">
    <cfRule type="expression" dxfId="128" priority="360">
      <formula>#REF!&lt;=TODAY()</formula>
    </cfRule>
  </conditionalFormatting>
  <conditionalFormatting sqref="B237:B264">
    <cfRule type="expression" dxfId="127" priority="119">
      <formula>ISNUMBER(MATCH($B237,$I:$I,0))</formula>
    </cfRule>
  </conditionalFormatting>
  <conditionalFormatting sqref="H237:J264">
    <cfRule type="expression" dxfId="126" priority="96">
      <formula>$A237="Base"</formula>
    </cfRule>
    <cfRule type="expression" dxfId="125" priority="120">
      <formula>$A237="Vendor Tabs"</formula>
    </cfRule>
    <cfRule type="expression" dxfId="124" priority="121">
      <formula>$A237="Glasgow DB"</formula>
    </cfRule>
    <cfRule type="expression" dxfId="123" priority="122">
      <formula>$A237="Buy Your Home"</formula>
    </cfRule>
    <cfRule type="expression" dxfId="122" priority="123">
      <formula>$A237="Tim Flemming"</formula>
    </cfRule>
  </conditionalFormatting>
  <conditionalFormatting sqref="L304:L340">
    <cfRule type="expression" dxfId="121" priority="101">
      <formula>ISNUMBER(MATCH($L304,$T:$T,0))</formula>
    </cfRule>
  </conditionalFormatting>
  <conditionalFormatting sqref="L304:Q339">
    <cfRule type="expression" dxfId="120" priority="1427">
      <formula>#REF!= "Order Check"</formula>
    </cfRule>
  </conditionalFormatting>
  <conditionalFormatting sqref="A9:AA23">
    <cfRule type="expression" dxfId="119" priority="1978">
      <formula>$Z9="Yes"</formula>
    </cfRule>
  </conditionalFormatting>
  <conditionalFormatting sqref="B9:B21">
    <cfRule type="expression" dxfId="118" priority="2038">
      <formula>$A1048570="Glasgow DB"</formula>
    </cfRule>
    <cfRule type="expression" dxfId="117" priority="2039">
      <formula>$A1048570="Buy Your Home"</formula>
    </cfRule>
    <cfRule type="expression" dxfId="116" priority="2040">
      <formula>$A1048570="Tim Flemming"</formula>
    </cfRule>
  </conditionalFormatting>
  <conditionalFormatting sqref="B22:B23">
    <cfRule type="expression" dxfId="115" priority="2041">
      <formula>$A5="Glasgow DB"</formula>
    </cfRule>
    <cfRule type="expression" dxfId="114" priority="2042">
      <formula>$A5="Buy Your Home"</formula>
    </cfRule>
    <cfRule type="expression" dxfId="113" priority="2043">
      <formula>$A5="Tim Flemming"</formula>
    </cfRule>
  </conditionalFormatting>
  <conditionalFormatting sqref="L304:AH339">
    <cfRule type="expression" dxfId="112" priority="2153">
      <formula>$AF304=1</formula>
    </cfRule>
  </conditionalFormatting>
  <conditionalFormatting sqref="AJ24:AL24 AF25:AN198">
    <cfRule type="expression" dxfId="111" priority="17">
      <formula>AF$24&lt;=TODAY()</formula>
    </cfRule>
  </conditionalFormatting>
  <conditionalFormatting sqref="Y25:Y303 S25:S303">
    <cfRule type="expression" dxfId="110" priority="12">
      <formula>S25&gt;0</formula>
    </cfRule>
  </conditionalFormatting>
  <conditionalFormatting sqref="L165:Z166 AB165:AI166 L176:Z176 AB176:AI176 L167:AI175 L177:AI303 L25:AI164">
    <cfRule type="expression" dxfId="109" priority="19">
      <formula>$AL25&gt;0</formula>
    </cfRule>
    <cfRule type="expression" dxfId="108" priority="20">
      <formula>$AG25=1</formula>
    </cfRule>
  </conditionalFormatting>
  <conditionalFormatting sqref="AA165:AA166">
    <cfRule type="expression" dxfId="107" priority="2239">
      <formula>$AL166&gt;0</formula>
    </cfRule>
    <cfRule type="expression" dxfId="106" priority="2240">
      <formula>$AG166=1</formula>
    </cfRule>
  </conditionalFormatting>
  <conditionalFormatting sqref="AA176">
    <cfRule type="expression" dxfId="105" priority="7">
      <formula>$AL177&gt;0</formula>
    </cfRule>
    <cfRule type="expression" dxfId="104" priority="8">
      <formula>$AG177=1</formula>
    </cfRule>
  </conditionalFormatting>
  <conditionalFormatting sqref="A25:J236">
    <cfRule type="expression" dxfId="103" priority="6">
      <formula>$A25="Buy Your Home"</formula>
    </cfRule>
  </conditionalFormatting>
  <conditionalFormatting sqref="K25:K226">
    <cfRule type="expression" dxfId="102" priority="2255">
      <formula>$J25&lt;&gt;$L25</formula>
    </cfRule>
  </conditionalFormatting>
  <conditionalFormatting sqref="A25:J325">
    <cfRule type="expression" dxfId="101" priority="1">
      <formula>AND($G25="", $E25&lt;&gt;0)</formula>
    </cfRule>
    <cfRule type="expression" dxfId="100" priority="2">
      <formula>$A25="Glasgow DB"</formula>
    </cfRule>
    <cfRule type="expression" dxfId="99" priority="3">
      <formula>$A25="Tim Flemming"</formula>
    </cfRule>
    <cfRule type="expression" dxfId="98" priority="4">
      <formula>$A25="Base"</formula>
    </cfRule>
    <cfRule type="expression" dxfId="97" priority="5">
      <formula>$A25="Vendor Tabs"</formula>
    </cfRule>
  </conditionalFormatting>
  <conditionalFormatting sqref="K225">
    <cfRule type="expression" dxfId="96" priority="2819">
      <formula>#REF!&lt;&gt;$L225</formula>
    </cfRule>
  </conditionalFormatting>
  <conditionalFormatting sqref="K24">
    <cfRule type="expression" dxfId="95" priority="3096">
      <formula>$J1048445&lt;&gt;$L1048494</formula>
    </cfRule>
  </conditionalFormatting>
  <dataValidations count="3">
    <dataValidation type="list" showDropDown="1" showInputMessage="1" showErrorMessage="1" errorTitle="Approve must be Yes or No" error="Approve must be Yes or No" sqref="Z24:Z198 Z298" xr:uid="{0CC0745D-EA20-4B20-9844-62D7029D7CB1}">
      <formula1>"Yes,No"</formula1>
    </dataValidation>
    <dataValidation type="list" showDropDown="1" showInputMessage="1" showErrorMessage="1" sqref="Z299:Z303 Z199:Z297" xr:uid="{158E32F6-F99F-4C2C-93FF-F1BF6B0A82DF}">
      <formula1>"Yes,No"</formula1>
    </dataValidation>
    <dataValidation type="list" showInputMessage="1" showErrorMessage="1" sqref="Y25:Y303" xr:uid="{C4779D0D-5F22-47A3-9A6E-9D4E0EA271A6}">
      <formula1>DepTitlesUsed</formula1>
    </dataValidation>
  </dataValidations>
  <pageMargins left="0.7" right="0.7" top="0.75" bottom="0.75" header="0.3" footer="0.3"/>
  <pageSetup paperSize="130" scale="24"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50</xdr:col>
                    <xdr:colOff>38100</xdr:colOff>
                    <xdr:row>15</xdr:row>
                    <xdr:rowOff>142875</xdr:rowOff>
                  </from>
                  <to>
                    <xdr:col>52</xdr:col>
                    <xdr:colOff>85725</xdr:colOff>
                    <xdr:row>17</xdr:row>
                    <xdr:rowOff>38100</xdr:rowOff>
                  </to>
                </anchor>
              </controlPr>
            </control>
          </mc:Choice>
        </mc:AlternateContent>
        <mc:AlternateContent xmlns:mc="http://schemas.openxmlformats.org/markup-compatibility/2006">
          <mc:Choice Requires="x14">
            <control shapeId="29859" r:id="rId5" name="Option Button 163">
              <controlPr defaultSize="0" autoFill="0" autoLine="0" autoPict="0">
                <anchor moveWithCells="1">
                  <from>
                    <xdr:col>19</xdr:col>
                    <xdr:colOff>171450</xdr:colOff>
                    <xdr:row>1</xdr:row>
                    <xdr:rowOff>9525</xdr:rowOff>
                  </from>
                  <to>
                    <xdr:col>20</xdr:col>
                    <xdr:colOff>28575</xdr:colOff>
                    <xdr:row>1</xdr:row>
                    <xdr:rowOff>228600</xdr:rowOff>
                  </to>
                </anchor>
              </controlPr>
            </control>
          </mc:Choice>
        </mc:AlternateContent>
        <mc:AlternateContent xmlns:mc="http://schemas.openxmlformats.org/markup-compatibility/2006">
          <mc:Choice Requires="x14">
            <control shapeId="29861" r:id="rId6" name="Option Button 165">
              <controlPr defaultSize="0" autoFill="0" autoLine="0" autoPict="0" altText="Marked Dependencies">
                <anchor moveWithCells="1">
                  <from>
                    <xdr:col>19</xdr:col>
                    <xdr:colOff>171450</xdr:colOff>
                    <xdr:row>1</xdr:row>
                    <xdr:rowOff>247650</xdr:rowOff>
                  </from>
                  <to>
                    <xdr:col>20</xdr:col>
                    <xdr:colOff>9525</xdr:colOff>
                    <xdr:row>3</xdr:row>
                    <xdr:rowOff>9525</xdr:rowOff>
                  </to>
                </anchor>
              </controlPr>
            </control>
          </mc:Choice>
        </mc:AlternateContent>
        <mc:AlternateContent xmlns:mc="http://schemas.openxmlformats.org/markup-compatibility/2006">
          <mc:Choice Requires="x14">
            <control shapeId="29862" r:id="rId7" name="Option Button 166">
              <controlPr defaultSize="0" autoFill="0" autoLine="0" autoPict="0" altText="Marked Dependencies">
                <anchor moveWithCells="1">
                  <from>
                    <xdr:col>19</xdr:col>
                    <xdr:colOff>171450</xdr:colOff>
                    <xdr:row>3</xdr:row>
                    <xdr:rowOff>0</xdr:rowOff>
                  </from>
                  <to>
                    <xdr:col>19</xdr:col>
                    <xdr:colOff>419100</xdr:colOff>
                    <xdr:row>4</xdr:row>
                    <xdr:rowOff>9525</xdr:rowOff>
                  </to>
                </anchor>
              </controlPr>
            </control>
          </mc:Choice>
        </mc:AlternateContent>
        <mc:AlternateContent xmlns:mc="http://schemas.openxmlformats.org/markup-compatibility/2006">
          <mc:Choice Requires="x14">
            <control shapeId="29958" r:id="rId8" name="Check Box 262">
              <controlPr defaultSize="0" autoFill="0" autoLine="0" autoPict="0">
                <anchor moveWithCells="1">
                  <from>
                    <xdr:col>24</xdr:col>
                    <xdr:colOff>485775</xdr:colOff>
                    <xdr:row>7</xdr:row>
                    <xdr:rowOff>57150</xdr:rowOff>
                  </from>
                  <to>
                    <xdr:col>24</xdr:col>
                    <xdr:colOff>790575</xdr:colOff>
                    <xdr:row>7</xdr:row>
                    <xdr:rowOff>276225</xdr:rowOff>
                  </to>
                </anchor>
              </controlPr>
            </control>
          </mc:Choice>
        </mc:AlternateContent>
        <mc:AlternateContent xmlns:mc="http://schemas.openxmlformats.org/markup-compatibility/2006">
          <mc:Choice Requires="x14">
            <control shapeId="29993" r:id="rId9" name="Button 297">
              <controlPr defaultSize="0" print="0" autoFill="0" autoPict="0" macro="[0]!ThisWorkbook.FullRecalcRebuild">
                <anchor moveWithCells="1">
                  <from>
                    <xdr:col>23</xdr:col>
                    <xdr:colOff>219075</xdr:colOff>
                    <xdr:row>1</xdr:row>
                    <xdr:rowOff>161925</xdr:rowOff>
                  </from>
                  <to>
                    <xdr:col>24</xdr:col>
                    <xdr:colOff>171450</xdr:colOff>
                    <xdr:row>2</xdr:row>
                    <xdr:rowOff>161925</xdr:rowOff>
                  </to>
                </anchor>
              </controlPr>
            </control>
          </mc:Choice>
        </mc:AlternateContent>
        <mc:AlternateContent xmlns:mc="http://schemas.openxmlformats.org/markup-compatibility/2006">
          <mc:Choice Requires="x14">
            <control shapeId="29994" r:id="rId10" name="Button 298">
              <controlPr defaultSize="0" print="0" autoFill="0" autoPict="0" macro="[0]!ThisWorkbook.FullRecalcRebuild">
                <anchor moveWithCells="1">
                  <from>
                    <xdr:col>1</xdr:col>
                    <xdr:colOff>219075</xdr:colOff>
                    <xdr:row>4</xdr:row>
                    <xdr:rowOff>9525</xdr:rowOff>
                  </from>
                  <to>
                    <xdr:col>1</xdr:col>
                    <xdr:colOff>1533525</xdr:colOff>
                    <xdr:row>5</xdr:row>
                    <xdr:rowOff>9525</xdr:rowOff>
                  </to>
                </anchor>
              </controlPr>
            </control>
          </mc:Choice>
        </mc:AlternateContent>
        <mc:AlternateContent xmlns:mc="http://schemas.openxmlformats.org/markup-compatibility/2006">
          <mc:Choice Requires="x14">
            <control shapeId="29995" r:id="rId11" name="Check Box 299">
              <controlPr defaultSize="0" autoFill="0" autoLine="0" autoPict="0" macro="[0]!ThisWorkbook.ToggleCalculationMode">
                <anchor moveWithCells="1">
                  <from>
                    <xdr:col>1</xdr:col>
                    <xdr:colOff>1638300</xdr:colOff>
                    <xdr:row>3</xdr:row>
                    <xdr:rowOff>219075</xdr:rowOff>
                  </from>
                  <to>
                    <xdr:col>2</xdr:col>
                    <xdr:colOff>66675</xdr:colOff>
                    <xdr:row>4</xdr:row>
                    <xdr:rowOff>200025</xdr:rowOff>
                  </to>
                </anchor>
              </controlPr>
            </control>
          </mc:Choice>
        </mc:AlternateContent>
      </controls>
    </mc:Choice>
  </mc:AlternateContent>
  <tableParts count="3">
    <tablePart r:id="rId12"/>
    <tablePart r:id="rId13"/>
    <tablePart r:id="rId14"/>
  </tableParts>
  <extLst>
    <ext xmlns:x14="http://schemas.microsoft.com/office/spreadsheetml/2009/9/main" uri="{78C0D931-6437-407d-A8EE-F0AAD7539E65}">
      <x14:conditionalFormattings>
        <x14:conditionalFormatting xmlns:xm="http://schemas.microsoft.com/office/excel/2006/main">
          <x14:cfRule type="iconSet" priority="217"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AZ74:EB78</xm:sqref>
        </x14:conditionalFormatting>
        <x14:conditionalFormatting xmlns:xm="http://schemas.microsoft.com/office/excel/2006/main">
          <x14:cfRule type="iconSet" priority="206"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CT47:CY47</xm:sqref>
        </x14:conditionalFormatting>
        <x14:conditionalFormatting xmlns:xm="http://schemas.microsoft.com/office/excel/2006/main">
          <x14:cfRule type="iconSet" priority="220"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CT48:CY66 ES9:EX12 ER8:EW8 CT28:CY46 CS26:CX27 ES14:EX22</xm:sqref>
        </x14:conditionalFormatting>
        <x14:conditionalFormatting xmlns:xm="http://schemas.microsoft.com/office/excel/2006/main">
          <x14:cfRule type="iconSet" priority="207"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CZ47:DB47</xm:sqref>
        </x14:conditionalFormatting>
        <x14:conditionalFormatting xmlns:xm="http://schemas.microsoft.com/office/excel/2006/main">
          <x14:cfRule type="iconSet" priority="221"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CZ48:DB66 EY9:FA12 EX8:EZ8 CZ28:DB46 CY26:DA27 EY14:FA22</xm:sqref>
        </x14:conditionalFormatting>
        <x14:conditionalFormatting xmlns:xm="http://schemas.microsoft.com/office/excel/2006/main">
          <x14:cfRule type="iconSet" priority="284"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BW11:BW22</xm:sqref>
        </x14:conditionalFormatting>
        <x14:conditionalFormatting xmlns:xm="http://schemas.microsoft.com/office/excel/2006/main">
          <x14:cfRule type="iconSet" priority="565"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AR47:CS47</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BE9922-44A3-48E9-B699-DF6F9DC1CB95}">
  <sheetPr codeName="Sheet34">
    <tabColor rgb="FFFFC000"/>
  </sheetPr>
  <dimension ref="B3:E124"/>
  <sheetViews>
    <sheetView workbookViewId="0">
      <selection activeCell="B3" sqref="B3"/>
    </sheetView>
  </sheetViews>
  <sheetFormatPr defaultRowHeight="15"/>
  <cols>
    <col min="2" max="2" width="51.28515625" bestFit="1" customWidth="1"/>
    <col min="8" max="8" width="14.5703125" bestFit="1" customWidth="1"/>
    <col min="9" max="9" width="22" bestFit="1" customWidth="1"/>
    <col min="10" max="10" width="15.7109375" bestFit="1" customWidth="1"/>
    <col min="11" max="11" width="8.7109375" bestFit="1" customWidth="1"/>
    <col min="12" max="12" width="14.28515625" bestFit="1" customWidth="1"/>
    <col min="13" max="13" width="10" bestFit="1" customWidth="1"/>
    <col min="14" max="15" width="6.85546875" bestFit="1" customWidth="1"/>
    <col min="16" max="16" width="10.5703125" bestFit="1" customWidth="1"/>
    <col min="17" max="17" width="10.5703125" customWidth="1"/>
  </cols>
  <sheetData>
    <row r="3" spans="2:5" ht="23.25">
      <c r="B3" t="str" cm="1">
        <f t="array" ref="B3:B34">_xlfn.LET(
  _xlpm.mode, N('Gnatt Chart'!$T$1),
  _xlpm.idsTxt, TEXT(tblContractBase[Index],"0"),
  _xlpm.costcodes, tblContractBase[Cost Code],
  _xlpm.titles, tblContractBase[Title],
  _xlpm.descs, tblContractBase[Description],
  _xlpm.shortDesc, LEFT(_xlpm.descs,25),
  _xlpm.display, _xlpm.idsTxt &amp; " - " &amp; _xlpm.titles &amp; " - " &amp; _xlpm.shortDesc &amp; " - " &amp; _xlpm.costcodes,
  _xlpm.usedIds, _xlfn.UNIQUE(TEXT(_xlfn._xlws.FILTER(#REF!,#REF!&lt;&gt; 0,""),"0")),
  _xlpm.depOnly, _xlfn._xlws.FILTER(_xlpm.display, ISNUMBER(SEARCH("BASE PARENT", UPPER(_xlpm.costcodes))),""),
  _xlpm.usedOnly, _xlfn._xlws.FILTER(_xlpm.display, ISNUMBER(MATCH(_xlpm.idsTxt, _xlpm.usedIds,0)),""),
  _xlfn.SWITCH(
    _xlpm.mode,
    1, _xlfn._xlws.SORT(_xlpm.depOnly),
    2, _xlfn._xlws.SORT(_xlfn.UNIQUE(_xlfn.VSTACK(_xlpm.depOnly,_xlpm.usedOnly))),
    3, _xlfn._xlws.SORT(_xlpm.display),
    _xlfn._xlws.SORT(_xlpm.display)
  )
)</f>
        <v>149 - Startup - Legal, Permits, Engineeri - 19 Base Parent</v>
      </c>
      <c r="E3" s="521" t="s">
        <v>904</v>
      </c>
    </row>
    <row r="4" spans="2:5">
      <c r="B4" t="str">
        <v>150 - Startup - Permits, Engineering, Sur - 19 Base Parent</v>
      </c>
      <c r="E4" s="522"/>
    </row>
    <row r="5" spans="2:5">
      <c r="B5" t="str">
        <v>151 - Demolition - Demolition - 19 Base Parent</v>
      </c>
      <c r="E5" s="523" t="s">
        <v>905</v>
      </c>
    </row>
    <row r="6" spans="2:5">
      <c r="B6" t="str">
        <v>152 - Plumbing - Groundwork - 19 Base Parent</v>
      </c>
      <c r="E6" s="522" t="s">
        <v>906</v>
      </c>
    </row>
    <row r="7" spans="2:5">
      <c r="B7" t="str">
        <v>153 - Concrete - Slabs, driveways, Foundat - 19 Base Parent</v>
      </c>
      <c r="E7" s="522"/>
    </row>
    <row r="8" spans="2:5">
      <c r="B8" t="str">
        <v>154 - Roofing - Repair, Dry-in, Shingles - 19 Base Parent</v>
      </c>
      <c r="E8" s="523" t="s">
        <v>907</v>
      </c>
    </row>
    <row r="9" spans="2:5">
      <c r="B9" t="str">
        <v>155 - Framing - Walls, Floors, etc - 19 Base Parent</v>
      </c>
      <c r="E9" s="522" t="s">
        <v>908</v>
      </c>
    </row>
    <row r="10" spans="2:5">
      <c r="B10" t="str">
        <v>156 - Flooring - Sub Floor - 19 Base Parent</v>
      </c>
    </row>
    <row r="11" spans="2:5">
      <c r="B11" t="str">
        <v>157 - Rough In - Plumbing - 19 Base Parent</v>
      </c>
    </row>
    <row r="12" spans="2:5">
      <c r="B12" t="str">
        <v>158 - Rough In - Electrical - 19 Base Parent</v>
      </c>
    </row>
    <row r="13" spans="2:5" ht="23.25">
      <c r="B13" t="str">
        <v>159 - Rough In - HVAC - 19 Base Parent</v>
      </c>
      <c r="E13" s="521" t="s">
        <v>909</v>
      </c>
    </row>
    <row r="14" spans="2:5">
      <c r="B14" t="str">
        <v>160 - Insulation - Walls, Roofs, etc - 19 Base Parent</v>
      </c>
      <c r="E14" s="522"/>
    </row>
    <row r="15" spans="2:5">
      <c r="B15" t="str">
        <v>161 - Drywall - sheetrock, tape, mud, san - 19 Base Parent</v>
      </c>
      <c r="E15" s="523" t="s">
        <v>910</v>
      </c>
    </row>
    <row r="16" spans="2:5">
      <c r="B16" t="str">
        <v>162 - Cabinetry - Cabinets,  Shelving - 19 Base Parent</v>
      </c>
      <c r="E16" s="525" t="s">
        <v>911</v>
      </c>
    </row>
    <row r="17" spans="2:5">
      <c r="B17" t="str">
        <v>163 - Installation - Doors &amp; Windows - 19 Base Parent</v>
      </c>
      <c r="E17" s="524"/>
    </row>
    <row r="18" spans="2:5">
      <c r="B18" t="str">
        <v>164 - Trim - Electrical - 19 Base Parent</v>
      </c>
      <c r="E18" s="524" t="s">
        <v>912</v>
      </c>
    </row>
    <row r="19" spans="2:5">
      <c r="B19" t="str">
        <v>165 - Trim - Plumbing - 19 Base Parent</v>
      </c>
    </row>
    <row r="20" spans="2:5">
      <c r="B20" t="str">
        <v>166 - Trim - HVAC - 19 Base Parent</v>
      </c>
      <c r="E20" t="s">
        <v>913</v>
      </c>
    </row>
    <row r="21" spans="2:5">
      <c r="B21" t="str">
        <v>167 - HVAC - Installation - 19 Base Parent</v>
      </c>
    </row>
    <row r="22" spans="2:5" ht="23.25">
      <c r="B22" t="str">
        <v>168 - Flooring - Floor covering - 19 Base Parent</v>
      </c>
      <c r="E22" s="521" t="s">
        <v>914</v>
      </c>
    </row>
    <row r="23" spans="2:5">
      <c r="B23" t="str">
        <v>169 - Siding - Exterior walls - 19 Base Parent</v>
      </c>
      <c r="E23" s="522"/>
    </row>
    <row r="24" spans="2:5">
      <c r="B24" t="str">
        <v>170 - Tile - Backsplash, Shower Enclos - 19 Base Parent</v>
      </c>
      <c r="E24" s="523" t="s">
        <v>915</v>
      </c>
    </row>
    <row r="25" spans="2:5">
      <c r="B25" t="str">
        <v>171 - Paint - Prime, Finish, Trim, bath - 19 Base Parent</v>
      </c>
      <c r="E25" s="524" t="s">
        <v>916</v>
      </c>
    </row>
    <row r="26" spans="2:5">
      <c r="B26" t="str">
        <v>172 - Cabinetry - Template, Install Counter - 19 Base Parent</v>
      </c>
      <c r="E26" s="524"/>
    </row>
    <row r="27" spans="2:5">
      <c r="B27" t="str">
        <v>173 - Final - Final Details to prepare  - 19 Base Parent</v>
      </c>
      <c r="E27" s="524" t="s">
        <v>917</v>
      </c>
    </row>
    <row r="28" spans="2:5">
      <c r="B28" t="str">
        <v>174 - Cleaning - Final - 19 Base Parent</v>
      </c>
    </row>
    <row r="29" spans="2:5">
      <c r="B29" t="str">
        <v>175 - Draws - Deposits, Draws, Contract - 19 Base Parent</v>
      </c>
      <c r="E29" s="523" t="s">
        <v>918</v>
      </c>
    </row>
    <row r="30" spans="2:5">
      <c r="B30" t="str">
        <v>176 - Exterior - Landscaping, Fence, Sod,  - 19 Base Parent</v>
      </c>
      <c r="E30" s="524" t="s">
        <v>919</v>
      </c>
    </row>
    <row r="31" spans="2:5">
      <c r="B31" t="str">
        <v>180 - Excavation - Equipment, Trenching, Bac - 19 Base Parent</v>
      </c>
      <c r="E31" s="524"/>
    </row>
    <row r="32" spans="2:5">
      <c r="B32" t="str">
        <v>181 - Framing - Walls, Floors, etc (Glasg - 19 Base Parent</v>
      </c>
      <c r="E32" s="524" t="s">
        <v>920</v>
      </c>
    </row>
    <row r="33" spans="2:5">
      <c r="B33" t="str">
        <v>195 - No Dependency - These item has not has no - 19 Base Parent</v>
      </c>
      <c r="E33" s="524"/>
    </row>
    <row r="34" spans="2:5">
      <c r="B34" t="str">
        <v>196 - Not Active - This item is not yet assi - 19 Base Parent</v>
      </c>
      <c r="E34" s="524" t="s">
        <v>921</v>
      </c>
    </row>
    <row r="36" spans="2:5" ht="23.25">
      <c r="E36" s="521" t="s">
        <v>922</v>
      </c>
    </row>
    <row r="37" spans="2:5">
      <c r="E37" s="522"/>
    </row>
    <row r="38" spans="2:5">
      <c r="E38" s="523" t="s">
        <v>923</v>
      </c>
    </row>
    <row r="39" spans="2:5">
      <c r="E39" s="524" t="s">
        <v>924</v>
      </c>
    </row>
    <row r="40" spans="2:5">
      <c r="E40" s="524"/>
    </row>
    <row r="41" spans="2:5">
      <c r="E41" s="524" t="s">
        <v>925</v>
      </c>
    </row>
    <row r="42" spans="2:5">
      <c r="E42" s="524"/>
    </row>
    <row r="43" spans="2:5">
      <c r="E43" s="524" t="s">
        <v>926</v>
      </c>
    </row>
    <row r="44" spans="2:5">
      <c r="E44" s="524"/>
    </row>
    <row r="45" spans="2:5">
      <c r="E45" s="524" t="s">
        <v>927</v>
      </c>
    </row>
    <row r="46" spans="2:5">
      <c r="E46" s="526" t="s">
        <v>928</v>
      </c>
    </row>
    <row r="47" spans="2:5">
      <c r="E47" s="526"/>
    </row>
    <row r="48" spans="2:5">
      <c r="E48" s="526" t="s">
        <v>929</v>
      </c>
    </row>
    <row r="49" spans="5:5">
      <c r="E49" s="524"/>
    </row>
    <row r="50" spans="5:5">
      <c r="E50" s="524" t="s">
        <v>930</v>
      </c>
    </row>
    <row r="52" spans="5:5" ht="23.25">
      <c r="E52" s="521" t="s">
        <v>931</v>
      </c>
    </row>
    <row r="53" spans="5:5">
      <c r="E53" s="522"/>
    </row>
    <row r="54" spans="5:5">
      <c r="E54" s="523" t="s">
        <v>932</v>
      </c>
    </row>
    <row r="55" spans="5:5">
      <c r="E55" s="524" t="s">
        <v>933</v>
      </c>
    </row>
    <row r="56" spans="5:5">
      <c r="E56" s="524"/>
    </row>
    <row r="57" spans="5:5">
      <c r="E57" s="524" t="s">
        <v>934</v>
      </c>
    </row>
    <row r="59" spans="5:5" ht="23.25">
      <c r="E59" s="521" t="s">
        <v>935</v>
      </c>
    </row>
    <row r="60" spans="5:5">
      <c r="E60" s="522"/>
    </row>
    <row r="61" spans="5:5">
      <c r="E61" s="523" t="s">
        <v>936</v>
      </c>
    </row>
    <row r="62" spans="5:5">
      <c r="E62" s="524" t="s">
        <v>937</v>
      </c>
    </row>
    <row r="63" spans="5:5">
      <c r="E63" s="524"/>
    </row>
    <row r="64" spans="5:5">
      <c r="E64" s="524" t="s">
        <v>938</v>
      </c>
    </row>
    <row r="65" spans="5:5">
      <c r="E65" s="526" t="s">
        <v>939</v>
      </c>
    </row>
    <row r="66" spans="5:5">
      <c r="E66" s="524"/>
    </row>
    <row r="67" spans="5:5">
      <c r="E67" s="524" t="s">
        <v>940</v>
      </c>
    </row>
    <row r="68" spans="5:5">
      <c r="E68" s="526"/>
    </row>
    <row r="69" spans="5:5">
      <c r="E69" s="526" t="s">
        <v>941</v>
      </c>
    </row>
    <row r="70" spans="5:5">
      <c r="E70" s="526"/>
    </row>
    <row r="71" spans="5:5">
      <c r="E71" s="526" t="s">
        <v>942</v>
      </c>
    </row>
    <row r="72" spans="5:5">
      <c r="E72" s="526"/>
    </row>
    <row r="73" spans="5:5">
      <c r="E73" s="526" t="s">
        <v>943</v>
      </c>
    </row>
    <row r="75" spans="5:5" ht="23.25">
      <c r="E75" s="521" t="s">
        <v>944</v>
      </c>
    </row>
    <row r="76" spans="5:5">
      <c r="E76" s="522"/>
    </row>
    <row r="77" spans="5:5">
      <c r="E77" s="522" t="s">
        <v>945</v>
      </c>
    </row>
    <row r="78" spans="5:5">
      <c r="E78" s="522"/>
    </row>
    <row r="79" spans="5:5">
      <c r="E79" s="522" t="s">
        <v>946</v>
      </c>
    </row>
    <row r="82" spans="5:5" ht="23.25">
      <c r="E82" s="521" t="s">
        <v>947</v>
      </c>
    </row>
    <row r="83" spans="5:5">
      <c r="E83" s="522"/>
    </row>
    <row r="84" spans="5:5">
      <c r="E84" s="523" t="s">
        <v>948</v>
      </c>
    </row>
    <row r="85" spans="5:5">
      <c r="E85" s="522"/>
    </row>
    <row r="86" spans="5:5">
      <c r="E86" s="522" t="s">
        <v>949</v>
      </c>
    </row>
    <row r="87" spans="5:5">
      <c r="E87" s="522"/>
    </row>
    <row r="88" spans="5:5">
      <c r="E88" s="522" t="s">
        <v>950</v>
      </c>
    </row>
    <row r="89" spans="5:5">
      <c r="E89" s="522"/>
    </row>
    <row r="90" spans="5:5">
      <c r="E90" s="522" t="s">
        <v>951</v>
      </c>
    </row>
    <row r="91" spans="5:5">
      <c r="E91" s="522"/>
    </row>
    <row r="92" spans="5:5">
      <c r="E92" s="522" t="s">
        <v>952</v>
      </c>
    </row>
    <row r="93" spans="5:5">
      <c r="E93" s="522"/>
    </row>
    <row r="94" spans="5:5">
      <c r="E94" s="523" t="s">
        <v>953</v>
      </c>
    </row>
    <row r="95" spans="5:5">
      <c r="E95" s="522"/>
    </row>
    <row r="96" spans="5:5">
      <c r="E96" s="523" t="s">
        <v>954</v>
      </c>
    </row>
    <row r="97" spans="5:5">
      <c r="E97" s="522"/>
    </row>
    <row r="98" spans="5:5">
      <c r="E98" s="522" t="s">
        <v>955</v>
      </c>
    </row>
    <row r="99" spans="5:5">
      <c r="E99" s="522"/>
    </row>
    <row r="100" spans="5:5">
      <c r="E100" s="522" t="s">
        <v>956</v>
      </c>
    </row>
    <row r="101" spans="5:5">
      <c r="E101" s="522"/>
    </row>
    <row r="102" spans="5:5">
      <c r="E102" s="523" t="s">
        <v>957</v>
      </c>
    </row>
    <row r="103" spans="5:5">
      <c r="E103" s="522"/>
    </row>
    <row r="104" spans="5:5">
      <c r="E104" s="522" t="s">
        <v>958</v>
      </c>
    </row>
    <row r="105" spans="5:5">
      <c r="E105" s="522"/>
    </row>
    <row r="106" spans="5:5">
      <c r="E106" s="522" t="s">
        <v>959</v>
      </c>
    </row>
    <row r="110" spans="5:5" ht="23.25">
      <c r="E110" s="521" t="s">
        <v>960</v>
      </c>
    </row>
    <row r="111" spans="5:5">
      <c r="E111" s="522"/>
    </row>
    <row r="112" spans="5:5">
      <c r="E112" s="523" t="s">
        <v>961</v>
      </c>
    </row>
    <row r="113" spans="5:5">
      <c r="E113" s="522"/>
    </row>
    <row r="114" spans="5:5">
      <c r="E114" s="522" t="s">
        <v>962</v>
      </c>
    </row>
    <row r="118" spans="5:5">
      <c r="E118" t="s">
        <v>963</v>
      </c>
    </row>
    <row r="119" spans="5:5">
      <c r="E119" s="522"/>
    </row>
    <row r="120" spans="5:5">
      <c r="E120" s="523" t="s">
        <v>964</v>
      </c>
    </row>
    <row r="121" spans="5:5">
      <c r="E121" s="522"/>
    </row>
    <row r="122" spans="5:5">
      <c r="E122" s="523" t="s">
        <v>965</v>
      </c>
    </row>
    <row r="123" spans="5:5">
      <c r="E123" s="522"/>
    </row>
    <row r="124" spans="5:5">
      <c r="E124" s="523" t="s">
        <v>966</v>
      </c>
    </row>
  </sheetData>
  <conditionalFormatting sqref="B3">
    <cfRule type="expression" dxfId="5" priority="17">
      <formula>#REF!&lt;=Today</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B6E76-8A24-41B2-8BB2-2F376BD3A6AD}">
  <sheetPr codeName="Sheet31">
    <tabColor rgb="FFFFC000"/>
  </sheetPr>
  <dimension ref="A1:R165"/>
  <sheetViews>
    <sheetView workbookViewId="0">
      <selection activeCell="J13" sqref="J13"/>
    </sheetView>
  </sheetViews>
  <sheetFormatPr defaultRowHeight="15"/>
  <cols>
    <col min="1" max="1" width="10.5703125" bestFit="1" customWidth="1"/>
    <col min="2" max="2" width="28.140625" bestFit="1" customWidth="1"/>
    <col min="3" max="3" width="22" bestFit="1" customWidth="1"/>
    <col min="4" max="4" width="81.140625" bestFit="1" customWidth="1"/>
    <col min="5" max="5" width="8" style="185" bestFit="1" customWidth="1"/>
    <col min="6" max="6" width="7.85546875" style="185" bestFit="1" customWidth="1"/>
    <col min="7" max="7" width="10" style="185" bestFit="1" customWidth="1"/>
    <col min="8" max="8" width="8" style="185" bestFit="1" customWidth="1"/>
    <col min="9" max="9" width="10.85546875" style="185" bestFit="1" customWidth="1"/>
    <col min="10" max="10" width="15.42578125" style="497" bestFit="1" customWidth="1"/>
    <col min="11" max="11" width="11" bestFit="1" customWidth="1"/>
    <col min="12" max="12" width="9.7109375" bestFit="1" customWidth="1"/>
    <col min="13" max="13" width="12.5703125" bestFit="1" customWidth="1"/>
    <col min="14" max="14" width="12" bestFit="1" customWidth="1"/>
    <col min="15" max="15" width="12.5703125" bestFit="1" customWidth="1"/>
    <col min="16" max="16" width="13.5703125" customWidth="1"/>
    <col min="17" max="17" width="10.140625" bestFit="1" customWidth="1"/>
  </cols>
  <sheetData>
    <row r="1" spans="1:17" s="22" customFormat="1">
      <c r="A1" s="22" t="s">
        <v>509</v>
      </c>
      <c r="B1" s="22" t="s">
        <v>510</v>
      </c>
      <c r="C1" s="22" t="s">
        <v>511</v>
      </c>
      <c r="D1" s="22" t="s">
        <v>512</v>
      </c>
      <c r="E1" t="s">
        <v>788</v>
      </c>
      <c r="F1" t="s">
        <v>1380</v>
      </c>
      <c r="G1" s="498" t="s">
        <v>798</v>
      </c>
      <c r="H1" t="s">
        <v>799</v>
      </c>
      <c r="I1" t="s">
        <v>1433</v>
      </c>
      <c r="J1" s="22" t="s">
        <v>967</v>
      </c>
      <c r="K1" s="22" t="s">
        <v>772</v>
      </c>
      <c r="L1" s="22" t="s">
        <v>108</v>
      </c>
      <c r="M1" s="22" t="s">
        <v>781</v>
      </c>
      <c r="N1" s="22" t="s">
        <v>968</v>
      </c>
      <c r="P1" s="160" t="s">
        <v>967</v>
      </c>
      <c r="Q1" s="364" cm="1">
        <f t="array" ref="Q1">SUM(
_xlfn._xlws.FILTER(
qryGnattToDraws[Price], (qryGnattToDraws[Done]="Yes")*
(ISNA(MATCH(LOWER(qryGnattToDraws[Title]),{"bonus","deposit","draws","draw 1","Tim's Hourly Wage"},0)))
))</f>
        <v>20297.97</v>
      </c>
    </row>
    <row r="2" spans="1:17">
      <c r="A2">
        <v>908</v>
      </c>
      <c r="B2" t="s">
        <v>517</v>
      </c>
      <c r="C2" t="s">
        <v>843</v>
      </c>
      <c r="D2" t="s">
        <v>843</v>
      </c>
      <c r="E2" t="s">
        <v>797</v>
      </c>
      <c r="F2"/>
      <c r="G2" s="185">
        <v>2615</v>
      </c>
      <c r="H2"/>
      <c r="I2">
        <f>IFERROR(_xlfn.XLOOKUP(qryGnattToDraws[[#This Row],[Index]], Contract_Edits[Index], Contract_Edits[DrawNu],), "")</f>
        <v>0</v>
      </c>
      <c r="J2" s="577">
        <f>IF(ROW()=2,+qryGnattToDraws[[#This Row],[Due]],+qryGnattToDraws[[#This Row],[Due]]+J1)</f>
        <v>0</v>
      </c>
      <c r="M2" s="185">
        <f>IF(qryGnattToDraws[[#This Row],[Draws]]&gt;0,+K2*Profit!$B$41/24,0)</f>
        <v>0</v>
      </c>
      <c r="N2" s="185"/>
      <c r="P2" s="176" t="s">
        <v>1443</v>
      </c>
      <c r="Q2" s="364" cm="1">
        <f t="array" ref="Q2">SUM(
_xlfn._xlws.FILTER(
qryGnattToDraws[Price],
(ISNA(MATCH(LOWER(qryGnattToDraws[Title]),{"bonus","deposit","draws","draw 1","Tim's Hourly Wage"},0)))
))</f>
        <v>305136.33050474996</v>
      </c>
    </row>
    <row r="3" spans="1:17">
      <c r="A3">
        <v>146</v>
      </c>
      <c r="B3" t="s">
        <v>517</v>
      </c>
      <c r="C3" t="s">
        <v>537</v>
      </c>
      <c r="D3" t="s">
        <v>740</v>
      </c>
      <c r="E3" t="s">
        <v>797</v>
      </c>
      <c r="F3"/>
      <c r="G3" s="185">
        <v>0</v>
      </c>
      <c r="H3"/>
      <c r="I3">
        <f>IFERROR(_xlfn.XLOOKUP(qryGnattToDraws[[#This Row],[Index]], Contract_Edits[Index], Contract_Edits[DrawNu],), "")</f>
        <v>100300</v>
      </c>
      <c r="J3" s="577">
        <f>IF(ROW()=2,+qryGnattToDraws[[#This Row],[Due]],+qryGnattToDraws[[#This Row],[Due]]+J2)</f>
        <v>0</v>
      </c>
      <c r="M3" s="185">
        <f>IF(qryGnattToDraws[[#This Row],[Draws]]&gt;0,+K3*Profit!$B$41/24,0)</f>
        <v>0</v>
      </c>
      <c r="N3" s="185">
        <f>+qryGnattToDraws[[#This Row],[Interest]]+N2</f>
        <v>0</v>
      </c>
    </row>
    <row r="4" spans="1:17">
      <c r="A4">
        <v>900</v>
      </c>
      <c r="B4" t="s">
        <v>517</v>
      </c>
      <c r="C4" t="s">
        <v>831</v>
      </c>
      <c r="D4" t="s">
        <v>832</v>
      </c>
      <c r="E4" t="s">
        <v>458</v>
      </c>
      <c r="F4"/>
      <c r="G4" s="185">
        <v>1859.22</v>
      </c>
      <c r="H4">
        <v>1859.22</v>
      </c>
      <c r="I4">
        <f>IFERROR(_xlfn.XLOOKUP(qryGnattToDraws[[#This Row],[Index]], Contract_Edits[Index], Contract_Edits[DrawNu],), "")</f>
        <v>105500</v>
      </c>
      <c r="J4" s="577">
        <f>IF(ROW()=2,+qryGnattToDraws[[#This Row],[Due]],+qryGnattToDraws[[#This Row],[Due]]+J3)</f>
        <v>1859.22</v>
      </c>
      <c r="M4" s="185">
        <f>IF(qryGnattToDraws[[#This Row],[Draws]]&gt;0,+K4*Profit!$B$41/24,0)</f>
        <v>0</v>
      </c>
      <c r="N4" s="185">
        <f>+qryGnattToDraws[[#This Row],[Interest]]+N3</f>
        <v>0</v>
      </c>
    </row>
    <row r="5" spans="1:17">
      <c r="A5">
        <v>75</v>
      </c>
      <c r="B5" t="s">
        <v>639</v>
      </c>
      <c r="C5" t="s">
        <v>560</v>
      </c>
      <c r="D5" t="s">
        <v>645</v>
      </c>
      <c r="E5" t="s">
        <v>458</v>
      </c>
      <c r="F5"/>
      <c r="G5" s="185">
        <v>625</v>
      </c>
      <c r="H5">
        <v>625</v>
      </c>
      <c r="I5">
        <f>IFERROR(_xlfn.XLOOKUP(qryGnattToDraws[[#This Row],[Index]], Contract_Edits[Index], Contract_Edits[DrawNu],), "")</f>
        <v>104800</v>
      </c>
      <c r="J5" s="577">
        <f>IF(ROW()=2,+qryGnattToDraws[[#This Row],[Due]],+qryGnattToDraws[[#This Row],[Due]]+J4)</f>
        <v>2484.2200000000003</v>
      </c>
      <c r="M5" s="185">
        <f>IF(qryGnattToDraws[[#This Row],[Draws]]&gt;0,+K5*Profit!$B$41/24,0)</f>
        <v>0</v>
      </c>
      <c r="N5" s="185">
        <f>+qryGnattToDraws[[#This Row],[Interest]]+N4</f>
        <v>0</v>
      </c>
    </row>
    <row r="6" spans="1:17">
      <c r="A6">
        <v>143</v>
      </c>
      <c r="B6" t="s">
        <v>608</v>
      </c>
      <c r="C6" t="s">
        <v>736</v>
      </c>
      <c r="D6" t="s">
        <v>737</v>
      </c>
      <c r="E6" t="s">
        <v>458</v>
      </c>
      <c r="F6"/>
      <c r="G6" s="185">
        <v>937.5</v>
      </c>
      <c r="H6">
        <v>937.5</v>
      </c>
      <c r="I6">
        <f>IFERROR(_xlfn.XLOOKUP(qryGnattToDraws[[#This Row],[Index]], Contract_Edits[Index], Contract_Edits[DrawNu],), "")</f>
        <v>104800</v>
      </c>
      <c r="J6" s="577">
        <f>IF(ROW()=2,+qryGnattToDraws[[#This Row],[Due]],+qryGnattToDraws[[#This Row],[Due]]+J5)</f>
        <v>3421.7200000000003</v>
      </c>
      <c r="M6" s="185">
        <f>IF(qryGnattToDraws[[#This Row],[Draws]]&gt;0,+K6*Profit!$B$41/24,0)</f>
        <v>0</v>
      </c>
      <c r="N6" s="185">
        <f>+qryGnattToDraws[[#This Row],[Interest]]+N5</f>
        <v>0</v>
      </c>
    </row>
    <row r="7" spans="1:17">
      <c r="A7">
        <v>49</v>
      </c>
      <c r="B7" t="s">
        <v>608</v>
      </c>
      <c r="C7" t="s">
        <v>560</v>
      </c>
      <c r="D7" t="s">
        <v>609</v>
      </c>
      <c r="E7" t="s">
        <v>458</v>
      </c>
      <c r="F7"/>
      <c r="G7" s="185">
        <v>937.5</v>
      </c>
      <c r="H7">
        <v>937.5</v>
      </c>
      <c r="I7">
        <f>IFERROR(_xlfn.XLOOKUP(qryGnattToDraws[[#This Row],[Index]], Contract_Edits[Index], Contract_Edits[DrawNu],), "")</f>
        <v>104800</v>
      </c>
      <c r="J7" s="577">
        <f>IF(ROW()=2,+qryGnattToDraws[[#This Row],[Due]],+qryGnattToDraws[[#This Row],[Due]]+J6)</f>
        <v>4359.22</v>
      </c>
      <c r="M7" s="185">
        <f>IF(qryGnattToDraws[[#This Row],[Draws]]&gt;0,+K7*Profit!$B$41/24,0)</f>
        <v>0</v>
      </c>
      <c r="N7" s="185">
        <f>+qryGnattToDraws[[#This Row],[Interest]]+N6</f>
        <v>0</v>
      </c>
    </row>
    <row r="8" spans="1:17">
      <c r="A8">
        <v>36</v>
      </c>
      <c r="B8" t="s">
        <v>587</v>
      </c>
      <c r="C8" t="s">
        <v>560</v>
      </c>
      <c r="D8" t="s">
        <v>588</v>
      </c>
      <c r="E8" t="s">
        <v>458</v>
      </c>
      <c r="F8"/>
      <c r="G8" s="185">
        <v>312.5</v>
      </c>
      <c r="H8">
        <v>312.5</v>
      </c>
      <c r="I8">
        <f>IFERROR(_xlfn.XLOOKUP(qryGnattToDraws[[#This Row],[Index]], Contract_Edits[Index], Contract_Edits[DrawNu],), "")</f>
        <v>104800</v>
      </c>
      <c r="J8" s="577">
        <f>IF(ROW()=2,+qryGnattToDraws[[#This Row],[Due]],+qryGnattToDraws[[#This Row],[Due]]+J7)</f>
        <v>4671.72</v>
      </c>
      <c r="M8" s="185">
        <f>IF(qryGnattToDraws[[#This Row],[Draws]]&gt;0,+K8*Profit!$B$41/24,0)</f>
        <v>0</v>
      </c>
      <c r="N8" s="185">
        <f>+qryGnattToDraws[[#This Row],[Interest]]+N7</f>
        <v>0</v>
      </c>
    </row>
    <row r="9" spans="1:17">
      <c r="A9">
        <v>21</v>
      </c>
      <c r="B9" t="s">
        <v>555</v>
      </c>
      <c r="C9" t="s">
        <v>560</v>
      </c>
      <c r="D9" t="s">
        <v>561</v>
      </c>
      <c r="E9" t="s">
        <v>458</v>
      </c>
      <c r="F9"/>
      <c r="G9" s="185">
        <v>468.75</v>
      </c>
      <c r="H9">
        <v>468.75</v>
      </c>
      <c r="I9">
        <f>IFERROR(_xlfn.XLOOKUP(qryGnattToDraws[[#This Row],[Index]], Contract_Edits[Index], Contract_Edits[DrawNu],), "")</f>
        <v>104800</v>
      </c>
      <c r="J9" s="577">
        <f>IF(ROW()=2,+qryGnattToDraws[[#This Row],[Due]],+qryGnattToDraws[[#This Row],[Due]]+J8)</f>
        <v>5140.47</v>
      </c>
      <c r="M9" s="185">
        <f>IF(qryGnattToDraws[[#This Row],[Draws]]&gt;0,+K9*Profit!$B$41/24,0)</f>
        <v>0</v>
      </c>
      <c r="N9" s="185">
        <f>+qryGnattToDraws[[#This Row],[Interest]]+N8</f>
        <v>0</v>
      </c>
    </row>
    <row r="10" spans="1:17" hidden="1">
      <c r="A10">
        <v>126</v>
      </c>
      <c r="B10" t="s">
        <v>523</v>
      </c>
      <c r="C10" t="s">
        <v>712</v>
      </c>
      <c r="D10" t="s">
        <v>1491</v>
      </c>
      <c r="E10" t="s">
        <v>797</v>
      </c>
      <c r="F10"/>
      <c r="G10" s="185">
        <v>312.5</v>
      </c>
      <c r="H10"/>
      <c r="I10">
        <f>IFERROR(_xlfn.XLOOKUP(qryGnattToDraws[[#This Row],[Index]], Contract_Edits[Index], Contract_Edits[DrawNu],), "")</f>
        <v>0</v>
      </c>
      <c r="J10" s="577">
        <f>IF(ROW()=2,+qryGnattToDraws[[#This Row],[Due]],+qryGnattToDraws[[#This Row],[Due]]+J9)</f>
        <v>5140.47</v>
      </c>
      <c r="M10" s="185">
        <f>IF(qryGnattToDraws[[#This Row],[Draws]]&gt;0,+K10*Profit!$B$41/24,0)</f>
        <v>0</v>
      </c>
      <c r="N10" s="185">
        <f>+qryGnattToDraws[[#This Row],[Interest]]+N9</f>
        <v>0</v>
      </c>
    </row>
    <row r="11" spans="1:17">
      <c r="A11">
        <v>78</v>
      </c>
      <c r="B11" t="s">
        <v>639</v>
      </c>
      <c r="C11" t="s">
        <v>649</v>
      </c>
      <c r="D11" t="s">
        <v>650</v>
      </c>
      <c r="E11" t="s">
        <v>797</v>
      </c>
      <c r="F11"/>
      <c r="G11" s="185">
        <v>5437.5</v>
      </c>
      <c r="H11"/>
      <c r="I11">
        <f>IFERROR(_xlfn.XLOOKUP(qryGnattToDraws[[#This Row],[Index]], Contract_Edits[Index], Contract_Edits[DrawNu],), "")</f>
        <v>101400</v>
      </c>
      <c r="J11" s="577">
        <f>IF(ROW()=2,+qryGnattToDraws[[#This Row],[Due]],+qryGnattToDraws[[#This Row],[Due]]+J10)</f>
        <v>5140.47</v>
      </c>
      <c r="M11" s="185">
        <f>IF(qryGnattToDraws[[#This Row],[Draws]]&gt;0,+K11*Profit!$B$41/24,0)</f>
        <v>0</v>
      </c>
      <c r="N11" s="185">
        <f>+qryGnattToDraws[[#This Row],[Interest]]+N10</f>
        <v>0</v>
      </c>
    </row>
    <row r="12" spans="1:17">
      <c r="A12">
        <v>23</v>
      </c>
      <c r="B12" t="s">
        <v>555</v>
      </c>
      <c r="C12" t="s">
        <v>564</v>
      </c>
      <c r="D12" t="s">
        <v>565</v>
      </c>
      <c r="E12" t="s">
        <v>797</v>
      </c>
      <c r="F12"/>
      <c r="G12" s="185">
        <v>1160</v>
      </c>
      <c r="H12"/>
      <c r="I12">
        <f>IFERROR(_xlfn.XLOOKUP(qryGnattToDraws[[#This Row],[Index]], Contract_Edits[Index], Contract_Edits[DrawNu],), "")</f>
        <v>101400</v>
      </c>
      <c r="J12" s="577">
        <f>IF(ROW()=2,+qryGnattToDraws[[#This Row],[Due]],+qryGnattToDraws[[#This Row],[Due]]+J11)</f>
        <v>5140.47</v>
      </c>
      <c r="M12" s="185">
        <f>IF(qryGnattToDraws[[#This Row],[Draws]]&gt;0,+K12*Profit!$B$41/24,0)</f>
        <v>0</v>
      </c>
      <c r="N12" s="185">
        <f>+qryGnattToDraws[[#This Row],[Interest]]+N11</f>
        <v>0</v>
      </c>
    </row>
    <row r="13" spans="1:17">
      <c r="A13">
        <v>129</v>
      </c>
      <c r="B13" t="s">
        <v>521</v>
      </c>
      <c r="C13" t="s">
        <v>715</v>
      </c>
      <c r="D13" t="s">
        <v>716</v>
      </c>
      <c r="E13" t="s">
        <v>797</v>
      </c>
      <c r="F13"/>
      <c r="G13" s="185">
        <v>6403.2</v>
      </c>
      <c r="H13"/>
      <c r="I13">
        <f>IFERROR(_xlfn.XLOOKUP(qryGnattToDraws[[#This Row],[Index]], Contract_Edits[Index], Contract_Edits[DrawNu],), "")</f>
        <v>101400</v>
      </c>
      <c r="J13" s="577">
        <f>IF(ROW()=2,+qryGnattToDraws[[#This Row],[Due]],+qryGnattToDraws[[#This Row],[Due]]+J12)</f>
        <v>5140.47</v>
      </c>
      <c r="M13" s="185">
        <f>IF(qryGnattToDraws[[#This Row],[Draws]]&gt;0,+K13*Profit!$B$41/24,0)</f>
        <v>0</v>
      </c>
      <c r="N13" s="185">
        <f>+qryGnattToDraws[[#This Row],[Interest]]+N12</f>
        <v>0</v>
      </c>
    </row>
    <row r="14" spans="1:17">
      <c r="A14">
        <v>107</v>
      </c>
      <c r="B14" t="s">
        <v>521</v>
      </c>
      <c r="C14" t="s">
        <v>688</v>
      </c>
      <c r="D14" t="s">
        <v>689</v>
      </c>
      <c r="E14" t="s">
        <v>797</v>
      </c>
      <c r="F14"/>
      <c r="G14" s="185">
        <v>652.5</v>
      </c>
      <c r="H14"/>
      <c r="I14">
        <f>IFERROR(_xlfn.XLOOKUP(qryGnattToDraws[[#This Row],[Index]], Contract_Edits[Index], Contract_Edits[DrawNu],), "")</f>
        <v>102400</v>
      </c>
      <c r="J14" s="577">
        <f>IF(ROW()=2,+qryGnattToDraws[[#This Row],[Due]],+qryGnattToDraws[[#This Row],[Due]]+J13)</f>
        <v>5140.47</v>
      </c>
      <c r="M14" s="185">
        <f>IF(qryGnattToDraws[[#This Row],[Draws]]&gt;0,+K14*Profit!$B$41/24,0)</f>
        <v>0</v>
      </c>
      <c r="N14" s="185">
        <f>+qryGnattToDraws[[#This Row],[Interest]]+N13</f>
        <v>0</v>
      </c>
    </row>
    <row r="15" spans="1:17">
      <c r="A15">
        <v>130</v>
      </c>
      <c r="B15" t="s">
        <v>523</v>
      </c>
      <c r="C15" t="s">
        <v>688</v>
      </c>
      <c r="D15" t="s">
        <v>718</v>
      </c>
      <c r="E15" t="s">
        <v>797</v>
      </c>
      <c r="F15"/>
      <c r="G15" s="185">
        <v>11890</v>
      </c>
      <c r="H15"/>
      <c r="I15">
        <f>IFERROR(_xlfn.XLOOKUP(qryGnattToDraws[[#This Row],[Index]], Contract_Edits[Index], Contract_Edits[DrawNu],), "")</f>
        <v>102400</v>
      </c>
      <c r="J15" s="577">
        <f>IF(ROW()=2,+qryGnattToDraws[[#This Row],[Due]],+qryGnattToDraws[[#This Row],[Due]]+J14)</f>
        <v>5140.47</v>
      </c>
      <c r="M15" s="185">
        <f>IF(qryGnattToDraws[[#This Row],[Draws]]&gt;0,+K15*Profit!$B$41/24,0)</f>
        <v>0</v>
      </c>
      <c r="N15" s="185">
        <f>+qryGnattToDraws[[#This Row],[Interest]]+N14</f>
        <v>0</v>
      </c>
    </row>
    <row r="16" spans="1:17">
      <c r="A16">
        <v>109</v>
      </c>
      <c r="B16" t="s">
        <v>521</v>
      </c>
      <c r="C16" t="s">
        <v>688</v>
      </c>
      <c r="D16" t="s">
        <v>692</v>
      </c>
      <c r="E16" t="s">
        <v>797</v>
      </c>
      <c r="F16"/>
      <c r="G16" s="185">
        <v>1341.25</v>
      </c>
      <c r="H16"/>
      <c r="I16">
        <f>IFERROR(_xlfn.XLOOKUP(qryGnattToDraws[[#This Row],[Index]], Contract_Edits[Index], Contract_Edits[DrawNu],), "")</f>
        <v>102400</v>
      </c>
      <c r="J16" s="577">
        <f>IF(ROW()=2,+qryGnattToDraws[[#This Row],[Due]],+qryGnattToDraws[[#This Row],[Due]]+J15)</f>
        <v>5140.47</v>
      </c>
      <c r="M16" s="185">
        <f>IF(qryGnattToDraws[[#This Row],[Draws]]&gt;0,+K16*Profit!$B$41/24,0)</f>
        <v>0</v>
      </c>
      <c r="N16" s="185">
        <f>+qryGnattToDraws[[#This Row],[Interest]]+N15</f>
        <v>0</v>
      </c>
    </row>
    <row r="17" spans="1:14">
      <c r="A17">
        <v>25</v>
      </c>
      <c r="B17" t="s">
        <v>555</v>
      </c>
      <c r="C17" t="s">
        <v>553</v>
      </c>
      <c r="D17" t="s">
        <v>567</v>
      </c>
      <c r="E17" t="s">
        <v>797</v>
      </c>
      <c r="F17"/>
      <c r="G17" s="185">
        <v>5365</v>
      </c>
      <c r="H17"/>
      <c r="I17">
        <f>IFERROR(_xlfn.XLOOKUP(qryGnattToDraws[[#This Row],[Index]], Contract_Edits[Index], Contract_Edits[DrawNu],), "")</f>
        <v>101700</v>
      </c>
      <c r="J17" s="577">
        <f>IF(ROW()=2,+qryGnattToDraws[[#This Row],[Due]],+qryGnattToDraws[[#This Row],[Due]]+J16)</f>
        <v>5140.47</v>
      </c>
      <c r="M17" s="185">
        <f>IF(qryGnattToDraws[[#This Row],[Draws]]&gt;0,+K17*Profit!$B$41/24,0)</f>
        <v>0</v>
      </c>
      <c r="N17" s="185">
        <f>+qryGnattToDraws[[#This Row],[Interest]]+N16</f>
        <v>0</v>
      </c>
    </row>
    <row r="18" spans="1:14">
      <c r="A18">
        <v>20</v>
      </c>
      <c r="B18" t="s">
        <v>555</v>
      </c>
      <c r="C18" t="s">
        <v>550</v>
      </c>
      <c r="D18" t="s">
        <v>559</v>
      </c>
      <c r="E18" t="s">
        <v>797</v>
      </c>
      <c r="F18"/>
      <c r="G18" s="185">
        <v>1595</v>
      </c>
      <c r="H18"/>
      <c r="I18">
        <f>IFERROR(_xlfn.XLOOKUP(qryGnattToDraws[[#This Row],[Index]], Contract_Edits[Index], Contract_Edits[DrawNu],), "")</f>
        <v>101700</v>
      </c>
      <c r="J18" s="577">
        <f>IF(ROW()=2,+qryGnattToDraws[[#This Row],[Due]],+qryGnattToDraws[[#This Row],[Due]]+J17)</f>
        <v>5140.47</v>
      </c>
      <c r="M18" s="185">
        <f>IF(qryGnattToDraws[[#This Row],[Draws]]&gt;0,+K18*Profit!$B$41/24,0)</f>
        <v>0</v>
      </c>
      <c r="N18" s="185">
        <f>+qryGnattToDraws[[#This Row],[Interest]]+N17</f>
        <v>0</v>
      </c>
    </row>
    <row r="19" spans="1:14">
      <c r="A19">
        <v>102</v>
      </c>
      <c r="B19" t="s">
        <v>521</v>
      </c>
      <c r="C19" t="s">
        <v>550</v>
      </c>
      <c r="D19" t="s">
        <v>682</v>
      </c>
      <c r="E19" t="s">
        <v>797</v>
      </c>
      <c r="F19"/>
      <c r="G19" s="185">
        <v>5220</v>
      </c>
      <c r="H19"/>
      <c r="I19">
        <f>IFERROR(_xlfn.XLOOKUP(qryGnattToDraws[[#This Row],[Index]], Contract_Edits[Index], Contract_Edits[DrawNu],), "")</f>
        <v>101700</v>
      </c>
      <c r="J19" s="577">
        <f>IF(ROW()=2,+qryGnattToDraws[[#This Row],[Due]],+qryGnattToDraws[[#This Row],[Due]]+J18)</f>
        <v>5140.47</v>
      </c>
      <c r="M19" s="185">
        <f>IF(qryGnattToDraws[[#This Row],[Draws]]&gt;0,+K19*Profit!$B$41/24,0)</f>
        <v>0</v>
      </c>
      <c r="N19" s="185">
        <f>+qryGnattToDraws[[#This Row],[Interest]]+N18</f>
        <v>0</v>
      </c>
    </row>
    <row r="20" spans="1:14">
      <c r="A20">
        <v>24</v>
      </c>
      <c r="B20" t="s">
        <v>555</v>
      </c>
      <c r="C20" t="s">
        <v>550</v>
      </c>
      <c r="D20" t="s">
        <v>566</v>
      </c>
      <c r="E20" t="s">
        <v>797</v>
      </c>
      <c r="F20"/>
      <c r="G20" s="185">
        <v>10585</v>
      </c>
      <c r="H20"/>
      <c r="I20">
        <f>IFERROR(_xlfn.XLOOKUP(qryGnattToDraws[[#This Row],[Index]], Contract_Edits[Index], Contract_Edits[DrawNu],), "")</f>
        <v>101700</v>
      </c>
      <c r="J20" s="577">
        <f>IF(ROW()=2,+qryGnattToDraws[[#This Row],[Due]],+qryGnattToDraws[[#This Row],[Due]]+J19)</f>
        <v>5140.47</v>
      </c>
      <c r="M20" s="185">
        <f>IF(qryGnattToDraws[[#This Row],[Draws]]&gt;0,+K20*Profit!$B$41/24,0)</f>
        <v>0</v>
      </c>
      <c r="N20" s="185">
        <f>+qryGnattToDraws[[#This Row],[Interest]]+N19</f>
        <v>0</v>
      </c>
    </row>
    <row r="21" spans="1:14">
      <c r="A21">
        <v>132</v>
      </c>
      <c r="B21" t="s">
        <v>639</v>
      </c>
      <c r="C21" t="s">
        <v>721</v>
      </c>
      <c r="D21" t="s">
        <v>722</v>
      </c>
      <c r="E21" t="s">
        <v>797</v>
      </c>
      <c r="F21"/>
      <c r="G21" s="185">
        <v>312.5</v>
      </c>
      <c r="H21"/>
      <c r="I21">
        <f>IFERROR(_xlfn.XLOOKUP(qryGnattToDraws[[#This Row],[Index]], Contract_Edits[Index], Contract_Edits[DrawNu],), "")</f>
        <v>104800</v>
      </c>
      <c r="J21" s="577">
        <f>IF(ROW()=2,+qryGnattToDraws[[#This Row],[Due]],+qryGnattToDraws[[#This Row],[Due]]+J20)</f>
        <v>5140.47</v>
      </c>
      <c r="M21" s="185">
        <f>IF(qryGnattToDraws[[#This Row],[Draws]]&gt;0,+K21*Profit!$B$41/24,0)</f>
        <v>0</v>
      </c>
      <c r="N21" s="185">
        <f>+qryGnattToDraws[[#This Row],[Interest]]+N20</f>
        <v>0</v>
      </c>
    </row>
    <row r="22" spans="1:14">
      <c r="A22">
        <v>912</v>
      </c>
      <c r="B22" t="s">
        <v>517</v>
      </c>
      <c r="C22" t="s">
        <v>553</v>
      </c>
      <c r="D22" t="s">
        <v>848</v>
      </c>
      <c r="E22" t="s">
        <v>797</v>
      </c>
      <c r="F22"/>
      <c r="G22" s="185">
        <v>3259.8649297500006</v>
      </c>
      <c r="H22"/>
      <c r="I22">
        <f>IFERROR(_xlfn.XLOOKUP(qryGnattToDraws[[#This Row],[Index]], Contract_Edits[Index], Contract_Edits[DrawNu],), "")</f>
        <v>100700</v>
      </c>
      <c r="J22" s="577">
        <f>IF(ROW()=2,+qryGnattToDraws[[#This Row],[Due]],+qryGnattToDraws[[#This Row],[Due]]+J21)</f>
        <v>5140.47</v>
      </c>
      <c r="M22" s="185">
        <f>IF(qryGnattToDraws[[#This Row],[Draws]]&gt;0,+K22*Profit!$B$41/24,0)</f>
        <v>0</v>
      </c>
      <c r="N22" s="185">
        <f>+qryGnattToDraws[[#This Row],[Interest]]+N21</f>
        <v>0</v>
      </c>
    </row>
    <row r="23" spans="1:14">
      <c r="A23">
        <v>54</v>
      </c>
      <c r="B23" t="s">
        <v>608</v>
      </c>
      <c r="C23" t="s">
        <v>550</v>
      </c>
      <c r="D23" t="s">
        <v>617</v>
      </c>
      <c r="E23" t="s">
        <v>797</v>
      </c>
      <c r="F23"/>
      <c r="G23" s="185">
        <v>1250</v>
      </c>
      <c r="H23"/>
      <c r="I23">
        <f>IFERROR(_xlfn.XLOOKUP(qryGnattToDraws[[#This Row],[Index]], Contract_Edits[Index], Contract_Edits[DrawNu],), "")</f>
        <v>101700</v>
      </c>
      <c r="J23" s="577">
        <f>IF(ROW()=2,+qryGnattToDraws[[#This Row],[Due]],+qryGnattToDraws[[#This Row],[Due]]+J22)</f>
        <v>5140.47</v>
      </c>
      <c r="M23" s="185">
        <f>IF(qryGnattToDraws[[#This Row],[Draws]]&gt;0,+K23*Profit!$B$41/24,0)</f>
        <v>0</v>
      </c>
      <c r="N23" s="185">
        <f>+qryGnattToDraws[[#This Row],[Interest]]+N22</f>
        <v>0</v>
      </c>
    </row>
    <row r="24" spans="1:14">
      <c r="A24">
        <v>17</v>
      </c>
      <c r="B24" t="s">
        <v>549</v>
      </c>
      <c r="C24" t="s">
        <v>553</v>
      </c>
      <c r="D24" t="s">
        <v>554</v>
      </c>
      <c r="E24" t="s">
        <v>797</v>
      </c>
      <c r="F24"/>
      <c r="G24" s="185">
        <v>0</v>
      </c>
      <c r="H24"/>
      <c r="I24">
        <f>IFERROR(_xlfn.XLOOKUP(qryGnattToDraws[[#This Row],[Index]], Contract_Edits[Index], Contract_Edits[DrawNu],), "")</f>
        <v>101700</v>
      </c>
      <c r="J24" s="577">
        <f>IF(ROW()=2,+qryGnattToDraws[[#This Row],[Due]],+qryGnattToDraws[[#This Row],[Due]]+J23)</f>
        <v>5140.47</v>
      </c>
      <c r="M24" s="185">
        <f>IF(qryGnattToDraws[[#This Row],[Draws]]&gt;0,+K24*Profit!$B$41/24,0)</f>
        <v>0</v>
      </c>
      <c r="N24" s="185">
        <f>+qryGnattToDraws[[#This Row],[Interest]]+N23</f>
        <v>0</v>
      </c>
    </row>
    <row r="25" spans="1:14">
      <c r="A25">
        <v>103</v>
      </c>
      <c r="B25" t="s">
        <v>521</v>
      </c>
      <c r="C25" t="s">
        <v>553</v>
      </c>
      <c r="D25" t="s">
        <v>683</v>
      </c>
      <c r="E25" t="s">
        <v>797</v>
      </c>
      <c r="F25"/>
      <c r="G25" s="185">
        <v>0</v>
      </c>
      <c r="H25"/>
      <c r="I25">
        <f>IFERROR(_xlfn.XLOOKUP(qryGnattToDraws[[#This Row],[Index]], Contract_Edits[Index], Contract_Edits[DrawNu],), "")</f>
        <v>101700</v>
      </c>
      <c r="J25" s="577">
        <f>IF(ROW()=2,+qryGnattToDraws[[#This Row],[Due]],+qryGnattToDraws[[#This Row],[Due]]+J24)</f>
        <v>5140.47</v>
      </c>
      <c r="M25" s="185">
        <f>IF(qryGnattToDraws[[#This Row],[Draws]]&gt;0,+K25*Profit!$B$41/24,0)</f>
        <v>0</v>
      </c>
      <c r="N25" s="185">
        <f>+qryGnattToDraws[[#This Row],[Interest]]+N24</f>
        <v>0</v>
      </c>
    </row>
    <row r="26" spans="1:14">
      <c r="A26">
        <v>55</v>
      </c>
      <c r="B26" t="s">
        <v>608</v>
      </c>
      <c r="C26" t="s">
        <v>553</v>
      </c>
      <c r="D26" t="s">
        <v>618</v>
      </c>
      <c r="E26" t="s">
        <v>382</v>
      </c>
      <c r="F26"/>
      <c r="G26" s="185">
        <v>0</v>
      </c>
      <c r="H26"/>
      <c r="I26">
        <f>IFERROR(_xlfn.XLOOKUP(qryGnattToDraws[[#This Row],[Index]], Contract_Edits[Index], Contract_Edits[DrawNu],), "")</f>
        <v>101700</v>
      </c>
      <c r="J26" s="577">
        <f>IF(ROW()=2,+qryGnattToDraws[[#This Row],[Due]],+qryGnattToDraws[[#This Row],[Due]]+J25)</f>
        <v>5140.47</v>
      </c>
      <c r="M26" s="185">
        <f>IF(qryGnattToDraws[[#This Row],[Draws]]&gt;0,+K26*Profit!$B$41/24,0)</f>
        <v>0</v>
      </c>
      <c r="N26" s="185">
        <f>+qryGnattToDraws[[#This Row],[Interest]]+N25</f>
        <v>0</v>
      </c>
    </row>
    <row r="27" spans="1:14">
      <c r="A27">
        <v>131</v>
      </c>
      <c r="B27" t="s">
        <v>608</v>
      </c>
      <c r="C27" t="s">
        <v>719</v>
      </c>
      <c r="D27" t="s">
        <v>720</v>
      </c>
      <c r="E27" t="s">
        <v>458</v>
      </c>
      <c r="F27"/>
      <c r="G27" s="185">
        <v>1000</v>
      </c>
      <c r="H27">
        <v>1000</v>
      </c>
      <c r="I27">
        <f>IFERROR(_xlfn.XLOOKUP(qryGnattToDraws[[#This Row],[Index]], Contract_Edits[Index], Contract_Edits[DrawNu],), "")</f>
        <v>103900</v>
      </c>
      <c r="J27" s="577">
        <f>IF(ROW()=2,+qryGnattToDraws[[#This Row],[Due]],+qryGnattToDraws[[#This Row],[Due]]+J26)</f>
        <v>6140.47</v>
      </c>
      <c r="M27" s="185">
        <f>IF(qryGnattToDraws[[#This Row],[Draws]]&gt;0,+K27*Profit!$B$41/24,0)</f>
        <v>0</v>
      </c>
      <c r="N27" s="185">
        <f>+qryGnattToDraws[[#This Row],[Interest]]+N26</f>
        <v>0</v>
      </c>
    </row>
    <row r="28" spans="1:14">
      <c r="A28">
        <v>61</v>
      </c>
      <c r="B28" t="s">
        <v>608</v>
      </c>
      <c r="C28" t="s">
        <v>625</v>
      </c>
      <c r="D28" t="s">
        <v>626</v>
      </c>
      <c r="E28" t="s">
        <v>458</v>
      </c>
      <c r="F28"/>
      <c r="G28" s="185">
        <v>625</v>
      </c>
      <c r="H28">
        <v>625</v>
      </c>
      <c r="I28">
        <f>IFERROR(_xlfn.XLOOKUP(qryGnattToDraws[[#This Row],[Index]], Contract_Edits[Index], Contract_Edits[DrawNu],), "")</f>
        <v>0</v>
      </c>
      <c r="J28" s="577">
        <f>IF(ROW()=2,+qryGnattToDraws[[#This Row],[Due]],+qryGnattToDraws[[#This Row],[Due]]+J27)</f>
        <v>6765.47</v>
      </c>
      <c r="M28" s="185">
        <f>IF(qryGnattToDraws[[#This Row],[Draws]]&gt;0,+K28*Profit!$B$41/24,0)</f>
        <v>0</v>
      </c>
      <c r="N28" s="185">
        <f>+qryGnattToDraws[[#This Row],[Interest]]+N27</f>
        <v>0</v>
      </c>
    </row>
    <row r="29" spans="1:14">
      <c r="A29">
        <v>38</v>
      </c>
      <c r="B29" t="s">
        <v>587</v>
      </c>
      <c r="C29" t="s">
        <v>550</v>
      </c>
      <c r="D29" t="s">
        <v>590</v>
      </c>
      <c r="E29">
        <v>0</v>
      </c>
      <c r="F29"/>
      <c r="G29" s="185">
        <v>625</v>
      </c>
      <c r="H29"/>
      <c r="I29">
        <f>IFERROR(_xlfn.XLOOKUP(qryGnattToDraws[[#This Row],[Index]], Contract_Edits[Index], Contract_Edits[DrawNu],), "")</f>
        <v>101700</v>
      </c>
      <c r="J29" s="577">
        <f>IF(ROW()=2,+qryGnattToDraws[[#This Row],[Due]],+qryGnattToDraws[[#This Row],[Due]]+J28)</f>
        <v>6765.47</v>
      </c>
      <c r="M29" s="185">
        <f>IF(qryGnattToDraws[[#This Row],[Draws]]&gt;0,+K29*Profit!$B$41/24,0)</f>
        <v>0</v>
      </c>
      <c r="N29" s="185">
        <f>+qryGnattToDraws[[#This Row],[Interest]]+N28</f>
        <v>0</v>
      </c>
    </row>
    <row r="30" spans="1:14">
      <c r="A30">
        <v>16</v>
      </c>
      <c r="B30" t="s">
        <v>549</v>
      </c>
      <c r="C30" t="s">
        <v>550</v>
      </c>
      <c r="D30" t="s">
        <v>551</v>
      </c>
      <c r="E30" t="s">
        <v>797</v>
      </c>
      <c r="F30"/>
      <c r="G30" s="185">
        <v>1250</v>
      </c>
      <c r="H30"/>
      <c r="I30">
        <f>IFERROR(_xlfn.XLOOKUP(qryGnattToDraws[[#This Row],[Index]], Contract_Edits[Index], Contract_Edits[DrawNu],), "")</f>
        <v>101700</v>
      </c>
      <c r="J30" s="577">
        <f>IF(ROW()=2,+qryGnattToDraws[[#This Row],[Due]],+qryGnattToDraws[[#This Row],[Due]]+J29)</f>
        <v>6765.47</v>
      </c>
      <c r="M30" s="185">
        <f>IF(qryGnattToDraws[[#This Row],[Draws]]&gt;0,+K30*Profit!$B$41/24,0)</f>
        <v>0</v>
      </c>
      <c r="N30" s="185">
        <f>+qryGnattToDraws[[#This Row],[Interest]]+N29</f>
        <v>0</v>
      </c>
    </row>
    <row r="31" spans="1:14">
      <c r="A31">
        <v>76</v>
      </c>
      <c r="B31" t="s">
        <v>639</v>
      </c>
      <c r="C31" t="s">
        <v>646</v>
      </c>
      <c r="D31" t="s">
        <v>647</v>
      </c>
      <c r="E31" t="s">
        <v>797</v>
      </c>
      <c r="F31"/>
      <c r="G31" s="185">
        <v>625</v>
      </c>
      <c r="H31"/>
      <c r="I31">
        <f>IFERROR(_xlfn.XLOOKUP(qryGnattToDraws[[#This Row],[Index]], Contract_Edits[Index], Contract_Edits[DrawNu],), "")</f>
        <v>101700</v>
      </c>
      <c r="J31" s="577">
        <f>IF(ROW()=2,+qryGnattToDraws[[#This Row],[Due]],+qryGnattToDraws[[#This Row],[Due]]+J30)</f>
        <v>6765.47</v>
      </c>
      <c r="M31" s="185">
        <f>IF(qryGnattToDraws[[#This Row],[Draws]]&gt;0,+K31*Profit!$B$41/24,0)</f>
        <v>0</v>
      </c>
      <c r="N31" s="185">
        <f>+qryGnattToDraws[[#This Row],[Interest]]+N30</f>
        <v>0</v>
      </c>
    </row>
    <row r="32" spans="1:14">
      <c r="A32">
        <v>100</v>
      </c>
      <c r="B32" t="s">
        <v>521</v>
      </c>
      <c r="C32" t="s">
        <v>679</v>
      </c>
      <c r="D32" t="s">
        <v>680</v>
      </c>
      <c r="E32" t="s">
        <v>458</v>
      </c>
      <c r="F32"/>
      <c r="G32" s="185">
        <v>2900</v>
      </c>
      <c r="H32">
        <v>2900</v>
      </c>
      <c r="I32">
        <f>IFERROR(_xlfn.XLOOKUP(qryGnattToDraws[[#This Row],[Index]], Contract_Edits[Index], Contract_Edits[DrawNu],), "")</f>
        <v>100300</v>
      </c>
      <c r="J32" s="577">
        <f>IF(ROW()=2,+qryGnattToDraws[[#This Row],[Due]],+qryGnattToDraws[[#This Row],[Due]]+J31)</f>
        <v>9665.4700000000012</v>
      </c>
      <c r="M32" s="185">
        <f>IF(qryGnattToDraws[[#This Row],[Draws]]&gt;0,+K32*Profit!$B$41/24,0)</f>
        <v>0</v>
      </c>
      <c r="N32" s="185">
        <f>+qryGnattToDraws[[#This Row],[Interest]]+N31</f>
        <v>0</v>
      </c>
    </row>
    <row r="33" spans="1:14">
      <c r="A33">
        <v>10</v>
      </c>
      <c r="B33" t="s">
        <v>517</v>
      </c>
      <c r="C33" t="s">
        <v>537</v>
      </c>
      <c r="D33" t="s">
        <v>538</v>
      </c>
      <c r="E33" t="s">
        <v>797</v>
      </c>
      <c r="F33"/>
      <c r="G33" s="185">
        <v>2175</v>
      </c>
      <c r="H33"/>
      <c r="I33">
        <f>IFERROR(_xlfn.XLOOKUP(qryGnattToDraws[[#This Row],[Index]], Contract_Edits[Index], Contract_Edits[DrawNu],), "")</f>
        <v>100200</v>
      </c>
      <c r="J33" s="577">
        <f>IF(ROW()=2,+qryGnattToDraws[[#This Row],[Due]],+qryGnattToDraws[[#This Row],[Due]]+J32)</f>
        <v>9665.4700000000012</v>
      </c>
      <c r="M33" s="185">
        <f>IF(qryGnattToDraws[[#This Row],[Draws]]&gt;0,+K33*Profit!$B$41/24,0)</f>
        <v>0</v>
      </c>
      <c r="N33" s="185">
        <f>+qryGnattToDraws[[#This Row],[Interest]]+N32</f>
        <v>0</v>
      </c>
    </row>
    <row r="34" spans="1:14">
      <c r="A34">
        <v>18</v>
      </c>
      <c r="B34" t="s">
        <v>555</v>
      </c>
      <c r="C34" t="s">
        <v>547</v>
      </c>
      <c r="D34" t="s">
        <v>556</v>
      </c>
      <c r="E34" t="s">
        <v>797</v>
      </c>
      <c r="F34"/>
      <c r="G34" s="185">
        <v>870</v>
      </c>
      <c r="H34"/>
      <c r="I34">
        <f>IFERROR(_xlfn.XLOOKUP(qryGnattToDraws[[#This Row],[Index]], Contract_Edits[Index], Contract_Edits[DrawNu],), "")</f>
        <v>100300</v>
      </c>
      <c r="J34" s="577">
        <f>IF(ROW()=2,+qryGnattToDraws[[#This Row],[Due]],+qryGnattToDraws[[#This Row],[Due]]+J33)</f>
        <v>9665.4700000000012</v>
      </c>
      <c r="M34" s="185">
        <f>IF(qryGnattToDraws[[#This Row],[Draws]]&gt;0,+K34*Profit!$B$41/24,0)</f>
        <v>0</v>
      </c>
      <c r="N34" s="185">
        <f>+qryGnattToDraws[[#This Row],[Interest]]+N33</f>
        <v>0</v>
      </c>
    </row>
    <row r="35" spans="1:14">
      <c r="A35">
        <v>15</v>
      </c>
      <c r="B35" t="s">
        <v>517</v>
      </c>
      <c r="C35" t="s">
        <v>547</v>
      </c>
      <c r="D35" t="s">
        <v>548</v>
      </c>
      <c r="E35" t="s">
        <v>797</v>
      </c>
      <c r="F35"/>
      <c r="G35" s="185">
        <v>1087.5</v>
      </c>
      <c r="H35"/>
      <c r="I35">
        <f>IFERROR(_xlfn.XLOOKUP(qryGnattToDraws[[#This Row],[Index]], Contract_Edits[Index], Contract_Edits[DrawNu],), "")</f>
        <v>100300</v>
      </c>
      <c r="J35" s="577">
        <f>IF(ROW()=2,+qryGnattToDraws[[#This Row],[Due]],+qryGnattToDraws[[#This Row],[Due]]+J34)</f>
        <v>9665.4700000000012</v>
      </c>
      <c r="M35" s="185">
        <f>IF(qryGnattToDraws[[#This Row],[Draws]]&gt;0,+K35*Profit!$B$41/24,0)</f>
        <v>0</v>
      </c>
      <c r="N35" s="185">
        <f>+qryGnattToDraws[[#This Row],[Interest]]+N34</f>
        <v>0</v>
      </c>
    </row>
    <row r="36" spans="1:14">
      <c r="A36">
        <v>81</v>
      </c>
      <c r="B36" t="s">
        <v>639</v>
      </c>
      <c r="C36" t="s">
        <v>591</v>
      </c>
      <c r="D36" t="s">
        <v>653</v>
      </c>
      <c r="E36" t="s">
        <v>797</v>
      </c>
      <c r="F36"/>
      <c r="G36" s="185">
        <v>6090</v>
      </c>
      <c r="H36"/>
      <c r="I36">
        <f>IFERROR(_xlfn.XLOOKUP(qryGnattToDraws[[#This Row],[Index]], Contract_Edits[Index], Contract_Edits[DrawNu],), "")</f>
        <v>102000</v>
      </c>
      <c r="J36" s="577">
        <f>IF(ROW()=2,+qryGnattToDraws[[#This Row],[Due]],+qryGnattToDraws[[#This Row],[Due]]+J35)</f>
        <v>9665.4700000000012</v>
      </c>
      <c r="M36" s="185">
        <f>IF(qryGnattToDraws[[#This Row],[Draws]]&gt;0,+K36*Profit!$B$41/24,0)</f>
        <v>0</v>
      </c>
      <c r="N36" s="185">
        <f>+qryGnattToDraws[[#This Row],[Interest]]+N35</f>
        <v>0</v>
      </c>
    </row>
    <row r="37" spans="1:14">
      <c r="A37">
        <v>110</v>
      </c>
      <c r="B37" t="s">
        <v>521</v>
      </c>
      <c r="C37" t="s">
        <v>591</v>
      </c>
      <c r="D37" t="s">
        <v>693</v>
      </c>
      <c r="E37" t="s">
        <v>797</v>
      </c>
      <c r="F37"/>
      <c r="G37" s="185">
        <v>4930</v>
      </c>
      <c r="H37"/>
      <c r="I37">
        <f>IFERROR(_xlfn.XLOOKUP(qryGnattToDraws[[#This Row],[Index]], Contract_Edits[Index], Contract_Edits[DrawNu],), "")</f>
        <v>102000</v>
      </c>
      <c r="J37" s="577">
        <f>IF(ROW()=2,+qryGnattToDraws[[#This Row],[Due]],+qryGnattToDraws[[#This Row],[Due]]+J36)</f>
        <v>9665.4700000000012</v>
      </c>
      <c r="M37" s="185">
        <f>IF(qryGnattToDraws[[#This Row],[Draws]]&gt;0,+K37*Profit!$B$41/24,0)</f>
        <v>0</v>
      </c>
      <c r="N37" s="185">
        <f>+qryGnattToDraws[[#This Row],[Interest]]+N36</f>
        <v>0</v>
      </c>
    </row>
    <row r="38" spans="1:14">
      <c r="A38">
        <v>56</v>
      </c>
      <c r="B38" t="s">
        <v>608</v>
      </c>
      <c r="C38" t="s">
        <v>591</v>
      </c>
      <c r="D38" t="s">
        <v>619</v>
      </c>
      <c r="E38" t="s">
        <v>797</v>
      </c>
      <c r="F38"/>
      <c r="G38" s="185">
        <v>7540</v>
      </c>
      <c r="H38"/>
      <c r="I38">
        <f>IFERROR(_xlfn.XLOOKUP(qryGnattToDraws[[#This Row],[Index]], Contract_Edits[Index], Contract_Edits[DrawNu],), "")</f>
        <v>102000</v>
      </c>
      <c r="J38" s="577">
        <f>IF(ROW()=2,+qryGnattToDraws[[#This Row],[Due]],+qryGnattToDraws[[#This Row],[Due]]+J37)</f>
        <v>9665.4700000000012</v>
      </c>
      <c r="M38" s="185">
        <f>IF(qryGnattToDraws[[#This Row],[Draws]]&gt;0,+K38*Profit!$B$41/24,0)</f>
        <v>0</v>
      </c>
      <c r="N38" s="185">
        <f>+qryGnattToDraws[[#This Row],[Interest]]+N37</f>
        <v>0</v>
      </c>
    </row>
    <row r="39" spans="1:14">
      <c r="A39">
        <v>26</v>
      </c>
      <c r="B39" t="s">
        <v>555</v>
      </c>
      <c r="C39" t="s">
        <v>568</v>
      </c>
      <c r="D39" t="s">
        <v>569</v>
      </c>
      <c r="E39" t="s">
        <v>797</v>
      </c>
      <c r="F39"/>
      <c r="G39" s="185">
        <v>507.5</v>
      </c>
      <c r="H39"/>
      <c r="I39">
        <f>IFERROR(_xlfn.XLOOKUP(qryGnattToDraws[[#This Row],[Index]], Contract_Edits[Index], Contract_Edits[DrawNu],), "")</f>
        <v>102000</v>
      </c>
      <c r="J39" s="577">
        <f>IF(ROW()=2,+qryGnattToDraws[[#This Row],[Due]],+qryGnattToDraws[[#This Row],[Due]]+J38)</f>
        <v>9665.4700000000012</v>
      </c>
      <c r="M39" s="185">
        <f>IF(qryGnattToDraws[[#This Row],[Draws]]&gt;0,+K39*Profit!$B$41/24,0)</f>
        <v>0</v>
      </c>
      <c r="N39" s="185">
        <f>+qryGnattToDraws[[#This Row],[Interest]]+N38</f>
        <v>0</v>
      </c>
    </row>
    <row r="40" spans="1:14">
      <c r="A40">
        <v>39</v>
      </c>
      <c r="B40" t="s">
        <v>587</v>
      </c>
      <c r="C40" t="s">
        <v>591</v>
      </c>
      <c r="D40" t="s">
        <v>592</v>
      </c>
      <c r="E40" t="s">
        <v>797</v>
      </c>
      <c r="F40"/>
      <c r="G40" s="185">
        <v>3625</v>
      </c>
      <c r="H40"/>
      <c r="I40">
        <f>IFERROR(_xlfn.XLOOKUP(qryGnattToDraws[[#This Row],[Index]], Contract_Edits[Index], Contract_Edits[DrawNu],), "")</f>
        <v>102000</v>
      </c>
      <c r="J40" s="577">
        <f>IF(ROW()=2,+qryGnattToDraws[[#This Row],[Due]],+qryGnattToDraws[[#This Row],[Due]]+J39)</f>
        <v>9665.4700000000012</v>
      </c>
      <c r="M40" s="185">
        <f>IF(qryGnattToDraws[[#This Row],[Draws]]&gt;0,+K40*Profit!$B$41/24,0)</f>
        <v>0</v>
      </c>
      <c r="N40" s="185">
        <f>+qryGnattToDraws[[#This Row],[Interest]]+N39</f>
        <v>0</v>
      </c>
    </row>
    <row r="41" spans="1:14">
      <c r="A41">
        <v>122</v>
      </c>
      <c r="B41" t="s">
        <v>521</v>
      </c>
      <c r="C41" t="s">
        <v>579</v>
      </c>
      <c r="D41" t="s">
        <v>1516</v>
      </c>
      <c r="E41" t="s">
        <v>797</v>
      </c>
      <c r="F41"/>
      <c r="G41" s="185">
        <v>2900</v>
      </c>
      <c r="H41"/>
      <c r="I41">
        <f>IFERROR(_xlfn.XLOOKUP(qryGnattToDraws[[#This Row],[Index]], Contract_Edits[Index], Contract_Edits[DrawNu],), "")</f>
        <v>102000</v>
      </c>
      <c r="J41" s="577">
        <f>IF(ROW()=2,+qryGnattToDraws[[#This Row],[Due]],+qryGnattToDraws[[#This Row],[Due]]+J40)</f>
        <v>9665.4700000000012</v>
      </c>
      <c r="M41" s="185">
        <f>IF(qryGnattToDraws[[#This Row],[Draws]]&gt;0,+K41*Profit!$B$41/24,0)</f>
        <v>0</v>
      </c>
      <c r="N41" s="185">
        <f>+qryGnattToDraws[[#This Row],[Interest]]+N40</f>
        <v>0</v>
      </c>
    </row>
    <row r="42" spans="1:14">
      <c r="A42">
        <v>200</v>
      </c>
      <c r="B42" t="s">
        <v>793</v>
      </c>
      <c r="C42" t="s">
        <v>1452</v>
      </c>
      <c r="D42" t="s">
        <v>1486</v>
      </c>
      <c r="E42">
        <v>0</v>
      </c>
      <c r="F42"/>
      <c r="H42"/>
      <c r="I42">
        <f>IFERROR(_xlfn.XLOOKUP(qryGnattToDraws[[#This Row],[Index]], Contract_Edits[Index], Contract_Edits[DrawNu],), "")</f>
        <v>0</v>
      </c>
      <c r="J42" s="577">
        <f>IF(ROW()=2,+qryGnattToDraws[[#This Row],[Due]],+qryGnattToDraws[[#This Row],[Due]]+J41)</f>
        <v>9665.4700000000012</v>
      </c>
      <c r="M42" s="185">
        <f>IF(qryGnattToDraws[[#This Row],[Draws]]&gt;0,+K42*Profit!$B$41/24,0)</f>
        <v>0</v>
      </c>
      <c r="N42" s="185">
        <f>+qryGnattToDraws[[#This Row],[Interest]]+N41</f>
        <v>0</v>
      </c>
    </row>
    <row r="43" spans="1:14">
      <c r="A43">
        <v>80</v>
      </c>
      <c r="B43" t="s">
        <v>639</v>
      </c>
      <c r="C43" t="s">
        <v>570</v>
      </c>
      <c r="D43" t="s">
        <v>652</v>
      </c>
      <c r="E43" t="s">
        <v>797</v>
      </c>
      <c r="F43"/>
      <c r="G43" s="185">
        <v>3625</v>
      </c>
      <c r="H43"/>
      <c r="I43">
        <f>IFERROR(_xlfn.XLOOKUP(qryGnattToDraws[[#This Row],[Index]], Contract_Edits[Index], Contract_Edits[DrawNu],), "")</f>
        <v>102100</v>
      </c>
      <c r="J43" s="577">
        <f>IF(ROW()=2,+qryGnattToDraws[[#This Row],[Due]],+qryGnattToDraws[[#This Row],[Due]]+J42)</f>
        <v>9665.4700000000012</v>
      </c>
      <c r="M43" s="185">
        <f>IF(qryGnattToDraws[[#This Row],[Draws]]&gt;0,+K43*Profit!$B$41/24,0)</f>
        <v>0</v>
      </c>
      <c r="N43" s="185">
        <f>+qryGnattToDraws[[#This Row],[Interest]]+N42</f>
        <v>0</v>
      </c>
    </row>
    <row r="44" spans="1:14">
      <c r="A44">
        <v>112</v>
      </c>
      <c r="B44" t="s">
        <v>521</v>
      </c>
      <c r="C44" t="s">
        <v>570</v>
      </c>
      <c r="D44" t="s">
        <v>695</v>
      </c>
      <c r="E44" t="s">
        <v>797</v>
      </c>
      <c r="F44"/>
      <c r="G44" s="185">
        <v>2753.55</v>
      </c>
      <c r="H44"/>
      <c r="I44">
        <f>IFERROR(_xlfn.XLOOKUP(qryGnattToDraws[[#This Row],[Index]], Contract_Edits[Index], Contract_Edits[DrawNu],), "")</f>
        <v>102100</v>
      </c>
      <c r="J44" s="577">
        <f>IF(ROW()=2,+qryGnattToDraws[[#This Row],[Due]],+qryGnattToDraws[[#This Row],[Due]]+J43)</f>
        <v>9665.4700000000012</v>
      </c>
      <c r="M44" s="185">
        <f>IF(qryGnattToDraws[[#This Row],[Draws]]&gt;0,+K44*Profit!$B$41/24,0)</f>
        <v>0</v>
      </c>
      <c r="N44" s="185">
        <f>+qryGnattToDraws[[#This Row],[Interest]]+N43</f>
        <v>0</v>
      </c>
    </row>
    <row r="45" spans="1:14">
      <c r="A45">
        <v>58</v>
      </c>
      <c r="B45" t="s">
        <v>608</v>
      </c>
      <c r="C45" t="s">
        <v>570</v>
      </c>
      <c r="D45" t="s">
        <v>622</v>
      </c>
      <c r="E45" t="s">
        <v>797</v>
      </c>
      <c r="F45"/>
      <c r="G45" s="185">
        <v>5425</v>
      </c>
      <c r="H45"/>
      <c r="I45">
        <f>IFERROR(_xlfn.XLOOKUP(qryGnattToDraws[[#This Row],[Index]], Contract_Edits[Index], Contract_Edits[DrawNu],), "")</f>
        <v>102100</v>
      </c>
      <c r="J45" s="577">
        <f>IF(ROW()=2,+qryGnattToDraws[[#This Row],[Due]],+qryGnattToDraws[[#This Row],[Due]]+J44)</f>
        <v>9665.4700000000012</v>
      </c>
      <c r="M45" s="185">
        <f>IF(qryGnattToDraws[[#This Row],[Draws]]&gt;0,+K45*Profit!$B$41/24,0)</f>
        <v>0</v>
      </c>
      <c r="N45" s="185">
        <f>+qryGnattToDraws[[#This Row],[Interest]]+N44</f>
        <v>0</v>
      </c>
    </row>
    <row r="46" spans="1:14">
      <c r="A46">
        <v>41</v>
      </c>
      <c r="B46" t="s">
        <v>587</v>
      </c>
      <c r="C46" t="s">
        <v>594</v>
      </c>
      <c r="D46" t="s">
        <v>595</v>
      </c>
      <c r="E46" t="s">
        <v>797</v>
      </c>
      <c r="F46"/>
      <c r="G46" s="185">
        <v>1450</v>
      </c>
      <c r="H46"/>
      <c r="I46">
        <f>IFERROR(_xlfn.XLOOKUP(qryGnattToDraws[[#This Row],[Index]], Contract_Edits[Index], Contract_Edits[DrawNu],), "")</f>
        <v>102100</v>
      </c>
      <c r="J46" s="577">
        <f>IF(ROW()=2,+qryGnattToDraws[[#This Row],[Due]],+qryGnattToDraws[[#This Row],[Due]]+J45)</f>
        <v>9665.4700000000012</v>
      </c>
      <c r="M46" s="185">
        <f>IF(qryGnattToDraws[[#This Row],[Draws]]&gt;0,+K46*Profit!$B$41/24,0)</f>
        <v>0</v>
      </c>
      <c r="N46" s="185">
        <f>+qryGnattToDraws[[#This Row],[Interest]]+N45</f>
        <v>0</v>
      </c>
    </row>
    <row r="47" spans="1:14">
      <c r="A47">
        <v>27</v>
      </c>
      <c r="B47" t="s">
        <v>555</v>
      </c>
      <c r="C47" t="s">
        <v>570</v>
      </c>
      <c r="D47" t="s">
        <v>571</v>
      </c>
      <c r="E47" t="s">
        <v>797</v>
      </c>
      <c r="F47"/>
      <c r="G47" s="185">
        <v>5075</v>
      </c>
      <c r="H47"/>
      <c r="I47">
        <f>IFERROR(_xlfn.XLOOKUP(qryGnattToDraws[[#This Row],[Index]], Contract_Edits[Index], Contract_Edits[DrawNu],), "")</f>
        <v>102100</v>
      </c>
      <c r="J47" s="577">
        <f>IF(ROW()=2,+qryGnattToDraws[[#This Row],[Due]],+qryGnattToDraws[[#This Row],[Due]]+J46)</f>
        <v>9665.4700000000012</v>
      </c>
      <c r="M47" s="185">
        <f>IF(qryGnattToDraws[[#This Row],[Draws]]&gt;0,+K47*Profit!$B$41/24,0)</f>
        <v>0</v>
      </c>
      <c r="N47" s="185">
        <f>+qryGnattToDraws[[#This Row],[Interest]]+N46</f>
        <v>0</v>
      </c>
    </row>
    <row r="48" spans="1:14">
      <c r="A48">
        <v>914</v>
      </c>
      <c r="B48" t="s">
        <v>517</v>
      </c>
      <c r="C48" t="s">
        <v>1396</v>
      </c>
      <c r="D48" t="s">
        <v>1397</v>
      </c>
      <c r="E48" t="s">
        <v>797</v>
      </c>
      <c r="F48"/>
      <c r="G48" s="185">
        <v>11963.1369</v>
      </c>
      <c r="H48"/>
      <c r="I48">
        <f>IFERROR(_xlfn.XLOOKUP(qryGnattToDraws[[#This Row],[Index]], Contract_Edits[Index], Contract_Edits[DrawNu],), "")</f>
        <v>102100</v>
      </c>
      <c r="J48" s="577">
        <f>IF(ROW()=2,+qryGnattToDraws[[#This Row],[Due]],+qryGnattToDraws[[#This Row],[Due]]+J47)</f>
        <v>9665.4700000000012</v>
      </c>
      <c r="M48" s="185">
        <f>IF(qryGnattToDraws[[#This Row],[Draws]]&gt;0,+K48*Profit!$B$41/24,0)</f>
        <v>0</v>
      </c>
      <c r="N48" s="185">
        <f>+qryGnattToDraws[[#This Row],[Interest]]+N47</f>
        <v>0</v>
      </c>
    </row>
    <row r="49" spans="1:14">
      <c r="A49">
        <v>192</v>
      </c>
      <c r="B49" t="s">
        <v>793</v>
      </c>
      <c r="C49" t="s">
        <v>570</v>
      </c>
      <c r="D49" t="s">
        <v>1469</v>
      </c>
      <c r="E49">
        <v>0</v>
      </c>
      <c r="F49"/>
      <c r="H49"/>
      <c r="I49">
        <f>IFERROR(_xlfn.XLOOKUP(qryGnattToDraws[[#This Row],[Index]], Contract_Edits[Index], Contract_Edits[DrawNu],), "")</f>
        <v>0</v>
      </c>
      <c r="J49" s="577">
        <f>IF(ROW()=2,+qryGnattToDraws[[#This Row],[Due]],+qryGnattToDraws[[#This Row],[Due]]+J48)</f>
        <v>9665.4700000000012</v>
      </c>
      <c r="M49" s="185">
        <f>IF(qryGnattToDraws[[#This Row],[Draws]]&gt;0,+K49*Profit!$B$41/24,0)</f>
        <v>0</v>
      </c>
      <c r="N49" s="185">
        <f>+qryGnattToDraws[[#This Row],[Interest]]+N48</f>
        <v>0</v>
      </c>
    </row>
    <row r="50" spans="1:14">
      <c r="A50">
        <v>79</v>
      </c>
      <c r="B50" t="s">
        <v>639</v>
      </c>
      <c r="C50" t="s">
        <v>620</v>
      </c>
      <c r="D50" t="s">
        <v>651</v>
      </c>
      <c r="E50" t="s">
        <v>797</v>
      </c>
      <c r="F50"/>
      <c r="G50" s="185">
        <v>1740</v>
      </c>
      <c r="H50"/>
      <c r="I50">
        <f>IFERROR(_xlfn.XLOOKUP(qryGnattToDraws[[#This Row],[Index]], Contract_Edits[Index], Contract_Edits[DrawNu],), "")</f>
        <v>102600</v>
      </c>
      <c r="J50" s="577">
        <f>IF(ROW()=2,+qryGnattToDraws[[#This Row],[Due]],+qryGnattToDraws[[#This Row],[Due]]+J49)</f>
        <v>9665.4700000000012</v>
      </c>
      <c r="M50" s="185">
        <f>IF(qryGnattToDraws[[#This Row],[Draws]]&gt;0,+K50*Profit!$B$41/24,0)</f>
        <v>0</v>
      </c>
      <c r="N50" s="185">
        <f>+qryGnattToDraws[[#This Row],[Interest]]+N49</f>
        <v>0</v>
      </c>
    </row>
    <row r="51" spans="1:14">
      <c r="A51">
        <v>111</v>
      </c>
      <c r="B51" t="s">
        <v>521</v>
      </c>
      <c r="C51" t="s">
        <v>620</v>
      </c>
      <c r="D51" t="s">
        <v>694</v>
      </c>
      <c r="E51" t="s">
        <v>797</v>
      </c>
      <c r="F51"/>
      <c r="G51" s="185">
        <v>1595</v>
      </c>
      <c r="H51"/>
      <c r="I51">
        <f>IFERROR(_xlfn.XLOOKUP(qryGnattToDraws[[#This Row],[Index]], Contract_Edits[Index], Contract_Edits[DrawNu],), "")</f>
        <v>102600</v>
      </c>
      <c r="J51" s="577">
        <f>IF(ROW()=2,+qryGnattToDraws[[#This Row],[Due]],+qryGnattToDraws[[#This Row],[Due]]+J50)</f>
        <v>9665.4700000000012</v>
      </c>
      <c r="M51" s="185">
        <f>IF(qryGnattToDraws[[#This Row],[Draws]]&gt;0,+K51*Profit!$B$41/24,0)</f>
        <v>0</v>
      </c>
      <c r="N51" s="185">
        <f>+qryGnattToDraws[[#This Row],[Interest]]+N50</f>
        <v>0</v>
      </c>
    </row>
    <row r="52" spans="1:14">
      <c r="A52">
        <v>40</v>
      </c>
      <c r="B52" t="s">
        <v>587</v>
      </c>
      <c r="C52" t="s">
        <v>527</v>
      </c>
      <c r="D52" t="s">
        <v>593</v>
      </c>
      <c r="E52" t="s">
        <v>797</v>
      </c>
      <c r="F52"/>
      <c r="G52" s="185">
        <v>1160</v>
      </c>
      <c r="H52"/>
      <c r="I52">
        <f>IFERROR(_xlfn.XLOOKUP(qryGnattToDraws[[#This Row],[Index]], Contract_Edits[Index], Contract_Edits[DrawNu],), "")</f>
        <v>102600</v>
      </c>
      <c r="J52" s="577">
        <f>IF(ROW()=2,+qryGnattToDraws[[#This Row],[Due]],+qryGnattToDraws[[#This Row],[Due]]+J51)</f>
        <v>9665.4700000000012</v>
      </c>
      <c r="M52" s="185">
        <f>IF(qryGnattToDraws[[#This Row],[Draws]]&gt;0,+K52*Profit!$B$41/24,0)</f>
        <v>0</v>
      </c>
      <c r="N52" s="185">
        <f>+qryGnattToDraws[[#This Row],[Interest]]+N51</f>
        <v>0</v>
      </c>
    </row>
    <row r="53" spans="1:14">
      <c r="A53">
        <v>57</v>
      </c>
      <c r="B53" t="s">
        <v>608</v>
      </c>
      <c r="C53" t="s">
        <v>620</v>
      </c>
      <c r="D53" t="s">
        <v>621</v>
      </c>
      <c r="E53" t="s">
        <v>797</v>
      </c>
      <c r="F53"/>
      <c r="G53" s="185">
        <v>3625</v>
      </c>
      <c r="H53"/>
      <c r="I53">
        <f>IFERROR(_xlfn.XLOOKUP(qryGnattToDraws[[#This Row],[Index]], Contract_Edits[Index], Contract_Edits[DrawNu],), "")</f>
        <v>102600</v>
      </c>
      <c r="J53" s="577">
        <f>IF(ROW()=2,+qryGnattToDraws[[#This Row],[Due]],+qryGnattToDraws[[#This Row],[Due]]+J52)</f>
        <v>9665.4700000000012</v>
      </c>
      <c r="M53" s="185">
        <f>IF(qryGnattToDraws[[#This Row],[Draws]]&gt;0,+K53*Profit!$B$41/24,0)</f>
        <v>0</v>
      </c>
      <c r="N53" s="185">
        <f>+qryGnattToDraws[[#This Row],[Interest]]+N52</f>
        <v>0</v>
      </c>
    </row>
    <row r="54" spans="1:14">
      <c r="A54">
        <v>145</v>
      </c>
      <c r="B54" t="s">
        <v>523</v>
      </c>
      <c r="C54" t="s">
        <v>620</v>
      </c>
      <c r="D54" t="s">
        <v>739</v>
      </c>
      <c r="E54" t="s">
        <v>797</v>
      </c>
      <c r="F54"/>
      <c r="H54"/>
      <c r="I54">
        <f>IFERROR(_xlfn.XLOOKUP(qryGnattToDraws[[#This Row],[Index]], Contract_Edits[Index], Contract_Edits[DrawNu],), "")</f>
        <v>102600</v>
      </c>
      <c r="J54" s="577">
        <f>IF(ROW()=2,+qryGnattToDraws[[#This Row],[Due]],+qryGnattToDraws[[#This Row],[Due]]+J53)</f>
        <v>9665.4700000000012</v>
      </c>
      <c r="M54" s="185">
        <f>IF(qryGnattToDraws[[#This Row],[Draws]]&gt;0,+K54*Profit!$B$41/24,0)</f>
        <v>0</v>
      </c>
      <c r="N54" s="185">
        <f>+qryGnattToDraws[[#This Row],[Interest]]+N53</f>
        <v>0</v>
      </c>
    </row>
    <row r="55" spans="1:14">
      <c r="A55">
        <v>28</v>
      </c>
      <c r="B55" t="s">
        <v>555</v>
      </c>
      <c r="C55" t="s">
        <v>527</v>
      </c>
      <c r="D55" t="s">
        <v>572</v>
      </c>
      <c r="E55" t="s">
        <v>797</v>
      </c>
      <c r="F55"/>
      <c r="G55" s="185">
        <v>725</v>
      </c>
      <c r="H55"/>
      <c r="I55">
        <f>IFERROR(_xlfn.XLOOKUP(qryGnattToDraws[[#This Row],[Index]], Contract_Edits[Index], Contract_Edits[DrawNu],), "")</f>
        <v>102600</v>
      </c>
      <c r="J55" s="577">
        <f>IF(ROW()=2,+qryGnattToDraws[[#This Row],[Due]],+qryGnattToDraws[[#This Row],[Due]]+J54)</f>
        <v>9665.4700000000012</v>
      </c>
      <c r="M55" s="185">
        <f>IF(qryGnattToDraws[[#This Row],[Draws]]&gt;0,+K55*Profit!$B$41/24,0)</f>
        <v>0</v>
      </c>
      <c r="N55" s="185">
        <f>+qryGnattToDraws[[#This Row],[Interest]]+N54</f>
        <v>0</v>
      </c>
    </row>
    <row r="56" spans="1:14">
      <c r="A56">
        <v>83</v>
      </c>
      <c r="B56" t="s">
        <v>639</v>
      </c>
      <c r="C56" t="s">
        <v>656</v>
      </c>
      <c r="D56" t="s">
        <v>657</v>
      </c>
      <c r="E56" t="s">
        <v>797</v>
      </c>
      <c r="F56"/>
      <c r="G56" s="185">
        <v>312.5</v>
      </c>
      <c r="H56"/>
      <c r="I56">
        <f>IFERROR(_xlfn.XLOOKUP(qryGnattToDraws[[#This Row],[Index]], Contract_Edits[Index], Contract_Edits[DrawNu],), "")</f>
        <v>103500</v>
      </c>
      <c r="J56" s="577">
        <f>IF(ROW()=2,+qryGnattToDraws[[#This Row],[Due]],+qryGnattToDraws[[#This Row],[Due]]+J55)</f>
        <v>9665.4700000000012</v>
      </c>
      <c r="M56" s="185">
        <f>IF(qryGnattToDraws[[#This Row],[Draws]]&gt;0,+K56*Profit!$B$41/24,0)</f>
        <v>0</v>
      </c>
      <c r="N56" s="185">
        <f>+qryGnattToDraws[[#This Row],[Interest]]+N55</f>
        <v>0</v>
      </c>
    </row>
    <row r="57" spans="1:14">
      <c r="A57">
        <v>113</v>
      </c>
      <c r="B57" t="s">
        <v>521</v>
      </c>
      <c r="C57" t="s">
        <v>656</v>
      </c>
      <c r="D57" t="s">
        <v>696</v>
      </c>
      <c r="E57" t="s">
        <v>797</v>
      </c>
      <c r="F57"/>
      <c r="G57" s="185">
        <v>870</v>
      </c>
      <c r="H57"/>
      <c r="I57">
        <f>IFERROR(_xlfn.XLOOKUP(qryGnattToDraws[[#This Row],[Index]], Contract_Edits[Index], Contract_Edits[DrawNu],), "")</f>
        <v>103500</v>
      </c>
      <c r="J57" s="577">
        <f>IF(ROW()=2,+qryGnattToDraws[[#This Row],[Due]],+qryGnattToDraws[[#This Row],[Due]]+J56)</f>
        <v>9665.4700000000012</v>
      </c>
      <c r="M57" s="185">
        <f>IF(qryGnattToDraws[[#This Row],[Draws]]&gt;0,+K57*Profit!$B$41/24,0)</f>
        <v>0</v>
      </c>
      <c r="N57" s="185">
        <f>+qryGnattToDraws[[#This Row],[Interest]]+N56</f>
        <v>0</v>
      </c>
    </row>
    <row r="58" spans="1:14">
      <c r="A58">
        <v>128</v>
      </c>
      <c r="B58" t="s">
        <v>639</v>
      </c>
      <c r="C58" t="s">
        <v>649</v>
      </c>
      <c r="D58" t="s">
        <v>714</v>
      </c>
      <c r="E58" t="s">
        <v>797</v>
      </c>
      <c r="F58"/>
      <c r="G58" s="185">
        <v>5437.5</v>
      </c>
      <c r="H58"/>
      <c r="I58">
        <f>IFERROR(_xlfn.XLOOKUP(qryGnattToDraws[[#This Row],[Index]], Contract_Edits[Index], Contract_Edits[DrawNu],), "")</f>
        <v>101300</v>
      </c>
      <c r="J58" s="577">
        <f>IF(ROW()=2,+qryGnattToDraws[[#This Row],[Due]],+qryGnattToDraws[[#This Row],[Due]]+J57)</f>
        <v>9665.4700000000012</v>
      </c>
      <c r="M58" s="185">
        <f>IF(qryGnattToDraws[[#This Row],[Draws]]&gt;0,+K58*Profit!$B$41/24,0)</f>
        <v>0</v>
      </c>
      <c r="N58" s="185">
        <f>+qryGnattToDraws[[#This Row],[Interest]]+N57</f>
        <v>0</v>
      </c>
    </row>
    <row r="59" spans="1:14">
      <c r="A59">
        <v>72</v>
      </c>
      <c r="B59" t="s">
        <v>639</v>
      </c>
      <c r="C59" t="s">
        <v>640</v>
      </c>
      <c r="D59" t="s">
        <v>641</v>
      </c>
      <c r="E59" t="s">
        <v>458</v>
      </c>
      <c r="F59"/>
      <c r="G59" s="185">
        <v>435</v>
      </c>
      <c r="H59">
        <v>435</v>
      </c>
      <c r="I59">
        <f>IFERROR(_xlfn.XLOOKUP(qryGnattToDraws[[#This Row],[Index]], Contract_Edits[Index], Contract_Edits[DrawNu],), "")</f>
        <v>0</v>
      </c>
      <c r="J59" s="577">
        <f>IF(ROW()=2,+qryGnattToDraws[[#This Row],[Due]],+qryGnattToDraws[[#This Row],[Due]]+J58)</f>
        <v>10100.470000000001</v>
      </c>
      <c r="M59" s="185">
        <f>IF(qryGnattToDraws[[#This Row],[Draws]]&gt;0,+K59*Profit!$B$41/24,0)</f>
        <v>0</v>
      </c>
      <c r="N59" s="185">
        <f>+qryGnattToDraws[[#This Row],[Interest]]+N58</f>
        <v>0</v>
      </c>
    </row>
    <row r="60" spans="1:14">
      <c r="A60">
        <v>22</v>
      </c>
      <c r="B60" t="s">
        <v>555</v>
      </c>
      <c r="C60" t="s">
        <v>562</v>
      </c>
      <c r="D60" t="s">
        <v>563</v>
      </c>
      <c r="E60" t="s">
        <v>797</v>
      </c>
      <c r="F60"/>
      <c r="G60" s="185">
        <v>725</v>
      </c>
      <c r="H60"/>
      <c r="I60">
        <f>IFERROR(_xlfn.XLOOKUP(qryGnattToDraws[[#This Row],[Index]], Contract_Edits[Index], Contract_Edits[DrawNu],), "")</f>
        <v>101300</v>
      </c>
      <c r="J60" s="577">
        <f>IF(ROW()=2,+qryGnattToDraws[[#This Row],[Due]],+qryGnattToDraws[[#This Row],[Due]]+J59)</f>
        <v>10100.470000000001</v>
      </c>
      <c r="M60" s="185">
        <f>IF(qryGnattToDraws[[#This Row],[Draws]]&gt;0,+K60*Profit!$B$41/24,0)</f>
        <v>0</v>
      </c>
      <c r="N60" s="185">
        <f>+qryGnattToDraws[[#This Row],[Interest]]+N59</f>
        <v>0</v>
      </c>
    </row>
    <row r="61" spans="1:14">
      <c r="A61">
        <v>73</v>
      </c>
      <c r="B61" t="s">
        <v>639</v>
      </c>
      <c r="C61" t="s">
        <v>642</v>
      </c>
      <c r="D61" t="s">
        <v>643</v>
      </c>
      <c r="E61" t="s">
        <v>797</v>
      </c>
      <c r="F61"/>
      <c r="G61" s="185">
        <v>4785</v>
      </c>
      <c r="H61"/>
      <c r="I61">
        <f>IFERROR(_xlfn.XLOOKUP(qryGnattToDraws[[#This Row],[Index]], Contract_Edits[Index], Contract_Edits[DrawNu],), "")</f>
        <v>101400</v>
      </c>
      <c r="J61" s="577">
        <f>IF(ROW()=2,+qryGnattToDraws[[#This Row],[Due]],+qryGnattToDraws[[#This Row],[Due]]+J60)</f>
        <v>10100.470000000001</v>
      </c>
      <c r="M61" s="185">
        <f>IF(qryGnattToDraws[[#This Row],[Draws]]&gt;0,+K61*Profit!$B$41/24,0)</f>
        <v>0</v>
      </c>
      <c r="N61" s="185">
        <f>+qryGnattToDraws[[#This Row],[Interest]]+N60</f>
        <v>0</v>
      </c>
    </row>
    <row r="62" spans="1:14">
      <c r="A62">
        <v>53</v>
      </c>
      <c r="B62" t="s">
        <v>608</v>
      </c>
      <c r="C62" t="s">
        <v>615</v>
      </c>
      <c r="D62" t="s">
        <v>616</v>
      </c>
      <c r="E62" t="s">
        <v>458</v>
      </c>
      <c r="F62"/>
      <c r="G62" s="185">
        <v>7155</v>
      </c>
      <c r="H62">
        <v>7155</v>
      </c>
      <c r="I62">
        <f>IFERROR(_xlfn.XLOOKUP(qryGnattToDraws[[#This Row],[Index]], Contract_Edits[Index], Contract_Edits[DrawNu],), "")</f>
        <v>101400</v>
      </c>
      <c r="J62" s="577">
        <f>IF(ROW()=2,+qryGnattToDraws[[#This Row],[Due]],+qryGnattToDraws[[#This Row],[Due]]+J61)</f>
        <v>17255.47</v>
      </c>
      <c r="M62" s="185">
        <f>IF(qryGnattToDraws[[#This Row],[Draws]]&gt;0,+K62*Profit!$B$41/24,0)</f>
        <v>0</v>
      </c>
      <c r="N62" s="185">
        <f>+qryGnattToDraws[[#This Row],[Interest]]+N61</f>
        <v>0</v>
      </c>
    </row>
    <row r="63" spans="1:14">
      <c r="A63">
        <v>74</v>
      </c>
      <c r="B63" t="s">
        <v>639</v>
      </c>
      <c r="C63" t="s">
        <v>612</v>
      </c>
      <c r="D63" t="s">
        <v>644</v>
      </c>
      <c r="E63" t="s">
        <v>458</v>
      </c>
      <c r="F63"/>
      <c r="G63" s="185">
        <v>625</v>
      </c>
      <c r="H63">
        <v>625</v>
      </c>
      <c r="I63">
        <f>IFERROR(_xlfn.XLOOKUP(qryGnattToDraws[[#This Row],[Index]], Contract_Edits[Index], Contract_Edits[DrawNu],), "")</f>
        <v>104800</v>
      </c>
      <c r="J63" s="577">
        <f>IF(ROW()=2,+qryGnattToDraws[[#This Row],[Due]],+qryGnattToDraws[[#This Row],[Due]]+J62)</f>
        <v>17880.47</v>
      </c>
      <c r="M63" s="185">
        <f>IF(qryGnattToDraws[[#This Row],[Draws]]&gt;0,+K63*Profit!$B$41/24,0)</f>
        <v>0</v>
      </c>
      <c r="N63" s="185">
        <f>+qryGnattToDraws[[#This Row],[Interest]]+N62</f>
        <v>0</v>
      </c>
    </row>
    <row r="64" spans="1:14">
      <c r="A64">
        <v>101</v>
      </c>
      <c r="B64" t="s">
        <v>521</v>
      </c>
      <c r="C64" t="s">
        <v>610</v>
      </c>
      <c r="D64" t="s">
        <v>681</v>
      </c>
      <c r="E64" t="s">
        <v>797</v>
      </c>
      <c r="F64"/>
      <c r="G64" s="185">
        <v>4350</v>
      </c>
      <c r="H64"/>
      <c r="I64">
        <f>IFERROR(_xlfn.XLOOKUP(qryGnattToDraws[[#This Row],[Index]], Contract_Edits[Index], Contract_Edits[DrawNu],), "")</f>
        <v>101400</v>
      </c>
      <c r="J64" s="577">
        <f>IF(ROW()=2,+qryGnattToDraws[[#This Row],[Due]],+qryGnattToDraws[[#This Row],[Due]]+J63)</f>
        <v>17880.47</v>
      </c>
      <c r="M64" s="185">
        <f>IF(qryGnattToDraws[[#This Row],[Draws]]&gt;0,+K64*Profit!$B$41/24,0)</f>
        <v>0</v>
      </c>
      <c r="N64" s="185">
        <f>+qryGnattToDraws[[#This Row],[Interest]]+N63</f>
        <v>0</v>
      </c>
    </row>
    <row r="65" spans="1:14">
      <c r="A65">
        <v>137</v>
      </c>
      <c r="B65" t="s">
        <v>639</v>
      </c>
      <c r="C65" t="s">
        <v>728</v>
      </c>
      <c r="D65" t="s">
        <v>729</v>
      </c>
      <c r="E65" t="s">
        <v>797</v>
      </c>
      <c r="F65"/>
      <c r="H65"/>
      <c r="I65">
        <f>IFERROR(_xlfn.XLOOKUP(qryGnattToDraws[[#This Row],[Index]], Contract_Edits[Index], Contract_Edits[DrawNu],), "")</f>
        <v>0</v>
      </c>
      <c r="J65" s="577">
        <f>IF(ROW()=2,+qryGnattToDraws[[#This Row],[Due]],+qryGnattToDraws[[#This Row],[Due]]+J64)</f>
        <v>17880.47</v>
      </c>
      <c r="M65" s="185">
        <f>IF(qryGnattToDraws[[#This Row],[Draws]]&gt;0,+K65*Profit!$B$41/24,0)</f>
        <v>0</v>
      </c>
      <c r="N65" s="185">
        <f>+qryGnattToDraws[[#This Row],[Interest]]+N64</f>
        <v>0</v>
      </c>
    </row>
    <row r="66" spans="1:14">
      <c r="A66">
        <v>183</v>
      </c>
      <c r="B66" t="s">
        <v>793</v>
      </c>
      <c r="C66" t="s">
        <v>1419</v>
      </c>
      <c r="D66" t="s">
        <v>1461</v>
      </c>
      <c r="E66">
        <v>0</v>
      </c>
      <c r="F66"/>
      <c r="H66"/>
      <c r="I66">
        <f>IFERROR(_xlfn.XLOOKUP(qryGnattToDraws[[#This Row],[Index]], Contract_Edits[Index], Contract_Edits[DrawNu],), "")</f>
        <v>102800</v>
      </c>
      <c r="J66" s="577">
        <f>IF(ROW()=2,+qryGnattToDraws[[#This Row],[Due]],+qryGnattToDraws[[#This Row],[Due]]+J65)</f>
        <v>17880.47</v>
      </c>
      <c r="M66" s="185">
        <f>IF(qryGnattToDraws[[#This Row],[Draws]]&gt;0,+K66*Profit!$B$41/24,0)</f>
        <v>0</v>
      </c>
      <c r="N66" s="185">
        <f>+qryGnattToDraws[[#This Row],[Interest]]+N65</f>
        <v>0</v>
      </c>
    </row>
    <row r="67" spans="1:14" hidden="1">
      <c r="A67">
        <v>52</v>
      </c>
      <c r="B67" t="s">
        <v>608</v>
      </c>
      <c r="C67" t="s">
        <v>613</v>
      </c>
      <c r="D67" t="s">
        <v>614</v>
      </c>
      <c r="E67" t="s">
        <v>458</v>
      </c>
      <c r="F67"/>
      <c r="G67" s="185">
        <v>312.5</v>
      </c>
      <c r="H67">
        <v>312.5</v>
      </c>
      <c r="I67">
        <f>IFERROR(_xlfn.XLOOKUP(qryGnattToDraws[[#This Row],[Index]], Contract_Edits[Index], Contract_Edits[DrawNu],), "")</f>
        <v>0</v>
      </c>
      <c r="J67" s="577">
        <f>IF(ROW()=2,+qryGnattToDraws[[#This Row],[Due]],+qryGnattToDraws[[#This Row],[Due]]+J66)</f>
        <v>18192.97</v>
      </c>
      <c r="M67" s="185">
        <f>IF(qryGnattToDraws[[#This Row],[Draws]]&gt;0,+K67*Profit!$B$41/24,0)</f>
        <v>0</v>
      </c>
      <c r="N67" s="185">
        <f>+qryGnattToDraws[[#This Row],[Interest]]+N66</f>
        <v>0</v>
      </c>
    </row>
    <row r="68" spans="1:14">
      <c r="A68">
        <v>184</v>
      </c>
      <c r="B68" t="s">
        <v>517</v>
      </c>
      <c r="C68" t="s">
        <v>1420</v>
      </c>
      <c r="D68" t="s">
        <v>1468</v>
      </c>
      <c r="E68">
        <v>0</v>
      </c>
      <c r="F68"/>
      <c r="G68" s="185">
        <v>1359.72</v>
      </c>
      <c r="H68"/>
      <c r="I68">
        <f>IFERROR(_xlfn.XLOOKUP(qryGnattToDraws[[#This Row],[Index]], Contract_Edits[Index], Contract_Edits[DrawNu],), "")</f>
        <v>101400</v>
      </c>
      <c r="J68" s="577">
        <f>IF(ROW()=2,+qryGnattToDraws[[#This Row],[Due]],+qryGnattToDraws[[#This Row],[Due]]+J67)</f>
        <v>18192.97</v>
      </c>
      <c r="M68" s="185">
        <f>IF(qryGnattToDraws[[#This Row],[Draws]]&gt;0,+K68*Profit!$B$41/24,0)</f>
        <v>0</v>
      </c>
      <c r="N68" s="185">
        <f>+qryGnattToDraws[[#This Row],[Interest]]+N67</f>
        <v>0</v>
      </c>
    </row>
    <row r="69" spans="1:14">
      <c r="A69">
        <v>85</v>
      </c>
      <c r="B69" t="s">
        <v>639</v>
      </c>
      <c r="C69" t="s">
        <v>658</v>
      </c>
      <c r="D69" t="s">
        <v>660</v>
      </c>
      <c r="E69" t="s">
        <v>797</v>
      </c>
      <c r="F69"/>
      <c r="G69" s="185">
        <v>870</v>
      </c>
      <c r="H69"/>
      <c r="I69">
        <f>IFERROR(_xlfn.XLOOKUP(qryGnattToDraws[[#This Row],[Index]], Contract_Edits[Index], Contract_Edits[DrawNu],), "")</f>
        <v>103600</v>
      </c>
      <c r="J69" s="577">
        <f>IF(ROW()=2,+qryGnattToDraws[[#This Row],[Due]],+qryGnattToDraws[[#This Row],[Due]]+J68)</f>
        <v>18192.97</v>
      </c>
      <c r="M69" s="185">
        <f>IF(qryGnattToDraws[[#This Row],[Draws]]&gt;0,+K69*Profit!$B$41/24,0)</f>
        <v>0</v>
      </c>
      <c r="N69" s="185">
        <f>+qryGnattToDraws[[#This Row],[Interest]]+N68</f>
        <v>0</v>
      </c>
    </row>
    <row r="70" spans="1:14">
      <c r="A70">
        <v>115</v>
      </c>
      <c r="B70" t="s">
        <v>521</v>
      </c>
      <c r="C70" t="s">
        <v>596</v>
      </c>
      <c r="D70" t="s">
        <v>698</v>
      </c>
      <c r="E70" t="s">
        <v>797</v>
      </c>
      <c r="F70"/>
      <c r="G70" s="185">
        <v>0</v>
      </c>
      <c r="H70"/>
      <c r="I70">
        <f>IFERROR(_xlfn.XLOOKUP(qryGnattToDraws[[#This Row],[Index]], Contract_Edits[Index], Contract_Edits[DrawNu],), "")</f>
        <v>103600</v>
      </c>
      <c r="J70" s="577">
        <f>IF(ROW()=2,+qryGnattToDraws[[#This Row],[Due]],+qryGnattToDraws[[#This Row],[Due]]+J69)</f>
        <v>18192.97</v>
      </c>
      <c r="M70" s="185">
        <f>IF(qryGnattToDraws[[#This Row],[Draws]]&gt;0,+K70*Profit!$B$41/24,0)</f>
        <v>0</v>
      </c>
      <c r="N70" s="185">
        <f>+qryGnattToDraws[[#This Row],[Interest]]+N69</f>
        <v>0</v>
      </c>
    </row>
    <row r="71" spans="1:14">
      <c r="A71">
        <v>60</v>
      </c>
      <c r="B71" t="s">
        <v>608</v>
      </c>
      <c r="C71" t="s">
        <v>596</v>
      </c>
      <c r="D71" t="s">
        <v>624</v>
      </c>
      <c r="E71" t="s">
        <v>797</v>
      </c>
      <c r="F71"/>
      <c r="G71" s="185">
        <v>906.25</v>
      </c>
      <c r="H71"/>
      <c r="I71">
        <f>IFERROR(_xlfn.XLOOKUP(qryGnattToDraws[[#This Row],[Index]], Contract_Edits[Index], Contract_Edits[DrawNu],), "")</f>
        <v>103600</v>
      </c>
      <c r="J71" s="577">
        <f>IF(ROW()=2,+qryGnattToDraws[[#This Row],[Due]],+qryGnattToDraws[[#This Row],[Due]]+J70)</f>
        <v>18192.97</v>
      </c>
      <c r="M71" s="185">
        <f>IF(qryGnattToDraws[[#This Row],[Draws]]&gt;0,+K71*Profit!$B$41/24,0)</f>
        <v>0</v>
      </c>
      <c r="N71" s="185">
        <f>+qryGnattToDraws[[#This Row],[Interest]]+N70</f>
        <v>0</v>
      </c>
    </row>
    <row r="72" spans="1:14">
      <c r="A72">
        <v>114</v>
      </c>
      <c r="B72" t="s">
        <v>521</v>
      </c>
      <c r="C72" t="s">
        <v>596</v>
      </c>
      <c r="D72" t="s">
        <v>697</v>
      </c>
      <c r="E72" t="s">
        <v>797</v>
      </c>
      <c r="F72"/>
      <c r="G72" s="185">
        <v>2320</v>
      </c>
      <c r="H72"/>
      <c r="I72">
        <f>IFERROR(_xlfn.XLOOKUP(qryGnattToDraws[[#This Row],[Index]], Contract_Edits[Index], Contract_Edits[DrawNu],), "")</f>
        <v>103600</v>
      </c>
      <c r="J72" s="577">
        <f>IF(ROW()=2,+qryGnattToDraws[[#This Row],[Due]],+qryGnattToDraws[[#This Row],[Due]]+J71)</f>
        <v>18192.97</v>
      </c>
      <c r="M72" s="185">
        <f>IF(qryGnattToDraws[[#This Row],[Draws]]&gt;0,+K72*Profit!$B$41/24,0)</f>
        <v>0</v>
      </c>
      <c r="N72" s="185">
        <f>+qryGnattToDraws[[#This Row],[Interest]]+N71</f>
        <v>0</v>
      </c>
    </row>
    <row r="73" spans="1:14">
      <c r="A73">
        <v>84</v>
      </c>
      <c r="B73" t="s">
        <v>639</v>
      </c>
      <c r="C73" t="s">
        <v>658</v>
      </c>
      <c r="D73" t="s">
        <v>659</v>
      </c>
      <c r="E73" t="s">
        <v>797</v>
      </c>
      <c r="F73"/>
      <c r="G73" s="185">
        <v>3480</v>
      </c>
      <c r="H73"/>
      <c r="I73">
        <f>IFERROR(_xlfn.XLOOKUP(qryGnattToDraws[[#This Row],[Index]], Contract_Edits[Index], Contract_Edits[DrawNu],), "")</f>
        <v>103600</v>
      </c>
      <c r="J73" s="577">
        <f>IF(ROW()=2,+qryGnattToDraws[[#This Row],[Due]],+qryGnattToDraws[[#This Row],[Due]]+J72)</f>
        <v>18192.97</v>
      </c>
      <c r="M73" s="185">
        <f>IF(qryGnattToDraws[[#This Row],[Draws]]&gt;0,+K73*Profit!$B$41/24,0)</f>
        <v>0</v>
      </c>
      <c r="N73" s="185">
        <f>+qryGnattToDraws[[#This Row],[Interest]]+N72</f>
        <v>0</v>
      </c>
    </row>
    <row r="74" spans="1:14">
      <c r="A74">
        <v>59</v>
      </c>
      <c r="B74" t="s">
        <v>608</v>
      </c>
      <c r="C74" t="s">
        <v>596</v>
      </c>
      <c r="D74" t="s">
        <v>623</v>
      </c>
      <c r="E74" t="s">
        <v>797</v>
      </c>
      <c r="F74"/>
      <c r="G74" s="185">
        <v>4640</v>
      </c>
      <c r="H74"/>
      <c r="I74">
        <f>IFERROR(_xlfn.XLOOKUP(qryGnattToDraws[[#This Row],[Index]], Contract_Edits[Index], Contract_Edits[DrawNu],), "")</f>
        <v>103600</v>
      </c>
      <c r="J74" s="577">
        <f>IF(ROW()=2,+qryGnattToDraws[[#This Row],[Due]],+qryGnattToDraws[[#This Row],[Due]]+J73)</f>
        <v>18192.97</v>
      </c>
      <c r="M74" s="185">
        <f>IF(qryGnattToDraws[[#This Row],[Draws]]&gt;0,+K74*Profit!$B$41/24,0)</f>
        <v>0</v>
      </c>
      <c r="N74" s="185">
        <f>+qryGnattToDraws[[#This Row],[Interest]]+N73</f>
        <v>0</v>
      </c>
    </row>
    <row r="75" spans="1:14">
      <c r="A75">
        <v>42</v>
      </c>
      <c r="B75" t="s">
        <v>587</v>
      </c>
      <c r="C75" t="s">
        <v>596</v>
      </c>
      <c r="D75" t="s">
        <v>597</v>
      </c>
      <c r="E75" t="s">
        <v>797</v>
      </c>
      <c r="F75"/>
      <c r="G75" s="185">
        <v>1181.75</v>
      </c>
      <c r="H75"/>
      <c r="I75">
        <f>IFERROR(_xlfn.XLOOKUP(qryGnattToDraws[[#This Row],[Index]], Contract_Edits[Index], Contract_Edits[DrawNu],), "")</f>
        <v>103600</v>
      </c>
      <c r="J75" s="577">
        <f>IF(ROW()=2,+qryGnattToDraws[[#This Row],[Due]],+qryGnattToDraws[[#This Row],[Due]]+J74)</f>
        <v>18192.97</v>
      </c>
      <c r="M75" s="185">
        <f>IF(qryGnattToDraws[[#This Row],[Draws]]&gt;0,+K75*Profit!$B$41/24,0)</f>
        <v>0</v>
      </c>
      <c r="N75" s="185">
        <f>+qryGnattToDraws[[#This Row],[Interest]]+N74</f>
        <v>0</v>
      </c>
    </row>
    <row r="76" spans="1:14">
      <c r="A76">
        <v>29</v>
      </c>
      <c r="B76" t="s">
        <v>555</v>
      </c>
      <c r="C76" t="s">
        <v>573</v>
      </c>
      <c r="D76" t="s">
        <v>574</v>
      </c>
      <c r="E76" t="s">
        <v>797</v>
      </c>
      <c r="F76"/>
      <c r="G76" s="185">
        <v>4060</v>
      </c>
      <c r="H76"/>
      <c r="I76">
        <f>IFERROR(_xlfn.XLOOKUP(qryGnattToDraws[[#This Row],[Index]], Contract_Edits[Index], Contract_Edits[DrawNu],), "")</f>
        <v>103600</v>
      </c>
      <c r="J76" s="577">
        <f>IF(ROW()=2,+qryGnattToDraws[[#This Row],[Due]],+qryGnattToDraws[[#This Row],[Due]]+J75)</f>
        <v>18192.97</v>
      </c>
      <c r="M76" s="185">
        <f>IF(qryGnattToDraws[[#This Row],[Draws]]&gt;0,+K76*Profit!$B$41/24,0)</f>
        <v>0</v>
      </c>
      <c r="N76" s="185">
        <f>+qryGnattToDraws[[#This Row],[Interest]]+N75</f>
        <v>0</v>
      </c>
    </row>
    <row r="77" spans="1:14">
      <c r="A77">
        <v>65</v>
      </c>
      <c r="B77" t="s">
        <v>608</v>
      </c>
      <c r="C77" t="s">
        <v>577</v>
      </c>
      <c r="D77" t="s">
        <v>631</v>
      </c>
      <c r="E77" t="s">
        <v>797</v>
      </c>
      <c r="F77"/>
      <c r="G77" s="185">
        <v>312.5</v>
      </c>
      <c r="H77"/>
      <c r="I77">
        <f>IFERROR(_xlfn.XLOOKUP(qryGnattToDraws[[#This Row],[Index]], Contract_Edits[Index], Contract_Edits[DrawNu],), "")</f>
        <v>104800</v>
      </c>
      <c r="J77" s="577">
        <f>IF(ROW()=2,+qryGnattToDraws[[#This Row],[Due]],+qryGnattToDraws[[#This Row],[Due]]+J76)</f>
        <v>18192.97</v>
      </c>
      <c r="M77" s="185">
        <f>IF(qryGnattToDraws[[#This Row],[Draws]]&gt;0,+K77*Profit!$B$41/24,0)</f>
        <v>0</v>
      </c>
      <c r="N77" s="185">
        <f>+qryGnattToDraws[[#This Row],[Interest]]+N76</f>
        <v>0</v>
      </c>
    </row>
    <row r="78" spans="1:14">
      <c r="A78">
        <v>904</v>
      </c>
      <c r="B78" t="s">
        <v>517</v>
      </c>
      <c r="C78" t="s">
        <v>577</v>
      </c>
      <c r="D78" t="s">
        <v>837</v>
      </c>
      <c r="E78" t="s">
        <v>797</v>
      </c>
      <c r="F78"/>
      <c r="G78" s="185">
        <v>9545.25</v>
      </c>
      <c r="H78"/>
      <c r="I78">
        <f>IFERROR(_xlfn.XLOOKUP(qryGnattToDraws[[#This Row],[Index]], Contract_Edits[Index], Contract_Edits[DrawNu],), "")</f>
        <v>104800</v>
      </c>
      <c r="J78" s="577">
        <f>IF(ROW()=2,+qryGnattToDraws[[#This Row],[Due]],+qryGnattToDraws[[#This Row],[Due]]+J77)</f>
        <v>18192.97</v>
      </c>
      <c r="M78" s="185">
        <f>IF(qryGnattToDraws[[#This Row],[Draws]]&gt;0,+K78*Profit!$B$41/24,0)</f>
        <v>0</v>
      </c>
      <c r="N78" s="185">
        <f>+qryGnattToDraws[[#This Row],[Interest]]+N77</f>
        <v>0</v>
      </c>
    </row>
    <row r="79" spans="1:14">
      <c r="A79">
        <v>135</v>
      </c>
      <c r="B79" t="s">
        <v>639</v>
      </c>
      <c r="C79" t="s">
        <v>725</v>
      </c>
      <c r="D79" t="s">
        <v>726</v>
      </c>
      <c r="E79" t="s">
        <v>797</v>
      </c>
      <c r="F79"/>
      <c r="G79" s="185">
        <v>0</v>
      </c>
      <c r="H79"/>
      <c r="I79">
        <f>IFERROR(_xlfn.XLOOKUP(qryGnattToDraws[[#This Row],[Index]], Contract_Edits[Index], Contract_Edits[DrawNu],), "")</f>
        <v>104800</v>
      </c>
      <c r="J79" s="577">
        <f>IF(ROW()=2,+qryGnattToDraws[[#This Row],[Due]],+qryGnattToDraws[[#This Row],[Due]]+J78)</f>
        <v>18192.97</v>
      </c>
      <c r="M79" s="185">
        <f>IF(qryGnattToDraws[[#This Row],[Draws]]&gt;0,+K79*Profit!$B$41/24,0)</f>
        <v>0</v>
      </c>
      <c r="N79" s="185">
        <f>+qryGnattToDraws[[#This Row],[Interest]]+N78</f>
        <v>0</v>
      </c>
    </row>
    <row r="80" spans="1:14">
      <c r="A80">
        <v>88</v>
      </c>
      <c r="B80" t="s">
        <v>639</v>
      </c>
      <c r="C80" t="s">
        <v>577</v>
      </c>
      <c r="D80" t="s">
        <v>664</v>
      </c>
      <c r="E80" t="s">
        <v>797</v>
      </c>
      <c r="F80"/>
      <c r="G80" s="185">
        <v>937.5</v>
      </c>
      <c r="H80"/>
      <c r="I80">
        <f>IFERROR(_xlfn.XLOOKUP(qryGnattToDraws[[#This Row],[Index]], Contract_Edits[Index], Contract_Edits[DrawNu],), "")</f>
        <v>104800</v>
      </c>
      <c r="J80" s="577">
        <f>IF(ROW()=2,+qryGnattToDraws[[#This Row],[Due]],+qryGnattToDraws[[#This Row],[Due]]+J79)</f>
        <v>18192.97</v>
      </c>
      <c r="M80" s="185">
        <f>IF(qryGnattToDraws[[#This Row],[Draws]]&gt;0,+K80*Profit!$B$41/24,0)</f>
        <v>0</v>
      </c>
      <c r="N80" s="185">
        <f>+qryGnattToDraws[[#This Row],[Interest]]+N79</f>
        <v>0</v>
      </c>
    </row>
    <row r="81" spans="1:14">
      <c r="A81">
        <v>99</v>
      </c>
      <c r="B81" t="s">
        <v>639</v>
      </c>
      <c r="C81" t="s">
        <v>677</v>
      </c>
      <c r="D81" t="s">
        <v>678</v>
      </c>
      <c r="E81" t="s">
        <v>797</v>
      </c>
      <c r="F81"/>
      <c r="G81" s="185">
        <v>312.5</v>
      </c>
      <c r="H81"/>
      <c r="I81">
        <f>IFERROR(_xlfn.XLOOKUP(qryGnattToDraws[[#This Row],[Index]], Contract_Edits[Index], Contract_Edits[DrawNu],), "")</f>
        <v>104800</v>
      </c>
      <c r="J81" s="577">
        <f>IF(ROW()=2,+qryGnattToDraws[[#This Row],[Due]],+qryGnattToDraws[[#This Row],[Due]]+J80)</f>
        <v>18192.97</v>
      </c>
      <c r="M81" s="185">
        <f>IF(qryGnattToDraws[[#This Row],[Draws]]&gt;0,+K81*Profit!$B$41/24,0)</f>
        <v>0</v>
      </c>
      <c r="N81" s="185">
        <f>+qryGnattToDraws[[#This Row],[Interest]]+N80</f>
        <v>0</v>
      </c>
    </row>
    <row r="82" spans="1:14">
      <c r="A82">
        <v>116</v>
      </c>
      <c r="B82" t="s">
        <v>521</v>
      </c>
      <c r="C82" t="s">
        <v>577</v>
      </c>
      <c r="D82" t="s">
        <v>699</v>
      </c>
      <c r="E82" t="s">
        <v>797</v>
      </c>
      <c r="F82"/>
      <c r="G82" s="185">
        <v>312.5</v>
      </c>
      <c r="H82"/>
      <c r="I82">
        <f>IFERROR(_xlfn.XLOOKUP(qryGnattToDraws[[#This Row],[Index]], Contract_Edits[Index], Contract_Edits[DrawNu],), "")</f>
        <v>104800</v>
      </c>
      <c r="J82" s="577">
        <f>IF(ROW()=2,+qryGnattToDraws[[#This Row],[Due]],+qryGnattToDraws[[#This Row],[Due]]+J81)</f>
        <v>18192.97</v>
      </c>
      <c r="M82" s="185">
        <f>IF(qryGnattToDraws[[#This Row],[Draws]]&gt;0,+K82*Profit!$B$41/24,0)</f>
        <v>0</v>
      </c>
      <c r="N82" s="185">
        <f>+qryGnattToDraws[[#This Row],[Interest]]+N81</f>
        <v>0</v>
      </c>
    </row>
    <row r="83" spans="1:14">
      <c r="A83">
        <v>43</v>
      </c>
      <c r="B83" t="s">
        <v>587</v>
      </c>
      <c r="C83" t="s">
        <v>598</v>
      </c>
      <c r="D83" t="s">
        <v>599</v>
      </c>
      <c r="E83" t="s">
        <v>797</v>
      </c>
      <c r="F83"/>
      <c r="G83" s="185">
        <v>312.5</v>
      </c>
      <c r="H83"/>
      <c r="I83">
        <f>IFERROR(_xlfn.XLOOKUP(qryGnattToDraws[[#This Row],[Index]], Contract_Edits[Index], Contract_Edits[DrawNu],), "")</f>
        <v>104800</v>
      </c>
      <c r="J83" s="577">
        <f>IF(ROW()=2,+qryGnattToDraws[[#This Row],[Due]],+qryGnattToDraws[[#This Row],[Due]]+J82)</f>
        <v>18192.97</v>
      </c>
      <c r="M83" s="185">
        <f>IF(qryGnattToDraws[[#This Row],[Draws]]&gt;0,+K83*Profit!$B$41/24,0)</f>
        <v>0</v>
      </c>
      <c r="N83" s="185">
        <f>+qryGnattToDraws[[#This Row],[Interest]]+N82</f>
        <v>0</v>
      </c>
    </row>
    <row r="84" spans="1:14">
      <c r="A84">
        <v>31</v>
      </c>
      <c r="B84" t="s">
        <v>555</v>
      </c>
      <c r="C84" t="s">
        <v>577</v>
      </c>
      <c r="D84" t="s">
        <v>578</v>
      </c>
      <c r="E84" t="s">
        <v>797</v>
      </c>
      <c r="F84"/>
      <c r="G84" s="185">
        <v>937.5</v>
      </c>
      <c r="H84"/>
      <c r="I84">
        <f>IFERROR(_xlfn.XLOOKUP(qryGnattToDraws[[#This Row],[Index]], Contract_Edits[Index], Contract_Edits[DrawNu],), "")</f>
        <v>104800</v>
      </c>
      <c r="J84" s="577">
        <f>IF(ROW()=2,+qryGnattToDraws[[#This Row],[Due]],+qryGnattToDraws[[#This Row],[Due]]+J83)</f>
        <v>18192.97</v>
      </c>
      <c r="M84" s="185">
        <f>IF(qryGnattToDraws[[#This Row],[Draws]]&gt;0,+K84*Profit!$B$41/24,0)</f>
        <v>0</v>
      </c>
      <c r="N84" s="185">
        <f>+qryGnattToDraws[[#This Row],[Interest]]+N83</f>
        <v>0</v>
      </c>
    </row>
    <row r="85" spans="1:14">
      <c r="A85">
        <v>903</v>
      </c>
      <c r="B85" t="s">
        <v>517</v>
      </c>
      <c r="C85" t="s">
        <v>763</v>
      </c>
      <c r="D85" t="s">
        <v>836</v>
      </c>
      <c r="E85" t="s">
        <v>797</v>
      </c>
      <c r="F85"/>
      <c r="G85" s="185">
        <v>3886.5482500000003</v>
      </c>
      <c r="H85"/>
      <c r="I85">
        <f>IFERROR(_xlfn.XLOOKUP(qryGnattToDraws[[#This Row],[Index]], Contract_Edits[Index], Contract_Edits[DrawNu],), "")</f>
        <v>103700</v>
      </c>
      <c r="J85" s="577">
        <f>IF(ROW()=2,+qryGnattToDraws[[#This Row],[Due]],+qryGnattToDraws[[#This Row],[Due]]+J84)</f>
        <v>18192.97</v>
      </c>
      <c r="M85" s="185">
        <f>IF(qryGnattToDraws[[#This Row],[Draws]]&gt;0,+K85*Profit!$B$41/24,0)</f>
        <v>0</v>
      </c>
      <c r="N85" s="185">
        <f>+qryGnattToDraws[[#This Row],[Interest]]+N84</f>
        <v>0</v>
      </c>
    </row>
    <row r="86" spans="1:14">
      <c r="A86">
        <v>86</v>
      </c>
      <c r="B86" t="s">
        <v>639</v>
      </c>
      <c r="C86" t="s">
        <v>575</v>
      </c>
      <c r="D86" t="s">
        <v>661</v>
      </c>
      <c r="E86" t="s">
        <v>797</v>
      </c>
      <c r="F86"/>
      <c r="G86" s="185">
        <v>312.5</v>
      </c>
      <c r="H86"/>
      <c r="I86">
        <f>IFERROR(_xlfn.XLOOKUP(qryGnattToDraws[[#This Row],[Index]], Contract_Edits[Index], Contract_Edits[DrawNu],), "")</f>
        <v>103700</v>
      </c>
      <c r="J86" s="577">
        <f>IF(ROW()=2,+qryGnattToDraws[[#This Row],[Due]],+qryGnattToDraws[[#This Row],[Due]]+J85)</f>
        <v>18192.97</v>
      </c>
      <c r="M86" s="185">
        <f>IF(qryGnattToDraws[[#This Row],[Draws]]&gt;0,+K86*Profit!$B$41/24,0)</f>
        <v>0</v>
      </c>
      <c r="N86" s="185">
        <f>+qryGnattToDraws[[#This Row],[Interest]]+N85</f>
        <v>0</v>
      </c>
    </row>
    <row r="87" spans="1:14">
      <c r="A87">
        <v>96</v>
      </c>
      <c r="B87" t="s">
        <v>639</v>
      </c>
      <c r="C87" t="s">
        <v>673</v>
      </c>
      <c r="D87" t="s">
        <v>674</v>
      </c>
      <c r="E87" t="s">
        <v>797</v>
      </c>
      <c r="F87"/>
      <c r="G87" s="185">
        <v>78.125</v>
      </c>
      <c r="H87"/>
      <c r="I87">
        <f>IFERROR(_xlfn.XLOOKUP(qryGnattToDraws[[#This Row],[Index]], Contract_Edits[Index], Contract_Edits[DrawNu],), "")</f>
        <v>103700</v>
      </c>
      <c r="J87" s="577">
        <f>IF(ROW()=2,+qryGnattToDraws[[#This Row],[Due]],+qryGnattToDraws[[#This Row],[Due]]+J86)</f>
        <v>18192.97</v>
      </c>
      <c r="M87" s="185">
        <f>IF(qryGnattToDraws[[#This Row],[Draws]]&gt;0,+K87*Profit!$B$41/24,0)</f>
        <v>0</v>
      </c>
      <c r="N87" s="185">
        <f>+qryGnattToDraws[[#This Row],[Interest]]+N86</f>
        <v>0</v>
      </c>
    </row>
    <row r="88" spans="1:14">
      <c r="A88">
        <v>104</v>
      </c>
      <c r="B88" t="s">
        <v>521</v>
      </c>
      <c r="C88" t="s">
        <v>684</v>
      </c>
      <c r="D88" t="s">
        <v>685</v>
      </c>
      <c r="E88" t="s">
        <v>797</v>
      </c>
      <c r="F88"/>
      <c r="G88" s="185">
        <v>435</v>
      </c>
      <c r="H88"/>
      <c r="I88">
        <f>IFERROR(_xlfn.XLOOKUP(qryGnattToDraws[[#This Row],[Index]], Contract_Edits[Index], Contract_Edits[DrawNu],), "")</f>
        <v>102800</v>
      </c>
      <c r="J88" s="577">
        <f>IF(ROW()=2,+qryGnattToDraws[[#This Row],[Due]],+qryGnattToDraws[[#This Row],[Due]]+J87)</f>
        <v>18192.97</v>
      </c>
      <c r="M88" s="185">
        <f>IF(qryGnattToDraws[[#This Row],[Draws]]&gt;0,+K88*Profit!$B$41/24,0)</f>
        <v>0</v>
      </c>
      <c r="N88" s="185">
        <f>+qryGnattToDraws[[#This Row],[Interest]]+N87</f>
        <v>0</v>
      </c>
    </row>
    <row r="89" spans="1:14">
      <c r="A89">
        <v>120</v>
      </c>
      <c r="B89" t="s">
        <v>521</v>
      </c>
      <c r="C89" t="s">
        <v>705</v>
      </c>
      <c r="D89" t="s">
        <v>706</v>
      </c>
      <c r="E89" t="s">
        <v>797</v>
      </c>
      <c r="F89"/>
      <c r="G89" s="185">
        <v>2610</v>
      </c>
      <c r="H89"/>
      <c r="I89">
        <f>IFERROR(_xlfn.XLOOKUP(qryGnattToDraws[[#This Row],[Index]], Contract_Edits[Index], Contract_Edits[DrawNu],), "")</f>
        <v>102900</v>
      </c>
      <c r="J89" s="577">
        <f>IF(ROW()=2,+qryGnattToDraws[[#This Row],[Due]],+qryGnattToDraws[[#This Row],[Due]]+J88)</f>
        <v>18192.97</v>
      </c>
      <c r="M89" s="185">
        <f>IF(qryGnattToDraws[[#This Row],[Draws]]&gt;0,+K89*Profit!$B$41/24,0)</f>
        <v>0</v>
      </c>
      <c r="N89" s="185">
        <f>+qryGnattToDraws[[#This Row],[Interest]]+N88</f>
        <v>0</v>
      </c>
    </row>
    <row r="90" spans="1:14">
      <c r="A90">
        <v>63</v>
      </c>
      <c r="B90" t="s">
        <v>608</v>
      </c>
      <c r="C90" t="s">
        <v>628</v>
      </c>
      <c r="D90" t="s">
        <v>629</v>
      </c>
      <c r="E90" t="s">
        <v>797</v>
      </c>
      <c r="F90"/>
      <c r="G90" s="185">
        <v>0</v>
      </c>
      <c r="H90"/>
      <c r="I90">
        <f>IFERROR(_xlfn.XLOOKUP(qryGnattToDraws[[#This Row],[Index]], Contract_Edits[Index], Contract_Edits[DrawNu],), "")</f>
        <v>103700</v>
      </c>
      <c r="J90" s="577">
        <f>IF(ROW()=2,+qryGnattToDraws[[#This Row],[Due]],+qryGnattToDraws[[#This Row],[Due]]+J89)</f>
        <v>18192.97</v>
      </c>
      <c r="M90" s="185">
        <f>IF(qryGnattToDraws[[#This Row],[Draws]]&gt;0,+K90*Profit!$B$41/24,0)</f>
        <v>0</v>
      </c>
      <c r="N90" s="185">
        <f>+qryGnattToDraws[[#This Row],[Interest]]+N89</f>
        <v>0</v>
      </c>
    </row>
    <row r="91" spans="1:14">
      <c r="A91">
        <v>62</v>
      </c>
      <c r="B91" t="s">
        <v>608</v>
      </c>
      <c r="C91" t="s">
        <v>575</v>
      </c>
      <c r="D91" t="s">
        <v>627</v>
      </c>
      <c r="E91" t="s">
        <v>797</v>
      </c>
      <c r="F91"/>
      <c r="G91" s="185">
        <v>312.5</v>
      </c>
      <c r="H91"/>
      <c r="I91">
        <f>IFERROR(_xlfn.XLOOKUP(qryGnattToDraws[[#This Row],[Index]], Contract_Edits[Index], Contract_Edits[DrawNu],), "")</f>
        <v>103700</v>
      </c>
      <c r="J91" s="577">
        <f>IF(ROW()=2,+qryGnattToDraws[[#This Row],[Due]],+qryGnattToDraws[[#This Row],[Due]]+J90)</f>
        <v>18192.97</v>
      </c>
      <c r="M91" s="185">
        <f>IF(qryGnattToDraws[[#This Row],[Draws]]&gt;0,+K91*Profit!$B$41/24,0)</f>
        <v>0</v>
      </c>
      <c r="N91" s="185">
        <f>+qryGnattToDraws[[#This Row],[Interest]]+N90</f>
        <v>0</v>
      </c>
    </row>
    <row r="92" spans="1:14">
      <c r="A92">
        <v>105</v>
      </c>
      <c r="B92" t="s">
        <v>521</v>
      </c>
      <c r="C92" t="s">
        <v>684</v>
      </c>
      <c r="D92" t="s">
        <v>686</v>
      </c>
      <c r="E92" t="s">
        <v>797</v>
      </c>
      <c r="F92"/>
      <c r="G92" s="185">
        <v>2320</v>
      </c>
      <c r="H92"/>
      <c r="I92">
        <f>IFERROR(_xlfn.XLOOKUP(qryGnattToDraws[[#This Row],[Index]], Contract_Edits[Index], Contract_Edits[DrawNu],), "")</f>
        <v>102800</v>
      </c>
      <c r="J92" s="577">
        <f>IF(ROW()=2,+qryGnattToDraws[[#This Row],[Due]],+qryGnattToDraws[[#This Row],[Due]]+J91)</f>
        <v>18192.97</v>
      </c>
      <c r="M92" s="185">
        <f>IF(qryGnattToDraws[[#This Row],[Draws]]&gt;0,+K92*Profit!$B$41/24,0)</f>
        <v>0</v>
      </c>
      <c r="N92" s="185">
        <f>+qryGnattToDraws[[#This Row],[Interest]]+N91</f>
        <v>0</v>
      </c>
    </row>
    <row r="93" spans="1:14">
      <c r="A93">
        <v>87</v>
      </c>
      <c r="B93" t="s">
        <v>639</v>
      </c>
      <c r="C93" t="s">
        <v>662</v>
      </c>
      <c r="D93" t="s">
        <v>663</v>
      </c>
      <c r="E93" t="s">
        <v>797</v>
      </c>
      <c r="F93"/>
      <c r="G93" s="185">
        <v>0</v>
      </c>
      <c r="H93"/>
      <c r="I93">
        <f>IFERROR(_xlfn.XLOOKUP(qryGnattToDraws[[#This Row],[Index]], Contract_Edits[Index], Contract_Edits[DrawNu],), "")</f>
        <v>103700</v>
      </c>
      <c r="J93" s="577">
        <f>IF(ROW()=2,+qryGnattToDraws[[#This Row],[Due]],+qryGnattToDraws[[#This Row],[Due]]+J92)</f>
        <v>18192.97</v>
      </c>
      <c r="M93" s="185">
        <f>IF(qryGnattToDraws[[#This Row],[Draws]]&gt;0,+K93*Profit!$B$41/24,0)</f>
        <v>0</v>
      </c>
      <c r="N93" s="185">
        <f>+qryGnattToDraws[[#This Row],[Interest]]+N92</f>
        <v>0</v>
      </c>
    </row>
    <row r="94" spans="1:14">
      <c r="A94">
        <v>148</v>
      </c>
      <c r="B94" t="s">
        <v>639</v>
      </c>
      <c r="C94" t="s">
        <v>612</v>
      </c>
      <c r="D94" t="s">
        <v>743</v>
      </c>
      <c r="E94" t="s">
        <v>797</v>
      </c>
      <c r="F94"/>
      <c r="G94" s="185">
        <v>9425</v>
      </c>
      <c r="H94"/>
      <c r="I94">
        <f>IFERROR(_xlfn.XLOOKUP(qryGnattToDraws[[#This Row],[Index]], Contract_Edits[Index], Contract_Edits[DrawNu],), "")</f>
        <v>0</v>
      </c>
      <c r="J94" s="577">
        <f>IF(ROW()=2,+qryGnattToDraws[[#This Row],[Due]],+qryGnattToDraws[[#This Row],[Due]]+J93)</f>
        <v>18192.97</v>
      </c>
      <c r="M94" s="185">
        <f>IF(qryGnattToDraws[[#This Row],[Draws]]&gt;0,+K94*Profit!$B$41/24,0)</f>
        <v>0</v>
      </c>
      <c r="N94" s="185">
        <f>+qryGnattToDraws[[#This Row],[Interest]]+N93</f>
        <v>0</v>
      </c>
    </row>
    <row r="95" spans="1:14">
      <c r="A95">
        <v>117</v>
      </c>
      <c r="B95" t="s">
        <v>521</v>
      </c>
      <c r="C95" t="s">
        <v>700</v>
      </c>
      <c r="D95" t="s">
        <v>701</v>
      </c>
      <c r="E95" t="s">
        <v>797</v>
      </c>
      <c r="F95"/>
      <c r="G95" s="185">
        <v>0</v>
      </c>
      <c r="H95"/>
      <c r="I95">
        <f>IFERROR(_xlfn.XLOOKUP(qryGnattToDraws[[#This Row],[Index]], Contract_Edits[Index], Contract_Edits[DrawNu],), "")</f>
        <v>0</v>
      </c>
      <c r="J95" s="577">
        <f>IF(ROW()=2,+qryGnattToDraws[[#This Row],[Due]],+qryGnattToDraws[[#This Row],[Due]]+J94)</f>
        <v>18192.97</v>
      </c>
      <c r="M95" s="185">
        <f>IF(qryGnattToDraws[[#This Row],[Draws]]&gt;0,+K95*Profit!$B$41/24,0)</f>
        <v>0</v>
      </c>
      <c r="N95" s="185">
        <f>+qryGnattToDraws[[#This Row],[Interest]]+N94</f>
        <v>0</v>
      </c>
    </row>
    <row r="96" spans="1:14">
      <c r="A96">
        <v>118</v>
      </c>
      <c r="B96" t="s">
        <v>521</v>
      </c>
      <c r="C96" t="s">
        <v>575</v>
      </c>
      <c r="D96" t="s">
        <v>703</v>
      </c>
      <c r="E96" t="s">
        <v>797</v>
      </c>
      <c r="F96"/>
      <c r="G96" s="185">
        <v>0</v>
      </c>
      <c r="H96"/>
      <c r="I96">
        <f>IFERROR(_xlfn.XLOOKUP(qryGnattToDraws[[#This Row],[Index]], Contract_Edits[Index], Contract_Edits[DrawNu],), "")</f>
        <v>0</v>
      </c>
      <c r="J96" s="577">
        <f>IF(ROW()=2,+qryGnattToDraws[[#This Row],[Due]],+qryGnattToDraws[[#This Row],[Due]]+J95)</f>
        <v>18192.97</v>
      </c>
      <c r="M96" s="185">
        <f>IF(qryGnattToDraws[[#This Row],[Draws]]&gt;0,+K96*Profit!$B$41/24,0)</f>
        <v>0</v>
      </c>
      <c r="N96" s="185">
        <f>+qryGnattToDraws[[#This Row],[Interest]]+N95</f>
        <v>0</v>
      </c>
    </row>
    <row r="97" spans="1:14">
      <c r="A97">
        <v>907</v>
      </c>
      <c r="B97" t="s">
        <v>517</v>
      </c>
      <c r="C97" t="s">
        <v>594</v>
      </c>
      <c r="D97" t="s">
        <v>841</v>
      </c>
      <c r="E97" t="s">
        <v>797</v>
      </c>
      <c r="F97"/>
      <c r="G97" s="185">
        <v>515.63654999999994</v>
      </c>
      <c r="H97"/>
      <c r="I97">
        <f>IFERROR(_xlfn.XLOOKUP(qryGnattToDraws[[#This Row],[Index]], Contract_Edits[Index], Contract_Edits[DrawNu],), "")</f>
        <v>104300</v>
      </c>
      <c r="J97" s="577">
        <f>IF(ROW()=2,+qryGnattToDraws[[#This Row],[Due]],+qryGnattToDraws[[#This Row],[Due]]+J96)</f>
        <v>18192.97</v>
      </c>
      <c r="M97" s="185">
        <f>IF(qryGnattToDraws[[#This Row],[Draws]]&gt;0,+K97*Profit!$B$41/24,0)</f>
        <v>0</v>
      </c>
      <c r="N97" s="185">
        <f>+qryGnattToDraws[[#This Row],[Interest]]+N96</f>
        <v>0</v>
      </c>
    </row>
    <row r="98" spans="1:14">
      <c r="A98">
        <v>136</v>
      </c>
      <c r="B98" t="s">
        <v>639</v>
      </c>
      <c r="C98" t="s">
        <v>583</v>
      </c>
      <c r="D98" t="s">
        <v>727</v>
      </c>
      <c r="E98" t="s">
        <v>797</v>
      </c>
      <c r="F98"/>
      <c r="G98" s="185">
        <v>1812.5</v>
      </c>
      <c r="H98"/>
      <c r="I98">
        <f>IFERROR(_xlfn.XLOOKUP(qryGnattToDraws[[#This Row],[Index]], Contract_Edits[Index], Contract_Edits[DrawNu],), "")</f>
        <v>104300</v>
      </c>
      <c r="J98" s="577">
        <f>IF(ROW()=2,+qryGnattToDraws[[#This Row],[Due]],+qryGnattToDraws[[#This Row],[Due]]+J97)</f>
        <v>18192.97</v>
      </c>
      <c r="M98" s="185">
        <f>IF(qryGnattToDraws[[#This Row],[Draws]]&gt;0,+K98*Profit!$B$41/24,0)</f>
        <v>0</v>
      </c>
      <c r="N98" s="185">
        <f>+qryGnattToDraws[[#This Row],[Interest]]+N97</f>
        <v>0</v>
      </c>
    </row>
    <row r="99" spans="1:14">
      <c r="A99">
        <v>123</v>
      </c>
      <c r="B99" t="s">
        <v>521</v>
      </c>
      <c r="C99" t="s">
        <v>583</v>
      </c>
      <c r="D99" t="s">
        <v>709</v>
      </c>
      <c r="E99" t="s">
        <v>797</v>
      </c>
      <c r="F99"/>
      <c r="G99" s="185">
        <v>870</v>
      </c>
      <c r="H99"/>
      <c r="I99">
        <f>IFERROR(_xlfn.XLOOKUP(qryGnattToDraws[[#This Row],[Index]], Contract_Edits[Index], Contract_Edits[DrawNu],), "")</f>
        <v>104300</v>
      </c>
      <c r="J99" s="577">
        <f>IF(ROW()=2,+qryGnattToDraws[[#This Row],[Due]],+qryGnattToDraws[[#This Row],[Due]]+J98)</f>
        <v>18192.97</v>
      </c>
      <c r="M99" s="185">
        <f>IF(qryGnattToDraws[[#This Row],[Draws]]&gt;0,+K99*Profit!$B$41/24,0)</f>
        <v>0</v>
      </c>
      <c r="N99" s="185">
        <f>+qryGnattToDraws[[#This Row],[Interest]]+N98</f>
        <v>0</v>
      </c>
    </row>
    <row r="100" spans="1:14">
      <c r="A100">
        <v>69</v>
      </c>
      <c r="B100" t="s">
        <v>608</v>
      </c>
      <c r="C100" t="s">
        <v>583</v>
      </c>
      <c r="D100" t="s">
        <v>635</v>
      </c>
      <c r="E100" t="s">
        <v>797</v>
      </c>
      <c r="F100"/>
      <c r="G100" s="185">
        <v>2610</v>
      </c>
      <c r="H100"/>
      <c r="I100">
        <f>IFERROR(_xlfn.XLOOKUP(qryGnattToDraws[[#This Row],[Index]], Contract_Edits[Index], Contract_Edits[DrawNu],), "")</f>
        <v>104300</v>
      </c>
      <c r="J100" s="577">
        <f>IF(ROW()=2,+qryGnattToDraws[[#This Row],[Due]],+qryGnattToDraws[[#This Row],[Due]]+J99)</f>
        <v>18192.97</v>
      </c>
      <c r="M100" s="185">
        <f>IF(qryGnattToDraws[[#This Row],[Draws]]&gt;0,+K100*Profit!$B$41/24,0)</f>
        <v>0</v>
      </c>
      <c r="N100" s="185">
        <f>+qryGnattToDraws[[#This Row],[Interest]]+N99</f>
        <v>0</v>
      </c>
    </row>
    <row r="101" spans="1:14">
      <c r="A101">
        <v>47</v>
      </c>
      <c r="B101" t="s">
        <v>587</v>
      </c>
      <c r="C101" t="s">
        <v>583</v>
      </c>
      <c r="D101" t="s">
        <v>605</v>
      </c>
      <c r="E101" t="s">
        <v>797</v>
      </c>
      <c r="F101"/>
      <c r="G101" s="185">
        <v>507.5</v>
      </c>
      <c r="H101"/>
      <c r="I101">
        <f>IFERROR(_xlfn.XLOOKUP(qryGnattToDraws[[#This Row],[Index]], Contract_Edits[Index], Contract_Edits[DrawNu],), "")</f>
        <v>104300</v>
      </c>
      <c r="J101" s="577">
        <f>IF(ROW()=2,+qryGnattToDraws[[#This Row],[Due]],+qryGnattToDraws[[#This Row],[Due]]+J100)</f>
        <v>18192.97</v>
      </c>
      <c r="M101" s="185">
        <f>IF(qryGnattToDraws[[#This Row],[Draws]]&gt;0,+K101*Profit!$B$41/24,0)</f>
        <v>0</v>
      </c>
      <c r="N101" s="185">
        <f>+qryGnattToDraws[[#This Row],[Interest]]+N100</f>
        <v>0</v>
      </c>
    </row>
    <row r="102" spans="1:14">
      <c r="A102">
        <v>34</v>
      </c>
      <c r="B102" t="s">
        <v>555</v>
      </c>
      <c r="C102" t="s">
        <v>583</v>
      </c>
      <c r="D102" t="s">
        <v>584</v>
      </c>
      <c r="E102" t="s">
        <v>797</v>
      </c>
      <c r="F102"/>
      <c r="G102" s="185">
        <v>1885</v>
      </c>
      <c r="H102"/>
      <c r="I102">
        <f>IFERROR(_xlfn.XLOOKUP(qryGnattToDraws[[#This Row],[Index]], Contract_Edits[Index], Contract_Edits[DrawNu],), "")</f>
        <v>104300</v>
      </c>
      <c r="J102" s="577">
        <f>IF(ROW()=2,+qryGnattToDraws[[#This Row],[Due]],+qryGnattToDraws[[#This Row],[Due]]+J101)</f>
        <v>18192.97</v>
      </c>
      <c r="M102" s="185">
        <f>IF(qryGnattToDraws[[#This Row],[Draws]]&gt;0,+K102*Profit!$B$41/24,0)</f>
        <v>0</v>
      </c>
      <c r="N102" s="185">
        <f>+qryGnattToDraws[[#This Row],[Interest]]+N101</f>
        <v>0</v>
      </c>
    </row>
    <row r="103" spans="1:14">
      <c r="A103">
        <v>33</v>
      </c>
      <c r="B103" t="s">
        <v>555</v>
      </c>
      <c r="C103" t="s">
        <v>581</v>
      </c>
      <c r="D103" t="s">
        <v>582</v>
      </c>
      <c r="E103" t="s">
        <v>797</v>
      </c>
      <c r="F103"/>
      <c r="G103" s="185">
        <v>580</v>
      </c>
      <c r="H103"/>
      <c r="I103">
        <f>IFERROR(_xlfn.XLOOKUP(qryGnattToDraws[[#This Row],[Index]], Contract_Edits[Index], Contract_Edits[DrawNu],), "")</f>
        <v>0</v>
      </c>
      <c r="J103" s="577">
        <f>IF(ROW()=2,+qryGnattToDraws[[#This Row],[Due]],+qryGnattToDraws[[#This Row],[Due]]+J102)</f>
        <v>18192.97</v>
      </c>
      <c r="M103" s="185">
        <f>IF(qryGnattToDraws[[#This Row],[Draws]]&gt;0,+K103*Profit!$B$41/24,0)</f>
        <v>0</v>
      </c>
      <c r="N103" s="185">
        <f>+qryGnattToDraws[[#This Row],[Interest]]+N102</f>
        <v>0</v>
      </c>
    </row>
    <row r="104" spans="1:14">
      <c r="A104">
        <v>179</v>
      </c>
      <c r="B104" t="s">
        <v>521</v>
      </c>
      <c r="C104" t="s">
        <v>756</v>
      </c>
      <c r="D104" t="s">
        <v>778</v>
      </c>
      <c r="E104" t="s">
        <v>797</v>
      </c>
      <c r="F104"/>
      <c r="G104" s="185">
        <v>0</v>
      </c>
      <c r="H104"/>
      <c r="I104">
        <f>IFERROR(_xlfn.XLOOKUP(qryGnattToDraws[[#This Row],[Index]], Contract_Edits[Index], Contract_Edits[DrawNu],), "")</f>
        <v>104200</v>
      </c>
      <c r="J104" s="577">
        <f>IF(ROW()=2,+qryGnattToDraws[[#This Row],[Due]],+qryGnattToDraws[[#This Row],[Due]]+J103)</f>
        <v>18192.97</v>
      </c>
      <c r="M104" s="185">
        <f>IF(qryGnattToDraws[[#This Row],[Draws]]&gt;0,+K104*Profit!$B$41/24,0)</f>
        <v>0</v>
      </c>
      <c r="N104" s="185">
        <f>+qryGnattToDraws[[#This Row],[Interest]]+N103</f>
        <v>0</v>
      </c>
    </row>
    <row r="105" spans="1:14">
      <c r="A105">
        <v>32</v>
      </c>
      <c r="B105" t="s">
        <v>555</v>
      </c>
      <c r="C105" t="s">
        <v>579</v>
      </c>
      <c r="D105" t="s">
        <v>580</v>
      </c>
      <c r="E105" t="s">
        <v>797</v>
      </c>
      <c r="F105"/>
      <c r="G105" s="185">
        <v>2175</v>
      </c>
      <c r="H105"/>
      <c r="I105">
        <f>IFERROR(_xlfn.XLOOKUP(qryGnattToDraws[[#This Row],[Index]], Contract_Edits[Index], Contract_Edits[DrawNu],), "")</f>
        <v>104200</v>
      </c>
      <c r="J105" s="577">
        <f>IF(ROW()=2,+qryGnattToDraws[[#This Row],[Due]],+qryGnattToDraws[[#This Row],[Due]]+J104)</f>
        <v>18192.97</v>
      </c>
      <c r="M105" s="185">
        <f>IF(qryGnattToDraws[[#This Row],[Draws]]&gt;0,+K105*Profit!$B$41/24,0)</f>
        <v>0</v>
      </c>
      <c r="N105" s="185">
        <f>+qryGnattToDraws[[#This Row],[Interest]]+N104</f>
        <v>0</v>
      </c>
    </row>
    <row r="106" spans="1:14">
      <c r="A106">
        <v>902</v>
      </c>
      <c r="B106" t="s">
        <v>517</v>
      </c>
      <c r="C106" t="s">
        <v>568</v>
      </c>
      <c r="D106" t="s">
        <v>835</v>
      </c>
      <c r="E106" t="s">
        <v>797</v>
      </c>
      <c r="F106"/>
      <c r="G106" s="185">
        <v>1066.00065</v>
      </c>
      <c r="H106"/>
      <c r="I106">
        <f>IFERROR(_xlfn.XLOOKUP(qryGnattToDraws[[#This Row],[Index]], Contract_Edits[Index], Contract_Edits[DrawNu],), "")</f>
        <v>104200</v>
      </c>
      <c r="J106" s="577">
        <f>IF(ROW()=2,+qryGnattToDraws[[#This Row],[Due]],+qryGnattToDraws[[#This Row],[Due]]+J105)</f>
        <v>18192.97</v>
      </c>
      <c r="M106" s="185">
        <f>IF(qryGnattToDraws[[#This Row],[Draws]]&gt;0,+K106*Profit!$B$41/24,0)</f>
        <v>0</v>
      </c>
      <c r="N106" s="185">
        <f>+qryGnattToDraws[[#This Row],[Interest]]+N105</f>
        <v>0</v>
      </c>
    </row>
    <row r="107" spans="1:14">
      <c r="A107">
        <v>91</v>
      </c>
      <c r="B107" t="s">
        <v>639</v>
      </c>
      <c r="C107" t="s">
        <v>579</v>
      </c>
      <c r="D107" t="s">
        <v>668</v>
      </c>
      <c r="E107" t="s">
        <v>797</v>
      </c>
      <c r="F107"/>
      <c r="G107" s="185">
        <v>2755</v>
      </c>
      <c r="H107"/>
      <c r="I107">
        <f>IFERROR(_xlfn.XLOOKUP(qryGnattToDraws[[#This Row],[Index]], Contract_Edits[Index], Contract_Edits[DrawNu],), "")</f>
        <v>104200</v>
      </c>
      <c r="J107" s="577">
        <f>IF(ROW()=2,+qryGnattToDraws[[#This Row],[Due]],+qryGnattToDraws[[#This Row],[Due]]+J106)</f>
        <v>18192.97</v>
      </c>
      <c r="M107" s="185">
        <f>IF(qryGnattToDraws[[#This Row],[Draws]]&gt;0,+K107*Profit!$B$41/24,0)</f>
        <v>0</v>
      </c>
      <c r="N107" s="185">
        <f>+qryGnattToDraws[[#This Row],[Interest]]+N106</f>
        <v>0</v>
      </c>
    </row>
    <row r="108" spans="1:14">
      <c r="A108">
        <v>67</v>
      </c>
      <c r="B108" t="s">
        <v>608</v>
      </c>
      <c r="C108" t="s">
        <v>579</v>
      </c>
      <c r="D108" t="s">
        <v>633</v>
      </c>
      <c r="E108" t="s">
        <v>797</v>
      </c>
      <c r="F108"/>
      <c r="G108" s="185">
        <v>1450</v>
      </c>
      <c r="H108"/>
      <c r="I108">
        <f>IFERROR(_xlfn.XLOOKUP(qryGnattToDraws[[#This Row],[Index]], Contract_Edits[Index], Contract_Edits[DrawNu],), "")</f>
        <v>104200</v>
      </c>
      <c r="J108" s="577">
        <f>IF(ROW()=2,+qryGnattToDraws[[#This Row],[Due]],+qryGnattToDraws[[#This Row],[Due]]+J107)</f>
        <v>18192.97</v>
      </c>
      <c r="M108" s="185">
        <f>IF(qryGnattToDraws[[#This Row],[Draws]]&gt;0,+K108*Profit!$B$41/24,0)</f>
        <v>0</v>
      </c>
      <c r="N108" s="185">
        <f>+qryGnattToDraws[[#This Row],[Interest]]+N107</f>
        <v>0</v>
      </c>
    </row>
    <row r="109" spans="1:14">
      <c r="A109">
        <v>209</v>
      </c>
      <c r="B109" t="s">
        <v>793</v>
      </c>
      <c r="C109" t="s">
        <v>579</v>
      </c>
      <c r="D109" t="s">
        <v>1515</v>
      </c>
      <c r="E109">
        <v>0</v>
      </c>
      <c r="F109"/>
      <c r="H109"/>
      <c r="I109">
        <f>IFERROR(_xlfn.XLOOKUP(qryGnattToDraws[[#This Row],[Index]], Contract_Edits[Index], Contract_Edits[DrawNu],), "")</f>
        <v>0</v>
      </c>
      <c r="J109" s="577">
        <f>IF(ROW()=2,+qryGnattToDraws[[#This Row],[Due]],+qryGnattToDraws[[#This Row],[Due]]+J108)</f>
        <v>18192.97</v>
      </c>
      <c r="M109" s="185">
        <f>IF(qryGnattToDraws[[#This Row],[Draws]]&gt;0,+K109*Profit!$B$41/24,0)</f>
        <v>0</v>
      </c>
      <c r="N109" s="185">
        <f>+qryGnattToDraws[[#This Row],[Interest]]+N108</f>
        <v>0</v>
      </c>
    </row>
    <row r="110" spans="1:14">
      <c r="A110">
        <v>92</v>
      </c>
      <c r="B110" t="s">
        <v>639</v>
      </c>
      <c r="C110" t="s">
        <v>581</v>
      </c>
      <c r="D110" t="s">
        <v>669</v>
      </c>
      <c r="E110" t="s">
        <v>797</v>
      </c>
      <c r="F110"/>
      <c r="G110" s="185">
        <v>8700</v>
      </c>
      <c r="H110"/>
      <c r="I110">
        <f>IFERROR(_xlfn.XLOOKUP(qryGnattToDraws[[#This Row],[Index]], Contract_Edits[Index], Contract_Edits[DrawNu],), "")</f>
        <v>102600</v>
      </c>
      <c r="J110" s="577">
        <f>IF(ROW()=2,+qryGnattToDraws[[#This Row],[Due]],+qryGnattToDraws[[#This Row],[Due]]+J109)</f>
        <v>18192.97</v>
      </c>
      <c r="M110" s="185">
        <f>IF(qryGnattToDraws[[#This Row],[Draws]]&gt;0,+K110*Profit!$B$41/24,0)</f>
        <v>0</v>
      </c>
      <c r="N110" s="185">
        <f>+qryGnattToDraws[[#This Row],[Interest]]+N109</f>
        <v>0</v>
      </c>
    </row>
    <row r="111" spans="1:14">
      <c r="A111">
        <v>68</v>
      </c>
      <c r="B111" t="s">
        <v>608</v>
      </c>
      <c r="C111" t="s">
        <v>581</v>
      </c>
      <c r="D111" t="s">
        <v>634</v>
      </c>
      <c r="E111" t="s">
        <v>797</v>
      </c>
      <c r="F111"/>
      <c r="G111" s="185">
        <v>362.5</v>
      </c>
      <c r="H111"/>
      <c r="I111">
        <f>IFERROR(_xlfn.XLOOKUP(qryGnattToDraws[[#This Row],[Index]], Contract_Edits[Index], Contract_Edits[DrawNu],), "")</f>
        <v>102600</v>
      </c>
      <c r="J111" s="577">
        <f>IF(ROW()=2,+qryGnattToDraws[[#This Row],[Due]],+qryGnattToDraws[[#This Row],[Due]]+J110)</f>
        <v>18192.97</v>
      </c>
      <c r="M111" s="185">
        <f>IF(qryGnattToDraws[[#This Row],[Draws]]&gt;0,+K111*Profit!$B$41/24,0)</f>
        <v>0</v>
      </c>
      <c r="N111" s="185">
        <f>+qryGnattToDraws[[#This Row],[Interest]]+N110</f>
        <v>0</v>
      </c>
    </row>
    <row r="112" spans="1:14">
      <c r="A112">
        <v>911</v>
      </c>
      <c r="B112" t="s">
        <v>517</v>
      </c>
      <c r="C112" t="s">
        <v>527</v>
      </c>
      <c r="D112" t="s">
        <v>847</v>
      </c>
      <c r="E112" t="s">
        <v>797</v>
      </c>
      <c r="F112"/>
      <c r="G112" s="185">
        <v>16125</v>
      </c>
      <c r="H112"/>
      <c r="I112">
        <f>IFERROR(_xlfn.XLOOKUP(qryGnattToDraws[[#This Row],[Index]], Contract_Edits[Index], Contract_Edits[DrawNu],), "")</f>
        <v>104400</v>
      </c>
      <c r="J112" s="577">
        <f>IF(ROW()=2,+qryGnattToDraws[[#This Row],[Due]],+qryGnattToDraws[[#This Row],[Due]]+J111)</f>
        <v>18192.97</v>
      </c>
      <c r="M112" s="185">
        <f>IF(qryGnattToDraws[[#This Row],[Draws]]&gt;0,+K112*Profit!$B$41/24,0)</f>
        <v>0</v>
      </c>
      <c r="N112" s="185">
        <f>+qryGnattToDraws[[#This Row],[Interest]]+N111</f>
        <v>0</v>
      </c>
    </row>
    <row r="113" spans="1:14">
      <c r="A113">
        <v>121</v>
      </c>
      <c r="B113" t="s">
        <v>523</v>
      </c>
      <c r="C113" t="s">
        <v>665</v>
      </c>
      <c r="D113" t="s">
        <v>708</v>
      </c>
      <c r="E113" t="s">
        <v>797</v>
      </c>
      <c r="F113"/>
      <c r="G113" s="185">
        <v>0</v>
      </c>
      <c r="H113"/>
      <c r="I113">
        <f>IFERROR(_xlfn.XLOOKUP(qryGnattToDraws[[#This Row],[Index]], Contract_Edits[Index], Contract_Edits[DrawNu],), "")</f>
        <v>104400</v>
      </c>
      <c r="J113" s="577">
        <f>IF(ROW()=2,+qryGnattToDraws[[#This Row],[Due]],+qryGnattToDraws[[#This Row],[Due]]+J112)</f>
        <v>18192.97</v>
      </c>
      <c r="M113" s="185">
        <f>IF(qryGnattToDraws[[#This Row],[Draws]]&gt;0,+K113*Profit!$B$41/24,0)</f>
        <v>0</v>
      </c>
      <c r="N113" s="185">
        <f>+qryGnattToDraws[[#This Row],[Interest]]+N112</f>
        <v>0</v>
      </c>
    </row>
    <row r="114" spans="1:14">
      <c r="A114">
        <v>89</v>
      </c>
      <c r="B114" t="s">
        <v>523</v>
      </c>
      <c r="C114" t="s">
        <v>665</v>
      </c>
      <c r="D114" t="s">
        <v>666</v>
      </c>
      <c r="E114" t="s">
        <v>797</v>
      </c>
      <c r="F114"/>
      <c r="G114" s="185">
        <v>0</v>
      </c>
      <c r="H114"/>
      <c r="I114">
        <f>IFERROR(_xlfn.XLOOKUP(qryGnattToDraws[[#This Row],[Index]], Contract_Edits[Index], Contract_Edits[DrawNu],), "")</f>
        <v>105000</v>
      </c>
      <c r="J114" s="577">
        <f>IF(ROW()=2,+qryGnattToDraws[[#This Row],[Due]],+qryGnattToDraws[[#This Row],[Due]]+J113)</f>
        <v>18192.97</v>
      </c>
      <c r="M114" s="185">
        <f>IF(qryGnattToDraws[[#This Row],[Draws]]&gt;0,+K114*Profit!$B$41/24,0)</f>
        <v>0</v>
      </c>
      <c r="N114" s="185">
        <f>+qryGnattToDraws[[#This Row],[Interest]]+N113</f>
        <v>0</v>
      </c>
    </row>
    <row r="115" spans="1:14">
      <c r="A115">
        <v>12</v>
      </c>
      <c r="B115" t="s">
        <v>523</v>
      </c>
      <c r="C115" t="s">
        <v>541</v>
      </c>
      <c r="D115" t="s">
        <v>542</v>
      </c>
      <c r="E115" t="s">
        <v>797</v>
      </c>
      <c r="F115"/>
      <c r="G115" s="185">
        <v>0</v>
      </c>
      <c r="H115"/>
      <c r="I115">
        <f>IFERROR(_xlfn.XLOOKUP(qryGnattToDraws[[#This Row],[Index]], Contract_Edits[Index], Contract_Edits[DrawNu],), "")</f>
        <v>104400</v>
      </c>
      <c r="J115" s="577">
        <f>IF(ROW()=2,+qryGnattToDraws[[#This Row],[Due]],+qryGnattToDraws[[#This Row],[Due]]+J114)</f>
        <v>18192.97</v>
      </c>
      <c r="M115" s="185">
        <f>IF(qryGnattToDraws[[#This Row],[Draws]]&gt;0,+K115*Profit!$B$41/24,0)</f>
        <v>0</v>
      </c>
      <c r="N115" s="185">
        <f>+qryGnattToDraws[[#This Row],[Interest]]+N114</f>
        <v>0</v>
      </c>
    </row>
    <row r="116" spans="1:14">
      <c r="A116">
        <v>901</v>
      </c>
      <c r="B116" t="s">
        <v>523</v>
      </c>
      <c r="C116" t="s">
        <v>833</v>
      </c>
      <c r="D116" t="s">
        <v>834</v>
      </c>
      <c r="E116" t="s">
        <v>797</v>
      </c>
      <c r="F116"/>
      <c r="G116" s="185">
        <v>1393.1775</v>
      </c>
      <c r="H116"/>
      <c r="I116">
        <f>IFERROR(_xlfn.XLOOKUP(qryGnattToDraws[[#This Row],[Index]], Contract_Edits[Index], Contract_Edits[DrawNu],), "")</f>
        <v>104400</v>
      </c>
      <c r="J116" s="577">
        <f>IF(ROW()=2,+qryGnattToDraws[[#This Row],[Due]],+qryGnattToDraws[[#This Row],[Due]]+J115)</f>
        <v>18192.97</v>
      </c>
      <c r="M116" s="185">
        <f>IF(qryGnattToDraws[[#This Row],[Draws]]&gt;0,+K116*Profit!$B$41/24,0)</f>
        <v>0</v>
      </c>
      <c r="N116" s="185">
        <f>+qryGnattToDraws[[#This Row],[Interest]]+N115</f>
        <v>0</v>
      </c>
    </row>
    <row r="117" spans="1:14">
      <c r="A117">
        <v>906</v>
      </c>
      <c r="B117" t="s">
        <v>523</v>
      </c>
      <c r="C117" t="s">
        <v>839</v>
      </c>
      <c r="D117" t="s">
        <v>840</v>
      </c>
      <c r="E117" t="s">
        <v>797</v>
      </c>
      <c r="F117"/>
      <c r="G117" s="185">
        <v>15812.5</v>
      </c>
      <c r="H117"/>
      <c r="I117">
        <f>IFERROR(_xlfn.XLOOKUP(qryGnattToDraws[[#This Row],[Index]], Contract_Edits[Index], Contract_Edits[DrawNu],), "")</f>
        <v>104500</v>
      </c>
      <c r="J117" s="577">
        <f>IF(ROW()=2,+qryGnattToDraws[[#This Row],[Due]],+qryGnattToDraws[[#This Row],[Due]]+J116)</f>
        <v>18192.97</v>
      </c>
      <c r="M117" s="185">
        <f>IF(qryGnattToDraws[[#This Row],[Draws]]&gt;0,+K117*Profit!$B$41/24,0)</f>
        <v>0</v>
      </c>
      <c r="N117" s="185">
        <f>+qryGnattToDraws[[#This Row],[Interest]]+N116</f>
        <v>0</v>
      </c>
    </row>
    <row r="118" spans="1:14">
      <c r="A118">
        <v>44</v>
      </c>
      <c r="B118" t="s">
        <v>587</v>
      </c>
      <c r="C118" t="s">
        <v>600</v>
      </c>
      <c r="D118" t="s">
        <v>601</v>
      </c>
      <c r="E118" t="s">
        <v>797</v>
      </c>
      <c r="F118"/>
      <c r="G118" s="185">
        <v>1305</v>
      </c>
      <c r="H118"/>
      <c r="I118">
        <f>IFERROR(_xlfn.XLOOKUP(qryGnattToDraws[[#This Row],[Index]], Contract_Edits[Index], Contract_Edits[DrawNu],), "")</f>
        <v>104500</v>
      </c>
      <c r="J118" s="577">
        <f>IF(ROW()=2,+qryGnattToDraws[[#This Row],[Due]],+qryGnattToDraws[[#This Row],[Due]]+J117)</f>
        <v>18192.97</v>
      </c>
      <c r="M118" s="185">
        <f>IF(qryGnattToDraws[[#This Row],[Draws]]&gt;0,+K118*Profit!$B$41/24,0)</f>
        <v>0</v>
      </c>
      <c r="N118" s="185">
        <f>+qryGnattToDraws[[#This Row],[Interest]]+N117</f>
        <v>0</v>
      </c>
    </row>
    <row r="119" spans="1:14">
      <c r="A119">
        <v>82</v>
      </c>
      <c r="B119" t="s">
        <v>639</v>
      </c>
      <c r="C119" t="s">
        <v>654</v>
      </c>
      <c r="D119" t="s">
        <v>655</v>
      </c>
      <c r="E119" t="s">
        <v>797</v>
      </c>
      <c r="F119"/>
      <c r="G119" s="185">
        <v>312.5</v>
      </c>
      <c r="H119"/>
      <c r="I119">
        <f>IFERROR(_xlfn.XLOOKUP(qryGnattToDraws[[#This Row],[Index]], Contract_Edits[Index], Contract_Edits[DrawNu],), "")</f>
        <v>103000</v>
      </c>
      <c r="J119" s="577">
        <f>IF(ROW()=2,+qryGnattToDraws[[#This Row],[Due]],+qryGnattToDraws[[#This Row],[Due]]+J118)</f>
        <v>18192.97</v>
      </c>
      <c r="M119" s="185">
        <f>IF(qryGnattToDraws[[#This Row],[Draws]]&gt;0,+K119*Profit!$B$41/24,0)</f>
        <v>0</v>
      </c>
      <c r="N119" s="185">
        <f>+qryGnattToDraws[[#This Row],[Interest]]+N118</f>
        <v>0</v>
      </c>
    </row>
    <row r="120" spans="1:14">
      <c r="A120">
        <v>108</v>
      </c>
      <c r="B120" t="s">
        <v>521</v>
      </c>
      <c r="C120" t="s">
        <v>654</v>
      </c>
      <c r="D120" t="s">
        <v>691</v>
      </c>
      <c r="E120" t="s">
        <v>797</v>
      </c>
      <c r="F120"/>
      <c r="G120" s="185">
        <v>5075</v>
      </c>
      <c r="H120"/>
      <c r="I120">
        <f>IFERROR(_xlfn.XLOOKUP(qryGnattToDraws[[#This Row],[Index]], Contract_Edits[Index], Contract_Edits[DrawNu],), "")</f>
        <v>103000</v>
      </c>
      <c r="J120" s="577">
        <f>IF(ROW()=2,+qryGnattToDraws[[#This Row],[Due]],+qryGnattToDraws[[#This Row],[Due]]+J119)</f>
        <v>18192.97</v>
      </c>
      <c r="M120" s="185">
        <f>IF(qryGnattToDraws[[#This Row],[Draws]]&gt;0,+K120*Profit!$B$41/24,0)</f>
        <v>0</v>
      </c>
      <c r="N120" s="185">
        <f>+qryGnattToDraws[[#This Row],[Interest]]+N119</f>
        <v>0</v>
      </c>
    </row>
    <row r="121" spans="1:14">
      <c r="A121">
        <v>106</v>
      </c>
      <c r="B121" t="s">
        <v>521</v>
      </c>
      <c r="C121" t="s">
        <v>654</v>
      </c>
      <c r="D121" t="s">
        <v>687</v>
      </c>
      <c r="E121" t="s">
        <v>797</v>
      </c>
      <c r="F121"/>
      <c r="G121" s="185">
        <v>4495</v>
      </c>
      <c r="H121"/>
      <c r="I121">
        <f>IFERROR(_xlfn.XLOOKUP(qryGnattToDraws[[#This Row],[Index]], Contract_Edits[Index], Contract_Edits[DrawNu],), "")</f>
        <v>103000</v>
      </c>
      <c r="J121" s="577">
        <f>IF(ROW()=2,+qryGnattToDraws[[#This Row],[Due]],+qryGnattToDraws[[#This Row],[Due]]+J120)</f>
        <v>18192.97</v>
      </c>
      <c r="M121" s="185">
        <f>IF(qryGnattToDraws[[#This Row],[Draws]]&gt;0,+K121*Profit!$B$41/24,0)</f>
        <v>0</v>
      </c>
      <c r="N121" s="185">
        <f>+qryGnattToDraws[[#This Row],[Interest]]+N120</f>
        <v>0</v>
      </c>
    </row>
    <row r="122" spans="1:14">
      <c r="A122">
        <v>190</v>
      </c>
      <c r="B122" t="s">
        <v>793</v>
      </c>
      <c r="C122" t="s">
        <v>774</v>
      </c>
      <c r="D122" t="s">
        <v>1456</v>
      </c>
      <c r="E122">
        <v>0</v>
      </c>
      <c r="F122"/>
      <c r="G122" s="185">
        <v>0</v>
      </c>
      <c r="H122"/>
      <c r="I122">
        <f>IFERROR(_xlfn.XLOOKUP(qryGnattToDraws[[#This Row],[Index]], Contract_Edits[Index], Contract_Edits[DrawNu],), "")</f>
        <v>0</v>
      </c>
      <c r="J122" s="577">
        <f>IF(ROW()=2,+qryGnattToDraws[[#This Row],[Due]],+qryGnattToDraws[[#This Row],[Due]]+J121)</f>
        <v>18192.97</v>
      </c>
      <c r="M122" s="185">
        <f>IF(qryGnattToDraws[[#This Row],[Draws]]&gt;0,+K122*Profit!$B$41/24,0)</f>
        <v>0</v>
      </c>
      <c r="N122" s="185">
        <f>+qryGnattToDraws[[#This Row],[Interest]]+N121</f>
        <v>0</v>
      </c>
    </row>
    <row r="123" spans="1:14">
      <c r="A123">
        <v>45</v>
      </c>
      <c r="B123" t="s">
        <v>587</v>
      </c>
      <c r="C123" t="s">
        <v>602</v>
      </c>
      <c r="D123" t="s">
        <v>603</v>
      </c>
      <c r="E123" t="s">
        <v>797</v>
      </c>
      <c r="F123"/>
      <c r="G123" s="185">
        <v>2009.7</v>
      </c>
      <c r="H123"/>
      <c r="I123">
        <f>IFERROR(_xlfn.XLOOKUP(qryGnattToDraws[[#This Row],[Index]], Contract_Edits[Index], Contract_Edits[DrawNu],), "")</f>
        <v>104500</v>
      </c>
      <c r="J123" s="577">
        <f>IF(ROW()=2,+qryGnattToDraws[[#This Row],[Due]],+qryGnattToDraws[[#This Row],[Due]]+J122)</f>
        <v>18192.97</v>
      </c>
      <c r="M123" s="185">
        <f>IF(qryGnattToDraws[[#This Row],[Draws]]&gt;0,+K123*Profit!$B$41/24,0)</f>
        <v>0</v>
      </c>
      <c r="N123" s="185">
        <f>+qryGnattToDraws[[#This Row],[Interest]]+N122</f>
        <v>0</v>
      </c>
    </row>
    <row r="124" spans="1:14">
      <c r="A124">
        <v>95</v>
      </c>
      <c r="B124" t="s">
        <v>639</v>
      </c>
      <c r="C124" t="s">
        <v>637</v>
      </c>
      <c r="D124" t="s">
        <v>672</v>
      </c>
      <c r="E124" t="s">
        <v>797</v>
      </c>
      <c r="F124"/>
      <c r="G124" s="185">
        <v>1450</v>
      </c>
      <c r="H124"/>
      <c r="I124">
        <f>IFERROR(_xlfn.XLOOKUP(qryGnattToDraws[[#This Row],[Index]], Contract_Edits[Index], Contract_Edits[DrawNu],), "")</f>
        <v>104500</v>
      </c>
      <c r="J124" s="577">
        <f>IF(ROW()=2,+qryGnattToDraws[[#This Row],[Due]],+qryGnattToDraws[[#This Row],[Due]]+J123)</f>
        <v>18192.97</v>
      </c>
      <c r="M124" s="185">
        <f>IF(qryGnattToDraws[[#This Row],[Draws]]&gt;0,+K124*Profit!$B$41/24,0)</f>
        <v>0</v>
      </c>
      <c r="N124" s="185">
        <f>+qryGnattToDraws[[#This Row],[Interest]]+N123</f>
        <v>0</v>
      </c>
    </row>
    <row r="125" spans="1:14">
      <c r="A125">
        <v>64</v>
      </c>
      <c r="B125" t="s">
        <v>608</v>
      </c>
      <c r="C125" t="s">
        <v>600</v>
      </c>
      <c r="D125" t="s">
        <v>630</v>
      </c>
      <c r="E125" t="s">
        <v>797</v>
      </c>
      <c r="F125"/>
      <c r="G125" s="185">
        <v>1879.2</v>
      </c>
      <c r="H125"/>
      <c r="I125">
        <f>IFERROR(_xlfn.XLOOKUP(qryGnattToDraws[[#This Row],[Index]], Contract_Edits[Index], Contract_Edits[DrawNu],), "")</f>
        <v>104500</v>
      </c>
      <c r="J125" s="577">
        <f>IF(ROW()=2,+qryGnattToDraws[[#This Row],[Due]],+qryGnattToDraws[[#This Row],[Due]]+J124)</f>
        <v>18192.97</v>
      </c>
      <c r="M125" s="185">
        <f>IF(qryGnattToDraws[[#This Row],[Draws]]&gt;0,+K125*Profit!$B$41/24,0)</f>
        <v>0</v>
      </c>
      <c r="N125" s="185">
        <f>+qryGnattToDraws[[#This Row],[Interest]]+N124</f>
        <v>0</v>
      </c>
    </row>
    <row r="126" spans="1:14">
      <c r="A126">
        <v>71</v>
      </c>
      <c r="B126" t="s">
        <v>608</v>
      </c>
      <c r="C126" t="s">
        <v>637</v>
      </c>
      <c r="D126" t="s">
        <v>638</v>
      </c>
      <c r="E126" t="s">
        <v>797</v>
      </c>
      <c r="F126"/>
      <c r="G126" s="185">
        <v>2175</v>
      </c>
      <c r="H126"/>
      <c r="I126">
        <f>IFERROR(_xlfn.XLOOKUP(qryGnattToDraws[[#This Row],[Index]], Contract_Edits[Index], Contract_Edits[DrawNu],), "")</f>
        <v>104500</v>
      </c>
      <c r="J126" s="577">
        <f>IF(ROW()=2,+qryGnattToDraws[[#This Row],[Due]],+qryGnattToDraws[[#This Row],[Due]]+J125)</f>
        <v>18192.97</v>
      </c>
      <c r="M126" s="185">
        <f>IF(qryGnattToDraws[[#This Row],[Draws]]&gt;0,+K126*Profit!$B$41/24,0)</f>
        <v>0</v>
      </c>
      <c r="N126" s="185">
        <f>+qryGnattToDraws[[#This Row],[Interest]]+N125</f>
        <v>0</v>
      </c>
    </row>
    <row r="127" spans="1:14">
      <c r="A127">
        <v>66</v>
      </c>
      <c r="B127" t="s">
        <v>608</v>
      </c>
      <c r="C127" t="s">
        <v>602</v>
      </c>
      <c r="D127" t="s">
        <v>632</v>
      </c>
      <c r="E127" t="s">
        <v>797</v>
      </c>
      <c r="F127"/>
      <c r="G127" s="185">
        <v>3253.8</v>
      </c>
      <c r="H127"/>
      <c r="I127">
        <f>IFERROR(_xlfn.XLOOKUP(qryGnattToDraws[[#This Row],[Index]], Contract_Edits[Index], Contract_Edits[DrawNu],), "")</f>
        <v>104500</v>
      </c>
      <c r="J127" s="577">
        <f>IF(ROW()=2,+qryGnattToDraws[[#This Row],[Due]],+qryGnattToDraws[[#This Row],[Due]]+J126)</f>
        <v>18192.97</v>
      </c>
      <c r="M127" s="185">
        <f>IF(qryGnattToDraws[[#This Row],[Draws]]&gt;0,+K127*Profit!$B$41/24,0)</f>
        <v>0</v>
      </c>
      <c r="N127" s="185">
        <f>+qryGnattToDraws[[#This Row],[Interest]]+N126</f>
        <v>0</v>
      </c>
    </row>
    <row r="128" spans="1:14">
      <c r="A128">
        <v>46</v>
      </c>
      <c r="B128" t="s">
        <v>587</v>
      </c>
      <c r="C128" t="s">
        <v>568</v>
      </c>
      <c r="D128" t="s">
        <v>604</v>
      </c>
      <c r="E128" t="s">
        <v>797</v>
      </c>
      <c r="F128"/>
      <c r="G128" s="185">
        <v>1132.75</v>
      </c>
      <c r="H128"/>
      <c r="I128">
        <f>IFERROR(_xlfn.XLOOKUP(qryGnattToDraws[[#This Row],[Index]], Contract_Edits[Index], Contract_Edits[DrawNu],), "")</f>
        <v>104500</v>
      </c>
      <c r="J128" s="577">
        <f>IF(ROW()=2,+qryGnattToDraws[[#This Row],[Due]],+qryGnattToDraws[[#This Row],[Due]]+J127)</f>
        <v>18192.97</v>
      </c>
      <c r="M128" s="185">
        <f>IF(qryGnattToDraws[[#This Row],[Draws]]&gt;0,+K128*Profit!$B$41/24,0)</f>
        <v>0</v>
      </c>
      <c r="N128" s="185">
        <f>+qryGnattToDraws[[#This Row],[Interest]]+N127</f>
        <v>0</v>
      </c>
    </row>
    <row r="129" spans="1:14">
      <c r="A129">
        <v>35</v>
      </c>
      <c r="B129" t="s">
        <v>555</v>
      </c>
      <c r="C129" t="s">
        <v>585</v>
      </c>
      <c r="D129" t="s">
        <v>586</v>
      </c>
      <c r="E129" t="s">
        <v>797</v>
      </c>
      <c r="F129"/>
      <c r="G129" s="185">
        <v>1305</v>
      </c>
      <c r="H129"/>
      <c r="I129">
        <f>IFERROR(_xlfn.XLOOKUP(qryGnattToDraws[[#This Row],[Index]], Contract_Edits[Index], Contract_Edits[DrawNu],), "")</f>
        <v>104500</v>
      </c>
      <c r="J129" s="577">
        <f>IF(ROW()=2,+qryGnattToDraws[[#This Row],[Due]],+qryGnattToDraws[[#This Row],[Due]]+J128)</f>
        <v>18192.97</v>
      </c>
      <c r="M129" s="185">
        <f>IF(qryGnattToDraws[[#This Row],[Draws]]&gt;0,+K129*Profit!$B$41/24,0)</f>
        <v>0</v>
      </c>
      <c r="N129" s="185">
        <f>+qryGnattToDraws[[#This Row],[Interest]]+N128</f>
        <v>0</v>
      </c>
    </row>
    <row r="130" spans="1:14">
      <c r="A130">
        <v>144</v>
      </c>
      <c r="B130" t="s">
        <v>608</v>
      </c>
      <c r="C130" t="s">
        <v>602</v>
      </c>
      <c r="D130" t="s">
        <v>738</v>
      </c>
      <c r="E130" t="s">
        <v>797</v>
      </c>
      <c r="F130"/>
      <c r="G130" s="185">
        <v>2000</v>
      </c>
      <c r="H130"/>
      <c r="I130">
        <f>IFERROR(_xlfn.XLOOKUP(qryGnattToDraws[[#This Row],[Index]], Contract_Edits[Index], Contract_Edits[DrawNu],), "")</f>
        <v>0</v>
      </c>
      <c r="J130" s="577">
        <f>IF(ROW()=2,+qryGnattToDraws[[#This Row],[Due]],+qryGnattToDraws[[#This Row],[Due]]+J129)</f>
        <v>18192.97</v>
      </c>
      <c r="M130" s="185">
        <f>IF(qryGnattToDraws[[#This Row],[Draws]]&gt;0,+K130*Profit!$B$41/24,0)</f>
        <v>0</v>
      </c>
      <c r="N130" s="185">
        <f>+qryGnattToDraws[[#This Row],[Interest]]+N129</f>
        <v>0</v>
      </c>
    </row>
    <row r="131" spans="1:14">
      <c r="A131">
        <v>94</v>
      </c>
      <c r="B131" t="s">
        <v>639</v>
      </c>
      <c r="C131" t="s">
        <v>606</v>
      </c>
      <c r="D131" t="s">
        <v>671</v>
      </c>
      <c r="E131" t="s">
        <v>797</v>
      </c>
      <c r="F131"/>
      <c r="G131" s="185">
        <v>156.25</v>
      </c>
      <c r="H131"/>
      <c r="I131">
        <f>IFERROR(_xlfn.XLOOKUP(qryGnattToDraws[[#This Row],[Index]], Contract_Edits[Index], Contract_Edits[DrawNu],), "")</f>
        <v>104900</v>
      </c>
      <c r="J131" s="577">
        <f>IF(ROW()=2,+qryGnattToDraws[[#This Row],[Due]],+qryGnattToDraws[[#This Row],[Due]]+J130)</f>
        <v>18192.97</v>
      </c>
      <c r="M131" s="185">
        <f>IF(qryGnattToDraws[[#This Row],[Draws]]&gt;0,+K131*Profit!$B$41/24,0)</f>
        <v>0</v>
      </c>
      <c r="N131" s="185">
        <f>+qryGnattToDraws[[#This Row],[Interest]]+N130</f>
        <v>0</v>
      </c>
    </row>
    <row r="132" spans="1:14">
      <c r="A132">
        <v>70</v>
      </c>
      <c r="B132" t="s">
        <v>608</v>
      </c>
      <c r="C132" t="s">
        <v>606</v>
      </c>
      <c r="D132" t="s">
        <v>636</v>
      </c>
      <c r="E132" t="s">
        <v>797</v>
      </c>
      <c r="F132"/>
      <c r="G132" s="185">
        <v>156.25</v>
      </c>
      <c r="H132"/>
      <c r="I132">
        <f>IFERROR(_xlfn.XLOOKUP(qryGnattToDraws[[#This Row],[Index]], Contract_Edits[Index], Contract_Edits[DrawNu],), "")</f>
        <v>104900</v>
      </c>
      <c r="J132" s="577">
        <f>IF(ROW()=2,+qryGnattToDraws[[#This Row],[Due]],+qryGnattToDraws[[#This Row],[Due]]+J131)</f>
        <v>18192.97</v>
      </c>
      <c r="M132" s="185">
        <f>IF(qryGnattToDraws[[#This Row],[Draws]]&gt;0,+K132*Profit!$B$41/24,0)</f>
        <v>0</v>
      </c>
      <c r="N132" s="185">
        <f>+qryGnattToDraws[[#This Row],[Interest]]+N131</f>
        <v>0</v>
      </c>
    </row>
    <row r="133" spans="1:14">
      <c r="A133">
        <v>48</v>
      </c>
      <c r="B133" t="s">
        <v>587</v>
      </c>
      <c r="C133" t="s">
        <v>606</v>
      </c>
      <c r="D133" t="s">
        <v>607</v>
      </c>
      <c r="E133" t="s">
        <v>797</v>
      </c>
      <c r="F133"/>
      <c r="G133" s="185">
        <v>156.25</v>
      </c>
      <c r="H133"/>
      <c r="I133">
        <f>IFERROR(_xlfn.XLOOKUP(qryGnattToDraws[[#This Row],[Index]], Contract_Edits[Index], Contract_Edits[DrawNu],), "")</f>
        <v>104900</v>
      </c>
      <c r="J133" s="577">
        <f>IF(ROW()=2,+qryGnattToDraws[[#This Row],[Due]],+qryGnattToDraws[[#This Row],[Due]]+J132)</f>
        <v>18192.97</v>
      </c>
      <c r="M133" s="185">
        <f>IF(qryGnattToDraws[[#This Row],[Draws]]&gt;0,+K133*Profit!$B$41/24,0)</f>
        <v>0</v>
      </c>
      <c r="N133" s="185">
        <f>+qryGnattToDraws[[#This Row],[Interest]]+N132</f>
        <v>0</v>
      </c>
    </row>
    <row r="134" spans="1:14">
      <c r="A134">
        <v>30</v>
      </c>
      <c r="B134" t="s">
        <v>555</v>
      </c>
      <c r="C134" t="s">
        <v>575</v>
      </c>
      <c r="D134" t="s">
        <v>576</v>
      </c>
      <c r="E134" t="s">
        <v>797</v>
      </c>
      <c r="F134"/>
      <c r="G134" s="185">
        <v>468.75</v>
      </c>
      <c r="H134"/>
      <c r="I134">
        <f>IFERROR(_xlfn.XLOOKUP(qryGnattToDraws[[#This Row],[Index]], Contract_Edits[Index], Contract_Edits[DrawNu],), "")</f>
        <v>103700</v>
      </c>
      <c r="J134" s="577">
        <f>IF(ROW()=2,+qryGnattToDraws[[#This Row],[Due]],+qryGnattToDraws[[#This Row],[Due]]+J133)</f>
        <v>18192.97</v>
      </c>
      <c r="M134" s="185">
        <f>IF(qryGnattToDraws[[#This Row],[Draws]]&gt;0,+K134*Profit!$B$41/24,0)</f>
        <v>0</v>
      </c>
      <c r="N134" s="185">
        <f>+qryGnattToDraws[[#This Row],[Interest]]+N133</f>
        <v>0</v>
      </c>
    </row>
    <row r="135" spans="1:14">
      <c r="A135">
        <v>119</v>
      </c>
      <c r="B135" t="s">
        <v>523</v>
      </c>
      <c r="C135" t="s">
        <v>531</v>
      </c>
      <c r="D135" t="s">
        <v>704</v>
      </c>
      <c r="E135" t="s">
        <v>797</v>
      </c>
      <c r="F135"/>
      <c r="G135" s="185">
        <v>0</v>
      </c>
      <c r="H135"/>
      <c r="I135">
        <f>IFERROR(_xlfn.XLOOKUP(qryGnattToDraws[[#This Row],[Index]], Contract_Edits[Index], Contract_Edits[DrawNu],), "")</f>
        <v>103300</v>
      </c>
      <c r="J135" s="577">
        <f>IF(ROW()=2,+qryGnattToDraws[[#This Row],[Due]],+qryGnattToDraws[[#This Row],[Due]]+J134)</f>
        <v>18192.97</v>
      </c>
      <c r="M135" s="185">
        <f>IF(qryGnattToDraws[[#This Row],[Draws]]&gt;0,+K135*Profit!$B$41/24,0)</f>
        <v>0</v>
      </c>
      <c r="N135" s="185">
        <f>+qryGnattToDraws[[#This Row],[Interest]]+N134</f>
        <v>0</v>
      </c>
    </row>
    <row r="136" spans="1:14">
      <c r="A136">
        <v>905</v>
      </c>
      <c r="B136" t="s">
        <v>523</v>
      </c>
      <c r="C136" t="s">
        <v>531</v>
      </c>
      <c r="D136" t="s">
        <v>838</v>
      </c>
      <c r="E136" t="s">
        <v>797</v>
      </c>
      <c r="F136"/>
      <c r="G136" s="185">
        <v>495.60225000000003</v>
      </c>
      <c r="H136"/>
      <c r="I136">
        <f>IFERROR(_xlfn.XLOOKUP(qryGnattToDraws[[#This Row],[Index]], Contract_Edits[Index], Contract_Edits[DrawNu],), "")</f>
        <v>103300</v>
      </c>
      <c r="J136" s="577">
        <f>IF(ROW()=2,+qryGnattToDraws[[#This Row],[Due]],+qryGnattToDraws[[#This Row],[Due]]+J135)</f>
        <v>18192.97</v>
      </c>
      <c r="M136" s="185">
        <f>IF(qryGnattToDraws[[#This Row],[Draws]]&gt;0,+K136*Profit!$B$41/24,0)</f>
        <v>0</v>
      </c>
      <c r="N136" s="185">
        <f>+qryGnattToDraws[[#This Row],[Interest]]+N135</f>
        <v>0</v>
      </c>
    </row>
    <row r="137" spans="1:14">
      <c r="A137">
        <v>90</v>
      </c>
      <c r="B137" t="s">
        <v>523</v>
      </c>
      <c r="C137" t="s">
        <v>531</v>
      </c>
      <c r="D137" t="s">
        <v>667</v>
      </c>
      <c r="E137" t="s">
        <v>797</v>
      </c>
      <c r="F137"/>
      <c r="G137" s="185">
        <v>0</v>
      </c>
      <c r="H137"/>
      <c r="I137">
        <f>IFERROR(_xlfn.XLOOKUP(qryGnattToDraws[[#This Row],[Index]], Contract_Edits[Index], Contract_Edits[DrawNu],), "")</f>
        <v>103300</v>
      </c>
      <c r="J137" s="577">
        <f>IF(ROW()=2,+qryGnattToDraws[[#This Row],[Due]],+qryGnattToDraws[[#This Row],[Due]]+J136)</f>
        <v>18192.97</v>
      </c>
      <c r="M137" s="185">
        <f>IF(qryGnattToDraws[[#This Row],[Draws]]&gt;0,+K137*Profit!$B$41/24,0)</f>
        <v>0</v>
      </c>
      <c r="N137" s="185">
        <f>+qryGnattToDraws[[#This Row],[Interest]]+N136</f>
        <v>0</v>
      </c>
    </row>
    <row r="138" spans="1:14">
      <c r="A138">
        <v>11</v>
      </c>
      <c r="B138" t="s">
        <v>523</v>
      </c>
      <c r="C138" t="s">
        <v>539</v>
      </c>
      <c r="D138" t="s">
        <v>540</v>
      </c>
      <c r="E138" t="s">
        <v>797</v>
      </c>
      <c r="F138"/>
      <c r="G138" s="185">
        <v>0</v>
      </c>
      <c r="H138"/>
      <c r="I138">
        <f>IFERROR(_xlfn.XLOOKUP(qryGnattToDraws[[#This Row],[Index]], Contract_Edits[Index], Contract_Edits[DrawNu],), "")</f>
        <v>103300</v>
      </c>
      <c r="J138" s="577">
        <f>IF(ROW()=2,+qryGnattToDraws[[#This Row],[Due]],+qryGnattToDraws[[#This Row],[Due]]+J137)</f>
        <v>18192.97</v>
      </c>
      <c r="M138" s="185">
        <f>IF(qryGnattToDraws[[#This Row],[Draws]]&gt;0,+K138*Profit!$B$41/24,0)</f>
        <v>0</v>
      </c>
      <c r="N138" s="185">
        <f>+qryGnattToDraws[[#This Row],[Interest]]+N137</f>
        <v>0</v>
      </c>
    </row>
    <row r="139" spans="1:14">
      <c r="A139">
        <v>139</v>
      </c>
      <c r="B139" t="s">
        <v>639</v>
      </c>
      <c r="C139" t="s">
        <v>730</v>
      </c>
      <c r="D139" t="s">
        <v>733</v>
      </c>
      <c r="E139" t="s">
        <v>797</v>
      </c>
      <c r="F139"/>
      <c r="G139" s="185">
        <v>0</v>
      </c>
      <c r="H139"/>
      <c r="I139">
        <f>IFERROR(_xlfn.XLOOKUP(qryGnattToDraws[[#This Row],[Index]], Contract_Edits[Index], Contract_Edits[DrawNu],), "")</f>
        <v>104800</v>
      </c>
      <c r="J139" s="577">
        <f>IF(ROW()=2,+qryGnattToDraws[[#This Row],[Due]],+qryGnattToDraws[[#This Row],[Due]]+J138)</f>
        <v>18192.97</v>
      </c>
      <c r="M139" s="185">
        <f>IF(qryGnattToDraws[[#This Row],[Draws]]&gt;0,+K139*Profit!$B$41/24,0)</f>
        <v>0</v>
      </c>
      <c r="N139" s="185">
        <f>+qryGnattToDraws[[#This Row],[Interest]]+N138</f>
        <v>0</v>
      </c>
    </row>
    <row r="140" spans="1:14">
      <c r="A140">
        <v>142</v>
      </c>
      <c r="B140" t="s">
        <v>608</v>
      </c>
      <c r="C140" t="s">
        <v>730</v>
      </c>
      <c r="D140" t="s">
        <v>735</v>
      </c>
      <c r="E140" t="s">
        <v>797</v>
      </c>
      <c r="F140"/>
      <c r="G140" s="185">
        <v>0</v>
      </c>
      <c r="H140"/>
      <c r="I140">
        <f>IFERROR(_xlfn.XLOOKUP(qryGnattToDraws[[#This Row],[Index]], Contract_Edits[Index], Contract_Edits[DrawNu],), "")</f>
        <v>104800</v>
      </c>
      <c r="J140" s="577">
        <f>IF(ROW()=2,+qryGnattToDraws[[#This Row],[Due]],+qryGnattToDraws[[#This Row],[Due]]+J139)</f>
        <v>18192.97</v>
      </c>
      <c r="M140" s="185">
        <f>IF(qryGnattToDraws[[#This Row],[Draws]]&gt;0,+K140*Profit!$B$41/24,0)</f>
        <v>0</v>
      </c>
      <c r="N140" s="185">
        <f>+qryGnattToDraws[[#This Row],[Interest]]+N139</f>
        <v>0</v>
      </c>
    </row>
    <row r="141" spans="1:14">
      <c r="A141">
        <v>127</v>
      </c>
      <c r="B141" t="s">
        <v>608</v>
      </c>
      <c r="C141" t="s">
        <v>577</v>
      </c>
      <c r="D141" t="s">
        <v>713</v>
      </c>
      <c r="E141" t="s">
        <v>797</v>
      </c>
      <c r="F141"/>
      <c r="G141" s="185">
        <v>0</v>
      </c>
      <c r="H141"/>
      <c r="I141">
        <f>IFERROR(_xlfn.XLOOKUP(qryGnattToDraws[[#This Row],[Index]], Contract_Edits[Index], Contract_Edits[DrawNu],), "")</f>
        <v>104800</v>
      </c>
      <c r="J141" s="577">
        <f>IF(ROW()=2,+qryGnattToDraws[[#This Row],[Due]],+qryGnattToDraws[[#This Row],[Due]]+J140)</f>
        <v>18192.97</v>
      </c>
      <c r="M141" s="185">
        <f>IF(qryGnattToDraws[[#This Row],[Draws]]&gt;0,+K141*Profit!$B$41/24,0)</f>
        <v>0</v>
      </c>
      <c r="N141" s="185">
        <f>+qryGnattToDraws[[#This Row],[Interest]]+N140</f>
        <v>0</v>
      </c>
    </row>
    <row r="142" spans="1:14">
      <c r="A142">
        <v>141</v>
      </c>
      <c r="B142" t="s">
        <v>608</v>
      </c>
      <c r="C142" t="s">
        <v>730</v>
      </c>
      <c r="D142" t="s">
        <v>734</v>
      </c>
      <c r="E142" t="s">
        <v>797</v>
      </c>
      <c r="F142"/>
      <c r="G142" s="185">
        <v>0</v>
      </c>
      <c r="H142"/>
      <c r="I142">
        <f>IFERROR(_xlfn.XLOOKUP(qryGnattToDraws[[#This Row],[Index]], Contract_Edits[Index], Contract_Edits[DrawNu],), "")</f>
        <v>104800</v>
      </c>
      <c r="J142" s="577">
        <f>IF(ROW()=2,+qryGnattToDraws[[#This Row],[Due]],+qryGnattToDraws[[#This Row],[Due]]+J141)</f>
        <v>18192.97</v>
      </c>
      <c r="M142" s="185">
        <f>IF(qryGnattToDraws[[#This Row],[Draws]]&gt;0,+K142*Profit!$B$41/24,0)</f>
        <v>0</v>
      </c>
      <c r="N142" s="185">
        <f>+qryGnattToDraws[[#This Row],[Interest]]+N141</f>
        <v>0</v>
      </c>
    </row>
    <row r="143" spans="1:14">
      <c r="A143">
        <v>140</v>
      </c>
      <c r="B143" t="s">
        <v>587</v>
      </c>
      <c r="C143" t="s">
        <v>730</v>
      </c>
      <c r="D143" t="s">
        <v>734</v>
      </c>
      <c r="E143" t="s">
        <v>797</v>
      </c>
      <c r="F143"/>
      <c r="G143" s="185">
        <v>0</v>
      </c>
      <c r="H143"/>
      <c r="I143">
        <f>IFERROR(_xlfn.XLOOKUP(qryGnattToDraws[[#This Row],[Index]], Contract_Edits[Index], Contract_Edits[DrawNu],), "")</f>
        <v>104800</v>
      </c>
      <c r="J143" s="577">
        <f>IF(ROW()=2,+qryGnattToDraws[[#This Row],[Due]],+qryGnattToDraws[[#This Row],[Due]]+J142)</f>
        <v>18192.97</v>
      </c>
      <c r="M143" s="185">
        <f>IF(qryGnattToDraws[[#This Row],[Draws]]&gt;0,+K143*Profit!$B$41/24,0)</f>
        <v>0</v>
      </c>
      <c r="N143" s="185">
        <f>+qryGnattToDraws[[#This Row],[Interest]]+N142</f>
        <v>0</v>
      </c>
    </row>
    <row r="144" spans="1:14">
      <c r="A144">
        <v>134</v>
      </c>
      <c r="B144" t="s">
        <v>587</v>
      </c>
      <c r="C144" t="s">
        <v>598</v>
      </c>
      <c r="D144" t="s">
        <v>724</v>
      </c>
      <c r="E144" t="s">
        <v>797</v>
      </c>
      <c r="F144"/>
      <c r="G144" s="185">
        <v>0</v>
      </c>
      <c r="H144"/>
      <c r="I144">
        <f>IFERROR(_xlfn.XLOOKUP(qryGnattToDraws[[#This Row],[Index]], Contract_Edits[Index], Contract_Edits[DrawNu],), "")</f>
        <v>104800</v>
      </c>
      <c r="J144" s="577">
        <f>IF(ROW()=2,+qryGnattToDraws[[#This Row],[Due]],+qryGnattToDraws[[#This Row],[Due]]+J143)</f>
        <v>18192.97</v>
      </c>
      <c r="M144" s="185">
        <f>IF(qryGnattToDraws[[#This Row],[Draws]]&gt;0,+K144*Profit!$B$41/24,0)</f>
        <v>0</v>
      </c>
      <c r="N144" s="185">
        <f>+qryGnattToDraws[[#This Row],[Interest]]+N143</f>
        <v>0</v>
      </c>
    </row>
    <row r="145" spans="1:18">
      <c r="A145">
        <v>138</v>
      </c>
      <c r="B145" t="s">
        <v>555</v>
      </c>
      <c r="C145" t="s">
        <v>730</v>
      </c>
      <c r="D145" t="s">
        <v>731</v>
      </c>
      <c r="E145" t="s">
        <v>797</v>
      </c>
      <c r="F145"/>
      <c r="G145" s="185">
        <v>0</v>
      </c>
      <c r="H145"/>
      <c r="I145">
        <f>IFERROR(_xlfn.XLOOKUP(qryGnattToDraws[[#This Row],[Index]], Contract_Edits[Index], Contract_Edits[DrawNu],), "")</f>
        <v>104800</v>
      </c>
      <c r="J145" s="577">
        <f>IF(ROW()=2,+qryGnattToDraws[[#This Row],[Due]],+qryGnattToDraws[[#This Row],[Due]]+J144)</f>
        <v>18192.97</v>
      </c>
      <c r="M145" s="185">
        <f>IF(qryGnattToDraws[[#This Row],[Draws]]&gt;0,+K145*Profit!$B$41/24,0)</f>
        <v>0</v>
      </c>
      <c r="N145" s="185">
        <f>+qryGnattToDraws[[#This Row],[Interest]]+N144</f>
        <v>0</v>
      </c>
    </row>
    <row r="146" spans="1:18">
      <c r="A146">
        <v>4</v>
      </c>
      <c r="B146" t="s">
        <v>523</v>
      </c>
      <c r="C146" t="s">
        <v>524</v>
      </c>
      <c r="D146" t="s">
        <v>525</v>
      </c>
      <c r="E146" t="s">
        <v>797</v>
      </c>
      <c r="F146"/>
      <c r="G146" s="185">
        <v>0</v>
      </c>
      <c r="H146"/>
      <c r="I146">
        <f>IFERROR(_xlfn.XLOOKUP(qryGnattToDraws[[#This Row],[Index]], Contract_Edits[Index], Contract_Edits[DrawNu],), "")</f>
        <v>104800</v>
      </c>
      <c r="J146" s="577">
        <f>IF(ROW()=2,+qryGnattToDraws[[#This Row],[Due]],+qryGnattToDraws[[#This Row],[Due]]+J145)</f>
        <v>18192.97</v>
      </c>
      <c r="M146" s="185">
        <f>IF(qryGnattToDraws[[#This Row],[Draws]]&gt;0,+K146*Profit!$B$41/24,0)</f>
        <v>0</v>
      </c>
      <c r="N146" s="185">
        <f>+qryGnattToDraws[[#This Row],[Interest]]+N145</f>
        <v>0</v>
      </c>
    </row>
    <row r="147" spans="1:18">
      <c r="A147">
        <v>910</v>
      </c>
      <c r="B147" t="s">
        <v>523</v>
      </c>
      <c r="C147" t="s">
        <v>845</v>
      </c>
      <c r="D147" t="s">
        <v>846</v>
      </c>
      <c r="E147" t="s">
        <v>458</v>
      </c>
      <c r="F147"/>
      <c r="G147" s="185">
        <v>2105</v>
      </c>
      <c r="H147">
        <v>2105</v>
      </c>
      <c r="I147">
        <f>IFERROR(_xlfn.XLOOKUP(qryGnattToDraws[[#This Row],[Index]], Contract_Edits[Index], Contract_Edits[DrawNu],), "")</f>
        <v>104800</v>
      </c>
      <c r="J147" s="577">
        <f>IF(ROW()=2,+qryGnattToDraws[[#This Row],[Due]],+qryGnattToDraws[[#This Row],[Due]]+J146)</f>
        <v>20297.97</v>
      </c>
      <c r="M147" s="185">
        <f>IF(qryGnattToDraws[[#This Row],[Draws]]&gt;0,+K147*Profit!$B$41/24,0)</f>
        <v>0</v>
      </c>
      <c r="N147" s="185">
        <f>+qryGnattToDraws[[#This Row],[Interest]]+N146</f>
        <v>0</v>
      </c>
    </row>
    <row r="148" spans="1:18">
      <c r="A148">
        <v>125</v>
      </c>
      <c r="B148" t="s">
        <v>523</v>
      </c>
      <c r="C148" t="s">
        <v>675</v>
      </c>
      <c r="D148" t="s">
        <v>711</v>
      </c>
      <c r="E148" t="s">
        <v>797</v>
      </c>
      <c r="F148"/>
      <c r="G148" s="185">
        <v>0</v>
      </c>
      <c r="H148"/>
      <c r="I148">
        <f>IFERROR(_xlfn.XLOOKUP(qryGnattToDraws[[#This Row],[Index]], Contract_Edits[Index], Contract_Edits[DrawNu],), "")</f>
        <v>104800</v>
      </c>
      <c r="J148" s="577">
        <f>IF(ROW()=2,+qryGnattToDraws[[#This Row],[Due]],+qryGnattToDraws[[#This Row],[Due]]+J147)</f>
        <v>20297.97</v>
      </c>
      <c r="M148" s="185">
        <f>IF(qryGnattToDraws[[#This Row],[Draws]]&gt;0,+K148*Profit!$B$41/24,0)</f>
        <v>0</v>
      </c>
      <c r="P148" s="185">
        <f>+qryGnattToDraws[[#This Row],[Interest]]+N147</f>
        <v>0</v>
      </c>
      <c r="R148" s="185" t="e">
        <f>+P148/_xlfn.DAYS(#REF!,#REF!)*30</f>
        <v>#REF!</v>
      </c>
    </row>
    <row r="149" spans="1:18">
      <c r="A149">
        <v>97</v>
      </c>
      <c r="B149" t="s">
        <v>523</v>
      </c>
      <c r="C149" t="s">
        <v>675</v>
      </c>
      <c r="D149" t="s">
        <v>676</v>
      </c>
      <c r="E149" t="s">
        <v>797</v>
      </c>
      <c r="F149"/>
      <c r="G149" s="185">
        <v>0</v>
      </c>
      <c r="H149"/>
      <c r="I149">
        <f>IFERROR(_xlfn.XLOOKUP(qryGnattToDraws[[#This Row],[Index]], Contract_Edits[Index], Contract_Edits[DrawNu],), "")</f>
        <v>105100</v>
      </c>
      <c r="J149" s="577">
        <f>IF(ROW()=2,+qryGnattToDraws[[#This Row],[Due]],+qryGnattToDraws[[#This Row],[Due]]+J148)</f>
        <v>20297.97</v>
      </c>
      <c r="M149" s="185">
        <f>IF(qryGnattToDraws[[#This Row],[Draws]]&gt;0,+K149*Profit!$B$41/24,0)</f>
        <v>0</v>
      </c>
      <c r="P149" s="185"/>
      <c r="R149" t="s">
        <v>969</v>
      </c>
    </row>
    <row r="150" spans="1:18" hidden="1">
      <c r="A150">
        <v>124</v>
      </c>
      <c r="B150" t="s">
        <v>521</v>
      </c>
      <c r="C150" t="s">
        <v>545</v>
      </c>
      <c r="D150" t="s">
        <v>710</v>
      </c>
      <c r="E150" t="s">
        <v>797</v>
      </c>
      <c r="F150"/>
      <c r="G150" s="185">
        <v>0</v>
      </c>
      <c r="H150"/>
      <c r="I150">
        <f>IFERROR(_xlfn.XLOOKUP(qryGnattToDraws[[#This Row],[Index]], Contract_Edits[Index], Contract_Edits[DrawNu],), "")</f>
        <v>0</v>
      </c>
      <c r="J150" s="577">
        <f>IF(ROW()=2,+qryGnattToDraws[[#This Row],[Due]],+qryGnattToDraws[[#This Row],[Due]]+J149)</f>
        <v>20297.97</v>
      </c>
      <c r="M150" s="185">
        <f>IF(qryGnattToDraws[[#This Row],[Draws]]&gt;0,+K150*Profit!$B$41/24,0)</f>
        <v>0</v>
      </c>
      <c r="P150" s="185"/>
    </row>
    <row r="151" spans="1:18" hidden="1">
      <c r="A151">
        <v>1</v>
      </c>
      <c r="B151" t="s">
        <v>170</v>
      </c>
      <c r="C151" t="s">
        <v>772</v>
      </c>
      <c r="D151" t="s">
        <v>518</v>
      </c>
      <c r="E151" t="s">
        <v>797</v>
      </c>
      <c r="F151"/>
      <c r="G151" s="185">
        <v>11000</v>
      </c>
      <c r="H151"/>
      <c r="I151">
        <f>IFERROR(_xlfn.XLOOKUP(qryGnattToDraws[[#This Row],[Index]], Contract_Edits[Index], Contract_Edits[DrawNu],), "")</f>
        <v>0</v>
      </c>
      <c r="J151" s="577">
        <f>IF(ROW()=2,+qryGnattToDraws[[#This Row],[Due]],+qryGnattToDraws[[#This Row],[Due]]+J150)</f>
        <v>20297.97</v>
      </c>
      <c r="M151" s="185">
        <f>IF(qryGnattToDraws[[#This Row],[Draws]]&gt;0,+K151*Profit!$B$41/24,0)</f>
        <v>0</v>
      </c>
    </row>
    <row r="152" spans="1:18">
      <c r="A152">
        <v>182</v>
      </c>
      <c r="B152" t="s">
        <v>517</v>
      </c>
      <c r="C152" t="s">
        <v>781</v>
      </c>
      <c r="D152" t="s">
        <v>782</v>
      </c>
      <c r="E152" t="s">
        <v>797</v>
      </c>
      <c r="F152"/>
      <c r="G152" s="185">
        <v>330</v>
      </c>
      <c r="H152"/>
      <c r="I152">
        <f>IFERROR(_xlfn.XLOOKUP(qryGnattToDraws[[#This Row],[Index]], Contract_Edits[Index], Contract_Edits[DrawNu],), "")</f>
        <v>0</v>
      </c>
      <c r="J152" s="577">
        <f>IF(ROW()=2,+qryGnattToDraws[[#This Row],[Due]],+qryGnattToDraws[[#This Row],[Due]]+J151)</f>
        <v>20297.97</v>
      </c>
      <c r="M152" s="185">
        <f>IF(qryGnattToDraws[[#This Row],[Draws]]&gt;0,+K152*Profit!$B$41/24,0)</f>
        <v>0</v>
      </c>
    </row>
    <row r="153" spans="1:18" hidden="1">
      <c r="A153">
        <v>2</v>
      </c>
      <c r="B153" t="s">
        <v>170</v>
      </c>
      <c r="C153" t="s">
        <v>772</v>
      </c>
      <c r="D153" t="s">
        <v>520</v>
      </c>
      <c r="E153" t="s">
        <v>797</v>
      </c>
      <c r="F153"/>
      <c r="H153"/>
      <c r="I153">
        <f>IFERROR(_xlfn.XLOOKUP(qryGnattToDraws[[#This Row],[Index]], Contract_Edits[Index], Contract_Edits[DrawNu],), "")</f>
        <v>0</v>
      </c>
      <c r="J153" s="577">
        <f>IF(ROW()=2,+qryGnattToDraws[[#This Row],[Due]],+qryGnattToDraws[[#This Row],[Due]]+J152)</f>
        <v>20297.97</v>
      </c>
      <c r="M153" s="185">
        <f>IF(qryGnattToDraws[[#This Row],[Draws]]&gt;0,+K153*Profit!$B$41/24,0)</f>
        <v>0</v>
      </c>
    </row>
    <row r="154" spans="1:18" hidden="1">
      <c r="A154">
        <v>3</v>
      </c>
      <c r="B154" t="s">
        <v>170</v>
      </c>
      <c r="C154" t="s">
        <v>772</v>
      </c>
      <c r="D154" t="s">
        <v>522</v>
      </c>
      <c r="E154">
        <v>0</v>
      </c>
      <c r="F154"/>
      <c r="H154"/>
      <c r="I154">
        <f>IFERROR(_xlfn.XLOOKUP(qryGnattToDraws[[#This Row],[Index]], Contract_Edits[Index], Contract_Edits[DrawNu],), "")</f>
        <v>0</v>
      </c>
      <c r="J154" s="577">
        <f>IF(ROW()=2,+qryGnattToDraws[[#This Row],[Due]],+qryGnattToDraws[[#This Row],[Due]]+J153)</f>
        <v>20297.97</v>
      </c>
      <c r="M154" s="185">
        <f>IF(qryGnattToDraws[[#This Row],[Draws]]&gt;0,+K154*Profit!$B$41/24,0)</f>
        <v>0</v>
      </c>
    </row>
    <row r="155" spans="1:18" hidden="1">
      <c r="A155">
        <v>177</v>
      </c>
      <c r="B155" t="s">
        <v>523</v>
      </c>
      <c r="C155" t="s">
        <v>776</v>
      </c>
      <c r="D155" t="s">
        <v>777</v>
      </c>
      <c r="E155" t="s">
        <v>797</v>
      </c>
      <c r="F155"/>
      <c r="G155" s="185">
        <v>5000</v>
      </c>
      <c r="H155"/>
      <c r="I155">
        <f>IFERROR(_xlfn.XLOOKUP(qryGnattToDraws[[#This Row],[Index]], Contract_Edits[Index], Contract_Edits[DrawNu],), "")</f>
        <v>0</v>
      </c>
      <c r="J155" s="577">
        <f>IF(ROW()=2,+qryGnattToDraws[[#This Row],[Due]],+qryGnattToDraws[[#This Row],[Due]]+J154)</f>
        <v>20297.97</v>
      </c>
      <c r="M155" s="185">
        <f>IF(qryGnattToDraws[[#This Row],[Draws]]&gt;0,+K155*Profit!$B$41/24,0)</f>
        <v>0</v>
      </c>
    </row>
    <row r="156" spans="1:18" hidden="1">
      <c r="A156">
        <v>185</v>
      </c>
      <c r="B156" t="s">
        <v>170</v>
      </c>
      <c r="C156" t="s">
        <v>772</v>
      </c>
      <c r="D156" t="s">
        <v>1444</v>
      </c>
      <c r="E156">
        <v>0</v>
      </c>
      <c r="F156"/>
      <c r="G156" s="185">
        <v>1781.25</v>
      </c>
      <c r="H156"/>
      <c r="I156">
        <f>IFERROR(_xlfn.XLOOKUP(qryGnattToDraws[[#This Row],[Index]], Contract_Edits[Index], Contract_Edits[DrawNu],), "")</f>
        <v>0</v>
      </c>
      <c r="J156" s="577">
        <f>IF(ROW()=2,+qryGnattToDraws[[#This Row],[Due]],+qryGnattToDraws[[#This Row],[Due]]+J155)</f>
        <v>20297.97</v>
      </c>
      <c r="M156" s="185">
        <f>IF(qryGnattToDraws[[#This Row],[Draws]]&gt;0,+K156*Profit!$B$41/24,0)</f>
        <v>0</v>
      </c>
    </row>
    <row r="157" spans="1:18" hidden="1">
      <c r="A157">
        <v>186</v>
      </c>
      <c r="B157" t="s">
        <v>170</v>
      </c>
      <c r="C157" t="s">
        <v>772</v>
      </c>
      <c r="D157" t="s">
        <v>1445</v>
      </c>
      <c r="E157">
        <v>0</v>
      </c>
      <c r="F157"/>
      <c r="G157" s="185">
        <v>2375</v>
      </c>
      <c r="H157"/>
      <c r="I157">
        <f>IFERROR(_xlfn.XLOOKUP(qryGnattToDraws[[#This Row],[Index]], Contract_Edits[Index], Contract_Edits[DrawNu],), "")</f>
        <v>0</v>
      </c>
      <c r="J157" s="577">
        <f>IF(ROW()=2,+qryGnattToDraws[[#This Row],[Due]],+qryGnattToDraws[[#This Row],[Due]]+J156)</f>
        <v>20297.97</v>
      </c>
      <c r="M157" s="185">
        <f>IF(qryGnattToDraws[[#This Row],[Draws]]&gt;0,+K157*Profit!$B$41/24,0)</f>
        <v>0</v>
      </c>
    </row>
    <row r="158" spans="1:18" hidden="1">
      <c r="A158">
        <v>187</v>
      </c>
      <c r="B158" t="s">
        <v>170</v>
      </c>
      <c r="C158" t="s">
        <v>772</v>
      </c>
      <c r="D158" t="s">
        <v>1446</v>
      </c>
      <c r="E158">
        <v>0</v>
      </c>
      <c r="F158"/>
      <c r="G158" s="185">
        <v>1437.5</v>
      </c>
      <c r="H158"/>
      <c r="I158">
        <f>IFERROR(_xlfn.XLOOKUP(qryGnattToDraws[[#This Row],[Index]], Contract_Edits[Index], Contract_Edits[DrawNu],), "")</f>
        <v>0</v>
      </c>
      <c r="J158" s="577">
        <f>IF(ROW()=2,+qryGnattToDraws[[#This Row],[Due]],+qryGnattToDraws[[#This Row],[Due]]+J157)</f>
        <v>20297.97</v>
      </c>
      <c r="M158" s="185">
        <f>IF(qryGnattToDraws[[#This Row],[Draws]]&gt;0,+K158*Profit!$B$41/24,0)</f>
        <v>0</v>
      </c>
    </row>
    <row r="159" spans="1:18" hidden="1">
      <c r="A159">
        <v>201</v>
      </c>
      <c r="B159" t="s">
        <v>170</v>
      </c>
      <c r="C159" t="s">
        <v>772</v>
      </c>
      <c r="D159" t="s">
        <v>1487</v>
      </c>
      <c r="E159">
        <v>0</v>
      </c>
      <c r="F159"/>
      <c r="G159" s="185">
        <v>1250</v>
      </c>
      <c r="H159"/>
      <c r="I159">
        <f>IFERROR(_xlfn.XLOOKUP(qryGnattToDraws[[#This Row],[Index]], Contract_Edits[Index], Contract_Edits[DrawNu],), "")</f>
        <v>0</v>
      </c>
      <c r="J159" s="577">
        <f>IF(ROW()=2,+qryGnattToDraws[[#This Row],[Due]],+qryGnattToDraws[[#This Row],[Due]]+J158)</f>
        <v>20297.97</v>
      </c>
      <c r="M159" s="185">
        <f>IF(qryGnattToDraws[[#This Row],[Draws]]&gt;0,+K159*Profit!$B$41/24,0)</f>
        <v>0</v>
      </c>
    </row>
    <row r="160" spans="1:18" hidden="1">
      <c r="A160">
        <v>178</v>
      </c>
      <c r="B160" t="s">
        <v>523</v>
      </c>
      <c r="C160" t="s">
        <v>772</v>
      </c>
      <c r="D160" t="s">
        <v>777</v>
      </c>
      <c r="E160" t="s">
        <v>797</v>
      </c>
      <c r="F160"/>
      <c r="G160" s="185">
        <v>750</v>
      </c>
      <c r="H160"/>
      <c r="I160">
        <f>IFERROR(_xlfn.XLOOKUP(qryGnattToDraws[[#This Row],[Index]], Contract_Edits[Index], Contract_Edits[DrawNu],), "")</f>
        <v>0</v>
      </c>
      <c r="J160" s="577">
        <f>IF(ROW()=2,+qryGnattToDraws[[#This Row],[Due]],+qryGnattToDraws[[#This Row],[Due]]+J159)</f>
        <v>20297.97</v>
      </c>
      <c r="M160" s="185">
        <f>IF(qryGnattToDraws[[#This Row],[Draws]]&gt;0,+K160*Profit!$B$41/24,0)</f>
        <v>0</v>
      </c>
    </row>
    <row r="161" spans="1:13">
      <c r="A161">
        <v>133</v>
      </c>
      <c r="B161" t="s">
        <v>523</v>
      </c>
      <c r="C161" t="s">
        <v>723</v>
      </c>
      <c r="D161" t="s">
        <v>1383</v>
      </c>
      <c r="E161" t="s">
        <v>797</v>
      </c>
      <c r="F161"/>
      <c r="G161" s="185">
        <v>10478</v>
      </c>
      <c r="H161"/>
      <c r="I161">
        <f>IFERROR(_xlfn.XLOOKUP(qryGnattToDraws[[#This Row],[Index]], Contract_Edits[Index], Contract_Edits[DrawNu],), "")</f>
        <v>104800</v>
      </c>
      <c r="J161" s="577">
        <f>IF(ROW()=2,+qryGnattToDraws[[#This Row],[Due]],+qryGnattToDraws[[#This Row],[Due]]+J160)</f>
        <v>20297.97</v>
      </c>
      <c r="M161" s="185">
        <f>IF(qryGnattToDraws[[#This Row],[Draws]]&gt;0,+K161*Profit!$B$41/24,0)</f>
        <v>0</v>
      </c>
    </row>
    <row r="162" spans="1:13">
      <c r="A162">
        <v>197</v>
      </c>
      <c r="B162" t="s">
        <v>793</v>
      </c>
      <c r="C162" t="s">
        <v>560</v>
      </c>
      <c r="D162" t="s">
        <v>1479</v>
      </c>
      <c r="E162">
        <v>0</v>
      </c>
      <c r="F162"/>
      <c r="G162" s="185">
        <v>0</v>
      </c>
      <c r="H162"/>
      <c r="I162">
        <f>IFERROR(_xlfn.XLOOKUP(qryGnattToDraws[[#This Row],[Index]], Contract_Edits[Index], Contract_Edits[DrawNu],), "")</f>
        <v>0</v>
      </c>
      <c r="J162" s="577">
        <f>IF(ROW()=2,+qryGnattToDraws[[#This Row],[Due]],+qryGnattToDraws[[#This Row],[Due]]+J161)</f>
        <v>20297.97</v>
      </c>
      <c r="M162" s="185">
        <f>IF(qryGnattToDraws[[#This Row],[Draws]]&gt;0,+K162*Profit!$B$41/24,0)</f>
        <v>0</v>
      </c>
    </row>
    <row r="163" spans="1:13">
      <c r="A163">
        <v>199</v>
      </c>
      <c r="B163" t="s">
        <v>793</v>
      </c>
      <c r="C163" t="s">
        <v>560</v>
      </c>
      <c r="D163" t="s">
        <v>1483</v>
      </c>
      <c r="E163">
        <v>0</v>
      </c>
      <c r="F163"/>
      <c r="G163" s="185">
        <v>0</v>
      </c>
      <c r="H163"/>
      <c r="I163">
        <f>IFERROR(_xlfn.XLOOKUP(qryGnattToDraws[[#This Row],[Index]], Contract_Edits[Index], Contract_Edits[DrawNu],), "")</f>
        <v>0</v>
      </c>
      <c r="J163" s="577">
        <f>IF(ROW()=2,+qryGnattToDraws[[#This Row],[Due]],+qryGnattToDraws[[#This Row],[Due]]+J162)</f>
        <v>20297.97</v>
      </c>
      <c r="M163" s="185">
        <f>IF(qryGnattToDraws[[#This Row],[Draws]]&gt;0,+K163*Profit!$B$41/24,0)</f>
        <v>0</v>
      </c>
    </row>
    <row r="164" spans="1:13">
      <c r="A164">
        <v>909</v>
      </c>
      <c r="B164" t="s">
        <v>517</v>
      </c>
      <c r="C164" t="s">
        <v>774</v>
      </c>
      <c r="D164" t="s">
        <v>844</v>
      </c>
      <c r="E164" t="s">
        <v>797</v>
      </c>
      <c r="F164"/>
      <c r="G164" s="185">
        <v>1953.8484749999998</v>
      </c>
      <c r="H164"/>
      <c r="I164">
        <f>IFERROR(_xlfn.XLOOKUP(qryGnattToDraws[[#This Row],[Index]], Contract_Edits[Index], Contract_Edits[DrawNu],), "")</f>
        <v>103400</v>
      </c>
      <c r="J164" s="577">
        <f>IF(ROW()=2,+qryGnattToDraws[[#This Row],[Due]],+qryGnattToDraws[[#This Row],[Due]]+J163)</f>
        <v>20297.97</v>
      </c>
      <c r="M164" s="185">
        <f>IF(qryGnattToDraws[[#This Row],[Draws]]&gt;0,+K164*Profit!$B$41/24,0)</f>
        <v>0</v>
      </c>
    </row>
    <row r="165" spans="1:13">
      <c r="A165">
        <v>188</v>
      </c>
      <c r="B165" t="s">
        <v>793</v>
      </c>
      <c r="C165" t="s">
        <v>560</v>
      </c>
      <c r="D165" t="s">
        <v>1484</v>
      </c>
      <c r="E165">
        <v>0</v>
      </c>
      <c r="F165"/>
      <c r="G165" s="185">
        <v>0</v>
      </c>
      <c r="H165"/>
      <c r="I165">
        <f>IFERROR(_xlfn.XLOOKUP(qryGnattToDraws[[#This Row],[Index]], Contract_Edits[Index], Contract_Edits[DrawNu],), "")</f>
        <v>0</v>
      </c>
      <c r="J165" s="577">
        <f>IF(ROW()=2,+qryGnattToDraws[[#This Row],[Due]],+qryGnattToDraws[[#This Row],[Due]]+J164)</f>
        <v>20297.97</v>
      </c>
      <c r="M165" s="185">
        <f>IF(qryGnattToDraws[[#This Row],[Draws]]&gt;0,+K165*Profit!$B$41/24,0)</f>
        <v>0</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4"/>
  <sheetViews>
    <sheetView workbookViewId="0">
      <selection activeCell="E18" sqref="E18"/>
    </sheetView>
  </sheetViews>
  <sheetFormatPr defaultRowHeight="15"/>
  <cols>
    <col min="1" max="2" width="26.7109375" style="2" bestFit="1" customWidth="1"/>
    <col min="3" max="3" width="22.28515625" customWidth="1"/>
    <col min="4" max="4" width="9.28515625" style="5" bestFit="1" customWidth="1"/>
    <col min="5" max="5" width="10.140625" style="26" bestFit="1" customWidth="1"/>
    <col min="6" max="8" width="9.28515625" bestFit="1" customWidth="1"/>
    <col min="9" max="9" width="19.28515625" bestFit="1" customWidth="1"/>
    <col min="10" max="10" width="9.7109375" bestFit="1" customWidth="1"/>
  </cols>
  <sheetData>
    <row r="1" spans="1:11" ht="15.75" thickBot="1">
      <c r="B1" s="2" t="s">
        <v>970</v>
      </c>
    </row>
    <row r="2" spans="1:11">
      <c r="I2" s="832" t="s">
        <v>9</v>
      </c>
      <c r="J2" s="832" t="str">
        <f>IF(Profit!$Q$6,IF(K2,"Yes","No"),"No")</f>
        <v>Yes</v>
      </c>
      <c r="K2" s="834" t="b">
        <v>1</v>
      </c>
    </row>
    <row r="3" spans="1:11" s="3" customFormat="1" ht="15.75" thickBot="1">
      <c r="A3" s="3" t="s">
        <v>971</v>
      </c>
      <c r="B3" s="3" t="s">
        <v>108</v>
      </c>
      <c r="C3" s="13" t="s">
        <v>972</v>
      </c>
      <c r="D3" s="3" t="s">
        <v>973</v>
      </c>
      <c r="E3" s="13" t="s">
        <v>974</v>
      </c>
      <c r="F3" s="3" t="s">
        <v>975</v>
      </c>
      <c r="I3" s="833"/>
      <c r="J3" s="833"/>
      <c r="K3" s="835"/>
    </row>
    <row r="4" spans="1:11" s="3" customFormat="1">
      <c r="C4" s="13"/>
      <c r="E4" s="13"/>
    </row>
    <row r="5" spans="1:11" s="3" customFormat="1">
      <c r="A5" s="327" t="s">
        <v>976</v>
      </c>
      <c r="B5" s="330">
        <v>45316</v>
      </c>
      <c r="C5" s="470"/>
      <c r="D5" s="328">
        <v>2</v>
      </c>
      <c r="E5" s="329">
        <v>35</v>
      </c>
      <c r="F5" s="329">
        <f>+D5*E5</f>
        <v>70</v>
      </c>
    </row>
    <row r="6" spans="1:11" s="3" customFormat="1">
      <c r="A6" s="327" t="s">
        <v>977</v>
      </c>
      <c r="B6" s="330"/>
      <c r="C6" s="470"/>
      <c r="D6" s="328">
        <v>1</v>
      </c>
      <c r="E6" s="329">
        <v>750</v>
      </c>
      <c r="F6" s="329">
        <f t="shared" ref="F6:F8" si="0">+D6*E6</f>
        <v>750</v>
      </c>
    </row>
    <row r="7" spans="1:11" s="3" customFormat="1">
      <c r="A7" s="327" t="s">
        <v>978</v>
      </c>
      <c r="B7" s="330"/>
      <c r="C7" s="470"/>
      <c r="D7" s="328">
        <v>1</v>
      </c>
      <c r="E7" s="329">
        <v>800</v>
      </c>
      <c r="F7" s="329">
        <f t="shared" si="0"/>
        <v>800</v>
      </c>
    </row>
    <row r="8" spans="1:11" s="3" customFormat="1">
      <c r="A8" s="327" t="s">
        <v>979</v>
      </c>
      <c r="B8" s="330"/>
      <c r="C8" s="470"/>
      <c r="D8" s="471">
        <v>1.7500000000000002E-2</v>
      </c>
      <c r="E8" s="329">
        <f>+Profit!$C$42</f>
        <v>32863.57</v>
      </c>
      <c r="F8" s="329">
        <f t="shared" si="0"/>
        <v>575.11247500000002</v>
      </c>
    </row>
    <row r="9" spans="1:11" s="3" customFormat="1">
      <c r="A9" s="327" t="s">
        <v>980</v>
      </c>
      <c r="B9" s="330"/>
      <c r="C9" s="470"/>
      <c r="D9" s="328">
        <v>1</v>
      </c>
      <c r="E9" s="329">
        <v>995</v>
      </c>
      <c r="F9" s="329">
        <f>+D9*E9</f>
        <v>995</v>
      </c>
    </row>
    <row r="10" spans="1:11" s="3" customFormat="1" ht="15.75" thickBot="1">
      <c r="C10" s="13"/>
      <c r="E10" s="13"/>
      <c r="F10" s="23"/>
      <c r="G10" s="23"/>
    </row>
    <row r="11" spans="1:11" s="3" customFormat="1">
      <c r="C11" s="13"/>
      <c r="E11" s="13"/>
      <c r="F11" s="14"/>
      <c r="G11" s="5">
        <f>IF(J2="Yes",SUM(F5:F10),0)</f>
        <v>3190.1124749999999</v>
      </c>
    </row>
    <row r="12" spans="1:11">
      <c r="B12"/>
      <c r="C12" s="14"/>
      <c r="D12"/>
      <c r="E12" s="14"/>
      <c r="F12" s="14">
        <f t="shared" ref="F12:F15" si="1">+D12*E12</f>
        <v>0</v>
      </c>
    </row>
    <row r="13" spans="1:11" s="22" customFormat="1">
      <c r="A13" s="2" t="s">
        <v>976</v>
      </c>
      <c r="B13" s="12">
        <v>45316</v>
      </c>
      <c r="C13" s="204"/>
      <c r="D13">
        <v>0</v>
      </c>
      <c r="E13" s="14">
        <v>35</v>
      </c>
      <c r="F13" s="14">
        <f t="shared" si="1"/>
        <v>0</v>
      </c>
      <c r="G13"/>
      <c r="H13" s="3"/>
      <c r="I13" s="3"/>
    </row>
    <row r="14" spans="1:11">
      <c r="A14" s="2" t="s">
        <v>976</v>
      </c>
      <c r="B14" s="12">
        <v>45322</v>
      </c>
      <c r="C14" s="204"/>
      <c r="D14">
        <v>0</v>
      </c>
      <c r="E14" s="14">
        <v>55</v>
      </c>
      <c r="F14" s="14">
        <f t="shared" si="1"/>
        <v>0</v>
      </c>
    </row>
    <row r="15" spans="1:11">
      <c r="A15" s="2" t="s">
        <v>981</v>
      </c>
      <c r="B15" s="12"/>
      <c r="C15" s="204"/>
      <c r="D15">
        <v>0</v>
      </c>
      <c r="E15" s="14"/>
      <c r="F15" s="14">
        <f t="shared" si="1"/>
        <v>0</v>
      </c>
    </row>
    <row r="16" spans="1:11">
      <c r="A16" s="2" t="s">
        <v>982</v>
      </c>
      <c r="B16" s="12">
        <v>45315</v>
      </c>
      <c r="C16" s="204"/>
      <c r="D16">
        <v>0</v>
      </c>
      <c r="E16" s="14">
        <v>201.25</v>
      </c>
      <c r="F16" s="14">
        <f>+D16*E16</f>
        <v>0</v>
      </c>
    </row>
    <row r="17" spans="1:10">
      <c r="A17" s="2" t="s">
        <v>983</v>
      </c>
      <c r="B17" s="12">
        <v>45322</v>
      </c>
      <c r="C17" s="204"/>
      <c r="D17">
        <v>0</v>
      </c>
      <c r="E17" s="14">
        <v>46</v>
      </c>
      <c r="F17" s="14">
        <f>+D17*E17</f>
        <v>0</v>
      </c>
    </row>
    <row r="18" spans="1:10">
      <c r="A18" s="2" t="s">
        <v>984</v>
      </c>
      <c r="B18" s="12">
        <v>45322</v>
      </c>
      <c r="C18" s="204"/>
      <c r="D18">
        <v>0</v>
      </c>
      <c r="E18" s="14">
        <v>10</v>
      </c>
      <c r="F18" s="14">
        <f>+D18*E18</f>
        <v>0</v>
      </c>
    </row>
    <row r="19" spans="1:10">
      <c r="B19" s="12"/>
      <c r="C19" s="204"/>
      <c r="D19">
        <v>1</v>
      </c>
      <c r="E19" s="14"/>
      <c r="F19" s="14">
        <f>+D19*E19</f>
        <v>0</v>
      </c>
    </row>
    <row r="20" spans="1:10">
      <c r="B20" s="12"/>
      <c r="C20" s="204"/>
      <c r="D20">
        <v>1</v>
      </c>
      <c r="E20" s="14"/>
      <c r="F20" s="14">
        <f>+D20*E20</f>
        <v>0</v>
      </c>
    </row>
    <row r="21" spans="1:10">
      <c r="B21" s="110"/>
      <c r="C21" s="14"/>
      <c r="D21"/>
      <c r="E21" s="14"/>
      <c r="F21" s="14">
        <f t="shared" ref="F21:F24" si="2">+D21*E21</f>
        <v>0</v>
      </c>
    </row>
    <row r="22" spans="1:10">
      <c r="B22" s="110"/>
      <c r="C22" s="14"/>
      <c r="D22"/>
      <c r="E22" s="14"/>
      <c r="F22" s="14">
        <f t="shared" si="2"/>
        <v>0</v>
      </c>
    </row>
    <row r="23" spans="1:10">
      <c r="B23"/>
      <c r="C23" s="14"/>
      <c r="D23"/>
      <c r="E23" s="14"/>
      <c r="F23" s="14">
        <f t="shared" si="2"/>
        <v>0</v>
      </c>
    </row>
    <row r="24" spans="1:10">
      <c r="B24"/>
      <c r="C24" s="14"/>
      <c r="D24">
        <v>1</v>
      </c>
      <c r="E24" s="14"/>
      <c r="F24" s="14">
        <f t="shared" si="2"/>
        <v>0</v>
      </c>
    </row>
    <row r="25" spans="1:10">
      <c r="B25"/>
      <c r="C25" s="14"/>
      <c r="D25"/>
      <c r="E25" s="14"/>
    </row>
    <row r="26" spans="1:10" ht="15.75" thickBot="1">
      <c r="B26"/>
      <c r="C26" s="14"/>
      <c r="D26"/>
      <c r="E26" s="14"/>
      <c r="F26" s="23"/>
      <c r="G26" s="23"/>
    </row>
    <row r="27" spans="1:10">
      <c r="B27"/>
      <c r="C27" s="14"/>
      <c r="D27"/>
      <c r="E27" s="14"/>
      <c r="F27" s="14"/>
      <c r="G27" s="5">
        <f>IF(J2="No",SUM(F12:F26),0)</f>
        <v>0</v>
      </c>
    </row>
    <row r="28" spans="1:10">
      <c r="A28"/>
      <c r="C28" s="11"/>
    </row>
    <row r="29" spans="1:10">
      <c r="A29"/>
      <c r="C29" s="11"/>
    </row>
    <row r="30" spans="1:10" ht="15.75" thickBot="1">
      <c r="C30" s="11"/>
      <c r="E30" s="29"/>
      <c r="F30" s="29"/>
      <c r="I30" s="2"/>
      <c r="J30" s="12"/>
    </row>
    <row r="31" spans="1:10">
      <c r="C31" s="831"/>
      <c r="D31" s="746"/>
      <c r="E31" s="746"/>
      <c r="F31" s="4"/>
      <c r="H31" s="1">
        <f>SUM(G11:G27)</f>
        <v>3190.1124749999999</v>
      </c>
      <c r="I31" s="2"/>
    </row>
    <row r="33" spans="5:6">
      <c r="E33" s="2"/>
      <c r="F33" s="2"/>
    </row>
    <row r="34" spans="5:6">
      <c r="F34" s="4"/>
    </row>
  </sheetData>
  <mergeCells count="4">
    <mergeCell ref="C31:E31"/>
    <mergeCell ref="I2:I3"/>
    <mergeCell ref="J2:J3"/>
    <mergeCell ref="K2:K3"/>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cols>
    <col min="1" max="1" width="26" style="2" bestFit="1" customWidth="1"/>
    <col min="2" max="2" width="9.140625" style="1"/>
    <col min="3" max="3" width="11.85546875" style="1" bestFit="1" customWidth="1"/>
  </cols>
  <sheetData>
    <row r="1" spans="1:5" ht="60">
      <c r="A1" s="3" t="s">
        <v>985</v>
      </c>
      <c r="B1" s="7" t="s">
        <v>986</v>
      </c>
    </row>
    <row r="2" spans="1:5">
      <c r="A2" s="3" t="s">
        <v>987</v>
      </c>
      <c r="B2" s="6"/>
      <c r="C2" s="4"/>
    </row>
    <row r="4" spans="1:5">
      <c r="A4" s="2" t="s">
        <v>988</v>
      </c>
      <c r="B4" s="1">
        <v>0</v>
      </c>
      <c r="C4" s="1">
        <v>0</v>
      </c>
    </row>
    <row r="5" spans="1:5">
      <c r="A5" s="2" t="s">
        <v>989</v>
      </c>
      <c r="B5" s="1">
        <v>33</v>
      </c>
      <c r="C5"/>
      <c r="D5" s="1"/>
    </row>
    <row r="6" spans="1:5" ht="15.75" thickBot="1">
      <c r="A6" s="2" t="s">
        <v>990</v>
      </c>
      <c r="B6" s="20">
        <v>0</v>
      </c>
      <c r="C6" s="20">
        <f>B5*B6</f>
        <v>0</v>
      </c>
      <c r="D6" s="29"/>
    </row>
    <row r="7" spans="1:5">
      <c r="C7" s="9" t="s">
        <v>991</v>
      </c>
      <c r="D7" s="1">
        <f>SUM(C4:C6)</f>
        <v>0</v>
      </c>
    </row>
    <row r="8" spans="1:5">
      <c r="D8" s="1"/>
    </row>
    <row r="10" spans="1:5" ht="15.75" thickBot="1">
      <c r="D10" s="29"/>
    </row>
    <row r="11" spans="1:5">
      <c r="D11" s="30" t="s">
        <v>992</v>
      </c>
      <c r="E11" s="1">
        <f>+SUM(C4:C10)</f>
        <v>0</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1CD36-49C2-4B10-99A0-D43A0CED0A5C}">
  <sheetPr codeName="Sheet32"/>
  <dimension ref="A1:P106"/>
  <sheetViews>
    <sheetView workbookViewId="0">
      <pane ySplit="2" topLeftCell="A51" activePane="bottomLeft" state="frozen"/>
      <selection pane="bottomLeft" activeCell="I77" sqref="I77"/>
    </sheetView>
  </sheetViews>
  <sheetFormatPr defaultRowHeight="15"/>
  <cols>
    <col min="2" max="2" width="17.42578125" bestFit="1" customWidth="1"/>
    <col min="3" max="3" width="65.5703125" style="2" bestFit="1" customWidth="1"/>
    <col min="4" max="4" width="26.42578125" style="2" bestFit="1" customWidth="1"/>
    <col min="5" max="5" width="6.28515625" style="2" customWidth="1"/>
    <col min="6" max="6" width="21.5703125" style="2" bestFit="1" customWidth="1"/>
    <col min="7" max="7" width="6.5703125" style="2" bestFit="1" customWidth="1"/>
    <col min="8" max="8" width="10.140625" bestFit="1" customWidth="1"/>
    <col min="9" max="9" width="11.140625" style="5" bestFit="1" customWidth="1"/>
    <col min="10" max="10" width="9.140625" style="5"/>
    <col min="11" max="11" width="9.140625" style="1"/>
    <col min="12" max="12" width="12.7109375" bestFit="1" customWidth="1"/>
  </cols>
  <sheetData>
    <row r="1" spans="1:15">
      <c r="C1" s="32" t="s">
        <v>998</v>
      </c>
      <c r="D1" s="32"/>
      <c r="E1" s="32"/>
      <c r="L1" s="832" t="s">
        <v>9</v>
      </c>
      <c r="M1" s="832" t="str">
        <f>IF(Profit!$Q$6,IF(N1,"Yes","No"),"No")</f>
        <v>Yes</v>
      </c>
      <c r="N1" s="834" t="b">
        <v>1</v>
      </c>
    </row>
    <row r="2" spans="1:15" s="3" customFormat="1" ht="15.75" thickBot="1">
      <c r="A2" s="3" t="s">
        <v>108</v>
      </c>
      <c r="C2" s="3" t="s">
        <v>512</v>
      </c>
      <c r="D2" s="3" t="s">
        <v>999</v>
      </c>
      <c r="E2" s="3" t="s">
        <v>1000</v>
      </c>
      <c r="F2" s="3" t="s">
        <v>1001</v>
      </c>
      <c r="G2" s="3" t="s">
        <v>513</v>
      </c>
      <c r="H2" s="8" t="s">
        <v>994</v>
      </c>
      <c r="I2" s="6" t="s">
        <v>995</v>
      </c>
      <c r="J2" s="13" t="s">
        <v>507</v>
      </c>
      <c r="K2" s="3" t="s">
        <v>996</v>
      </c>
      <c r="L2" s="833"/>
      <c r="M2" s="833"/>
      <c r="N2" s="835"/>
    </row>
    <row r="3" spans="1:15" s="3" customFormat="1">
      <c r="B3" s="331"/>
      <c r="C3" s="331" t="s">
        <v>1002</v>
      </c>
      <c r="D3" s="331"/>
      <c r="E3" s="135">
        <f>78+24</f>
        <v>102</v>
      </c>
      <c r="F3" s="331"/>
      <c r="G3" s="331"/>
      <c r="H3" s="332"/>
      <c r="I3" s="342"/>
      <c r="J3" s="333"/>
      <c r="L3"/>
      <c r="M3"/>
      <c r="N3" s="5"/>
    </row>
    <row r="4" spans="1:15" s="3" customFormat="1">
      <c r="C4" s="331" t="s">
        <v>1003</v>
      </c>
      <c r="D4" s="327"/>
      <c r="E4" s="327"/>
      <c r="F4" s="327"/>
      <c r="G4" s="340"/>
      <c r="H4" s="334"/>
      <c r="I4" s="334"/>
      <c r="J4" s="335"/>
      <c r="L4"/>
      <c r="M4"/>
      <c r="N4" s="5"/>
    </row>
    <row r="5" spans="1:15" s="3" customFormat="1">
      <c r="B5" s="327" t="s">
        <v>1004</v>
      </c>
      <c r="C5" s="327" t="s">
        <v>1005</v>
      </c>
      <c r="D5" s="327"/>
      <c r="E5" s="327"/>
      <c r="F5" s="327"/>
      <c r="G5" s="453">
        <f>0.76*$E$3*(1+M5)</f>
        <v>85.272000000000006</v>
      </c>
      <c r="H5" s="170">
        <v>3.2</v>
      </c>
      <c r="I5" s="334">
        <f>H5*G5</f>
        <v>272.87040000000002</v>
      </c>
      <c r="J5" s="335">
        <f t="shared" ref="J5" si="0">+I5*0.0725</f>
        <v>19.783104000000002</v>
      </c>
      <c r="L5" s="2" t="s">
        <v>1006</v>
      </c>
      <c r="M5" s="455">
        <v>0.1</v>
      </c>
      <c r="N5" s="5"/>
    </row>
    <row r="6" spans="1:15" s="3" customFormat="1">
      <c r="B6" s="327" t="s">
        <v>1007</v>
      </c>
      <c r="C6" s="327" t="s">
        <v>1008</v>
      </c>
      <c r="D6" s="327"/>
      <c r="E6" s="327"/>
      <c r="F6" s="327"/>
      <c r="G6" s="453">
        <f>0.1*$E$3*(1+$M$5)</f>
        <v>11.220000000000002</v>
      </c>
      <c r="H6" s="170">
        <v>5.75</v>
      </c>
      <c r="I6" s="334">
        <f>H6*G6</f>
        <v>64.515000000000015</v>
      </c>
      <c r="J6" s="335">
        <f t="shared" ref="J6" si="1">+I6*0.0725</f>
        <v>4.677337500000001</v>
      </c>
      <c r="L6"/>
      <c r="M6"/>
      <c r="N6" s="5"/>
    </row>
    <row r="7" spans="1:15" s="3" customFormat="1">
      <c r="B7" s="327" t="s">
        <v>1009</v>
      </c>
      <c r="C7" s="327" t="s">
        <v>1008</v>
      </c>
      <c r="D7" s="327"/>
      <c r="E7" s="327"/>
      <c r="F7" s="327"/>
      <c r="G7" s="453">
        <f>0.1*$E$3*(1+$M$5)*2</f>
        <v>22.440000000000005</v>
      </c>
      <c r="H7" s="170">
        <v>5.75</v>
      </c>
      <c r="I7" s="334">
        <f>H7*G7</f>
        <v>129.03000000000003</v>
      </c>
      <c r="J7" s="335">
        <f t="shared" ref="J7" si="2">+I7*0.0725</f>
        <v>9.3546750000000021</v>
      </c>
      <c r="L7"/>
      <c r="M7">
        <f>+M12/E3</f>
        <v>4.9019607843137254E-2</v>
      </c>
      <c r="N7" s="5"/>
    </row>
    <row r="8" spans="1:15" s="3" customFormat="1">
      <c r="B8" s="327" t="s">
        <v>1010</v>
      </c>
      <c r="C8" s="327" t="s">
        <v>1011</v>
      </c>
      <c r="D8" s="327"/>
      <c r="E8" s="327"/>
      <c r="F8" s="327"/>
      <c r="G8" s="453">
        <v>68</v>
      </c>
      <c r="H8" s="170">
        <v>12.82</v>
      </c>
      <c r="I8" s="334">
        <f>H8*G8</f>
        <v>871.76</v>
      </c>
      <c r="J8" s="335">
        <f t="shared" ref="J8" si="3">+I8*0.0725</f>
        <v>63.202599999999997</v>
      </c>
      <c r="L8"/>
      <c r="M8"/>
      <c r="N8" s="5"/>
      <c r="O8" s="32" t="s">
        <v>1012</v>
      </c>
    </row>
    <row r="9" spans="1:15" s="3" customFormat="1">
      <c r="B9" s="327" t="s">
        <v>1013</v>
      </c>
      <c r="C9" s="327" t="s">
        <v>1011</v>
      </c>
      <c r="D9" s="327"/>
      <c r="E9" s="327"/>
      <c r="F9" s="327"/>
      <c r="G9" s="453">
        <v>25</v>
      </c>
      <c r="H9" s="170">
        <v>12.82</v>
      </c>
      <c r="I9" s="334">
        <f t="shared" ref="I9:I10" si="4">H9*G9</f>
        <v>320.5</v>
      </c>
      <c r="J9" s="335">
        <f t="shared" ref="J9:J10" si="5">+I9*0.0725</f>
        <v>23.236249999999998</v>
      </c>
      <c r="L9"/>
      <c r="M9"/>
      <c r="N9" s="5"/>
      <c r="O9" s="32"/>
    </row>
    <row r="10" spans="1:15" s="3" customFormat="1">
      <c r="B10" s="327" t="s">
        <v>1014</v>
      </c>
      <c r="C10" s="327" t="s">
        <v>1011</v>
      </c>
      <c r="D10" s="327"/>
      <c r="E10" s="327"/>
      <c r="F10" s="327"/>
      <c r="G10" s="453">
        <f>580/12.82</f>
        <v>45.241809672386893</v>
      </c>
      <c r="H10" s="170">
        <v>12.82</v>
      </c>
      <c r="I10" s="334">
        <f t="shared" si="4"/>
        <v>580</v>
      </c>
      <c r="J10" s="335">
        <f t="shared" si="5"/>
        <v>42.05</v>
      </c>
      <c r="L10"/>
      <c r="M10"/>
      <c r="N10" s="5"/>
      <c r="O10" s="32"/>
    </row>
    <row r="11" spans="1:15" s="3" customFormat="1">
      <c r="B11" s="327"/>
      <c r="C11" s="327"/>
      <c r="D11" s="327"/>
      <c r="E11" s="327"/>
      <c r="F11" s="327"/>
      <c r="G11" s="453"/>
      <c r="H11" s="170"/>
      <c r="I11" s="334"/>
      <c r="J11" s="335"/>
      <c r="L11"/>
      <c r="M11"/>
      <c r="N11" s="5"/>
      <c r="O11" s="32"/>
    </row>
    <row r="12" spans="1:15" s="3" customFormat="1">
      <c r="B12" s="327"/>
      <c r="C12" s="327"/>
      <c r="D12" s="327"/>
      <c r="E12" s="327"/>
      <c r="F12" s="327"/>
      <c r="G12" s="340"/>
      <c r="H12" s="334"/>
      <c r="I12" s="334"/>
      <c r="J12" s="335"/>
      <c r="L12"/>
      <c r="M12">
        <v>5</v>
      </c>
      <c r="N12" s="5"/>
    </row>
    <row r="13" spans="1:15" s="3" customFormat="1">
      <c r="B13" s="327"/>
      <c r="C13" s="331" t="s">
        <v>1015</v>
      </c>
      <c r="D13" s="327" t="s">
        <v>1016</v>
      </c>
      <c r="E13" s="135">
        <v>14</v>
      </c>
      <c r="F13" s="327"/>
      <c r="G13" s="340"/>
      <c r="H13" s="334"/>
      <c r="I13" s="334"/>
      <c r="J13" s="335"/>
      <c r="L13"/>
      <c r="M13"/>
      <c r="N13" s="5"/>
    </row>
    <row r="14" spans="1:15" s="3" customFormat="1">
      <c r="B14" s="327" t="s">
        <v>1017</v>
      </c>
      <c r="C14" s="327" t="s">
        <v>1005</v>
      </c>
      <c r="D14" s="327"/>
      <c r="E14" s="327"/>
      <c r="F14" s="327"/>
      <c r="G14" s="453">
        <f>2*$E$13*(1+$M$5)</f>
        <v>30.800000000000004</v>
      </c>
      <c r="H14" s="170">
        <v>3.2</v>
      </c>
      <c r="I14" s="334">
        <f>H14*G14</f>
        <v>98.560000000000016</v>
      </c>
      <c r="J14" s="335">
        <f t="shared" ref="J14" si="6">+I14*0.0725</f>
        <v>7.1456000000000008</v>
      </c>
      <c r="L14"/>
      <c r="M14"/>
      <c r="N14" s="5"/>
    </row>
    <row r="15" spans="1:15" s="3" customFormat="1">
      <c r="B15" s="327" t="s">
        <v>1018</v>
      </c>
      <c r="C15" s="327" t="s">
        <v>1005</v>
      </c>
      <c r="D15" s="327"/>
      <c r="E15" s="327"/>
      <c r="F15" s="327"/>
      <c r="G15" s="453">
        <f>2*$E$13*(1+$M$5)</f>
        <v>30.800000000000004</v>
      </c>
      <c r="H15" s="170">
        <v>3.2</v>
      </c>
      <c r="I15" s="334">
        <f t="shared" ref="I15:I17" si="7">H15*G15</f>
        <v>98.560000000000016</v>
      </c>
      <c r="J15" s="335">
        <f t="shared" ref="J15:J17" si="8">+I15*0.0725</f>
        <v>7.1456000000000008</v>
      </c>
      <c r="L15"/>
      <c r="M15"/>
      <c r="N15" s="5"/>
    </row>
    <row r="16" spans="1:15" s="3" customFormat="1">
      <c r="B16" s="327" t="s">
        <v>1019</v>
      </c>
      <c r="C16" s="327" t="s">
        <v>1020</v>
      </c>
      <c r="D16" s="327"/>
      <c r="E16" s="327"/>
      <c r="F16" s="327"/>
      <c r="G16" s="453">
        <f>1*$E$13*(1+$M$5)</f>
        <v>15.400000000000002</v>
      </c>
      <c r="H16" s="170">
        <v>3.2</v>
      </c>
      <c r="I16" s="334">
        <f t="shared" si="7"/>
        <v>49.280000000000008</v>
      </c>
      <c r="J16" s="335">
        <f t="shared" si="8"/>
        <v>3.5728000000000004</v>
      </c>
      <c r="L16"/>
      <c r="M16"/>
      <c r="N16" s="5"/>
    </row>
    <row r="17" spans="2:14" s="3" customFormat="1">
      <c r="B17" s="327" t="s">
        <v>1021</v>
      </c>
      <c r="C17" s="327" t="s">
        <v>1005</v>
      </c>
      <c r="D17" s="327"/>
      <c r="E17" s="327"/>
      <c r="F17" s="327"/>
      <c r="G17" s="453">
        <f>0.5*$E$13*(1+$M$5)</f>
        <v>7.7000000000000011</v>
      </c>
      <c r="H17" s="170">
        <v>3.2</v>
      </c>
      <c r="I17" s="334">
        <f t="shared" si="7"/>
        <v>24.640000000000004</v>
      </c>
      <c r="J17" s="335">
        <f t="shared" si="8"/>
        <v>1.7864000000000002</v>
      </c>
      <c r="L17"/>
      <c r="M17"/>
      <c r="N17" s="5"/>
    </row>
    <row r="18" spans="2:14" s="3" customFormat="1">
      <c r="B18" s="327"/>
      <c r="C18" s="327"/>
      <c r="D18" s="327"/>
      <c r="E18" s="327"/>
      <c r="F18" s="327"/>
      <c r="G18" s="340"/>
      <c r="H18" s="334"/>
      <c r="I18" s="334"/>
      <c r="J18" s="335"/>
      <c r="L18"/>
      <c r="M18"/>
      <c r="N18" s="5"/>
    </row>
    <row r="19" spans="2:14" s="3" customFormat="1">
      <c r="B19" s="327"/>
      <c r="C19" s="331" t="s">
        <v>1022</v>
      </c>
      <c r="D19" s="327" t="s">
        <v>1016</v>
      </c>
      <c r="E19" s="135">
        <v>0</v>
      </c>
      <c r="F19" s="327"/>
      <c r="G19" s="340"/>
      <c r="H19" s="334"/>
      <c r="I19" s="334"/>
      <c r="J19" s="335"/>
      <c r="L19"/>
      <c r="M19"/>
      <c r="N19" s="5"/>
    </row>
    <row r="20" spans="2:14" s="3" customFormat="1">
      <c r="B20" s="327" t="s">
        <v>1017</v>
      </c>
      <c r="C20" s="327" t="s">
        <v>1005</v>
      </c>
      <c r="D20" s="327"/>
      <c r="E20" s="327"/>
      <c r="F20" s="327"/>
      <c r="G20" s="453">
        <f>2*$E$19*(1+$M$5)</f>
        <v>0</v>
      </c>
      <c r="H20" s="170">
        <v>3.2</v>
      </c>
      <c r="I20" s="334">
        <f>H20*G20</f>
        <v>0</v>
      </c>
      <c r="J20" s="335">
        <f t="shared" ref="J20:J23" si="9">+I20*0.0725</f>
        <v>0</v>
      </c>
      <c r="L20"/>
      <c r="M20"/>
      <c r="N20" s="5"/>
    </row>
    <row r="21" spans="2:14" s="3" customFormat="1">
      <c r="B21" s="327" t="s">
        <v>1018</v>
      </c>
      <c r="C21" s="327" t="s">
        <v>1005</v>
      </c>
      <c r="D21" s="327"/>
      <c r="E21" s="327"/>
      <c r="F21" s="327"/>
      <c r="G21" s="453">
        <f>2*$E$19*(1+$M$5)</f>
        <v>0</v>
      </c>
      <c r="H21" s="170">
        <v>3.2</v>
      </c>
      <c r="I21" s="334">
        <f t="shared" ref="I21:I23" si="10">H21*G21</f>
        <v>0</v>
      </c>
      <c r="J21" s="335">
        <f t="shared" si="9"/>
        <v>0</v>
      </c>
      <c r="L21"/>
      <c r="M21"/>
      <c r="N21" s="5"/>
    </row>
    <row r="22" spans="2:14" s="3" customFormat="1">
      <c r="B22" s="327" t="s">
        <v>1019</v>
      </c>
      <c r="C22" s="327" t="s">
        <v>1020</v>
      </c>
      <c r="D22" s="327"/>
      <c r="E22" s="327"/>
      <c r="F22" s="327"/>
      <c r="G22" s="453">
        <f>2*$E$19*(1+$M$5)</f>
        <v>0</v>
      </c>
      <c r="H22" s="170">
        <v>3.2</v>
      </c>
      <c r="I22" s="334">
        <f t="shared" si="10"/>
        <v>0</v>
      </c>
      <c r="J22" s="335">
        <f t="shared" si="9"/>
        <v>0</v>
      </c>
      <c r="L22"/>
      <c r="M22"/>
      <c r="N22" s="5"/>
    </row>
    <row r="23" spans="2:14" s="3" customFormat="1">
      <c r="B23" s="327" t="s">
        <v>1021</v>
      </c>
      <c r="C23" s="327" t="s">
        <v>1005</v>
      </c>
      <c r="D23" s="327"/>
      <c r="E23" s="327"/>
      <c r="F23" s="327"/>
      <c r="G23" s="453">
        <f>2*$E$19*(1+$M$5)</f>
        <v>0</v>
      </c>
      <c r="H23" s="170">
        <v>3.2</v>
      </c>
      <c r="I23" s="334">
        <f t="shared" si="10"/>
        <v>0</v>
      </c>
      <c r="J23" s="335">
        <f t="shared" si="9"/>
        <v>0</v>
      </c>
      <c r="L23"/>
      <c r="M23"/>
      <c r="N23" s="5"/>
    </row>
    <row r="24" spans="2:14" s="3" customFormat="1">
      <c r="B24" s="327"/>
      <c r="C24" s="327"/>
      <c r="D24" s="327"/>
      <c r="E24" s="327"/>
      <c r="F24" s="327"/>
      <c r="G24" s="340"/>
      <c r="H24" s="334"/>
      <c r="I24" s="334"/>
      <c r="J24" s="335"/>
      <c r="L24"/>
      <c r="M24"/>
      <c r="N24" s="5"/>
    </row>
    <row r="25" spans="2:14" s="3" customFormat="1">
      <c r="B25" s="327"/>
      <c r="C25" s="331" t="s">
        <v>1023</v>
      </c>
      <c r="D25" s="327" t="s">
        <v>1024</v>
      </c>
      <c r="E25" s="135">
        <v>0</v>
      </c>
      <c r="F25" s="327"/>
      <c r="G25" s="340"/>
      <c r="H25" s="334"/>
      <c r="I25" s="334"/>
      <c r="J25" s="335"/>
      <c r="L25"/>
      <c r="M25"/>
      <c r="N25" s="5"/>
    </row>
    <row r="26" spans="2:14" s="3" customFormat="1">
      <c r="B26" s="327"/>
      <c r="C26" s="327"/>
      <c r="D26" s="327" t="s">
        <v>1025</v>
      </c>
      <c r="E26" s="135">
        <v>0</v>
      </c>
      <c r="F26" s="327"/>
      <c r="G26" s="453"/>
      <c r="H26" s="334"/>
      <c r="I26" s="334"/>
      <c r="J26" s="335"/>
      <c r="L26"/>
      <c r="M26"/>
      <c r="N26" s="5"/>
    </row>
    <row r="27" spans="2:14" s="3" customFormat="1">
      <c r="B27" s="327"/>
      <c r="C27" s="327"/>
      <c r="D27" s="327" t="s">
        <v>1026</v>
      </c>
      <c r="E27" s="456">
        <v>0</v>
      </c>
      <c r="F27" s="327"/>
      <c r="G27" s="453"/>
      <c r="H27" s="334"/>
      <c r="I27" s="334"/>
      <c r="J27" s="335"/>
      <c r="L27"/>
      <c r="M27"/>
      <c r="N27" s="5"/>
    </row>
    <row r="28" spans="2:14" s="3" customFormat="1">
      <c r="B28" s="327" t="s">
        <v>1027</v>
      </c>
      <c r="C28" s="327" t="s">
        <v>1028</v>
      </c>
      <c r="D28" s="327"/>
      <c r="E28" s="327"/>
      <c r="F28" s="327"/>
      <c r="G28" s="453">
        <f>+E26*(1+$M$5)</f>
        <v>0</v>
      </c>
      <c r="H28" s="170">
        <v>10</v>
      </c>
      <c r="I28" s="334">
        <f t="shared" ref="I28:I30" si="11">H28*G28</f>
        <v>0</v>
      </c>
      <c r="J28" s="335">
        <f t="shared" ref="J28:J30" si="12">+I28*0.0725</f>
        <v>0</v>
      </c>
      <c r="L28"/>
      <c r="M28"/>
      <c r="N28" s="5"/>
    </row>
    <row r="29" spans="2:14" s="3" customFormat="1">
      <c r="B29" s="327" t="s">
        <v>1029</v>
      </c>
      <c r="C29" s="327" t="s">
        <v>1030</v>
      </c>
      <c r="D29" s="327"/>
      <c r="E29" s="327"/>
      <c r="F29" s="327"/>
      <c r="G29" s="453">
        <f>+E25*(1+$M$5)</f>
        <v>0</v>
      </c>
      <c r="H29" s="170">
        <v>20</v>
      </c>
      <c r="I29" s="334">
        <f t="shared" si="11"/>
        <v>0</v>
      </c>
      <c r="J29" s="335">
        <f t="shared" si="12"/>
        <v>0</v>
      </c>
      <c r="L29"/>
      <c r="M29"/>
      <c r="N29" s="5"/>
    </row>
    <row r="30" spans="2:14" s="3" customFormat="1">
      <c r="B30" s="327" t="s">
        <v>1031</v>
      </c>
      <c r="C30" s="327" t="s">
        <v>1032</v>
      </c>
      <c r="D30" s="327"/>
      <c r="E30" s="327"/>
      <c r="F30" s="327"/>
      <c r="G30" s="453">
        <f>+E25*E26/(10/2)*(1+$M$5)</f>
        <v>0</v>
      </c>
      <c r="H30" s="170">
        <v>7</v>
      </c>
      <c r="I30" s="334">
        <f t="shared" si="11"/>
        <v>0</v>
      </c>
      <c r="J30" s="335">
        <f t="shared" si="12"/>
        <v>0</v>
      </c>
      <c r="L30"/>
      <c r="M30"/>
      <c r="N30" s="5"/>
    </row>
    <row r="31" spans="2:14" s="3" customFormat="1">
      <c r="B31" s="327" t="s">
        <v>1033</v>
      </c>
      <c r="C31" s="327" t="s">
        <v>1034</v>
      </c>
      <c r="D31" s="327"/>
      <c r="E31" s="327"/>
      <c r="F31" s="327"/>
      <c r="G31" s="453">
        <f>1.5*$E$27</f>
        <v>0</v>
      </c>
      <c r="H31" s="170">
        <v>12</v>
      </c>
      <c r="I31" s="334">
        <f t="shared" ref="I31" si="13">H31*G31</f>
        <v>0</v>
      </c>
      <c r="J31" s="335">
        <f t="shared" ref="J31" si="14">+I31*0.0725</f>
        <v>0</v>
      </c>
      <c r="L31"/>
      <c r="M31"/>
      <c r="N31" s="5"/>
    </row>
    <row r="32" spans="2:14" s="3" customFormat="1">
      <c r="B32" s="327" t="s">
        <v>1035</v>
      </c>
      <c r="C32" s="327" t="s">
        <v>1030</v>
      </c>
      <c r="D32" s="327"/>
      <c r="E32" s="327"/>
      <c r="F32" s="327"/>
      <c r="G32" s="453">
        <f>+E26/14</f>
        <v>0</v>
      </c>
      <c r="H32" s="170">
        <v>20</v>
      </c>
      <c r="I32" s="334">
        <f t="shared" ref="I32:I34" si="15">H32*G32</f>
        <v>0</v>
      </c>
      <c r="J32" s="335">
        <f t="shared" ref="J32:J34" si="16">+I32*0.0725</f>
        <v>0</v>
      </c>
      <c r="L32"/>
      <c r="M32"/>
      <c r="N32" s="5"/>
    </row>
    <row r="33" spans="2:14" s="3" customFormat="1">
      <c r="B33" s="327" t="s">
        <v>751</v>
      </c>
      <c r="C33" s="327" t="s">
        <v>1036</v>
      </c>
      <c r="D33" s="327"/>
      <c r="E33" s="327"/>
      <c r="F33" s="327"/>
      <c r="G33" s="453">
        <f>+G31*2*2.5</f>
        <v>0</v>
      </c>
      <c r="H33" s="170">
        <v>6</v>
      </c>
      <c r="I33" s="334">
        <f t="shared" si="15"/>
        <v>0</v>
      </c>
      <c r="J33" s="335">
        <f t="shared" si="16"/>
        <v>0</v>
      </c>
      <c r="L33"/>
      <c r="M33"/>
      <c r="N33" s="5"/>
    </row>
    <row r="34" spans="2:14" s="3" customFormat="1">
      <c r="B34" s="327" t="s">
        <v>1037</v>
      </c>
      <c r="C34" s="327" t="s">
        <v>1038</v>
      </c>
      <c r="D34" s="327"/>
      <c r="E34" s="327"/>
      <c r="F34" s="327"/>
      <c r="G34" s="453">
        <v>1</v>
      </c>
      <c r="H34" s="170">
        <v>100</v>
      </c>
      <c r="I34" s="334">
        <f t="shared" si="15"/>
        <v>100</v>
      </c>
      <c r="J34" s="335">
        <f t="shared" si="16"/>
        <v>7.2499999999999991</v>
      </c>
      <c r="L34"/>
      <c r="M34"/>
      <c r="N34" s="5"/>
    </row>
    <row r="35" spans="2:14" s="3" customFormat="1">
      <c r="B35" s="327"/>
      <c r="C35" s="327"/>
      <c r="D35" s="327" t="s">
        <v>1039</v>
      </c>
      <c r="E35" s="135">
        <v>24</v>
      </c>
      <c r="F35" s="327"/>
      <c r="G35" s="453"/>
      <c r="H35" s="334"/>
      <c r="I35" s="334"/>
      <c r="J35" s="335"/>
      <c r="L35"/>
      <c r="M35"/>
      <c r="N35" s="5"/>
    </row>
    <row r="36" spans="2:14" s="3" customFormat="1">
      <c r="B36" s="327"/>
      <c r="C36" s="331" t="s">
        <v>1040</v>
      </c>
      <c r="D36" s="327"/>
      <c r="E36" s="327"/>
      <c r="F36" s="327"/>
      <c r="G36" s="453"/>
      <c r="H36" s="334"/>
      <c r="I36" s="334"/>
      <c r="J36" s="335"/>
      <c r="L36"/>
      <c r="M36"/>
      <c r="N36" s="5"/>
    </row>
    <row r="37" spans="2:14" s="3" customFormat="1">
      <c r="B37" s="327" t="s">
        <v>1041</v>
      </c>
      <c r="C37" s="327" t="s">
        <v>1042</v>
      </c>
      <c r="D37" s="327"/>
      <c r="E37" s="327"/>
      <c r="F37" s="327"/>
      <c r="G37" s="453">
        <f>2*$E$35/12</f>
        <v>4</v>
      </c>
      <c r="H37" s="170">
        <v>7.5</v>
      </c>
      <c r="I37" s="334">
        <f t="shared" ref="I37:I39" si="17">H37*G37</f>
        <v>30</v>
      </c>
      <c r="J37" s="335">
        <f t="shared" ref="J37:J39" si="18">+I37*0.0725</f>
        <v>2.1749999999999998</v>
      </c>
      <c r="L37"/>
      <c r="M37"/>
      <c r="N37" s="5"/>
    </row>
    <row r="38" spans="2:14" s="3" customFormat="1">
      <c r="B38" s="327" t="s">
        <v>1043</v>
      </c>
      <c r="C38" s="327" t="s">
        <v>1044</v>
      </c>
      <c r="D38" s="327"/>
      <c r="E38" s="327"/>
      <c r="F38" s="327"/>
      <c r="G38" s="453">
        <f>2.5*$E$35</f>
        <v>60</v>
      </c>
      <c r="H38" s="170">
        <v>1.5</v>
      </c>
      <c r="I38" s="334">
        <f t="shared" si="17"/>
        <v>90</v>
      </c>
      <c r="J38" s="335">
        <f t="shared" si="18"/>
        <v>6.5249999999999995</v>
      </c>
      <c r="L38"/>
      <c r="M38"/>
      <c r="N38" s="5"/>
    </row>
    <row r="39" spans="2:14" s="3" customFormat="1">
      <c r="B39" s="327" t="s">
        <v>1045</v>
      </c>
      <c r="C39" s="327" t="s">
        <v>1046</v>
      </c>
      <c r="D39" s="327"/>
      <c r="E39" s="327"/>
      <c r="F39" s="327"/>
      <c r="G39" s="453">
        <f>$E$35/6</f>
        <v>4</v>
      </c>
      <c r="H39" s="170">
        <v>12</v>
      </c>
      <c r="I39" s="334">
        <f t="shared" si="17"/>
        <v>48</v>
      </c>
      <c r="J39" s="335">
        <f t="shared" si="18"/>
        <v>3.4799999999999995</v>
      </c>
      <c r="L39"/>
      <c r="M39"/>
      <c r="N39" s="5"/>
    </row>
    <row r="40" spans="2:14" s="3" customFormat="1">
      <c r="B40" s="327"/>
      <c r="C40" s="327"/>
      <c r="D40" s="327" t="s">
        <v>1047</v>
      </c>
      <c r="E40" s="135">
        <v>1</v>
      </c>
      <c r="F40" s="327"/>
      <c r="G40" s="453"/>
      <c r="H40" s="334"/>
      <c r="I40" s="334"/>
      <c r="J40" s="335"/>
      <c r="L40"/>
      <c r="M40"/>
      <c r="N40" s="5"/>
    </row>
    <row r="41" spans="2:14" s="3" customFormat="1" ht="14.25" customHeight="1">
      <c r="B41" s="327"/>
      <c r="C41" s="327"/>
      <c r="D41" s="327" t="s">
        <v>1048</v>
      </c>
      <c r="E41" s="135">
        <v>4</v>
      </c>
      <c r="F41" s="327"/>
      <c r="G41" s="453"/>
      <c r="H41" s="334"/>
      <c r="I41" s="334"/>
      <c r="J41" s="335"/>
      <c r="L41"/>
      <c r="M41"/>
      <c r="N41" s="5"/>
    </row>
    <row r="42" spans="2:14" s="3" customFormat="1" ht="14.25" customHeight="1">
      <c r="B42" s="327"/>
      <c r="C42" s="327"/>
      <c r="D42" s="327" t="s">
        <v>1049</v>
      </c>
      <c r="E42" s="456">
        <v>3</v>
      </c>
      <c r="F42" s="327"/>
      <c r="G42" s="453"/>
      <c r="H42" s="334"/>
      <c r="I42" s="334"/>
      <c r="J42" s="335"/>
      <c r="L42"/>
      <c r="M42"/>
      <c r="N42" s="5"/>
    </row>
    <row r="43" spans="2:14" s="3" customFormat="1" ht="14.25" customHeight="1">
      <c r="B43" s="327"/>
      <c r="C43" s="331" t="s">
        <v>1050</v>
      </c>
      <c r="D43" s="327"/>
      <c r="E43" s="327"/>
      <c r="F43" s="327"/>
      <c r="G43" s="453"/>
      <c r="H43" s="334"/>
      <c r="I43" s="334"/>
      <c r="J43" s="335"/>
      <c r="L43"/>
      <c r="M43"/>
      <c r="N43" s="5"/>
    </row>
    <row r="44" spans="2:14" s="3" customFormat="1" ht="14.25" customHeight="1">
      <c r="B44" s="327" t="s">
        <v>1051</v>
      </c>
      <c r="C44" s="327" t="s">
        <v>1052</v>
      </c>
      <c r="D44" s="327"/>
      <c r="E44" s="327"/>
      <c r="F44" s="327"/>
      <c r="G44" s="453">
        <f>+(E41/2) + 1</f>
        <v>3</v>
      </c>
      <c r="H44" s="170">
        <v>18</v>
      </c>
      <c r="I44" s="334">
        <f t="shared" ref="I44:I46" si="19">H44*G44</f>
        <v>54</v>
      </c>
      <c r="J44" s="335">
        <f t="shared" ref="J44:J46" si="20">+I44*0.0725</f>
        <v>3.9149999999999996</v>
      </c>
      <c r="L44"/>
      <c r="M44"/>
      <c r="N44" s="5"/>
    </row>
    <row r="45" spans="2:14" s="3" customFormat="1" ht="14.25" customHeight="1">
      <c r="B45" s="327" t="s">
        <v>1053</v>
      </c>
      <c r="C45" s="327" t="s">
        <v>1054</v>
      </c>
      <c r="D45" s="327"/>
      <c r="E45" s="327"/>
      <c r="F45" s="327"/>
      <c r="G45" s="453">
        <f>2*E42*E41/10</f>
        <v>2.4</v>
      </c>
      <c r="H45" s="170">
        <v>7</v>
      </c>
      <c r="I45" s="334">
        <f t="shared" si="19"/>
        <v>16.8</v>
      </c>
      <c r="J45" s="335">
        <f t="shared" si="20"/>
        <v>1.218</v>
      </c>
      <c r="L45"/>
      <c r="M45"/>
      <c r="N45" s="5"/>
    </row>
    <row r="46" spans="2:14" s="3" customFormat="1" ht="14.25" customHeight="1">
      <c r="B46" s="327" t="s">
        <v>1055</v>
      </c>
      <c r="C46" s="327" t="s">
        <v>1056</v>
      </c>
      <c r="D46" s="327"/>
      <c r="E46" s="327"/>
      <c r="F46" s="327"/>
      <c r="G46" s="453">
        <f>+E42*E41/8</f>
        <v>1.5</v>
      </c>
      <c r="H46" s="170">
        <v>10</v>
      </c>
      <c r="I46" s="334">
        <f t="shared" si="19"/>
        <v>15</v>
      </c>
      <c r="J46" s="335">
        <f t="shared" si="20"/>
        <v>1.0874999999999999</v>
      </c>
      <c r="L46"/>
      <c r="M46"/>
      <c r="N46" s="5"/>
    </row>
    <row r="47" spans="2:14" s="3" customFormat="1" ht="14.25" customHeight="1">
      <c r="B47" s="327"/>
      <c r="C47" s="327"/>
      <c r="D47" s="327"/>
      <c r="E47" s="327"/>
      <c r="F47" s="327"/>
      <c r="G47" s="453"/>
      <c r="H47" s="170"/>
      <c r="I47" s="334"/>
      <c r="J47" s="335"/>
      <c r="L47"/>
      <c r="M47"/>
      <c r="N47" s="5"/>
    </row>
    <row r="48" spans="2:14" s="3" customFormat="1" ht="14.25" customHeight="1">
      <c r="B48" s="327"/>
      <c r="C48" s="331" t="s">
        <v>763</v>
      </c>
      <c r="D48" s="327"/>
      <c r="E48" s="327"/>
      <c r="F48" s="327"/>
      <c r="G48" s="453"/>
      <c r="H48" s="170"/>
      <c r="I48" s="334"/>
      <c r="J48" s="335"/>
      <c r="L48"/>
      <c r="M48"/>
      <c r="N48" s="5"/>
    </row>
    <row r="49" spans="2:14" s="3" customFormat="1" ht="14.25" customHeight="1">
      <c r="B49" s="327" t="s">
        <v>1057</v>
      </c>
      <c r="C49" s="327" t="s">
        <v>1058</v>
      </c>
      <c r="D49" s="327"/>
      <c r="E49" s="327"/>
      <c r="F49" s="327"/>
      <c r="G49" s="453">
        <f>+G6</f>
        <v>11.220000000000002</v>
      </c>
      <c r="H49" s="170">
        <v>6.42</v>
      </c>
      <c r="I49" s="334">
        <f t="shared" ref="I49" si="21">H49*G49</f>
        <v>72.03240000000001</v>
      </c>
      <c r="J49" s="335">
        <f t="shared" ref="J49" si="22">+I49*0.0725</f>
        <v>5.2223490000000004</v>
      </c>
      <c r="L49" t="s">
        <v>1059</v>
      </c>
      <c r="M49"/>
      <c r="N49" s="5"/>
    </row>
    <row r="50" spans="2:14" s="3" customFormat="1" ht="14.25" customHeight="1">
      <c r="B50" s="327" t="s">
        <v>1060</v>
      </c>
      <c r="C50" s="327" t="s">
        <v>1061</v>
      </c>
      <c r="D50" s="327"/>
      <c r="E50" s="327"/>
      <c r="F50" s="327"/>
      <c r="G50" s="453">
        <f>+G6/10</f>
        <v>1.1220000000000003</v>
      </c>
      <c r="H50" s="170">
        <v>92.65</v>
      </c>
      <c r="I50" s="334">
        <f>H50*G50</f>
        <v>103.95330000000004</v>
      </c>
      <c r="J50" s="335">
        <f>+I50*0.0725</f>
        <v>7.5366142500000022</v>
      </c>
      <c r="L50"/>
      <c r="M50"/>
      <c r="N50" s="5"/>
    </row>
    <row r="51" spans="2:14" s="3" customFormat="1" ht="14.25" customHeight="1">
      <c r="B51" s="327"/>
      <c r="C51" s="327"/>
      <c r="D51" s="327"/>
      <c r="E51" s="327"/>
      <c r="F51" s="327"/>
      <c r="G51" s="453"/>
      <c r="H51" s="170"/>
      <c r="I51" s="334"/>
      <c r="J51" s="335"/>
      <c r="L51"/>
      <c r="M51"/>
      <c r="N51" s="5"/>
    </row>
    <row r="52" spans="2:14" s="3" customFormat="1" ht="14.25" customHeight="1">
      <c r="B52" s="327"/>
      <c r="C52" s="327" t="s">
        <v>1062</v>
      </c>
      <c r="D52" s="327"/>
      <c r="E52" s="327"/>
      <c r="F52" s="327"/>
      <c r="G52" s="453"/>
      <c r="H52" s="170"/>
      <c r="I52" s="334"/>
      <c r="J52" s="335"/>
      <c r="L52"/>
      <c r="M52"/>
      <c r="N52" s="5"/>
    </row>
    <row r="53" spans="2:14" s="3" customFormat="1" ht="14.25" customHeight="1">
      <c r="B53" s="327"/>
      <c r="C53" s="327"/>
      <c r="D53" s="327"/>
      <c r="E53" s="327"/>
      <c r="F53" s="327"/>
      <c r="G53" s="453"/>
      <c r="H53" s="170"/>
      <c r="I53" s="334"/>
      <c r="J53" s="335"/>
      <c r="L53"/>
      <c r="M53"/>
      <c r="N53" s="5"/>
    </row>
    <row r="54" spans="2:14" s="3" customFormat="1" ht="14.25" customHeight="1">
      <c r="B54" s="327"/>
      <c r="C54" s="327"/>
      <c r="D54" s="327"/>
      <c r="E54" s="327"/>
      <c r="F54" s="327"/>
      <c r="G54" s="453"/>
      <c r="H54" s="170"/>
      <c r="I54" s="334"/>
      <c r="J54" s="335"/>
      <c r="L54"/>
      <c r="M54"/>
      <c r="N54" s="5"/>
    </row>
    <row r="55" spans="2:14" s="3" customFormat="1" ht="14.25" customHeight="1">
      <c r="B55" s="327"/>
      <c r="C55" s="327"/>
      <c r="D55" s="327"/>
      <c r="E55" s="327"/>
      <c r="F55" s="327"/>
      <c r="G55" s="453"/>
      <c r="H55" s="170"/>
      <c r="I55" s="334"/>
      <c r="J55" s="335"/>
      <c r="L55"/>
      <c r="M55"/>
      <c r="N55" s="5"/>
    </row>
    <row r="56" spans="2:14" s="3" customFormat="1" ht="14.25" customHeight="1">
      <c r="B56" s="327"/>
      <c r="C56" s="327"/>
      <c r="D56" s="327"/>
      <c r="E56" s="327"/>
      <c r="F56" s="327"/>
      <c r="G56" s="453"/>
      <c r="H56" s="170"/>
      <c r="I56" s="334"/>
      <c r="J56" s="335"/>
      <c r="L56"/>
      <c r="M56"/>
      <c r="N56" s="5"/>
    </row>
    <row r="57" spans="2:14" s="3" customFormat="1" ht="14.25" customHeight="1">
      <c r="B57" s="327"/>
      <c r="C57" s="327"/>
      <c r="D57" s="327"/>
      <c r="E57" s="327"/>
      <c r="F57" s="327"/>
      <c r="G57" s="453"/>
      <c r="H57" s="170"/>
      <c r="I57" s="334"/>
      <c r="J57" s="335"/>
      <c r="L57"/>
      <c r="M57"/>
      <c r="N57" s="5"/>
    </row>
    <row r="58" spans="2:14" s="3" customFormat="1" ht="14.25" customHeight="1">
      <c r="B58" s="327"/>
      <c r="C58" s="327" t="s">
        <v>1063</v>
      </c>
      <c r="D58" s="327"/>
      <c r="E58" s="327"/>
      <c r="F58" s="327"/>
      <c r="G58" s="453"/>
      <c r="H58" s="170"/>
      <c r="I58" s="334"/>
      <c r="J58" s="335"/>
      <c r="L58"/>
      <c r="M58"/>
      <c r="N58" s="5"/>
    </row>
    <row r="59" spans="2:14" s="3" customFormat="1" ht="14.25" customHeight="1">
      <c r="B59" s="327"/>
      <c r="C59" s="327" t="s">
        <v>1064</v>
      </c>
      <c r="D59" s="327"/>
      <c r="E59" s="327"/>
      <c r="F59" s="327"/>
      <c r="G59" s="453">
        <v>0</v>
      </c>
      <c r="H59" s="170">
        <v>6525</v>
      </c>
      <c r="I59" s="334">
        <f t="shared" ref="I59" si="23">H59*G59</f>
        <v>0</v>
      </c>
      <c r="J59" s="335">
        <f t="shared" ref="J59" si="24">+I59*0.0725</f>
        <v>0</v>
      </c>
      <c r="L59"/>
      <c r="M59"/>
      <c r="N59" s="5"/>
    </row>
    <row r="60" spans="2:14" s="3" customFormat="1" ht="14.25" customHeight="1">
      <c r="B60" s="327"/>
      <c r="C60" s="327"/>
      <c r="D60" s="327"/>
      <c r="E60" s="327"/>
      <c r="F60" s="327"/>
      <c r="G60" s="453"/>
      <c r="H60" s="170"/>
      <c r="I60" s="334"/>
      <c r="J60" s="335"/>
      <c r="L60"/>
      <c r="M60"/>
      <c r="N60" s="5"/>
    </row>
    <row r="61" spans="2:14" s="3" customFormat="1" ht="14.25" customHeight="1">
      <c r="B61" s="327"/>
      <c r="C61" s="327"/>
      <c r="D61" s="327"/>
      <c r="E61" s="327"/>
      <c r="F61" s="327"/>
      <c r="G61" s="453"/>
      <c r="H61" s="170"/>
      <c r="I61" s="334"/>
      <c r="J61" s="335"/>
      <c r="L61"/>
      <c r="M61"/>
      <c r="N61" s="5"/>
    </row>
    <row r="62" spans="2:14" s="3" customFormat="1" ht="14.25" customHeight="1">
      <c r="B62" s="327"/>
      <c r="C62" s="327"/>
      <c r="D62" s="327"/>
      <c r="E62" s="327"/>
      <c r="F62" s="327"/>
      <c r="G62" s="453"/>
      <c r="H62" s="334"/>
      <c r="I62" s="334"/>
      <c r="J62" s="335"/>
      <c r="L62"/>
      <c r="M62"/>
      <c r="N62" s="5"/>
    </row>
    <row r="63" spans="2:14">
      <c r="B63" s="327"/>
      <c r="C63" s="454"/>
      <c r="D63" s="327"/>
      <c r="E63" s="338"/>
      <c r="F63" s="327"/>
      <c r="G63" s="341"/>
      <c r="H63" s="334"/>
      <c r="I63" s="334"/>
      <c r="J63" s="339"/>
      <c r="K63"/>
    </row>
    <row r="64" spans="2:14" s="3" customFormat="1">
      <c r="G64" s="831" t="s">
        <v>1065</v>
      </c>
      <c r="H64" s="746"/>
      <c r="I64" s="746"/>
      <c r="J64" s="30"/>
      <c r="K64" s="1">
        <f>IF(M1="Yes",SUM(I4:I63)+SUM(J4:J63),0)</f>
        <v>3259.8649297500006</v>
      </c>
      <c r="L64"/>
      <c r="M64"/>
      <c r="N64" s="5"/>
    </row>
    <row r="65" spans="1:14" s="3" customFormat="1">
      <c r="L65"/>
      <c r="M65"/>
      <c r="N65" s="5"/>
    </row>
    <row r="66" spans="1:14" s="3" customFormat="1">
      <c r="B66"/>
      <c r="D66" s="32"/>
      <c r="L66"/>
      <c r="M66"/>
      <c r="N66" s="5"/>
    </row>
    <row r="67" spans="1:14">
      <c r="A67" s="110">
        <v>45950</v>
      </c>
      <c r="C67" s="97" t="s">
        <v>1005</v>
      </c>
      <c r="D67" s="97"/>
      <c r="F67" s="97"/>
      <c r="G67" s="533">
        <f>+G5+G14+G15+G17</f>
        <v>154.572</v>
      </c>
      <c r="H67" s="170">
        <v>3.1988329063478509</v>
      </c>
      <c r="I67" s="5">
        <f t="shared" ref="I67:I73" si="25">+G67*H67</f>
        <v>494.45</v>
      </c>
      <c r="J67" s="26">
        <f t="shared" ref="J67:J71" si="26">+I67*0.0725</f>
        <v>35.847624999999994</v>
      </c>
      <c r="K67"/>
      <c r="N67" s="5"/>
    </row>
    <row r="68" spans="1:14">
      <c r="A68" s="110">
        <v>45950</v>
      </c>
      <c r="C68" s="97" t="s">
        <v>1008</v>
      </c>
      <c r="D68" s="97"/>
      <c r="F68" s="97"/>
      <c r="G68" s="533">
        <f>+G6+G7</f>
        <v>33.660000000000011</v>
      </c>
      <c r="H68" s="170">
        <v>6.9898989898989878</v>
      </c>
      <c r="I68" s="5">
        <f t="shared" si="25"/>
        <v>235.28</v>
      </c>
      <c r="J68" s="26">
        <f t="shared" si="26"/>
        <v>17.0578</v>
      </c>
      <c r="K68"/>
      <c r="N68" s="5"/>
    </row>
    <row r="69" spans="1:14">
      <c r="A69" s="110">
        <v>45950</v>
      </c>
      <c r="C69" s="97" t="s">
        <v>1020</v>
      </c>
      <c r="D69" s="97"/>
      <c r="F69" s="97"/>
      <c r="G69" s="533">
        <f>+G16</f>
        <v>15.400000000000002</v>
      </c>
      <c r="H69" s="170">
        <v>7.782467532467531</v>
      </c>
      <c r="I69" s="5">
        <f t="shared" si="25"/>
        <v>119.85</v>
      </c>
      <c r="J69" s="26">
        <f t="shared" si="26"/>
        <v>8.6891249999999989</v>
      </c>
      <c r="K69"/>
      <c r="N69" s="5"/>
    </row>
    <row r="70" spans="1:14">
      <c r="A70" s="110">
        <v>45973</v>
      </c>
      <c r="C70" s="97" t="s">
        <v>1434</v>
      </c>
      <c r="D70" s="97"/>
      <c r="F70" s="97"/>
      <c r="G70" s="176">
        <v>3</v>
      </c>
      <c r="H70" s="170">
        <v>19.420000000000002</v>
      </c>
      <c r="I70" s="5">
        <f t="shared" si="25"/>
        <v>58.260000000000005</v>
      </c>
      <c r="J70" s="26">
        <f t="shared" si="26"/>
        <v>4.2238499999999997</v>
      </c>
      <c r="K70"/>
    </row>
    <row r="71" spans="1:14">
      <c r="A71" s="110">
        <v>45973</v>
      </c>
      <c r="C71" s="19" t="s">
        <v>1435</v>
      </c>
      <c r="D71" s="97"/>
      <c r="F71" s="97"/>
      <c r="G71" s="176">
        <v>12</v>
      </c>
      <c r="H71" s="170">
        <v>0.99</v>
      </c>
      <c r="I71" s="5">
        <f t="shared" si="25"/>
        <v>11.879999999999999</v>
      </c>
      <c r="J71" s="26">
        <f t="shared" si="26"/>
        <v>0.86129999999999984</v>
      </c>
      <c r="K71"/>
    </row>
    <row r="72" spans="1:14">
      <c r="A72" s="110">
        <v>45986</v>
      </c>
      <c r="C72" s="97" t="s">
        <v>1440</v>
      </c>
      <c r="D72" s="97"/>
      <c r="F72" s="97"/>
      <c r="G72" s="176">
        <v>2</v>
      </c>
      <c r="H72" s="170">
        <f>144.47/2</f>
        <v>72.234999999999999</v>
      </c>
      <c r="I72" s="5">
        <f t="shared" si="25"/>
        <v>144.47</v>
      </c>
      <c r="J72" s="26"/>
      <c r="K72"/>
    </row>
    <row r="73" spans="1:14">
      <c r="A73" s="110">
        <v>45979</v>
      </c>
      <c r="C73" s="97" t="s">
        <v>1440</v>
      </c>
      <c r="D73" s="97"/>
      <c r="F73" s="97"/>
      <c r="G73" s="176">
        <v>4</v>
      </c>
      <c r="H73" s="170">
        <f>236.38/4</f>
        <v>59.094999999999999</v>
      </c>
      <c r="I73" s="5">
        <f t="shared" si="25"/>
        <v>236.38</v>
      </c>
      <c r="J73" s="26"/>
      <c r="K73"/>
    </row>
    <row r="74" spans="1:14">
      <c r="A74" s="12">
        <v>46057</v>
      </c>
      <c r="C74" s="2" t="s">
        <v>1507</v>
      </c>
      <c r="G74" s="2">
        <v>2</v>
      </c>
      <c r="H74" s="170">
        <v>20.99</v>
      </c>
      <c r="I74" s="5">
        <f t="shared" ref="I74" si="27">+G74*H74</f>
        <v>41.98</v>
      </c>
      <c r="J74" s="26">
        <f t="shared" ref="J74" si="28">+I74*0.0725</f>
        <v>3.0435499999999998</v>
      </c>
    </row>
    <row r="75" spans="1:14">
      <c r="A75" s="12">
        <v>46057</v>
      </c>
      <c r="C75" s="2" t="s">
        <v>1508</v>
      </c>
      <c r="G75" s="2">
        <v>2</v>
      </c>
      <c r="H75" s="170">
        <v>12.03</v>
      </c>
      <c r="I75" s="5">
        <f t="shared" ref="I75:I78" si="29">+G75*H75</f>
        <v>24.06</v>
      </c>
      <c r="J75" s="26">
        <f t="shared" ref="J75:J78" si="30">+I75*0.0725</f>
        <v>1.7443499999999998</v>
      </c>
      <c r="K75"/>
    </row>
    <row r="76" spans="1:14">
      <c r="A76" s="12">
        <v>46057</v>
      </c>
      <c r="C76" s="2" t="s">
        <v>1509</v>
      </c>
      <c r="G76" s="2">
        <v>3</v>
      </c>
      <c r="H76" s="170">
        <v>14.49</v>
      </c>
      <c r="I76" s="5">
        <f t="shared" si="29"/>
        <v>43.47</v>
      </c>
      <c r="J76" s="26">
        <f t="shared" si="30"/>
        <v>3.1515749999999998</v>
      </c>
      <c r="K76"/>
    </row>
    <row r="77" spans="1:14">
      <c r="A77" s="12">
        <v>46057</v>
      </c>
      <c r="C77" s="19" t="s">
        <v>1510</v>
      </c>
      <c r="G77" s="2">
        <v>2</v>
      </c>
      <c r="H77" s="170">
        <v>6.88</v>
      </c>
      <c r="I77" s="5">
        <f t="shared" si="29"/>
        <v>13.76</v>
      </c>
      <c r="J77" s="26">
        <f t="shared" si="30"/>
        <v>0.99759999999999993</v>
      </c>
      <c r="K77"/>
    </row>
    <row r="78" spans="1:14">
      <c r="A78" s="12">
        <v>46057</v>
      </c>
      <c r="C78" s="19" t="s">
        <v>1511</v>
      </c>
      <c r="G78" s="2">
        <v>2</v>
      </c>
      <c r="H78" s="170">
        <v>8.98</v>
      </c>
      <c r="I78" s="5">
        <f t="shared" si="29"/>
        <v>17.96</v>
      </c>
      <c r="J78" s="26">
        <f t="shared" si="30"/>
        <v>1.3021</v>
      </c>
      <c r="K78"/>
    </row>
    <row r="79" spans="1:14">
      <c r="C79" s="97" t="s">
        <v>1080</v>
      </c>
      <c r="D79" s="97"/>
      <c r="F79" s="97" t="s">
        <v>1081</v>
      </c>
      <c r="G79" s="176">
        <v>0</v>
      </c>
      <c r="H79" s="170">
        <f>5*25.79</f>
        <v>128.94999999999999</v>
      </c>
      <c r="I79" s="5">
        <f t="shared" ref="I79:I86" si="31">+G79*H79</f>
        <v>0</v>
      </c>
      <c r="J79" s="26">
        <f t="shared" ref="J79:J86" si="32">+I79*0.0725</f>
        <v>0</v>
      </c>
      <c r="K79"/>
    </row>
    <row r="80" spans="1:14">
      <c r="C80" s="97"/>
      <c r="D80" s="97"/>
      <c r="F80" s="97"/>
      <c r="G80" s="176"/>
      <c r="H80" s="170"/>
      <c r="I80" s="5">
        <f t="shared" si="31"/>
        <v>0</v>
      </c>
      <c r="J80" s="26">
        <f t="shared" si="32"/>
        <v>0</v>
      </c>
      <c r="K80"/>
    </row>
    <row r="81" spans="3:12">
      <c r="C81" s="97" t="s">
        <v>1082</v>
      </c>
      <c r="D81" s="97"/>
      <c r="F81" s="97" t="s">
        <v>1083</v>
      </c>
      <c r="G81" s="176">
        <v>0</v>
      </c>
      <c r="H81" s="170">
        <f>5*63.05</f>
        <v>315.25</v>
      </c>
      <c r="I81" s="5">
        <f t="shared" si="31"/>
        <v>0</v>
      </c>
      <c r="J81" s="26">
        <f t="shared" si="32"/>
        <v>0</v>
      </c>
      <c r="K81"/>
    </row>
    <row r="82" spans="3:12">
      <c r="C82" s="97" t="s">
        <v>1084</v>
      </c>
      <c r="D82" s="97"/>
      <c r="F82" s="97">
        <v>389832</v>
      </c>
      <c r="G82" s="176">
        <v>0</v>
      </c>
      <c r="H82" s="170">
        <v>39.979999999999997</v>
      </c>
      <c r="I82" s="5">
        <f t="shared" si="31"/>
        <v>0</v>
      </c>
      <c r="J82" s="26">
        <f t="shared" si="32"/>
        <v>0</v>
      </c>
      <c r="K82"/>
    </row>
    <row r="83" spans="3:12">
      <c r="C83" s="97" t="s">
        <v>1085</v>
      </c>
      <c r="D83" s="97"/>
      <c r="F83" s="97">
        <v>985007</v>
      </c>
      <c r="G83" s="176"/>
      <c r="H83" s="170">
        <v>52.23</v>
      </c>
      <c r="I83" s="5">
        <f t="shared" si="31"/>
        <v>0</v>
      </c>
      <c r="J83" s="26">
        <f t="shared" si="32"/>
        <v>0</v>
      </c>
      <c r="K83"/>
    </row>
    <row r="84" spans="3:12">
      <c r="C84" s="97" t="s">
        <v>1086</v>
      </c>
      <c r="D84" s="97"/>
      <c r="F84" s="97">
        <v>814917</v>
      </c>
      <c r="G84" s="176"/>
      <c r="H84" s="170">
        <f>109/5</f>
        <v>21.8</v>
      </c>
      <c r="I84" s="5">
        <f t="shared" si="31"/>
        <v>0</v>
      </c>
      <c r="J84" s="26">
        <f t="shared" si="32"/>
        <v>0</v>
      </c>
      <c r="K84"/>
    </row>
    <row r="85" spans="3:12">
      <c r="C85" s="97" t="s">
        <v>1087</v>
      </c>
      <c r="D85" s="97"/>
      <c r="F85" s="97" t="s">
        <v>1088</v>
      </c>
      <c r="G85" s="176">
        <v>0</v>
      </c>
      <c r="H85" s="170">
        <v>40</v>
      </c>
      <c r="I85" s="5">
        <f t="shared" si="31"/>
        <v>0</v>
      </c>
      <c r="J85" s="26">
        <f t="shared" si="32"/>
        <v>0</v>
      </c>
      <c r="K85"/>
    </row>
    <row r="86" spans="3:12">
      <c r="C86" s="2" t="s">
        <v>1089</v>
      </c>
      <c r="F86" s="97" t="s">
        <v>1090</v>
      </c>
      <c r="G86" s="176">
        <v>0</v>
      </c>
      <c r="H86" s="170">
        <v>50.24</v>
      </c>
      <c r="I86" s="5">
        <f t="shared" si="31"/>
        <v>0</v>
      </c>
      <c r="J86" s="26">
        <f t="shared" si="32"/>
        <v>0</v>
      </c>
    </row>
    <row r="87" spans="3:12">
      <c r="D87" s="32"/>
      <c r="E87" s="98"/>
      <c r="G87"/>
      <c r="H87" s="5"/>
      <c r="J87" s="1"/>
      <c r="K87"/>
    </row>
    <row r="88" spans="3:12">
      <c r="C88" s="97"/>
      <c r="D88" s="97"/>
      <c r="E88" s="178"/>
      <c r="F88" s="97"/>
      <c r="G88" s="176"/>
      <c r="H88" s="170"/>
      <c r="J88" s="26"/>
      <c r="K88"/>
    </row>
    <row r="89" spans="3:12">
      <c r="C89" s="97"/>
      <c r="D89" s="97"/>
      <c r="F89" s="97"/>
      <c r="G89" s="176"/>
      <c r="H89" s="170"/>
      <c r="J89" s="26"/>
      <c r="K89"/>
    </row>
    <row r="90" spans="3:12">
      <c r="E90" s="120"/>
      <c r="G90"/>
      <c r="H90" s="5"/>
      <c r="J90" s="1"/>
      <c r="K90"/>
    </row>
    <row r="91" spans="3:12">
      <c r="D91" s="32"/>
      <c r="E91" s="98"/>
      <c r="G91"/>
      <c r="H91" s="5"/>
      <c r="J91" s="1"/>
      <c r="K91"/>
    </row>
    <row r="92" spans="3:12">
      <c r="C92" s="97"/>
      <c r="D92" s="97"/>
      <c r="E92" s="178"/>
      <c r="F92" s="97"/>
      <c r="G92" s="176"/>
      <c r="H92" s="170"/>
      <c r="J92" s="26"/>
      <c r="K92"/>
    </row>
    <row r="93" spans="3:12">
      <c r="D93" s="32"/>
      <c r="E93" s="98"/>
      <c r="G93" s="176"/>
      <c r="H93" s="170"/>
      <c r="J93" s="26"/>
      <c r="K93"/>
    </row>
    <row r="94" spans="3:12">
      <c r="C94" s="97"/>
      <c r="D94" s="97"/>
      <c r="F94" s="97"/>
      <c r="G94" s="176"/>
      <c r="H94" s="170"/>
      <c r="J94" s="26"/>
      <c r="K94"/>
    </row>
    <row r="95" spans="3:12">
      <c r="F95" s="97"/>
      <c r="G95" s="176"/>
      <c r="H95" s="170"/>
      <c r="J95" s="26"/>
      <c r="K95"/>
      <c r="L95" s="2"/>
    </row>
    <row r="96" spans="3:12">
      <c r="G96" s="176"/>
      <c r="H96" s="170"/>
      <c r="J96" s="26"/>
      <c r="L96" s="2"/>
    </row>
    <row r="97" spans="3:16" ht="15.75" thickBot="1">
      <c r="G97"/>
      <c r="H97" s="5"/>
      <c r="I97" s="209"/>
      <c r="J97" s="179"/>
      <c r="K97" s="29"/>
    </row>
    <row r="98" spans="3:16">
      <c r="G98" s="831" t="s">
        <v>1091</v>
      </c>
      <c r="H98" s="746"/>
      <c r="I98" s="746"/>
      <c r="J98" s="30"/>
      <c r="K98" s="1">
        <f>IF($M$1="No",SUM(I67:I97)+SUM(J67:J97),0)</f>
        <v>0</v>
      </c>
      <c r="P98" s="2"/>
    </row>
    <row r="100" spans="3:16">
      <c r="C100" s="2" t="s">
        <v>1092</v>
      </c>
      <c r="G100"/>
      <c r="H100" s="5"/>
      <c r="I100" s="1"/>
      <c r="J100" s="1"/>
      <c r="K100"/>
    </row>
    <row r="101" spans="3:16">
      <c r="C101" s="97" t="s">
        <v>1093</v>
      </c>
      <c r="D101" s="97"/>
      <c r="E101" s="120">
        <f>+$E$3</f>
        <v>102</v>
      </c>
      <c r="F101" s="97" t="s">
        <v>1094</v>
      </c>
      <c r="G101" s="176">
        <v>0</v>
      </c>
      <c r="H101" s="170">
        <v>0</v>
      </c>
      <c r="I101" s="1">
        <f>IF(G101="yes",E101*#REF!,H101)</f>
        <v>0</v>
      </c>
      <c r="J101" s="1"/>
      <c r="K101"/>
    </row>
    <row r="102" spans="3:16">
      <c r="C102" s="97" t="s">
        <v>1092</v>
      </c>
      <c r="D102" s="97"/>
      <c r="E102" s="120">
        <v>200</v>
      </c>
      <c r="F102" s="97" t="s">
        <v>1023</v>
      </c>
      <c r="G102" s="176">
        <v>0</v>
      </c>
      <c r="H102" s="170">
        <v>0</v>
      </c>
      <c r="I102" s="1">
        <f>IF(G102="yes",E102*#REF!,H102)</f>
        <v>0</v>
      </c>
      <c r="J102" s="1"/>
      <c r="K102"/>
    </row>
    <row r="103" spans="3:16" ht="15.75" thickBot="1">
      <c r="C103" s="97" t="s">
        <v>1092</v>
      </c>
      <c r="D103" s="97"/>
      <c r="E103" s="120">
        <f>+$E$3</f>
        <v>102</v>
      </c>
      <c r="F103" s="97" t="s">
        <v>1095</v>
      </c>
      <c r="G103" s="176">
        <v>0</v>
      </c>
      <c r="H103" s="170">
        <v>0</v>
      </c>
      <c r="I103" s="1">
        <f>IF(G103="yes",E103*#REF!,H103)</f>
        <v>0</v>
      </c>
      <c r="J103" s="1"/>
      <c r="K103" s="23"/>
      <c r="M103" s="3"/>
    </row>
    <row r="104" spans="3:16">
      <c r="G104"/>
      <c r="H104" s="5"/>
      <c r="I104" s="1"/>
      <c r="J104" s="1"/>
      <c r="K104" s="1">
        <f>IF($M$1="No",SUM(I101:I103)+SUM(J101:J103),0)</f>
        <v>0</v>
      </c>
      <c r="M104" s="1"/>
    </row>
    <row r="105" spans="3:16">
      <c r="G105"/>
      <c r="H105" s="5"/>
      <c r="I105" s="5" t="s">
        <v>1096</v>
      </c>
      <c r="L105" s="1">
        <f>SUM(K64:K104)</f>
        <v>3259.8649297500006</v>
      </c>
    </row>
    <row r="106" spans="3:16">
      <c r="G106"/>
      <c r="H106" s="5"/>
    </row>
  </sheetData>
  <mergeCells count="5">
    <mergeCell ref="L1:L2"/>
    <mergeCell ref="M1:M2"/>
    <mergeCell ref="N1:N2"/>
    <mergeCell ref="G64:I64"/>
    <mergeCell ref="G98:I98"/>
  </mergeCells>
  <hyperlinks>
    <hyperlink ref="C71" r:id="rId1" display="https://www.lowes.com/pd/Simpson-Strong-Tie-H8-18-Gauge-Galvanized-Hurricane-Tie/1002748832" xr:uid="{587B6F51-1AB1-47C1-85D5-373258DB7576}"/>
    <hyperlink ref="C77" r:id="rId2" display="https://www.lowes.com/pd/Simpson-Strong-Tie-LUS210-2Z-Double-Shear-Hanger-Z-Max/1156591" xr:uid="{51ACBE40-F72C-4AC4-B61A-FE1909F2012E}"/>
    <hyperlink ref="C78" r:id="rId3" display="https://www.lowes.com/pd/Simpson-Strong-Tie-LUS28-3Z-Double-Shear-Hanger-Z-Max/3006056" xr:uid="{ADF9923B-56D8-4D92-B51E-637D47A068CF}"/>
  </hyperlinks>
  <pageMargins left="0.7" right="0.7" top="0.75" bottom="0.75" header="0.3" footer="0.3"/>
  <pageSetup orientation="portrait" horizontalDpi="4800" verticalDpi="4800" r:id="rId4"/>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40"/>
  <sheetViews>
    <sheetView tabSelected="1" workbookViewId="0">
      <selection activeCell="F23" sqref="F23"/>
    </sheetView>
  </sheetViews>
  <sheetFormatPr defaultColWidth="9.140625" defaultRowHeight="15"/>
  <cols>
    <col min="1" max="1" width="26.85546875" style="2" bestFit="1" customWidth="1"/>
    <col min="2" max="2" width="26.85546875" style="374"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c r="A1" s="3" t="s">
        <v>971</v>
      </c>
      <c r="B1" s="366" t="s">
        <v>108</v>
      </c>
      <c r="C1" s="13" t="s">
        <v>972</v>
      </c>
      <c r="D1" s="3" t="s">
        <v>973</v>
      </c>
      <c r="E1" s="13" t="s">
        <v>974</v>
      </c>
      <c r="F1" s="3" t="s">
        <v>975</v>
      </c>
    </row>
    <row r="2" spans="1:10" ht="15.75" thickBot="1">
      <c r="A2" s="327" t="s">
        <v>1097</v>
      </c>
      <c r="B2" s="330"/>
      <c r="C2" s="329"/>
      <c r="D2" s="328"/>
      <c r="E2" s="329"/>
      <c r="F2" s="329">
        <v>0</v>
      </c>
    </row>
    <row r="3" spans="1:10">
      <c r="A3" s="327" t="s">
        <v>1098</v>
      </c>
      <c r="B3" s="330"/>
      <c r="C3" s="329" t="s">
        <v>1099</v>
      </c>
      <c r="D3" s="328">
        <v>4</v>
      </c>
      <c r="E3" s="329">
        <v>75</v>
      </c>
      <c r="F3" s="329">
        <f t="shared" ref="F3:F4" si="0">+D3*E3</f>
        <v>300</v>
      </c>
      <c r="H3" s="832" t="s">
        <v>9</v>
      </c>
      <c r="I3" s="832" t="str">
        <f>IF(Profit!$Q$6,IF(J3,"Yes","N0"),"no")</f>
        <v>N0</v>
      </c>
      <c r="J3" s="834" t="b">
        <v>0</v>
      </c>
    </row>
    <row r="4" spans="1:10" ht="15.75" thickBot="1">
      <c r="A4" s="327" t="s">
        <v>1098</v>
      </c>
      <c r="B4" s="330"/>
      <c r="C4" s="329" t="s">
        <v>1100</v>
      </c>
      <c r="D4" s="328">
        <v>4</v>
      </c>
      <c r="E4" s="329">
        <v>325</v>
      </c>
      <c r="F4" s="329">
        <f t="shared" si="0"/>
        <v>1300</v>
      </c>
      <c r="H4" s="833"/>
      <c r="I4" s="833"/>
      <c r="J4" s="835"/>
    </row>
    <row r="5" spans="1:10">
      <c r="A5" s="327" t="s">
        <v>1098</v>
      </c>
      <c r="B5" s="330"/>
      <c r="C5" s="329" t="s">
        <v>1101</v>
      </c>
      <c r="D5" s="328">
        <v>4</v>
      </c>
      <c r="E5" s="329">
        <v>104</v>
      </c>
      <c r="F5" s="329">
        <f>+D5*E5</f>
        <v>416</v>
      </c>
      <c r="G5">
        <f>IF(I3="yes",+SUM(F2:F5),0)</f>
        <v>0</v>
      </c>
    </row>
    <row r="6" spans="1:10">
      <c r="A6" s="97"/>
      <c r="B6" s="363" t="s">
        <v>328</v>
      </c>
      <c r="C6" s="364" t="s">
        <v>328</v>
      </c>
      <c r="D6" s="176">
        <v>0</v>
      </c>
      <c r="E6" s="364">
        <v>0</v>
      </c>
      <c r="F6" s="364">
        <f t="shared" ref="F6:F11" si="1">+D6*E6</f>
        <v>0</v>
      </c>
    </row>
    <row r="7" spans="1:10">
      <c r="A7" s="97"/>
      <c r="B7" s="363">
        <v>46028</v>
      </c>
      <c r="C7" s="364" t="s">
        <v>1421</v>
      </c>
      <c r="D7" s="176">
        <v>1</v>
      </c>
      <c r="E7" s="364">
        <v>347.75</v>
      </c>
      <c r="F7" s="364">
        <f t="shared" si="1"/>
        <v>347.75</v>
      </c>
    </row>
    <row r="8" spans="1:10">
      <c r="A8" s="97"/>
      <c r="B8" s="363">
        <v>46028</v>
      </c>
      <c r="C8" s="364" t="s">
        <v>1504</v>
      </c>
      <c r="D8" s="176">
        <v>0.14000000000000001</v>
      </c>
      <c r="E8" s="364"/>
      <c r="F8" s="364">
        <f t="shared" si="1"/>
        <v>0</v>
      </c>
    </row>
    <row r="9" spans="1:10">
      <c r="A9" s="97"/>
      <c r="B9" s="363">
        <v>46020</v>
      </c>
      <c r="C9" s="364" t="s">
        <v>1504</v>
      </c>
      <c r="D9" s="176">
        <v>2.12</v>
      </c>
      <c r="E9" s="176">
        <f>7.45/2.12</f>
        <v>3.5141509433962264</v>
      </c>
      <c r="F9" s="364">
        <f t="shared" si="1"/>
        <v>7.45</v>
      </c>
    </row>
    <row r="10" spans="1:10">
      <c r="A10" s="97"/>
      <c r="B10" s="363">
        <v>46020</v>
      </c>
      <c r="C10" s="364" t="s">
        <v>1099</v>
      </c>
      <c r="D10" s="176">
        <v>1</v>
      </c>
      <c r="E10" s="364">
        <v>325</v>
      </c>
      <c r="F10" s="364">
        <f t="shared" si="1"/>
        <v>325</v>
      </c>
    </row>
    <row r="11" spans="1:10">
      <c r="A11" s="97"/>
      <c r="B11" s="363">
        <v>45991</v>
      </c>
      <c r="C11" s="364" t="s">
        <v>1505</v>
      </c>
      <c r="D11" s="176">
        <v>1</v>
      </c>
      <c r="E11" s="364">
        <v>35.26</v>
      </c>
      <c r="F11" s="364">
        <f t="shared" si="1"/>
        <v>35.26</v>
      </c>
    </row>
    <row r="12" spans="1:10">
      <c r="A12" s="97"/>
      <c r="B12" s="363">
        <v>45973</v>
      </c>
      <c r="C12" s="364" t="s">
        <v>1504</v>
      </c>
      <c r="D12" s="176">
        <v>2.66</v>
      </c>
      <c r="E12" s="176">
        <f>+F12/D12</f>
        <v>14.390977443609023</v>
      </c>
      <c r="F12" s="364">
        <v>38.28</v>
      </c>
    </row>
    <row r="13" spans="1:10" s="22" customFormat="1">
      <c r="A13" s="97" t="s">
        <v>1098</v>
      </c>
      <c r="B13" s="363">
        <v>45973</v>
      </c>
      <c r="C13" s="364" t="s">
        <v>1099</v>
      </c>
      <c r="D13" s="176">
        <v>1</v>
      </c>
      <c r="E13" s="364">
        <v>325</v>
      </c>
      <c r="F13" s="364">
        <f>+D13*E13</f>
        <v>325</v>
      </c>
      <c r="G13"/>
    </row>
    <row r="14" spans="1:10" s="22" customFormat="1">
      <c r="A14" s="97"/>
      <c r="B14" s="363">
        <v>45957</v>
      </c>
      <c r="C14" s="364" t="s">
        <v>1504</v>
      </c>
      <c r="D14" s="176">
        <v>2.09</v>
      </c>
      <c r="E14" s="176">
        <f>+F14/D14</f>
        <v>2.4976076555023923</v>
      </c>
      <c r="F14" s="364">
        <v>5.22</v>
      </c>
      <c r="G14"/>
    </row>
    <row r="15" spans="1:10">
      <c r="A15" s="97" t="s">
        <v>1098</v>
      </c>
      <c r="B15" s="363">
        <v>45957</v>
      </c>
      <c r="C15" s="364" t="s">
        <v>1421</v>
      </c>
      <c r="D15" s="176">
        <v>1</v>
      </c>
      <c r="E15" s="364">
        <v>325</v>
      </c>
      <c r="F15" s="364">
        <f t="shared" ref="F15:F28" si="2">+D15*E15</f>
        <v>325</v>
      </c>
    </row>
    <row r="16" spans="1:10">
      <c r="A16" s="97" t="s">
        <v>1098</v>
      </c>
      <c r="B16" s="363">
        <v>45944</v>
      </c>
      <c r="C16" s="364" t="s">
        <v>1421</v>
      </c>
      <c r="D16" s="176">
        <v>1</v>
      </c>
      <c r="E16" s="364">
        <v>325</v>
      </c>
      <c r="F16" s="364">
        <f t="shared" si="2"/>
        <v>325</v>
      </c>
    </row>
    <row r="17" spans="1:9">
      <c r="A17" s="97"/>
      <c r="B17" s="363">
        <v>45944</v>
      </c>
      <c r="C17" s="364" t="s">
        <v>1504</v>
      </c>
      <c r="D17" s="176">
        <v>1.54</v>
      </c>
      <c r="E17" s="176"/>
      <c r="F17" s="364">
        <f t="shared" si="2"/>
        <v>0</v>
      </c>
    </row>
    <row r="18" spans="1:9">
      <c r="A18" s="97" t="s">
        <v>1098</v>
      </c>
      <c r="B18" s="363">
        <v>45945</v>
      </c>
      <c r="C18" s="364" t="s">
        <v>1422</v>
      </c>
      <c r="D18" s="176">
        <v>1</v>
      </c>
      <c r="E18" s="364">
        <v>50</v>
      </c>
      <c r="F18" s="364">
        <f t="shared" si="2"/>
        <v>50</v>
      </c>
    </row>
    <row r="19" spans="1:9">
      <c r="A19" s="97" t="s">
        <v>1098</v>
      </c>
      <c r="B19" s="363">
        <v>45925</v>
      </c>
      <c r="C19" s="364" t="s">
        <v>1423</v>
      </c>
      <c r="D19" s="176">
        <v>1</v>
      </c>
      <c r="E19" s="364">
        <v>100</v>
      </c>
      <c r="F19" s="364">
        <f t="shared" si="2"/>
        <v>100</v>
      </c>
    </row>
    <row r="20" spans="1:9">
      <c r="A20" s="97" t="s">
        <v>1098</v>
      </c>
      <c r="B20" s="363">
        <v>45950</v>
      </c>
      <c r="C20" s="364" t="s">
        <v>328</v>
      </c>
      <c r="D20" s="176">
        <v>1</v>
      </c>
      <c r="E20" s="364">
        <v>375</v>
      </c>
      <c r="F20" s="364">
        <f t="shared" si="2"/>
        <v>375</v>
      </c>
    </row>
    <row r="21" spans="1:9">
      <c r="A21" s="97" t="s">
        <v>1098</v>
      </c>
      <c r="B21" s="363">
        <v>46081</v>
      </c>
      <c r="C21" s="364" t="s">
        <v>1522</v>
      </c>
      <c r="D21" s="176">
        <v>1</v>
      </c>
      <c r="E21" s="364">
        <v>168</v>
      </c>
      <c r="F21" s="364">
        <f t="shared" si="2"/>
        <v>168</v>
      </c>
    </row>
    <row r="22" spans="1:9">
      <c r="A22" s="97" t="s">
        <v>1098</v>
      </c>
      <c r="B22" s="363">
        <v>46173</v>
      </c>
      <c r="C22" s="364" t="s">
        <v>328</v>
      </c>
      <c r="D22" s="176">
        <v>1</v>
      </c>
      <c r="E22" s="364">
        <v>186</v>
      </c>
      <c r="F22" s="364">
        <f t="shared" si="2"/>
        <v>186</v>
      </c>
    </row>
    <row r="23" spans="1:9">
      <c r="A23" s="97" t="s">
        <v>1098</v>
      </c>
      <c r="B23" s="363">
        <v>46192</v>
      </c>
      <c r="C23" s="364" t="s">
        <v>328</v>
      </c>
      <c r="D23" s="176">
        <v>1</v>
      </c>
      <c r="E23" s="364">
        <v>409.34</v>
      </c>
      <c r="F23" s="364">
        <f t="shared" si="2"/>
        <v>409.34</v>
      </c>
    </row>
    <row r="24" spans="1:9">
      <c r="A24" s="97" t="s">
        <v>1098</v>
      </c>
      <c r="B24" s="363">
        <v>46112</v>
      </c>
      <c r="C24" s="364"/>
      <c r="D24" s="176">
        <v>1</v>
      </c>
      <c r="E24" s="364">
        <v>186</v>
      </c>
      <c r="F24" s="364">
        <f t="shared" si="2"/>
        <v>186</v>
      </c>
    </row>
    <row r="25" spans="1:9">
      <c r="A25" s="97" t="s">
        <v>1098</v>
      </c>
      <c r="B25" s="363">
        <v>46142</v>
      </c>
      <c r="C25" s="97" t="s">
        <v>328</v>
      </c>
      <c r="D25" s="176">
        <v>1</v>
      </c>
      <c r="E25" s="364">
        <v>225</v>
      </c>
      <c r="F25" s="364">
        <f>+D25*E25</f>
        <v>225</v>
      </c>
    </row>
    <row r="26" spans="1:9">
      <c r="A26" s="97" t="s">
        <v>1102</v>
      </c>
      <c r="B26" s="365"/>
      <c r="C26" s="97" t="s">
        <v>1103</v>
      </c>
      <c r="D26" s="176">
        <v>0</v>
      </c>
      <c r="E26" s="364">
        <v>450</v>
      </c>
      <c r="F26" s="364">
        <f t="shared" si="2"/>
        <v>0</v>
      </c>
    </row>
    <row r="27" spans="1:9">
      <c r="A27" s="97" t="s">
        <v>1102</v>
      </c>
      <c r="B27" s="363"/>
      <c r="C27" s="364" t="s">
        <v>1104</v>
      </c>
      <c r="D27" s="176">
        <v>0</v>
      </c>
      <c r="E27" s="364">
        <v>100</v>
      </c>
      <c r="F27" s="364">
        <f t="shared" si="2"/>
        <v>0</v>
      </c>
      <c r="I27" s="3"/>
    </row>
    <row r="28" spans="1:9">
      <c r="A28" s="97" t="s">
        <v>1102</v>
      </c>
      <c r="B28" s="363"/>
      <c r="C28" s="364" t="s">
        <v>1105</v>
      </c>
      <c r="D28" s="176">
        <v>0</v>
      </c>
      <c r="E28" s="364">
        <v>150</v>
      </c>
      <c r="F28" s="364">
        <f t="shared" si="2"/>
        <v>0</v>
      </c>
      <c r="I28" s="3"/>
    </row>
    <row r="29" spans="1:9">
      <c r="B29" s="12"/>
      <c r="C29" s="14"/>
      <c r="D29"/>
      <c r="E29" s="14"/>
      <c r="F29" s="14"/>
      <c r="G29">
        <f>IF(I3="yes",0,+SUM(F13:F28))</f>
        <v>2679.56</v>
      </c>
      <c r="I29" s="3"/>
    </row>
    <row r="30" spans="1:9">
      <c r="B30" s="12"/>
      <c r="C30" s="14"/>
      <c r="D30"/>
      <c r="E30" s="14"/>
      <c r="F30" s="14"/>
      <c r="I30" s="3"/>
    </row>
    <row r="31" spans="1:9">
      <c r="B31" s="12"/>
      <c r="C31" s="14"/>
      <c r="D31"/>
      <c r="E31" s="14"/>
      <c r="F31" s="14"/>
      <c r="I31" s="3"/>
    </row>
    <row r="32" spans="1:9" ht="15.75" thickBot="1">
      <c r="B32" s="12"/>
      <c r="C32" s="14"/>
      <c r="D32"/>
      <c r="E32" s="14"/>
      <c r="F32" s="23"/>
      <c r="G32" s="23"/>
    </row>
    <row r="33" spans="1:10">
      <c r="B33" s="12"/>
      <c r="C33" s="14"/>
      <c r="D33"/>
      <c r="E33" s="14"/>
      <c r="F33" s="14"/>
      <c r="G33" s="5">
        <f>+SUM(G2:G32)</f>
        <v>2679.56</v>
      </c>
      <c r="I33" s="5"/>
    </row>
    <row r="34" spans="1:10">
      <c r="A34"/>
      <c r="C34" s="11"/>
    </row>
    <row r="35" spans="1:10">
      <c r="A35"/>
      <c r="C35" s="11"/>
    </row>
    <row r="36" spans="1:10">
      <c r="C36" s="26"/>
      <c r="D36" s="26"/>
      <c r="F36" s="26"/>
      <c r="I36" s="2"/>
      <c r="J36" s="12"/>
    </row>
    <row r="37" spans="1:10">
      <c r="C37" s="26"/>
      <c r="D37" s="26"/>
      <c r="F37" s="26"/>
      <c r="I37" s="2"/>
    </row>
    <row r="39" spans="1:10">
      <c r="E39" s="2"/>
      <c r="F39" s="2"/>
    </row>
    <row r="40" spans="1:10">
      <c r="F40" s="4"/>
    </row>
  </sheetData>
  <mergeCells count="3">
    <mergeCell ref="H3:H4"/>
    <mergeCell ref="I3:I4"/>
    <mergeCell ref="J3:J4"/>
  </mergeCell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K4" sqref="K4:K5"/>
    </sheetView>
  </sheetViews>
  <sheetFormatPr defaultRowHeight="15"/>
  <cols>
    <col min="1" max="1" width="22" bestFit="1" customWidth="1"/>
    <col min="2" max="2" width="11" bestFit="1" customWidth="1"/>
    <col min="9" max="9" width="19.28515625" bestFit="1" customWidth="1"/>
  </cols>
  <sheetData>
    <row r="1" spans="1:11">
      <c r="A1" s="3" t="s">
        <v>833</v>
      </c>
      <c r="B1" s="3"/>
      <c r="D1" s="5"/>
      <c r="E1" s="14"/>
      <c r="F1" s="14"/>
      <c r="G1" s="14"/>
    </row>
    <row r="2" spans="1:11">
      <c r="A2" s="2"/>
      <c r="B2" s="2"/>
      <c r="C2" s="3"/>
      <c r="D2" s="8"/>
      <c r="E2" s="13"/>
      <c r="F2" s="13"/>
      <c r="G2" s="13"/>
    </row>
    <row r="3" spans="1:11" ht="15.75" thickBot="1">
      <c r="A3" s="3" t="s">
        <v>512</v>
      </c>
      <c r="B3" s="3" t="s">
        <v>1106</v>
      </c>
      <c r="C3" s="3" t="s">
        <v>993</v>
      </c>
      <c r="D3" s="8" t="s">
        <v>994</v>
      </c>
      <c r="E3" s="13" t="s">
        <v>995</v>
      </c>
      <c r="F3" s="13" t="s">
        <v>507</v>
      </c>
      <c r="G3" s="13" t="s">
        <v>996</v>
      </c>
    </row>
    <row r="4" spans="1:11">
      <c r="A4" s="331" t="s">
        <v>1002</v>
      </c>
      <c r="B4" s="331"/>
      <c r="C4" s="331"/>
      <c r="D4" s="332"/>
      <c r="E4" s="333"/>
      <c r="F4" s="333"/>
      <c r="G4" s="333"/>
      <c r="I4" s="832" t="s">
        <v>9</v>
      </c>
      <c r="J4" s="832" t="str">
        <f>IF(Profit!$Q$6,IF(K4,"Yes","N0"),"no")</f>
        <v>Yes</v>
      </c>
      <c r="K4" s="834" t="b">
        <v>1</v>
      </c>
    </row>
    <row r="5" spans="1:11" ht="15.75" thickBot="1">
      <c r="A5" s="327" t="s">
        <v>1107</v>
      </c>
      <c r="B5" s="327">
        <v>977057</v>
      </c>
      <c r="C5" s="328">
        <v>1</v>
      </c>
      <c r="D5" s="334">
        <v>149</v>
      </c>
      <c r="E5" s="329">
        <f>+C5*D5</f>
        <v>149</v>
      </c>
      <c r="F5" s="335">
        <f>+E5*0.0725</f>
        <v>10.802499999999998</v>
      </c>
      <c r="G5" s="333"/>
      <c r="I5" s="833"/>
      <c r="J5" s="833"/>
      <c r="K5" s="835"/>
    </row>
    <row r="6" spans="1:11">
      <c r="A6" s="327" t="s">
        <v>1108</v>
      </c>
      <c r="B6" s="327">
        <v>3648606</v>
      </c>
      <c r="C6" s="328">
        <v>1</v>
      </c>
      <c r="D6" s="334">
        <v>700</v>
      </c>
      <c r="E6" s="329">
        <f>+C6*D6</f>
        <v>700</v>
      </c>
      <c r="F6" s="335">
        <f t="shared" ref="F6" si="0">+E6*0.0725</f>
        <v>50.75</v>
      </c>
      <c r="G6" s="333"/>
    </row>
    <row r="7" spans="1:11" ht="15.75" thickBot="1">
      <c r="A7" s="327" t="s">
        <v>1109</v>
      </c>
      <c r="B7" s="327">
        <v>1654366</v>
      </c>
      <c r="C7" s="328">
        <v>1</v>
      </c>
      <c r="D7" s="334">
        <v>450</v>
      </c>
      <c r="E7" s="329">
        <f>+C7*D7</f>
        <v>450</v>
      </c>
      <c r="F7" s="335">
        <f t="shared" ref="F7" si="1">+E7*0.0725</f>
        <v>32.625</v>
      </c>
      <c r="G7" s="336"/>
    </row>
    <row r="8" spans="1:11">
      <c r="A8" s="331"/>
      <c r="B8" s="331"/>
      <c r="C8" s="331"/>
      <c r="D8" s="163" t="s">
        <v>1110</v>
      </c>
      <c r="E8" s="329"/>
      <c r="F8" s="329"/>
      <c r="G8" s="329">
        <f>IF(J4="yes",+SUM(E5:E7)+SUM(F5:F7),0)</f>
        <v>1393.1775</v>
      </c>
    </row>
    <row r="9" spans="1:11">
      <c r="A9" s="97" t="s">
        <v>1111</v>
      </c>
      <c r="B9" s="97">
        <v>977057</v>
      </c>
      <c r="C9" s="176">
        <v>0</v>
      </c>
      <c r="D9" s="170">
        <v>149</v>
      </c>
      <c r="E9" s="14">
        <f>+C9*D9</f>
        <v>0</v>
      </c>
      <c r="F9" s="26">
        <f>+E9*0.0725</f>
        <v>0</v>
      </c>
      <c r="G9" s="13"/>
    </row>
    <row r="10" spans="1:11">
      <c r="A10" s="97" t="s">
        <v>1112</v>
      </c>
      <c r="B10" s="97"/>
      <c r="C10" s="176">
        <v>0</v>
      </c>
      <c r="D10" s="170">
        <v>400</v>
      </c>
      <c r="E10" s="14">
        <f>+C10*D10</f>
        <v>0</v>
      </c>
      <c r="F10" s="26">
        <f>+E10*0.0725</f>
        <v>0</v>
      </c>
      <c r="G10" s="14"/>
    </row>
    <row r="11" spans="1:11">
      <c r="A11" s="97" t="s">
        <v>1113</v>
      </c>
      <c r="B11" s="97">
        <v>1008246199</v>
      </c>
      <c r="C11" s="176">
        <v>0</v>
      </c>
      <c r="D11" s="170">
        <v>448</v>
      </c>
      <c r="E11" s="14">
        <f>+C11*D11</f>
        <v>0</v>
      </c>
      <c r="F11" s="26">
        <f>+E11*0.0725</f>
        <v>0</v>
      </c>
      <c r="G11" s="14"/>
    </row>
    <row r="12" spans="1:11" ht="15.75" thickBot="1">
      <c r="A12" s="97" t="s">
        <v>1114</v>
      </c>
      <c r="B12" s="97">
        <v>205954</v>
      </c>
      <c r="C12" s="176">
        <v>0</v>
      </c>
      <c r="D12" s="170">
        <v>0</v>
      </c>
      <c r="E12" s="21"/>
      <c r="F12" s="21"/>
      <c r="G12" s="21"/>
    </row>
    <row r="13" spans="1:11">
      <c r="A13" s="97"/>
      <c r="B13" s="97"/>
      <c r="C13" s="176"/>
      <c r="D13" s="177" t="s">
        <v>1115</v>
      </c>
      <c r="E13" s="14"/>
      <c r="F13" s="14"/>
      <c r="G13" s="14">
        <f>IF(J4="yes",0,+SUM(E9:E12)+SUM(F9:F12))</f>
        <v>0</v>
      </c>
    </row>
    <row r="14" spans="1:11">
      <c r="A14" s="97" t="s">
        <v>1116</v>
      </c>
      <c r="B14" s="97">
        <v>206436</v>
      </c>
      <c r="C14" s="176">
        <v>0</v>
      </c>
      <c r="D14" s="177">
        <v>12.98</v>
      </c>
      <c r="E14" s="14">
        <v>0</v>
      </c>
      <c r="F14" s="26">
        <f>+E14*0.0725</f>
        <v>0</v>
      </c>
      <c r="G14" s="14">
        <v>0</v>
      </c>
    </row>
    <row r="15" spans="1:11">
      <c r="A15" s="97" t="s">
        <v>1117</v>
      </c>
      <c r="B15" s="97">
        <v>1006760329</v>
      </c>
      <c r="C15" s="176">
        <v>0</v>
      </c>
      <c r="D15" s="170">
        <v>698</v>
      </c>
      <c r="E15" s="14" t="s">
        <v>328</v>
      </c>
      <c r="F15" s="14"/>
      <c r="G15" s="14"/>
    </row>
    <row r="16" spans="1:11">
      <c r="A16" s="97" t="s">
        <v>1116</v>
      </c>
      <c r="B16" s="97">
        <v>1630551</v>
      </c>
      <c r="C16" s="176">
        <v>0</v>
      </c>
      <c r="D16" s="170">
        <v>32.979999999999997</v>
      </c>
      <c r="E16" s="14">
        <f>+C16*D16</f>
        <v>0</v>
      </c>
      <c r="F16" s="26">
        <f>+E16*0.0725</f>
        <v>0</v>
      </c>
      <c r="G16" s="14"/>
    </row>
    <row r="17" spans="1:8">
      <c r="A17" s="97" t="s">
        <v>1118</v>
      </c>
      <c r="B17" s="97">
        <v>3648606</v>
      </c>
      <c r="C17" s="176">
        <v>0</v>
      </c>
      <c r="D17" s="170">
        <v>700</v>
      </c>
      <c r="E17" s="14">
        <f>+C17*D17</f>
        <v>0</v>
      </c>
      <c r="F17" s="26">
        <f t="shared" ref="F17:F29" si="2">+E17*0.0725</f>
        <v>0</v>
      </c>
      <c r="G17" s="14"/>
    </row>
    <row r="18" spans="1:8">
      <c r="A18" s="97" t="s">
        <v>1119</v>
      </c>
      <c r="B18" s="97">
        <v>1654366</v>
      </c>
      <c r="C18" s="176">
        <v>0</v>
      </c>
      <c r="D18" s="170">
        <v>374.29</v>
      </c>
      <c r="E18" s="14">
        <f>+C18*D18</f>
        <v>0</v>
      </c>
      <c r="F18" s="26">
        <f t="shared" si="2"/>
        <v>0</v>
      </c>
      <c r="G18" s="14"/>
    </row>
    <row r="19" spans="1:8">
      <c r="A19" s="97" t="s">
        <v>1120</v>
      </c>
      <c r="B19" s="97">
        <v>118694</v>
      </c>
      <c r="C19" s="176">
        <v>0</v>
      </c>
      <c r="D19" s="170">
        <v>39.28</v>
      </c>
      <c r="E19" s="14">
        <f>+C19*D19</f>
        <v>0</v>
      </c>
      <c r="F19" s="26">
        <f t="shared" si="2"/>
        <v>0</v>
      </c>
      <c r="G19" s="14"/>
    </row>
    <row r="20" spans="1:8">
      <c r="A20" s="97" t="s">
        <v>1121</v>
      </c>
      <c r="B20" s="178"/>
      <c r="C20" s="176">
        <v>0</v>
      </c>
      <c r="D20" s="170">
        <v>189</v>
      </c>
      <c r="E20" s="14">
        <f>+C20*D20</f>
        <v>0</v>
      </c>
      <c r="F20" s="26">
        <f t="shared" si="2"/>
        <v>0</v>
      </c>
      <c r="G20" s="14"/>
    </row>
    <row r="21" spans="1:8">
      <c r="A21" s="97" t="s">
        <v>1122</v>
      </c>
      <c r="B21" s="178">
        <v>206332</v>
      </c>
      <c r="C21" s="176">
        <v>0</v>
      </c>
      <c r="D21" s="170">
        <v>32.85</v>
      </c>
      <c r="E21" s="14" t="s">
        <v>328</v>
      </c>
      <c r="F21" s="26"/>
      <c r="G21" s="14"/>
    </row>
    <row r="22" spans="1:8">
      <c r="A22" s="97" t="s">
        <v>1123</v>
      </c>
      <c r="B22" s="178"/>
      <c r="C22" s="176">
        <v>0</v>
      </c>
      <c r="D22" s="170">
        <v>169</v>
      </c>
      <c r="E22" s="14">
        <f t="shared" ref="E22:E29" si="3">+C22*D22</f>
        <v>0</v>
      </c>
      <c r="F22" s="26">
        <f t="shared" si="2"/>
        <v>0</v>
      </c>
      <c r="G22" s="14"/>
    </row>
    <row r="23" spans="1:8">
      <c r="A23" s="178" t="s">
        <v>1124</v>
      </c>
      <c r="B23" s="178">
        <v>1692925</v>
      </c>
      <c r="C23" s="176">
        <v>0</v>
      </c>
      <c r="D23" s="170">
        <v>170.39</v>
      </c>
      <c r="E23" s="14">
        <f t="shared" si="3"/>
        <v>0</v>
      </c>
      <c r="F23" s="26">
        <f t="shared" si="2"/>
        <v>0</v>
      </c>
      <c r="G23" s="14"/>
    </row>
    <row r="24" spans="1:8">
      <c r="A24" s="178" t="s">
        <v>1125</v>
      </c>
      <c r="B24" s="178"/>
      <c r="C24" s="176">
        <v>0</v>
      </c>
      <c r="D24" s="170">
        <v>900</v>
      </c>
      <c r="E24" s="14">
        <f t="shared" si="3"/>
        <v>0</v>
      </c>
      <c r="F24" s="26">
        <f>+E24*0.0725</f>
        <v>0</v>
      </c>
      <c r="G24" s="14"/>
    </row>
    <row r="25" spans="1:8">
      <c r="A25" s="178" t="s">
        <v>1126</v>
      </c>
      <c r="B25" s="178"/>
      <c r="C25" s="176">
        <v>0</v>
      </c>
      <c r="D25" s="170">
        <v>900</v>
      </c>
      <c r="E25" s="14">
        <f t="shared" si="3"/>
        <v>0</v>
      </c>
      <c r="F25" s="26">
        <f>+E25*0.0725</f>
        <v>0</v>
      </c>
      <c r="G25" s="14"/>
    </row>
    <row r="26" spans="1:8">
      <c r="A26" s="178"/>
      <c r="B26" s="178"/>
      <c r="C26" s="176">
        <v>0</v>
      </c>
      <c r="D26" s="170">
        <v>170.39</v>
      </c>
      <c r="E26" s="14">
        <f t="shared" si="3"/>
        <v>0</v>
      </c>
      <c r="F26" s="26">
        <f>+E26*0.0725</f>
        <v>0</v>
      </c>
      <c r="G26" s="14"/>
    </row>
    <row r="27" spans="1:8">
      <c r="A27" s="178"/>
      <c r="B27" s="178"/>
      <c r="C27" s="176">
        <v>0</v>
      </c>
      <c r="D27" s="170">
        <v>170.39</v>
      </c>
      <c r="E27" s="14">
        <f t="shared" si="3"/>
        <v>0</v>
      </c>
      <c r="F27" s="26">
        <f>+E27*0.0725</f>
        <v>0</v>
      </c>
      <c r="G27" s="14"/>
    </row>
    <row r="28" spans="1:8">
      <c r="A28" s="178"/>
      <c r="B28" s="178"/>
      <c r="C28" s="176">
        <v>0</v>
      </c>
      <c r="D28" s="170">
        <v>170.39</v>
      </c>
      <c r="E28" s="14">
        <f t="shared" si="3"/>
        <v>0</v>
      </c>
      <c r="F28" s="26">
        <f>+E28*0.0725</f>
        <v>0</v>
      </c>
      <c r="G28" s="14"/>
    </row>
    <row r="29" spans="1:8" ht="15.75" thickBot="1">
      <c r="A29" s="97" t="s">
        <v>1127</v>
      </c>
      <c r="B29" s="178"/>
      <c r="C29" s="176">
        <v>0</v>
      </c>
      <c r="D29" s="170">
        <v>0</v>
      </c>
      <c r="E29" s="14">
        <f t="shared" si="3"/>
        <v>0</v>
      </c>
      <c r="F29" s="26">
        <f t="shared" si="2"/>
        <v>0</v>
      </c>
      <c r="G29" s="21"/>
    </row>
    <row r="30" spans="1:8">
      <c r="B30" s="2"/>
      <c r="C30" s="746" t="s">
        <v>1128</v>
      </c>
      <c r="D30" s="746"/>
      <c r="E30" s="746"/>
      <c r="F30" s="30"/>
      <c r="G30" s="14">
        <f>IF(J4="yes",0,SUM(E9:E29)+SUM(F9:F29))</f>
        <v>0</v>
      </c>
    </row>
    <row r="31" spans="1:8">
      <c r="H31" s="14">
        <f>SUM(G8:G30)</f>
        <v>1393.1775</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K38"/>
  <sheetViews>
    <sheetView workbookViewId="0">
      <selection activeCell="E9" sqref="E9"/>
    </sheetView>
  </sheetViews>
  <sheetFormatPr defaultColWidth="9.140625" defaultRowHeight="1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c r="A1" s="3" t="s">
        <v>568</v>
      </c>
      <c r="B1" s="3"/>
    </row>
    <row r="2" spans="1:11">
      <c r="C2" s="3"/>
      <c r="D2" s="8"/>
      <c r="E2" s="13"/>
      <c r="F2" s="13"/>
      <c r="G2" s="13"/>
    </row>
    <row r="3" spans="1:11">
      <c r="A3" s="3" t="s">
        <v>512</v>
      </c>
      <c r="B3" s="3" t="s">
        <v>1106</v>
      </c>
      <c r="C3" s="3" t="s">
        <v>993</v>
      </c>
      <c r="D3" s="8" t="s">
        <v>994</v>
      </c>
      <c r="E3" s="13" t="s">
        <v>995</v>
      </c>
      <c r="F3" s="13" t="s">
        <v>507</v>
      </c>
      <c r="G3" s="13" t="s">
        <v>996</v>
      </c>
    </row>
    <row r="4" spans="1:11" ht="15.75" thickBot="1">
      <c r="A4" s="3" t="s">
        <v>1002</v>
      </c>
      <c r="B4" s="3"/>
      <c r="C4" s="3"/>
      <c r="D4" s="8"/>
      <c r="E4" s="13"/>
      <c r="F4" s="13"/>
      <c r="G4" s="13"/>
    </row>
    <row r="5" spans="1:11">
      <c r="A5" s="337" t="s">
        <v>1129</v>
      </c>
      <c r="B5" s="337"/>
      <c r="C5" s="328">
        <v>0</v>
      </c>
      <c r="D5" s="334">
        <v>179</v>
      </c>
      <c r="E5" s="329">
        <f>+C5*D5</f>
        <v>0</v>
      </c>
      <c r="F5" s="335">
        <f t="shared" ref="F5:F10" si="0">+E5*0.0725</f>
        <v>0</v>
      </c>
      <c r="G5" s="333"/>
      <c r="I5" s="832" t="s">
        <v>9</v>
      </c>
      <c r="J5" s="832" t="str">
        <f>IF(Profit!Q6,IF(K5,"Yes","No"),"No")</f>
        <v>Yes</v>
      </c>
      <c r="K5" s="834" t="b">
        <v>1</v>
      </c>
    </row>
    <row r="6" spans="1:11" ht="15.75" thickBot="1">
      <c r="A6" s="337" t="s">
        <v>1130</v>
      </c>
      <c r="B6" s="337"/>
      <c r="C6" s="328">
        <v>3</v>
      </c>
      <c r="D6" s="334">
        <v>53.98</v>
      </c>
      <c r="E6" s="329">
        <f>+C6*D6</f>
        <v>161.94</v>
      </c>
      <c r="F6" s="335">
        <f t="shared" si="0"/>
        <v>11.740649999999999</v>
      </c>
      <c r="G6" s="333"/>
      <c r="I6" s="833"/>
      <c r="J6" s="833"/>
      <c r="K6" s="835"/>
    </row>
    <row r="7" spans="1:11">
      <c r="A7" s="337" t="s">
        <v>997</v>
      </c>
      <c r="B7" s="337"/>
      <c r="C7" s="328">
        <v>3</v>
      </c>
      <c r="D7" s="334">
        <v>95</v>
      </c>
      <c r="E7" s="329">
        <f>+C7*D7</f>
        <v>285</v>
      </c>
      <c r="F7" s="335">
        <f t="shared" si="0"/>
        <v>20.662499999999998</v>
      </c>
      <c r="G7" s="333"/>
    </row>
    <row r="8" spans="1:11">
      <c r="A8" s="337" t="s">
        <v>1131</v>
      </c>
      <c r="B8" s="337"/>
      <c r="C8" s="328">
        <v>1</v>
      </c>
      <c r="D8" s="334">
        <v>250</v>
      </c>
      <c r="E8" s="329">
        <f>+C8*D8</f>
        <v>250</v>
      </c>
      <c r="F8" s="335">
        <f t="shared" ref="F8" si="1">+E8*0.0725</f>
        <v>18.125</v>
      </c>
      <c r="G8" s="333"/>
    </row>
    <row r="9" spans="1:11">
      <c r="A9" s="337" t="s">
        <v>1132</v>
      </c>
      <c r="B9" s="337"/>
      <c r="C9" s="328">
        <v>4</v>
      </c>
      <c r="D9" s="334">
        <v>39.979999999999997</v>
      </c>
      <c r="E9" s="329">
        <v>0</v>
      </c>
      <c r="F9" s="335">
        <f t="shared" si="0"/>
        <v>0</v>
      </c>
      <c r="G9" s="333"/>
    </row>
    <row r="10" spans="1:11" ht="15.75" thickBot="1">
      <c r="A10" s="337" t="s">
        <v>1133</v>
      </c>
      <c r="B10" s="337">
        <v>732291231619</v>
      </c>
      <c r="C10" s="328">
        <v>3</v>
      </c>
      <c r="D10" s="334">
        <v>99</v>
      </c>
      <c r="E10" s="336">
        <f>+C10*D10</f>
        <v>297</v>
      </c>
      <c r="F10" s="336">
        <f t="shared" si="0"/>
        <v>21.532499999999999</v>
      </c>
      <c r="G10" s="336"/>
    </row>
    <row r="11" spans="1:11">
      <c r="A11" s="337"/>
      <c r="B11" s="337"/>
      <c r="C11" s="328"/>
      <c r="D11" s="334"/>
      <c r="E11" s="329"/>
      <c r="F11" s="329"/>
      <c r="G11" s="329">
        <f>IF(J5="Yes",+SUM(E5:E10)+SUM(F5:F10),0)</f>
        <v>1066.00065</v>
      </c>
    </row>
    <row r="12" spans="1:11">
      <c r="A12" s="178"/>
      <c r="B12" s="178"/>
      <c r="C12" s="176"/>
      <c r="D12" s="170"/>
      <c r="F12" s="26"/>
      <c r="G12" s="13"/>
    </row>
    <row r="13" spans="1:11">
      <c r="A13" s="178"/>
      <c r="B13" s="178"/>
      <c r="C13" s="176"/>
      <c r="D13" s="170"/>
      <c r="F13" s="26"/>
      <c r="G13" s="13"/>
    </row>
    <row r="14" spans="1:11">
      <c r="A14" s="178"/>
      <c r="B14" s="178"/>
      <c r="C14" s="176">
        <v>0</v>
      </c>
      <c r="D14" s="170">
        <v>107.1</v>
      </c>
      <c r="E14" s="14">
        <f>+C14*D14</f>
        <v>0</v>
      </c>
      <c r="F14" s="26">
        <f t="shared" ref="F14:F31" si="2">+E14*0.0725</f>
        <v>0</v>
      </c>
      <c r="G14" s="13"/>
    </row>
    <row r="15" spans="1:11">
      <c r="A15" s="178" t="s">
        <v>1129</v>
      </c>
      <c r="B15" s="178" t="s">
        <v>1134</v>
      </c>
      <c r="C15" s="176">
        <v>0</v>
      </c>
      <c r="D15" s="170">
        <v>179</v>
      </c>
      <c r="E15" s="14">
        <f>+C15*D15</f>
        <v>0</v>
      </c>
      <c r="F15" s="26">
        <f t="shared" si="2"/>
        <v>0</v>
      </c>
    </row>
    <row r="16" spans="1:11">
      <c r="A16" s="178" t="s">
        <v>1135</v>
      </c>
      <c r="B16" s="178">
        <v>2131173</v>
      </c>
      <c r="C16" s="176">
        <v>0</v>
      </c>
      <c r="D16" s="170">
        <v>53.98</v>
      </c>
      <c r="E16" s="14">
        <f>+C16*D16</f>
        <v>0</v>
      </c>
      <c r="F16" s="26">
        <f t="shared" si="2"/>
        <v>0</v>
      </c>
    </row>
    <row r="17" spans="1:10">
      <c r="A17" s="178" t="s">
        <v>1136</v>
      </c>
      <c r="B17" s="178">
        <v>1227792</v>
      </c>
      <c r="C17" s="176">
        <v>0</v>
      </c>
      <c r="D17" s="170">
        <v>15.47</v>
      </c>
      <c r="E17" s="14">
        <f>+C17*D17</f>
        <v>0</v>
      </c>
      <c r="F17" s="26">
        <f t="shared" si="2"/>
        <v>0</v>
      </c>
    </row>
    <row r="18" spans="1:10">
      <c r="A18" s="178" t="s">
        <v>1137</v>
      </c>
      <c r="B18" s="178">
        <v>1233228</v>
      </c>
      <c r="C18" s="176">
        <v>0</v>
      </c>
      <c r="D18" s="170">
        <v>39.979999999999997</v>
      </c>
      <c r="E18" s="14">
        <v>0</v>
      </c>
      <c r="F18" s="26">
        <f t="shared" si="2"/>
        <v>0</v>
      </c>
    </row>
    <row r="19" spans="1:10">
      <c r="A19" s="178" t="s">
        <v>1138</v>
      </c>
      <c r="B19" s="178" t="s">
        <v>328</v>
      </c>
      <c r="C19" s="176">
        <v>0</v>
      </c>
      <c r="D19" s="170">
        <v>6.99</v>
      </c>
      <c r="E19" s="14">
        <f t="shared" ref="E19:E30" si="3">+C19*D19</f>
        <v>0</v>
      </c>
      <c r="F19" s="26">
        <f t="shared" si="2"/>
        <v>0</v>
      </c>
    </row>
    <row r="20" spans="1:10">
      <c r="A20" s="178" t="s">
        <v>1139</v>
      </c>
      <c r="B20" s="178"/>
      <c r="C20" s="176">
        <v>0</v>
      </c>
      <c r="D20" s="170">
        <v>24.4</v>
      </c>
      <c r="E20" s="14">
        <f t="shared" si="3"/>
        <v>0</v>
      </c>
      <c r="F20" s="26">
        <f t="shared" si="2"/>
        <v>0</v>
      </c>
    </row>
    <row r="21" spans="1:10">
      <c r="A21" s="178" t="s">
        <v>1133</v>
      </c>
      <c r="B21" s="178" t="s">
        <v>1140</v>
      </c>
      <c r="C21" s="176">
        <v>0</v>
      </c>
      <c r="D21" s="170">
        <v>89.1</v>
      </c>
      <c r="E21" s="14">
        <f t="shared" si="3"/>
        <v>0</v>
      </c>
      <c r="F21" s="26">
        <f t="shared" si="2"/>
        <v>0</v>
      </c>
    </row>
    <row r="22" spans="1:10">
      <c r="A22" s="178" t="s">
        <v>1141</v>
      </c>
      <c r="B22" s="186">
        <v>26508261804</v>
      </c>
      <c r="C22" s="176">
        <v>0</v>
      </c>
      <c r="D22" s="170">
        <v>114</v>
      </c>
      <c r="E22" s="14">
        <f t="shared" si="3"/>
        <v>0</v>
      </c>
      <c r="F22" s="26">
        <f t="shared" si="2"/>
        <v>0</v>
      </c>
    </row>
    <row r="23" spans="1:10">
      <c r="A23" s="178" t="s">
        <v>997</v>
      </c>
      <c r="B23" s="178">
        <v>6925699939094</v>
      </c>
      <c r="C23" s="176">
        <v>0</v>
      </c>
      <c r="D23" s="170">
        <v>34.979999999999997</v>
      </c>
      <c r="E23" s="14">
        <f t="shared" si="3"/>
        <v>0</v>
      </c>
      <c r="F23" s="26">
        <f t="shared" si="2"/>
        <v>0</v>
      </c>
    </row>
    <row r="24" spans="1:10">
      <c r="A24" s="178" t="s">
        <v>1142</v>
      </c>
      <c r="B24" s="178"/>
      <c r="C24" s="176">
        <v>0</v>
      </c>
      <c r="D24" s="170"/>
      <c r="E24" s="14">
        <f t="shared" si="3"/>
        <v>0</v>
      </c>
      <c r="F24" s="26">
        <f t="shared" si="2"/>
        <v>0</v>
      </c>
    </row>
    <row r="25" spans="1:10">
      <c r="A25" s="178" t="s">
        <v>1129</v>
      </c>
      <c r="B25" s="178">
        <v>38877656754</v>
      </c>
      <c r="C25" s="176">
        <v>0</v>
      </c>
      <c r="D25" s="170">
        <v>169</v>
      </c>
      <c r="E25" s="14">
        <f t="shared" si="3"/>
        <v>0</v>
      </c>
      <c r="F25" s="26">
        <f t="shared" si="2"/>
        <v>0</v>
      </c>
    </row>
    <row r="26" spans="1:10">
      <c r="A26" s="178" t="s">
        <v>1133</v>
      </c>
      <c r="B26" s="178">
        <v>732291231619</v>
      </c>
      <c r="C26" s="176">
        <v>0</v>
      </c>
      <c r="D26" s="170">
        <v>99</v>
      </c>
      <c r="E26" s="14">
        <f t="shared" si="3"/>
        <v>0</v>
      </c>
      <c r="F26" s="26">
        <f t="shared" si="2"/>
        <v>0</v>
      </c>
    </row>
    <row r="27" spans="1:10">
      <c r="A27" s="178" t="s">
        <v>1143</v>
      </c>
      <c r="B27" s="178"/>
      <c r="C27" s="176">
        <v>0</v>
      </c>
      <c r="D27" s="170">
        <v>-29.7</v>
      </c>
      <c r="E27" s="14">
        <f t="shared" si="3"/>
        <v>0</v>
      </c>
      <c r="F27" s="26">
        <f t="shared" si="2"/>
        <v>0</v>
      </c>
    </row>
    <row r="28" spans="1:10">
      <c r="A28" s="178"/>
      <c r="B28" s="178"/>
      <c r="C28" s="176"/>
      <c r="D28" s="170"/>
      <c r="E28" s="14">
        <f t="shared" si="3"/>
        <v>0</v>
      </c>
      <c r="F28" s="26">
        <f t="shared" si="2"/>
        <v>0</v>
      </c>
    </row>
    <row r="29" spans="1:10">
      <c r="A29" s="178"/>
      <c r="B29" s="178"/>
      <c r="C29" s="176"/>
      <c r="D29" s="170"/>
      <c r="E29" s="14">
        <f t="shared" si="3"/>
        <v>0</v>
      </c>
      <c r="F29" s="26">
        <f t="shared" si="2"/>
        <v>0</v>
      </c>
    </row>
    <row r="30" spans="1:10">
      <c r="A30" s="178"/>
      <c r="B30" s="178"/>
      <c r="C30" s="176"/>
      <c r="D30" s="170"/>
      <c r="E30" s="14">
        <f t="shared" si="3"/>
        <v>0</v>
      </c>
      <c r="F30" s="26">
        <f t="shared" si="2"/>
        <v>0</v>
      </c>
    </row>
    <row r="31" spans="1:10" ht="15.75" thickBot="1">
      <c r="A31" s="178"/>
      <c r="B31" s="178"/>
      <c r="C31" s="176"/>
      <c r="D31" s="170"/>
      <c r="E31" s="21">
        <f>+C31*D31</f>
        <v>0</v>
      </c>
      <c r="F31" s="21">
        <f t="shared" si="2"/>
        <v>0</v>
      </c>
      <c r="G31" s="21"/>
    </row>
    <row r="32" spans="1:10">
      <c r="G32" s="14">
        <f>IF(J5="No",+SUM(E14:E31)+SUM(F14:F31),0)</f>
        <v>0</v>
      </c>
      <c r="H32" s="14">
        <f>SUM(G11:G32)</f>
        <v>1066.00065</v>
      </c>
      <c r="J32" s="1"/>
    </row>
    <row r="35" spans="7:7">
      <c r="G35"/>
    </row>
    <row r="36" spans="7:7">
      <c r="G36"/>
    </row>
    <row r="37" spans="7:7">
      <c r="G37"/>
    </row>
    <row r="38" spans="7:7">
      <c r="G38"/>
    </row>
  </sheetData>
  <mergeCells count="3">
    <mergeCell ref="I5:I6"/>
    <mergeCell ref="J5:J6"/>
    <mergeCell ref="K5:K6"/>
  </mergeCells>
  <printOptions headings="1" gridLines="1"/>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O63"/>
  <sheetViews>
    <sheetView workbookViewId="0">
      <pane ySplit="3" topLeftCell="A10" activePane="bottomLeft" state="frozen"/>
      <selection pane="bottomLeft" activeCell="E6" sqref="E6"/>
    </sheetView>
  </sheetViews>
  <sheetFormatPr defaultColWidth="9.140625" defaultRowHeight="15"/>
  <cols>
    <col min="1" max="1" width="122.855468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5" ht="15.75" thickBot="1">
      <c r="A1" s="32" t="s">
        <v>762</v>
      </c>
      <c r="B1" s="32"/>
      <c r="C1" s="32"/>
    </row>
    <row r="2" spans="1:15">
      <c r="D2" s="3"/>
      <c r="E2" s="8"/>
      <c r="F2" s="13"/>
      <c r="G2" s="13"/>
      <c r="H2" s="13"/>
      <c r="K2" s="832" t="s">
        <v>9</v>
      </c>
      <c r="L2" s="832" t="str">
        <f>IF(Profit!Q6,IF(M2,"Yes","No"),"No")</f>
        <v>No</v>
      </c>
      <c r="M2" s="834" t="b">
        <v>0</v>
      </c>
    </row>
    <row r="3" spans="1:15" s="22" customFormat="1" ht="14.25" customHeight="1" thickBot="1">
      <c r="A3" s="3" t="s">
        <v>512</v>
      </c>
      <c r="B3" s="3" t="s">
        <v>108</v>
      </c>
      <c r="C3" s="3" t="s">
        <v>1106</v>
      </c>
      <c r="D3" s="3" t="s">
        <v>513</v>
      </c>
      <c r="E3" s="8" t="s">
        <v>994</v>
      </c>
      <c r="F3" s="13" t="s">
        <v>995</v>
      </c>
      <c r="G3" s="13"/>
      <c r="H3" s="13" t="s">
        <v>996</v>
      </c>
      <c r="K3" s="833"/>
      <c r="L3" s="833"/>
      <c r="M3" s="835"/>
    </row>
    <row r="4" spans="1:15" s="22" customFormat="1" ht="14.25" customHeight="1">
      <c r="A4" s="3"/>
      <c r="B4" s="3"/>
      <c r="C4" s="3"/>
      <c r="D4" s="3"/>
      <c r="E4" s="8"/>
      <c r="F4" s="13"/>
      <c r="G4" s="13"/>
      <c r="H4" s="13"/>
      <c r="K4"/>
      <c r="L4"/>
      <c r="M4"/>
    </row>
    <row r="5" spans="1:15" s="22" customFormat="1" ht="14.25" customHeight="1">
      <c r="A5" s="32" t="s">
        <v>1442</v>
      </c>
      <c r="B5" s="366"/>
      <c r="C5" s="3"/>
      <c r="D5" s="3">
        <v>1</v>
      </c>
      <c r="E5" s="8">
        <v>600</v>
      </c>
      <c r="F5" s="14">
        <f t="shared" ref="F5" si="0">+D5*E5</f>
        <v>600</v>
      </c>
      <c r="G5" s="14">
        <f>+F5*0.0725</f>
        <v>43.5</v>
      </c>
      <c r="H5" s="13"/>
      <c r="K5"/>
      <c r="L5"/>
      <c r="M5"/>
    </row>
    <row r="6" spans="1:15" s="22" customFormat="1" ht="14.25" customHeight="1">
      <c r="A6" s="3" t="s">
        <v>1144</v>
      </c>
      <c r="B6" s="3"/>
      <c r="C6" s="3"/>
      <c r="D6" s="3">
        <v>0</v>
      </c>
      <c r="E6" s="8">
        <v>350</v>
      </c>
      <c r="F6" s="14">
        <f t="shared" ref="F6:F18" si="1">+D6*E6</f>
        <v>0</v>
      </c>
      <c r="G6" s="14">
        <f>+F6*0.0725</f>
        <v>0</v>
      </c>
      <c r="H6" s="13"/>
      <c r="J6" s="22" t="s">
        <v>1145</v>
      </c>
      <c r="K6" t="s">
        <v>1146</v>
      </c>
      <c r="L6" t="s">
        <v>1147</v>
      </c>
      <c r="M6" t="s">
        <v>1148</v>
      </c>
      <c r="N6" s="22" t="s">
        <v>1149</v>
      </c>
      <c r="O6" s="22" t="s">
        <v>1150</v>
      </c>
    </row>
    <row r="7" spans="1:15" ht="14.25" customHeight="1">
      <c r="A7" s="32" t="s">
        <v>1151</v>
      </c>
      <c r="B7" s="32"/>
      <c r="C7" s="32">
        <v>935605</v>
      </c>
      <c r="D7" s="178">
        <f>SUM(J7:O7)</f>
        <v>5</v>
      </c>
      <c r="E7" s="170">
        <v>209</v>
      </c>
      <c r="F7" s="14">
        <f t="shared" si="1"/>
        <v>1045</v>
      </c>
      <c r="G7" s="14">
        <f t="shared" ref="G7:G43" si="2">+F7*0.0725</f>
        <v>75.762499999999989</v>
      </c>
      <c r="H7" s="13"/>
      <c r="N7">
        <v>3</v>
      </c>
      <c r="O7">
        <v>2</v>
      </c>
    </row>
    <row r="8" spans="1:15" ht="14.25" customHeight="1">
      <c r="A8" s="32" t="s">
        <v>1152</v>
      </c>
      <c r="B8" s="32"/>
      <c r="C8" s="32">
        <v>935604</v>
      </c>
      <c r="D8" s="178">
        <f t="shared" ref="D8:D20" si="3">SUM(J8:O8)</f>
        <v>0</v>
      </c>
      <c r="E8" s="170">
        <v>209</v>
      </c>
      <c r="F8" s="14">
        <f t="shared" si="1"/>
        <v>0</v>
      </c>
      <c r="G8" s="14">
        <f t="shared" si="2"/>
        <v>0</v>
      </c>
      <c r="H8" s="13"/>
    </row>
    <row r="9" spans="1:15" ht="14.25" customHeight="1">
      <c r="A9" s="32" t="s">
        <v>1153</v>
      </c>
      <c r="B9" s="32"/>
      <c r="C9" s="32">
        <v>935599</v>
      </c>
      <c r="D9" s="178">
        <f t="shared" si="3"/>
        <v>0</v>
      </c>
      <c r="E9" s="170">
        <v>198.56</v>
      </c>
      <c r="F9" s="14">
        <f>+D9*E9</f>
        <v>0</v>
      </c>
      <c r="G9" s="14">
        <f t="shared" si="2"/>
        <v>0</v>
      </c>
      <c r="H9" s="13"/>
    </row>
    <row r="10" spans="1:15" ht="14.25" customHeight="1">
      <c r="A10" s="32" t="s">
        <v>1154</v>
      </c>
      <c r="B10" s="32"/>
      <c r="C10" s="32">
        <v>14005</v>
      </c>
      <c r="D10" s="178">
        <f t="shared" si="3"/>
        <v>0</v>
      </c>
      <c r="E10" s="170">
        <v>179</v>
      </c>
      <c r="F10" s="14">
        <f t="shared" si="1"/>
        <v>0</v>
      </c>
      <c r="G10" s="14">
        <f t="shared" si="2"/>
        <v>0</v>
      </c>
    </row>
    <row r="11" spans="1:15" ht="14.25" customHeight="1">
      <c r="A11" s="32" t="s">
        <v>1155</v>
      </c>
      <c r="B11" s="32"/>
      <c r="C11" s="32">
        <v>14006</v>
      </c>
      <c r="D11" s="178">
        <f t="shared" si="3"/>
        <v>0</v>
      </c>
      <c r="E11" s="170">
        <v>179</v>
      </c>
      <c r="F11" s="14">
        <f t="shared" si="1"/>
        <v>0</v>
      </c>
      <c r="G11" s="14">
        <f t="shared" si="2"/>
        <v>0</v>
      </c>
    </row>
    <row r="12" spans="1:15" ht="14.25" customHeight="1">
      <c r="A12" s="32" t="s">
        <v>1156</v>
      </c>
      <c r="B12" s="32"/>
      <c r="C12" s="32">
        <v>935587</v>
      </c>
      <c r="D12" s="178">
        <f t="shared" si="3"/>
        <v>0</v>
      </c>
      <c r="E12" s="170">
        <v>198.55</v>
      </c>
      <c r="F12" s="14">
        <f>+D12*E12</f>
        <v>0</v>
      </c>
      <c r="G12" s="14">
        <f t="shared" si="2"/>
        <v>0</v>
      </c>
    </row>
    <row r="13" spans="1:15" ht="14.25" customHeight="1">
      <c r="A13" s="32" t="s">
        <v>1157</v>
      </c>
      <c r="B13" s="32"/>
      <c r="C13" s="32">
        <v>49504</v>
      </c>
      <c r="D13" s="178">
        <f t="shared" si="3"/>
        <v>0</v>
      </c>
      <c r="E13" s="170">
        <v>103</v>
      </c>
      <c r="F13" s="14">
        <f t="shared" si="1"/>
        <v>0</v>
      </c>
      <c r="G13" s="14">
        <f t="shared" si="2"/>
        <v>0</v>
      </c>
    </row>
    <row r="14" spans="1:15" ht="14.25" customHeight="1">
      <c r="A14" s="32" t="s">
        <v>1158</v>
      </c>
      <c r="B14" s="32"/>
      <c r="C14" s="32">
        <v>49706</v>
      </c>
      <c r="D14" s="178">
        <f t="shared" si="3"/>
        <v>3</v>
      </c>
      <c r="E14" s="170">
        <v>103</v>
      </c>
      <c r="F14" s="14">
        <f t="shared" si="1"/>
        <v>309</v>
      </c>
      <c r="G14" s="14">
        <f t="shared" si="2"/>
        <v>22.4025</v>
      </c>
      <c r="K14">
        <v>1</v>
      </c>
      <c r="L14">
        <v>2</v>
      </c>
    </row>
    <row r="15" spans="1:15" ht="14.25" customHeight="1">
      <c r="A15" s="32" t="s">
        <v>1159</v>
      </c>
      <c r="B15" s="32"/>
      <c r="C15" s="32">
        <v>47025</v>
      </c>
      <c r="D15" s="178">
        <f t="shared" si="3"/>
        <v>1</v>
      </c>
      <c r="E15" s="170">
        <v>99</v>
      </c>
      <c r="F15" s="14">
        <f t="shared" si="1"/>
        <v>99</v>
      </c>
      <c r="G15" s="14">
        <f t="shared" si="2"/>
        <v>7.1774999999999993</v>
      </c>
      <c r="L15">
        <v>1</v>
      </c>
    </row>
    <row r="16" spans="1:15" ht="14.25" customHeight="1">
      <c r="A16" s="32" t="s">
        <v>1160</v>
      </c>
      <c r="B16" s="32"/>
      <c r="C16" s="32">
        <v>47422</v>
      </c>
      <c r="D16" s="178">
        <f t="shared" si="3"/>
        <v>0</v>
      </c>
      <c r="E16" s="170">
        <v>99</v>
      </c>
      <c r="F16" s="14">
        <f t="shared" si="1"/>
        <v>0</v>
      </c>
      <c r="G16" s="14">
        <f t="shared" si="2"/>
        <v>0</v>
      </c>
    </row>
    <row r="17" spans="1:13" ht="14.25" customHeight="1">
      <c r="A17" s="32" t="s">
        <v>1161</v>
      </c>
      <c r="B17" s="32"/>
      <c r="C17" s="32">
        <v>43359</v>
      </c>
      <c r="D17" s="178">
        <f t="shared" si="3"/>
        <v>0</v>
      </c>
      <c r="E17" s="170">
        <v>95</v>
      </c>
      <c r="F17" s="14">
        <f t="shared" si="1"/>
        <v>0</v>
      </c>
      <c r="G17" s="14">
        <f t="shared" si="2"/>
        <v>0</v>
      </c>
    </row>
    <row r="18" spans="1:13" ht="14.25" customHeight="1">
      <c r="A18" s="32" t="s">
        <v>1438</v>
      </c>
      <c r="B18" s="564">
        <v>45974</v>
      </c>
      <c r="C18" s="32"/>
      <c r="D18" s="178">
        <v>1</v>
      </c>
      <c r="E18" s="170">
        <v>454.87</v>
      </c>
      <c r="F18" s="14">
        <f t="shared" si="1"/>
        <v>454.87</v>
      </c>
      <c r="J18">
        <v>2</v>
      </c>
      <c r="K18">
        <v>2</v>
      </c>
      <c r="L18">
        <v>4</v>
      </c>
      <c r="M18">
        <v>1</v>
      </c>
    </row>
    <row r="19" spans="1:13" ht="14.25" customHeight="1">
      <c r="A19" s="32" t="s">
        <v>1438</v>
      </c>
      <c r="B19" s="564" t="s">
        <v>1439</v>
      </c>
      <c r="C19" s="32"/>
      <c r="D19" s="178">
        <v>1</v>
      </c>
      <c r="E19" s="170">
        <v>454.87</v>
      </c>
      <c r="F19" s="14">
        <f t="shared" ref="F19" si="4">+D19*E19</f>
        <v>454.87</v>
      </c>
      <c r="G19" s="14">
        <f t="shared" ref="G19" si="5">+F19*0.0725</f>
        <v>32.978074999999997</v>
      </c>
      <c r="J19">
        <v>2</v>
      </c>
      <c r="M19">
        <v>1</v>
      </c>
    </row>
    <row r="20" spans="1:13" ht="14.25" customHeight="1">
      <c r="A20" s="32" t="s">
        <v>1162</v>
      </c>
      <c r="B20" s="32"/>
      <c r="C20" s="32"/>
      <c r="D20" s="178">
        <f t="shared" si="3"/>
        <v>2</v>
      </c>
      <c r="E20" s="170">
        <v>95</v>
      </c>
      <c r="F20" s="14">
        <f t="shared" ref="F20" si="6">+D20*E20</f>
        <v>190</v>
      </c>
      <c r="G20" s="14">
        <f t="shared" ref="G20" si="7">+F20*0.0725</f>
        <v>13.774999999999999</v>
      </c>
      <c r="K20">
        <v>1</v>
      </c>
      <c r="M20">
        <v>1</v>
      </c>
    </row>
    <row r="21" spans="1:13" ht="14.25" customHeight="1">
      <c r="A21" s="217" t="s">
        <v>1163</v>
      </c>
      <c r="B21" s="217"/>
      <c r="C21" s="217">
        <v>25598</v>
      </c>
      <c r="D21" s="176">
        <v>0</v>
      </c>
      <c r="E21" s="170">
        <v>101</v>
      </c>
      <c r="F21" s="14">
        <f t="shared" ref="F21:F43" si="8">+D21*E21</f>
        <v>0</v>
      </c>
      <c r="G21" s="14">
        <f t="shared" si="2"/>
        <v>0</v>
      </c>
    </row>
    <row r="22" spans="1:13" ht="14.25" customHeight="1">
      <c r="A22" s="217" t="s">
        <v>1164</v>
      </c>
      <c r="B22" s="217"/>
      <c r="C22" s="217">
        <v>30151125574</v>
      </c>
      <c r="D22" s="176">
        <v>0</v>
      </c>
      <c r="E22" s="170">
        <v>91.46</v>
      </c>
      <c r="F22" s="14">
        <f t="shared" si="8"/>
        <v>0</v>
      </c>
      <c r="G22" s="14">
        <f t="shared" si="2"/>
        <v>0</v>
      </c>
    </row>
    <row r="23" spans="1:13" ht="14.25" customHeight="1">
      <c r="A23" s="217"/>
      <c r="B23" s="217"/>
      <c r="C23" s="217"/>
      <c r="D23" s="176"/>
      <c r="E23" s="170"/>
    </row>
    <row r="24" spans="1:13" ht="14.25" customHeight="1">
      <c r="A24" s="180" t="s">
        <v>1165</v>
      </c>
      <c r="B24" s="217"/>
      <c r="C24" s="217"/>
      <c r="D24" s="176"/>
      <c r="E24" s="170"/>
    </row>
    <row r="25" spans="1:13" ht="14.25" customHeight="1">
      <c r="A25" s="217" t="s">
        <v>1166</v>
      </c>
      <c r="B25" s="217"/>
      <c r="C25" s="217"/>
      <c r="D25" s="176">
        <f>SUM(D7:D23)</f>
        <v>13</v>
      </c>
      <c r="E25" s="170">
        <v>6.78</v>
      </c>
      <c r="F25" s="14">
        <f>+D25*E25*2.5</f>
        <v>220.35</v>
      </c>
      <c r="G25" s="14">
        <f t="shared" si="2"/>
        <v>15.975374999999998</v>
      </c>
    </row>
    <row r="26" spans="1:13" ht="14.25" customHeight="1">
      <c r="A26" s="217"/>
      <c r="B26" s="217"/>
      <c r="C26" s="217"/>
      <c r="D26" s="176"/>
      <c r="E26" s="170"/>
    </row>
    <row r="27" spans="1:13" ht="14.25" customHeight="1">
      <c r="A27" s="32" t="s">
        <v>1167</v>
      </c>
      <c r="B27" s="32"/>
      <c r="C27" s="32"/>
      <c r="D27" s="176">
        <v>0</v>
      </c>
      <c r="E27" s="170">
        <v>284.56</v>
      </c>
      <c r="F27" s="14">
        <f t="shared" si="8"/>
        <v>0</v>
      </c>
      <c r="G27" s="14">
        <f t="shared" si="2"/>
        <v>0</v>
      </c>
    </row>
    <row r="28" spans="1:13" ht="14.25" customHeight="1">
      <c r="A28" s="32" t="s">
        <v>1168</v>
      </c>
      <c r="B28" s="32"/>
      <c r="C28" s="32">
        <v>72904</v>
      </c>
      <c r="D28" s="176">
        <v>0</v>
      </c>
      <c r="E28" s="170">
        <v>429.62</v>
      </c>
      <c r="F28" s="14">
        <f>+D28*E28</f>
        <v>0</v>
      </c>
      <c r="G28" s="14">
        <f t="shared" si="2"/>
        <v>0</v>
      </c>
    </row>
    <row r="29" spans="1:13" ht="14.25" customHeight="1">
      <c r="A29" s="32" t="s">
        <v>1169</v>
      </c>
      <c r="B29" s="32"/>
      <c r="C29" s="32" t="s">
        <v>1170</v>
      </c>
      <c r="D29" s="176">
        <v>0</v>
      </c>
      <c r="E29" s="170">
        <v>8.77</v>
      </c>
      <c r="F29" s="14">
        <f t="shared" si="8"/>
        <v>0</v>
      </c>
      <c r="G29" s="14">
        <f t="shared" si="2"/>
        <v>0</v>
      </c>
    </row>
    <row r="30" spans="1:13" ht="14.25" customHeight="1">
      <c r="A30" s="217" t="s">
        <v>1171</v>
      </c>
      <c r="B30" s="217"/>
      <c r="C30" s="217" t="s">
        <v>1172</v>
      </c>
      <c r="D30" s="176">
        <v>2</v>
      </c>
      <c r="E30" s="170">
        <v>18.88</v>
      </c>
      <c r="F30" s="14">
        <f t="shared" si="8"/>
        <v>37.76</v>
      </c>
      <c r="G30" s="14">
        <f t="shared" si="2"/>
        <v>2.7375999999999996</v>
      </c>
    </row>
    <row r="31" spans="1:13" ht="14.25" customHeight="1">
      <c r="A31" s="217" t="s">
        <v>1173</v>
      </c>
      <c r="B31" s="217"/>
      <c r="C31" s="217" t="s">
        <v>1174</v>
      </c>
      <c r="D31" s="176">
        <v>2</v>
      </c>
      <c r="E31" s="170">
        <v>47.14</v>
      </c>
      <c r="F31" s="14">
        <f t="shared" si="8"/>
        <v>94.28</v>
      </c>
      <c r="G31" s="14">
        <f t="shared" si="2"/>
        <v>6.8352999999999993</v>
      </c>
    </row>
    <row r="32" spans="1:13" ht="14.25" customHeight="1">
      <c r="A32" s="217" t="s">
        <v>1173</v>
      </c>
      <c r="B32" s="217"/>
      <c r="C32" s="217" t="s">
        <v>1175</v>
      </c>
      <c r="D32" s="176">
        <v>0</v>
      </c>
      <c r="E32" s="170">
        <v>27.73</v>
      </c>
      <c r="F32" s="14">
        <f t="shared" si="8"/>
        <v>0</v>
      </c>
      <c r="G32" s="14">
        <f t="shared" si="2"/>
        <v>0</v>
      </c>
    </row>
    <row r="33" spans="1:11" ht="14.25" customHeight="1">
      <c r="A33" s="32" t="s">
        <v>1176</v>
      </c>
      <c r="B33" s="32"/>
      <c r="C33" s="32">
        <v>100619</v>
      </c>
      <c r="D33" s="176">
        <v>1</v>
      </c>
      <c r="E33" s="170">
        <v>69.98</v>
      </c>
      <c r="F33" s="14">
        <f t="shared" si="8"/>
        <v>69.98</v>
      </c>
      <c r="G33" s="14">
        <f t="shared" si="2"/>
        <v>5.07355</v>
      </c>
    </row>
    <row r="34" spans="1:11" ht="14.25" customHeight="1">
      <c r="A34" s="32" t="s">
        <v>1177</v>
      </c>
      <c r="B34" s="32"/>
      <c r="C34" s="32">
        <v>287027</v>
      </c>
      <c r="D34" s="176">
        <v>1</v>
      </c>
      <c r="E34" s="170">
        <v>50.48</v>
      </c>
      <c r="F34" s="14">
        <f t="shared" si="8"/>
        <v>50.48</v>
      </c>
      <c r="G34" s="14">
        <f t="shared" si="2"/>
        <v>3.6597999999999997</v>
      </c>
    </row>
    <row r="35" spans="1:11" ht="14.25" customHeight="1">
      <c r="A35" s="32" t="s">
        <v>1178</v>
      </c>
      <c r="B35" s="32"/>
      <c r="C35" s="32"/>
      <c r="D35" s="176">
        <v>1</v>
      </c>
      <c r="E35" s="170">
        <v>21.98</v>
      </c>
      <c r="F35" s="14">
        <f t="shared" si="8"/>
        <v>21.98</v>
      </c>
      <c r="G35" s="14">
        <f t="shared" si="2"/>
        <v>1.59355</v>
      </c>
    </row>
    <row r="36" spans="1:11" ht="14.25" customHeight="1">
      <c r="A36" s="32" t="s">
        <v>1179</v>
      </c>
      <c r="B36" s="32"/>
      <c r="C36" s="32" t="s">
        <v>1180</v>
      </c>
      <c r="D36" s="176">
        <v>0</v>
      </c>
      <c r="E36" s="170">
        <v>69.97</v>
      </c>
      <c r="F36" s="14">
        <f t="shared" si="8"/>
        <v>0</v>
      </c>
      <c r="G36" s="14">
        <f t="shared" si="2"/>
        <v>0</v>
      </c>
    </row>
    <row r="37" spans="1:11" ht="14.25" customHeight="1">
      <c r="A37" s="32" t="s">
        <v>1181</v>
      </c>
      <c r="B37" s="32"/>
      <c r="C37" s="32" t="s">
        <v>1182</v>
      </c>
      <c r="D37" s="176">
        <v>0</v>
      </c>
      <c r="E37" s="170">
        <v>289</v>
      </c>
      <c r="F37" s="14">
        <f t="shared" si="8"/>
        <v>0</v>
      </c>
      <c r="G37" s="14">
        <f t="shared" si="2"/>
        <v>0</v>
      </c>
    </row>
    <row r="38" spans="1:11" ht="14.25" customHeight="1">
      <c r="A38" s="32" t="s">
        <v>1441</v>
      </c>
      <c r="B38" s="32"/>
      <c r="C38" s="32" t="s">
        <v>1183</v>
      </c>
      <c r="D38" s="176">
        <v>0</v>
      </c>
      <c r="E38" s="170">
        <v>15</v>
      </c>
      <c r="F38" s="14">
        <v>7</v>
      </c>
      <c r="G38" s="14">
        <f t="shared" si="2"/>
        <v>0.50749999999999995</v>
      </c>
    </row>
    <row r="39" spans="1:11" ht="14.25" customHeight="1">
      <c r="A39" s="32"/>
      <c r="B39" s="32"/>
      <c r="C39" s="32"/>
      <c r="D39" s="176"/>
      <c r="E39" s="170"/>
      <c r="F39" s="14">
        <f t="shared" si="8"/>
        <v>0</v>
      </c>
      <c r="G39" s="14">
        <f t="shared" si="2"/>
        <v>0</v>
      </c>
    </row>
    <row r="40" spans="1:11" ht="14.25" customHeight="1">
      <c r="A40" s="32" t="s">
        <v>1184</v>
      </c>
      <c r="B40" s="32"/>
      <c r="C40" s="32">
        <v>30699285174</v>
      </c>
      <c r="D40" s="176">
        <v>0</v>
      </c>
      <c r="E40" s="170">
        <v>12.93</v>
      </c>
      <c r="F40" s="14">
        <f t="shared" si="8"/>
        <v>0</v>
      </c>
      <c r="G40" s="14">
        <f t="shared" si="2"/>
        <v>0</v>
      </c>
    </row>
    <row r="41" spans="1:11" ht="14.25" customHeight="1">
      <c r="A41" s="32" t="s">
        <v>1185</v>
      </c>
      <c r="B41" s="32"/>
      <c r="C41" s="187">
        <v>883351469845</v>
      </c>
      <c r="D41" s="176">
        <v>0</v>
      </c>
      <c r="E41" s="170">
        <v>47.97</v>
      </c>
      <c r="F41" s="14">
        <f t="shared" si="8"/>
        <v>0</v>
      </c>
      <c r="G41" s="14">
        <f t="shared" si="2"/>
        <v>0</v>
      </c>
    </row>
    <row r="42" spans="1:11" ht="14.25" customHeight="1">
      <c r="A42" s="32" t="s">
        <v>1186</v>
      </c>
      <c r="B42" s="32"/>
      <c r="C42" s="187">
        <v>883351891448</v>
      </c>
      <c r="D42" s="176">
        <v>0</v>
      </c>
      <c r="E42" s="170">
        <v>77.569999999999993</v>
      </c>
      <c r="F42" s="14">
        <f t="shared" si="8"/>
        <v>0</v>
      </c>
      <c r="G42" s="14">
        <f t="shared" si="2"/>
        <v>0</v>
      </c>
    </row>
    <row r="43" spans="1:11" ht="14.25" customHeight="1" thickBot="1">
      <c r="A43" s="32" t="s">
        <v>1187</v>
      </c>
      <c r="B43" s="32"/>
      <c r="C43" s="187">
        <v>883351396332</v>
      </c>
      <c r="D43" s="176">
        <v>0</v>
      </c>
      <c r="E43" s="170">
        <v>139</v>
      </c>
      <c r="F43" s="14">
        <f t="shared" si="8"/>
        <v>0</v>
      </c>
      <c r="G43" s="14">
        <f t="shared" si="2"/>
        <v>0</v>
      </c>
      <c r="H43" s="21"/>
    </row>
    <row r="44" spans="1:11" ht="14.25" customHeight="1">
      <c r="A44" s="32"/>
      <c r="B44" s="32"/>
      <c r="C44" s="187"/>
      <c r="D44" s="189"/>
      <c r="E44" s="188"/>
      <c r="F44" s="14">
        <f>+D44*E44</f>
        <v>0</v>
      </c>
      <c r="H44" s="14">
        <f>IF(L2="no",SUM(F5:G43),0)</f>
        <v>3886.5482500000003</v>
      </c>
      <c r="K44" s="1"/>
    </row>
    <row r="45" spans="1:11" ht="14.25" customHeight="1">
      <c r="A45" s="32"/>
      <c r="B45" s="32"/>
    </row>
    <row r="46" spans="1:11" ht="15.75" thickBot="1">
      <c r="I46" s="21"/>
    </row>
    <row r="47" spans="1:11">
      <c r="H47"/>
    </row>
    <row r="48" spans="1:11">
      <c r="H48"/>
    </row>
    <row r="49" spans="1:9">
      <c r="H49"/>
    </row>
    <row r="50" spans="1:9">
      <c r="D50" s="25"/>
      <c r="E50" s="25"/>
      <c r="F50" s="25"/>
      <c r="G50" s="25"/>
      <c r="H50"/>
    </row>
    <row r="51" spans="1:9">
      <c r="D51" s="25"/>
      <c r="E51" s="25"/>
      <c r="F51" s="25"/>
      <c r="G51" s="25"/>
      <c r="H51"/>
    </row>
    <row r="52" spans="1:9">
      <c r="D52" s="25"/>
      <c r="E52" s="25"/>
      <c r="F52" s="25"/>
      <c r="G52" s="25"/>
      <c r="H52" s="25"/>
      <c r="I52" s="25"/>
    </row>
    <row r="53" spans="1:9">
      <c r="D53" s="25"/>
      <c r="E53" s="25"/>
      <c r="F53" s="25"/>
      <c r="G53" s="25"/>
      <c r="H53" s="25"/>
      <c r="I53" s="25"/>
    </row>
    <row r="54" spans="1:9">
      <c r="A54" s="32"/>
      <c r="B54" s="32"/>
      <c r="D54" s="25"/>
      <c r="E54" s="25"/>
      <c r="F54" s="25"/>
      <c r="G54" s="25"/>
      <c r="H54" s="25"/>
      <c r="I54" s="25"/>
    </row>
    <row r="55" spans="1:9">
      <c r="A55" s="32"/>
      <c r="B55" s="32"/>
      <c r="C55" s="32"/>
      <c r="D55" s="25"/>
      <c r="E55" s="25"/>
      <c r="F55" s="25"/>
      <c r="G55" s="25"/>
      <c r="H55" s="25"/>
      <c r="I55" s="25"/>
    </row>
    <row r="56" spans="1:9">
      <c r="D56" s="25"/>
      <c r="E56" s="25"/>
      <c r="F56" s="25"/>
      <c r="G56" s="25"/>
      <c r="H56" s="25"/>
      <c r="I56" s="25"/>
    </row>
    <row r="57" spans="1:9">
      <c r="D57" s="25"/>
      <c r="E57" s="25"/>
      <c r="F57" s="25"/>
      <c r="G57" s="25"/>
      <c r="H57" s="25"/>
      <c r="I57" s="25"/>
    </row>
    <row r="58" spans="1:9">
      <c r="D58" s="25"/>
      <c r="E58" s="25"/>
      <c r="F58" s="25"/>
      <c r="G58" s="25"/>
      <c r="H58" s="25"/>
      <c r="I58" s="25"/>
    </row>
    <row r="59" spans="1:9">
      <c r="D59" s="25"/>
      <c r="E59" s="25"/>
      <c r="F59" s="25"/>
      <c r="G59" s="25"/>
      <c r="H59" s="25"/>
      <c r="I59" s="25"/>
    </row>
    <row r="60" spans="1:9">
      <c r="D60" s="25"/>
      <c r="E60" s="25"/>
      <c r="F60" s="25"/>
      <c r="G60" s="25"/>
      <c r="H60" s="25"/>
      <c r="I60" s="25"/>
    </row>
    <row r="61" spans="1:9">
      <c r="D61" s="25"/>
      <c r="E61" s="25"/>
      <c r="F61" s="25"/>
      <c r="G61" s="25"/>
      <c r="H61" s="25"/>
      <c r="I61" s="25"/>
    </row>
    <row r="62" spans="1:9">
      <c r="D62" s="25"/>
      <c r="E62" s="25"/>
      <c r="F62" s="25"/>
      <c r="G62" s="25"/>
      <c r="H62" s="25"/>
      <c r="I62" s="25"/>
    </row>
    <row r="63" spans="1:9">
      <c r="D63" s="25"/>
      <c r="E63" s="25"/>
      <c r="F63" s="25"/>
      <c r="G63" s="25"/>
      <c r="H63" s="25"/>
      <c r="I63"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M51"/>
  <sheetViews>
    <sheetView workbookViewId="0">
      <pane ySplit="3" topLeftCell="A4" activePane="bottomLeft" state="frozen"/>
      <selection pane="bottomLeft" activeCell="I40" sqref="I40"/>
    </sheetView>
  </sheetViews>
  <sheetFormatPr defaultRowHeight="15"/>
  <cols>
    <col min="2" max="2" width="65" style="2" bestFit="1" customWidth="1"/>
    <col min="3" max="3" width="23.85546875" style="2" customWidth="1"/>
    <col min="5" max="5" width="13.85546875" style="5" bestFit="1" customWidth="1"/>
    <col min="6" max="8" width="9.140625" style="14"/>
    <col min="11" max="11" width="19.28515625" bestFit="1" customWidth="1"/>
    <col min="12" max="12" width="3.7109375" bestFit="1" customWidth="1"/>
  </cols>
  <sheetData>
    <row r="1" spans="1:13" ht="15.75" thickBot="1">
      <c r="B1" s="3" t="s">
        <v>577</v>
      </c>
      <c r="C1" s="3"/>
    </row>
    <row r="2" spans="1:13">
      <c r="D2" s="3"/>
      <c r="E2" s="8"/>
      <c r="F2" s="13"/>
      <c r="G2" s="13"/>
      <c r="H2" s="13"/>
      <c r="K2" s="832" t="s">
        <v>9</v>
      </c>
      <c r="L2" s="832" t="str">
        <f>IF(Profit!Q6,IF(M2,"Yes","No"),"No")</f>
        <v>No</v>
      </c>
      <c r="M2" s="834" t="b">
        <v>0</v>
      </c>
    </row>
    <row r="3" spans="1:13" ht="15.75" thickBot="1">
      <c r="A3" t="s">
        <v>108</v>
      </c>
      <c r="B3" s="31" t="s">
        <v>512</v>
      </c>
      <c r="C3" s="31" t="s">
        <v>1106</v>
      </c>
      <c r="D3" s="31" t="s">
        <v>993</v>
      </c>
      <c r="E3" s="182" t="s">
        <v>994</v>
      </c>
      <c r="F3" s="183" t="s">
        <v>995</v>
      </c>
      <c r="G3" s="183" t="s">
        <v>507</v>
      </c>
      <c r="H3" s="183" t="s">
        <v>996</v>
      </c>
      <c r="K3" s="833"/>
      <c r="L3" s="833"/>
      <c r="M3" s="835"/>
    </row>
    <row r="4" spans="1:13">
      <c r="B4" s="331" t="s">
        <v>1188</v>
      </c>
      <c r="C4" s="331"/>
      <c r="D4" s="331">
        <v>2</v>
      </c>
      <c r="E4" s="419">
        <v>2500</v>
      </c>
      <c r="F4" s="339">
        <f>D4*E4</f>
        <v>5000</v>
      </c>
      <c r="G4" s="335">
        <f t="shared" ref="G4:G8" si="0">+F4*0.0725</f>
        <v>362.5</v>
      </c>
      <c r="H4" s="469">
        <f>SUM(F4:G4)</f>
        <v>5362.5</v>
      </c>
    </row>
    <row r="5" spans="1:13">
      <c r="B5" s="331" t="s">
        <v>1189</v>
      </c>
      <c r="C5" s="331"/>
      <c r="D5" s="331">
        <v>0</v>
      </c>
      <c r="E5" s="420">
        <v>700</v>
      </c>
      <c r="F5" s="339">
        <f>D5*E5</f>
        <v>0</v>
      </c>
      <c r="G5" s="335">
        <f t="shared" si="0"/>
        <v>0</v>
      </c>
      <c r="H5" s="469">
        <f>SUM(F5:G5)</f>
        <v>0</v>
      </c>
    </row>
    <row r="6" spans="1:13">
      <c r="B6" s="331" t="s">
        <v>1190</v>
      </c>
      <c r="C6" s="331"/>
      <c r="D6" s="331">
        <v>5</v>
      </c>
      <c r="E6" s="420">
        <v>300</v>
      </c>
      <c r="F6" s="339">
        <f t="shared" ref="F6:F8" si="1">D6*E6</f>
        <v>1500</v>
      </c>
      <c r="G6" s="335">
        <f t="shared" si="0"/>
        <v>108.74999999999999</v>
      </c>
      <c r="H6" s="469">
        <f t="shared" ref="H6:H8" si="2">SUM(F6:G6)</f>
        <v>1608.75</v>
      </c>
    </row>
    <row r="7" spans="1:13">
      <c r="B7" s="331" t="s">
        <v>1191</v>
      </c>
      <c r="C7" s="331"/>
      <c r="D7" s="331">
        <v>5</v>
      </c>
      <c r="E7" s="420">
        <v>450</v>
      </c>
      <c r="F7" s="339">
        <f t="shared" si="1"/>
        <v>2250</v>
      </c>
      <c r="G7" s="335">
        <f t="shared" si="0"/>
        <v>163.125</v>
      </c>
      <c r="H7" s="469">
        <f t="shared" si="2"/>
        <v>2413.125</v>
      </c>
    </row>
    <row r="8" spans="1:13">
      <c r="B8" s="331"/>
      <c r="C8" s="331"/>
      <c r="D8" s="331"/>
      <c r="E8" s="420"/>
      <c r="F8" s="339">
        <f t="shared" si="1"/>
        <v>0</v>
      </c>
      <c r="G8" s="335">
        <f t="shared" si="0"/>
        <v>0</v>
      </c>
      <c r="H8" s="469">
        <f t="shared" si="2"/>
        <v>0</v>
      </c>
    </row>
    <row r="9" spans="1:13">
      <c r="B9" s="331"/>
      <c r="C9" s="331"/>
      <c r="D9" s="337"/>
      <c r="E9" s="332"/>
      <c r="F9" s="339"/>
      <c r="G9" s="335"/>
      <c r="H9" s="469"/>
      <c r="I9" s="14">
        <f>IF(L2="Yes",+SUM(F4:G9),0)</f>
        <v>0</v>
      </c>
    </row>
    <row r="10" spans="1:13">
      <c r="B10" s="331"/>
      <c r="C10" s="331"/>
      <c r="D10" s="337"/>
      <c r="E10" s="332"/>
      <c r="F10" s="339"/>
      <c r="G10" s="335"/>
      <c r="H10" s="469"/>
    </row>
    <row r="11" spans="1:13">
      <c r="B11" s="180"/>
      <c r="C11" s="180" t="s">
        <v>1192</v>
      </c>
      <c r="D11" s="178">
        <v>0</v>
      </c>
      <c r="E11" s="181">
        <v>154</v>
      </c>
      <c r="F11" s="1">
        <f>D11*E11</f>
        <v>0</v>
      </c>
      <c r="G11" s="26">
        <f t="shared" ref="G11:G29" si="3">+F11*0.0725</f>
        <v>0</v>
      </c>
      <c r="H11" s="13"/>
    </row>
    <row r="12" spans="1:13">
      <c r="B12" s="178" t="s">
        <v>1489</v>
      </c>
      <c r="C12" s="178">
        <v>795984</v>
      </c>
      <c r="D12" s="176">
        <v>2</v>
      </c>
      <c r="E12" s="170">
        <v>75</v>
      </c>
      <c r="F12" s="1">
        <f>D12*E12</f>
        <v>150</v>
      </c>
      <c r="G12" s="26">
        <f t="shared" si="3"/>
        <v>10.875</v>
      </c>
    </row>
    <row r="13" spans="1:13">
      <c r="B13" s="178" t="str">
        <f>+B4</f>
        <v>Kitchen Counter Tops</v>
      </c>
      <c r="C13" s="178" t="s">
        <v>1193</v>
      </c>
      <c r="D13" s="176">
        <f>+D4</f>
        <v>2</v>
      </c>
      <c r="E13" s="176">
        <f>+E4</f>
        <v>2500</v>
      </c>
      <c r="F13" s="1">
        <f t="shared" ref="F13:F29" si="4">D13*E13</f>
        <v>5000</v>
      </c>
      <c r="G13" s="26">
        <f t="shared" si="3"/>
        <v>362.5</v>
      </c>
    </row>
    <row r="14" spans="1:13">
      <c r="B14" s="176" t="str">
        <f t="shared" ref="B14:B16" si="5">+B5</f>
        <v>Paint Kitchen</v>
      </c>
      <c r="C14" s="178" t="s">
        <v>1194</v>
      </c>
      <c r="D14" s="176">
        <f t="shared" ref="D14:E14" si="6">+D5</f>
        <v>0</v>
      </c>
      <c r="E14" s="176">
        <f t="shared" si="6"/>
        <v>700</v>
      </c>
      <c r="F14" s="1">
        <f t="shared" si="4"/>
        <v>0</v>
      </c>
      <c r="G14" s="26">
        <f t="shared" si="3"/>
        <v>0</v>
      </c>
    </row>
    <row r="15" spans="1:13">
      <c r="B15" s="176" t="str">
        <f t="shared" si="5"/>
        <v>bathroom cabinets</v>
      </c>
      <c r="C15" s="178" t="s">
        <v>1195</v>
      </c>
      <c r="D15" s="176">
        <f t="shared" ref="D15:E15" si="7">+D6</f>
        <v>5</v>
      </c>
      <c r="E15" s="176">
        <f t="shared" si="7"/>
        <v>300</v>
      </c>
      <c r="F15" s="1">
        <f t="shared" si="4"/>
        <v>1500</v>
      </c>
      <c r="G15" s="26">
        <f t="shared" si="3"/>
        <v>108.74999999999999</v>
      </c>
    </row>
    <row r="16" spans="1:13">
      <c r="B16" s="176" t="str">
        <f t="shared" si="5"/>
        <v>Bathroom coutner tops</v>
      </c>
      <c r="C16" s="178" t="s">
        <v>1196</v>
      </c>
      <c r="D16" s="176">
        <f t="shared" ref="D16:E16" si="8">+D7</f>
        <v>5</v>
      </c>
      <c r="E16" s="176">
        <f t="shared" si="8"/>
        <v>450</v>
      </c>
      <c r="F16" s="1">
        <f t="shared" si="4"/>
        <v>2250</v>
      </c>
      <c r="G16" s="26">
        <f t="shared" si="3"/>
        <v>163.125</v>
      </c>
    </row>
    <row r="17" spans="2:11">
      <c r="B17" s="178" t="s">
        <v>1197</v>
      </c>
      <c r="C17" s="178" t="s">
        <v>1198</v>
      </c>
      <c r="D17" s="176">
        <v>0</v>
      </c>
      <c r="E17" s="170">
        <v>104</v>
      </c>
      <c r="F17" s="1">
        <f t="shared" si="4"/>
        <v>0</v>
      </c>
      <c r="G17" s="26">
        <f t="shared" si="3"/>
        <v>0</v>
      </c>
    </row>
    <row r="18" spans="2:11">
      <c r="B18" s="178" t="s">
        <v>1199</v>
      </c>
      <c r="C18" s="178" t="s">
        <v>1200</v>
      </c>
      <c r="D18" s="176">
        <v>0</v>
      </c>
      <c r="E18" s="170">
        <v>81.98</v>
      </c>
      <c r="F18" s="1">
        <f t="shared" si="4"/>
        <v>0</v>
      </c>
      <c r="G18" s="26">
        <f t="shared" si="3"/>
        <v>0</v>
      </c>
    </row>
    <row r="19" spans="2:11">
      <c r="B19" s="178" t="s">
        <v>1199</v>
      </c>
      <c r="C19" s="178" t="s">
        <v>1201</v>
      </c>
      <c r="D19" s="176">
        <v>0</v>
      </c>
      <c r="E19" s="170">
        <v>143</v>
      </c>
      <c r="F19" s="1">
        <f t="shared" si="4"/>
        <v>0</v>
      </c>
      <c r="G19" s="26">
        <f t="shared" si="3"/>
        <v>0</v>
      </c>
    </row>
    <row r="20" spans="2:11">
      <c r="B20" s="178" t="s">
        <v>1199</v>
      </c>
      <c r="C20" s="178" t="s">
        <v>1202</v>
      </c>
      <c r="D20" s="176">
        <v>0</v>
      </c>
      <c r="E20" s="170">
        <v>98.98</v>
      </c>
      <c r="F20" s="1">
        <f t="shared" si="4"/>
        <v>0</v>
      </c>
      <c r="G20" s="26">
        <f t="shared" si="3"/>
        <v>0</v>
      </c>
    </row>
    <row r="21" spans="2:11">
      <c r="B21" s="178" t="s">
        <v>1203</v>
      </c>
      <c r="C21" s="178" t="s">
        <v>1204</v>
      </c>
      <c r="D21" s="176">
        <v>0</v>
      </c>
      <c r="E21" s="170">
        <v>165</v>
      </c>
      <c r="F21" s="1">
        <f t="shared" si="4"/>
        <v>0</v>
      </c>
      <c r="G21" s="26">
        <f t="shared" si="3"/>
        <v>0</v>
      </c>
    </row>
    <row r="22" spans="2:11">
      <c r="B22" s="178" t="s">
        <v>1205</v>
      </c>
      <c r="C22" s="178">
        <v>795984</v>
      </c>
      <c r="D22" s="176">
        <v>0</v>
      </c>
      <c r="E22" s="170">
        <v>144</v>
      </c>
      <c r="F22" s="1">
        <f t="shared" si="4"/>
        <v>0</v>
      </c>
      <c r="G22" s="26">
        <f t="shared" si="3"/>
        <v>0</v>
      </c>
    </row>
    <row r="23" spans="2:11">
      <c r="B23" s="178"/>
      <c r="C23" s="178" t="s">
        <v>1206</v>
      </c>
      <c r="D23" s="176">
        <v>0</v>
      </c>
      <c r="E23" s="170">
        <v>107</v>
      </c>
      <c r="F23" s="1">
        <f t="shared" si="4"/>
        <v>0</v>
      </c>
      <c r="G23" s="26">
        <f t="shared" si="3"/>
        <v>0</v>
      </c>
    </row>
    <row r="24" spans="2:11">
      <c r="B24" s="178" t="s">
        <v>1199</v>
      </c>
      <c r="C24" s="178" t="s">
        <v>1207</v>
      </c>
      <c r="D24" s="176">
        <v>0</v>
      </c>
      <c r="E24" s="170">
        <v>112</v>
      </c>
      <c r="F24" s="1">
        <f t="shared" si="4"/>
        <v>0</v>
      </c>
      <c r="G24" s="26">
        <f t="shared" si="3"/>
        <v>0</v>
      </c>
    </row>
    <row r="25" spans="2:11">
      <c r="B25" s="178" t="s">
        <v>1208</v>
      </c>
      <c r="C25" s="178" t="s">
        <v>1208</v>
      </c>
      <c r="D25" s="176">
        <v>0</v>
      </c>
      <c r="E25" s="170">
        <v>40.96</v>
      </c>
      <c r="F25" s="1">
        <f t="shared" si="4"/>
        <v>0</v>
      </c>
      <c r="G25" s="26">
        <f t="shared" si="3"/>
        <v>0</v>
      </c>
    </row>
    <row r="26" spans="2:11">
      <c r="B26" s="178"/>
      <c r="C26" s="178" t="s">
        <v>1209</v>
      </c>
      <c r="D26" s="176">
        <v>0</v>
      </c>
      <c r="E26" s="170">
        <v>18.28</v>
      </c>
      <c r="F26" s="1">
        <f t="shared" si="4"/>
        <v>0</v>
      </c>
      <c r="G26" s="26">
        <f t="shared" si="3"/>
        <v>0</v>
      </c>
    </row>
    <row r="27" spans="2:11">
      <c r="B27" s="178" t="s">
        <v>596</v>
      </c>
      <c r="C27" s="178" t="s">
        <v>1210</v>
      </c>
      <c r="D27" s="176">
        <v>0</v>
      </c>
      <c r="E27" s="170">
        <v>13.48</v>
      </c>
      <c r="F27" s="1">
        <f t="shared" si="4"/>
        <v>0</v>
      </c>
      <c r="G27" s="26">
        <f t="shared" si="3"/>
        <v>0</v>
      </c>
    </row>
    <row r="28" spans="2:11">
      <c r="B28" s="178" t="s">
        <v>761</v>
      </c>
      <c r="C28" s="178"/>
      <c r="D28" s="176">
        <v>0</v>
      </c>
      <c r="E28" s="170">
        <v>0</v>
      </c>
      <c r="F28" s="1">
        <f t="shared" si="4"/>
        <v>0</v>
      </c>
      <c r="G28" s="26">
        <f t="shared" si="3"/>
        <v>0</v>
      </c>
    </row>
    <row r="29" spans="2:11" ht="15.75" thickBot="1">
      <c r="B29" s="178" t="s">
        <v>1211</v>
      </c>
      <c r="C29" s="178"/>
      <c r="D29" s="176">
        <v>0</v>
      </c>
      <c r="E29" s="170">
        <v>935.09</v>
      </c>
      <c r="F29" s="1">
        <f t="shared" si="4"/>
        <v>0</v>
      </c>
      <c r="G29" s="21">
        <f t="shared" si="3"/>
        <v>0</v>
      </c>
      <c r="H29" s="21"/>
    </row>
    <row r="30" spans="2:11">
      <c r="I30" s="14">
        <f>IF($L$2="No",+SUM(F12:G29),0)</f>
        <v>9545.25</v>
      </c>
      <c r="K30" s="1"/>
    </row>
    <row r="31" spans="2:11">
      <c r="B31" s="32" t="s">
        <v>1212</v>
      </c>
    </row>
    <row r="32" spans="2:11">
      <c r="B32" s="3" t="s">
        <v>512</v>
      </c>
      <c r="C32" s="3" t="s">
        <v>1106</v>
      </c>
      <c r="D32" s="3" t="s">
        <v>993</v>
      </c>
      <c r="E32" s="8" t="s">
        <v>994</v>
      </c>
      <c r="F32" s="13" t="s">
        <v>995</v>
      </c>
      <c r="G32" s="13"/>
      <c r="H32" s="13" t="s">
        <v>996</v>
      </c>
    </row>
    <row r="33" spans="2:9">
      <c r="B33" s="97"/>
      <c r="C33" s="97" t="s">
        <v>1213</v>
      </c>
      <c r="D33" s="176">
        <v>0</v>
      </c>
      <c r="E33" s="170">
        <v>2000</v>
      </c>
      <c r="F33" s="1">
        <f>D33*E33</f>
        <v>0</v>
      </c>
      <c r="G33" s="26">
        <f>+F33*0.0725</f>
        <v>0</v>
      </c>
    </row>
    <row r="34" spans="2:9">
      <c r="B34" s="97"/>
      <c r="C34" s="97" t="s">
        <v>1214</v>
      </c>
      <c r="D34" s="176">
        <v>0</v>
      </c>
      <c r="E34" s="170">
        <v>0</v>
      </c>
      <c r="F34" s="1">
        <f>D34*E34</f>
        <v>0</v>
      </c>
      <c r="G34" s="26">
        <f>+F34*0.0725</f>
        <v>0</v>
      </c>
    </row>
    <row r="35" spans="2:9">
      <c r="B35" s="97"/>
      <c r="C35" s="97" t="s">
        <v>1215</v>
      </c>
      <c r="D35" s="176">
        <v>0</v>
      </c>
      <c r="E35" s="170">
        <v>0</v>
      </c>
      <c r="F35" s="1">
        <f>D35*E35</f>
        <v>0</v>
      </c>
      <c r="G35" s="26">
        <f>+F35*0.0725</f>
        <v>0</v>
      </c>
    </row>
    <row r="36" spans="2:9">
      <c r="B36" s="28" t="s">
        <v>1216</v>
      </c>
      <c r="C36" s="97"/>
      <c r="D36" s="176">
        <v>0</v>
      </c>
      <c r="E36" s="170">
        <v>8800</v>
      </c>
      <c r="F36" s="1">
        <f>D36*E36</f>
        <v>0</v>
      </c>
      <c r="G36" s="26">
        <f>+F36*0.0725</f>
        <v>0</v>
      </c>
    </row>
    <row r="37" spans="2:9">
      <c r="B37" s="97"/>
      <c r="C37" s="97"/>
      <c r="D37" s="176">
        <v>0</v>
      </c>
      <c r="E37" s="170">
        <v>0</v>
      </c>
      <c r="F37" s="1">
        <f>D37*E37</f>
        <v>0</v>
      </c>
      <c r="G37" s="26">
        <f>+F37*0.0725</f>
        <v>0</v>
      </c>
    </row>
    <row r="38" spans="2:9" ht="15.75" thickBot="1">
      <c r="F38" s="21"/>
      <c r="G38" s="21"/>
      <c r="H38" s="21"/>
    </row>
    <row r="39" spans="2:9">
      <c r="I39" s="14">
        <f>IF($L$2="No",+SUM(F33:G37),0)</f>
        <v>0</v>
      </c>
    </row>
    <row r="41" spans="2:9">
      <c r="B41" s="32" t="s">
        <v>1217</v>
      </c>
    </row>
    <row r="42" spans="2:9">
      <c r="B42" s="3" t="s">
        <v>512</v>
      </c>
      <c r="C42" s="3" t="s">
        <v>1106</v>
      </c>
      <c r="D42" s="3" t="s">
        <v>993</v>
      </c>
      <c r="E42" s="8" t="s">
        <v>994</v>
      </c>
      <c r="F42" s="13" t="s">
        <v>995</v>
      </c>
      <c r="G42" s="13"/>
      <c r="H42" s="13" t="s">
        <v>996</v>
      </c>
    </row>
    <row r="43" spans="2:9">
      <c r="B43" s="180" t="s">
        <v>1218</v>
      </c>
      <c r="C43" s="180"/>
      <c r="D43" s="180">
        <v>0</v>
      </c>
      <c r="E43" s="181">
        <v>1100</v>
      </c>
      <c r="F43" s="14">
        <f t="shared" ref="F43:F48" si="9">+D43*E43</f>
        <v>0</v>
      </c>
      <c r="G43" s="26">
        <f t="shared" ref="G43:G48" si="10">+F43*0.0725</f>
        <v>0</v>
      </c>
      <c r="H43" s="13"/>
    </row>
    <row r="44" spans="2:9">
      <c r="B44" s="97" t="s">
        <v>1219</v>
      </c>
      <c r="C44" s="97">
        <v>400390</v>
      </c>
      <c r="D44" s="176">
        <v>0</v>
      </c>
      <c r="E44" s="170">
        <v>2.0499999999999998</v>
      </c>
      <c r="F44" s="14">
        <f t="shared" si="9"/>
        <v>0</v>
      </c>
      <c r="G44" s="26">
        <f t="shared" si="10"/>
        <v>0</v>
      </c>
    </row>
    <row r="45" spans="2:9">
      <c r="B45" s="97" t="s">
        <v>1220</v>
      </c>
      <c r="C45" s="97">
        <v>376787</v>
      </c>
      <c r="D45" s="176">
        <v>0</v>
      </c>
      <c r="E45" s="170">
        <v>4.9800000000000004</v>
      </c>
      <c r="F45" s="14">
        <f t="shared" si="9"/>
        <v>0</v>
      </c>
      <c r="G45" s="26">
        <f t="shared" si="10"/>
        <v>0</v>
      </c>
    </row>
    <row r="46" spans="2:9">
      <c r="B46" s="97" t="s">
        <v>328</v>
      </c>
      <c r="C46" s="97" t="s">
        <v>328</v>
      </c>
      <c r="D46" s="176">
        <v>0</v>
      </c>
      <c r="E46" s="170">
        <v>0</v>
      </c>
      <c r="F46" s="14">
        <f t="shared" si="9"/>
        <v>0</v>
      </c>
      <c r="G46" s="26">
        <f t="shared" si="10"/>
        <v>0</v>
      </c>
    </row>
    <row r="47" spans="2:9">
      <c r="B47" s="97" t="s">
        <v>1221</v>
      </c>
      <c r="C47" s="97">
        <v>2280072</v>
      </c>
      <c r="D47" s="176">
        <v>0</v>
      </c>
      <c r="E47" s="170">
        <v>18.97</v>
      </c>
      <c r="F47" s="14">
        <f t="shared" si="9"/>
        <v>0</v>
      </c>
      <c r="G47" s="26">
        <f t="shared" si="10"/>
        <v>0</v>
      </c>
    </row>
    <row r="48" spans="2:9" ht="15.75" thickBot="1">
      <c r="B48" s="97" t="s">
        <v>1222</v>
      </c>
      <c r="C48" s="97">
        <v>1000707539</v>
      </c>
      <c r="D48" s="176">
        <v>0</v>
      </c>
      <c r="E48" s="170">
        <v>1.98</v>
      </c>
      <c r="F48" s="21">
        <f t="shared" si="9"/>
        <v>0</v>
      </c>
      <c r="G48" s="21">
        <f t="shared" si="10"/>
        <v>0</v>
      </c>
      <c r="H48" s="21"/>
    </row>
    <row r="49" spans="9:11">
      <c r="I49" s="14">
        <f>+SUM(F43:G48)</f>
        <v>0</v>
      </c>
    </row>
    <row r="50" spans="9:11" ht="15.75" thickBot="1">
      <c r="I50" s="21"/>
      <c r="K50" s="3" t="s">
        <v>328</v>
      </c>
    </row>
    <row r="51" spans="9:11">
      <c r="I51" s="14">
        <f>SUM(I4:I49)</f>
        <v>9545.25</v>
      </c>
      <c r="K51" s="14"/>
    </row>
  </sheetData>
  <mergeCells count="3">
    <mergeCell ref="K2:K3"/>
    <mergeCell ref="L2:L3"/>
    <mergeCell ref="M2:M3"/>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6"/>
  <sheetViews>
    <sheetView workbookViewId="0">
      <pane ySplit="2" topLeftCell="A11" activePane="bottomLeft" state="frozen"/>
      <selection pane="bottomLeft" activeCell="J48" sqref="J48"/>
    </sheetView>
  </sheetViews>
  <sheetFormatPr defaultRowHeight="15"/>
  <cols>
    <col min="1" max="1" width="17.42578125" bestFit="1" customWidth="1"/>
    <col min="2" max="2" width="51.85546875" style="2" customWidth="1"/>
    <col min="3" max="3" width="26.42578125" style="2" bestFit="1" customWidth="1"/>
    <col min="4" max="4" width="6.28515625" style="2" customWidth="1"/>
    <col min="5" max="5" width="21.5703125" style="2" bestFit="1" customWidth="1"/>
    <col min="6" max="6" width="5.5703125" style="2" bestFit="1" customWidth="1"/>
    <col min="7" max="7" width="10.140625" bestFit="1" customWidth="1"/>
    <col min="8" max="8" width="11.140625" style="5" bestFit="1" customWidth="1"/>
    <col min="9" max="9" width="9.140625" style="5" customWidth="1"/>
    <col min="10" max="10" width="9.140625" style="1"/>
    <col min="11" max="11" width="12.7109375" bestFit="1" customWidth="1"/>
    <col min="14" max="14" width="18.85546875" style="25" bestFit="1" customWidth="1"/>
  </cols>
  <sheetData>
    <row r="1" spans="1:17">
      <c r="B1" s="32" t="s">
        <v>531</v>
      </c>
      <c r="C1" s="32"/>
      <c r="D1" s="32"/>
      <c r="K1" s="832" t="s">
        <v>9</v>
      </c>
      <c r="L1" s="832" t="str">
        <f>IF(Profit!Q6,IF(M1,"Yes","No"),"No")</f>
        <v>No</v>
      </c>
      <c r="M1" s="834" t="b">
        <v>0</v>
      </c>
    </row>
    <row r="2" spans="1:17" s="3" customFormat="1" ht="15.75" thickBot="1">
      <c r="B2" s="3" t="s">
        <v>512</v>
      </c>
      <c r="C2" s="3" t="s">
        <v>999</v>
      </c>
      <c r="D2" s="3" t="s">
        <v>1000</v>
      </c>
      <c r="E2" s="3" t="s">
        <v>1001</v>
      </c>
      <c r="F2" s="3" t="s">
        <v>513</v>
      </c>
      <c r="G2" s="8" t="s">
        <v>994</v>
      </c>
      <c r="H2" s="6" t="s">
        <v>995</v>
      </c>
      <c r="I2" s="13" t="s">
        <v>507</v>
      </c>
      <c r="J2" s="3" t="s">
        <v>996</v>
      </c>
      <c r="K2" s="833"/>
      <c r="L2" s="833"/>
      <c r="M2" s="835"/>
      <c r="N2" s="32"/>
    </row>
    <row r="3" spans="1:17" s="3" customFormat="1">
      <c r="A3" s="331"/>
      <c r="B3" s="331" t="s">
        <v>1002</v>
      </c>
      <c r="C3" s="331"/>
      <c r="D3" s="338">
        <f>+Profit!K9</f>
        <v>2750</v>
      </c>
      <c r="E3" s="331"/>
      <c r="F3" s="331"/>
      <c r="G3" s="332"/>
      <c r="H3" s="342"/>
      <c r="I3" s="333"/>
      <c r="K3"/>
      <c r="L3"/>
      <c r="M3" s="5"/>
      <c r="N3" s="32"/>
    </row>
    <row r="4" spans="1:17" s="3" customFormat="1">
      <c r="A4" s="327" t="s">
        <v>1223</v>
      </c>
      <c r="B4" s="327" t="s">
        <v>1224</v>
      </c>
      <c r="C4" s="327"/>
      <c r="D4" s="327"/>
      <c r="E4" s="327" t="s">
        <v>1066</v>
      </c>
      <c r="F4" s="453">
        <f>+$D$3/L4</f>
        <v>32.563647128478387</v>
      </c>
      <c r="G4" s="334">
        <v>47.91</v>
      </c>
      <c r="H4" s="334">
        <f>+F4*G4</f>
        <v>1560.1243339253995</v>
      </c>
      <c r="I4" s="335">
        <f>+H4*0.0725</f>
        <v>113.10901420959145</v>
      </c>
      <c r="L4" s="3">
        <v>84.45</v>
      </c>
      <c r="M4" s="5"/>
      <c r="N4" s="32"/>
    </row>
    <row r="5" spans="1:17" s="3" customFormat="1">
      <c r="A5" s="327" t="s">
        <v>1225</v>
      </c>
      <c r="B5" s="327" t="s">
        <v>1078</v>
      </c>
      <c r="C5" s="327"/>
      <c r="D5" s="327"/>
      <c r="E5" s="327" t="s">
        <v>1077</v>
      </c>
      <c r="F5" s="453">
        <f t="shared" ref="F5:F6" si="0">+$D$3/L5</f>
        <v>16.281823564239193</v>
      </c>
      <c r="G5" s="334">
        <v>33.99</v>
      </c>
      <c r="H5" s="334">
        <f t="shared" ref="H5:H11" si="1">+F5*G5</f>
        <v>553.41918294849017</v>
      </c>
      <c r="I5" s="335">
        <f>+H5*0.0725</f>
        <v>40.122890763765533</v>
      </c>
      <c r="L5" s="3">
        <v>168.9</v>
      </c>
      <c r="M5" s="5"/>
      <c r="N5" s="32"/>
    </row>
    <row r="6" spans="1:17" s="3" customFormat="1">
      <c r="A6" s="327" t="s">
        <v>1226</v>
      </c>
      <c r="B6" s="327" t="s">
        <v>1079</v>
      </c>
      <c r="C6" s="327"/>
      <c r="D6" s="327"/>
      <c r="E6" s="327">
        <v>185342</v>
      </c>
      <c r="F6" s="453">
        <f t="shared" si="0"/>
        <v>16.281823564239193</v>
      </c>
      <c r="G6" s="328">
        <f>147/5</f>
        <v>29.4</v>
      </c>
      <c r="H6" s="334">
        <f t="shared" si="1"/>
        <v>478.68561278863228</v>
      </c>
      <c r="I6" s="335">
        <f>+H6*0.0725</f>
        <v>34.704706927175842</v>
      </c>
      <c r="L6" s="3">
        <v>168.9</v>
      </c>
      <c r="M6" s="5"/>
      <c r="N6" s="32"/>
    </row>
    <row r="7" spans="1:17">
      <c r="A7" s="327" t="s">
        <v>763</v>
      </c>
      <c r="B7" s="327" t="s">
        <v>1085</v>
      </c>
      <c r="C7" s="327"/>
      <c r="D7" s="327"/>
      <c r="E7" s="327">
        <v>985007</v>
      </c>
      <c r="F7" s="453"/>
      <c r="G7" s="334">
        <v>52.23</v>
      </c>
      <c r="H7" s="334">
        <f t="shared" si="1"/>
        <v>0</v>
      </c>
      <c r="I7" s="335">
        <f>+H7*0.0725</f>
        <v>0</v>
      </c>
    </row>
    <row r="8" spans="1:17">
      <c r="A8" s="327"/>
      <c r="B8" s="327" t="s">
        <v>763</v>
      </c>
      <c r="C8" s="327"/>
      <c r="D8" s="327"/>
      <c r="E8" s="327"/>
      <c r="F8" s="453">
        <v>2</v>
      </c>
      <c r="G8" s="334">
        <v>4.9141503848431025</v>
      </c>
      <c r="H8" s="334">
        <f t="shared" ref="H8:H10" si="2">+F8*G8</f>
        <v>9.828300769686205</v>
      </c>
      <c r="I8" s="339"/>
    </row>
    <row r="9" spans="1:17">
      <c r="A9" s="327"/>
      <c r="B9" s="327" t="s">
        <v>1227</v>
      </c>
      <c r="C9" s="327"/>
      <c r="D9" s="327"/>
      <c r="E9" s="327"/>
      <c r="F9" s="453">
        <v>1</v>
      </c>
      <c r="G9" s="334">
        <v>6800</v>
      </c>
      <c r="H9" s="334">
        <f t="shared" si="2"/>
        <v>6800</v>
      </c>
      <c r="I9" s="339"/>
    </row>
    <row r="10" spans="1:17">
      <c r="A10" s="327"/>
      <c r="B10" s="327" t="s">
        <v>1228</v>
      </c>
      <c r="C10" s="327"/>
      <c r="D10" s="327"/>
      <c r="E10" s="327"/>
      <c r="F10" s="453">
        <v>1</v>
      </c>
      <c r="G10" s="334">
        <v>3400</v>
      </c>
      <c r="H10" s="334">
        <f t="shared" si="2"/>
        <v>3400</v>
      </c>
      <c r="I10" s="339"/>
    </row>
    <row r="11" spans="1:17">
      <c r="A11" s="327" t="s">
        <v>1092</v>
      </c>
      <c r="B11" s="327" t="s">
        <v>1229</v>
      </c>
      <c r="C11" s="327"/>
      <c r="D11" s="338">
        <f>+$E$3</f>
        <v>0</v>
      </c>
      <c r="E11" s="327" t="s">
        <v>1094</v>
      </c>
      <c r="F11" s="453">
        <v>0</v>
      </c>
      <c r="G11" s="334">
        <f>+D3/L11</f>
        <v>13513.913558318533</v>
      </c>
      <c r="H11" s="334">
        <f t="shared" si="1"/>
        <v>0</v>
      </c>
      <c r="I11" s="339"/>
      <c r="L11" s="468">
        <v>0.20349397590361445</v>
      </c>
      <c r="N11" s="25" t="s">
        <v>1230</v>
      </c>
    </row>
    <row r="12" spans="1:17" s="3" customFormat="1">
      <c r="F12" s="831" t="s">
        <v>1065</v>
      </c>
      <c r="G12" s="746"/>
      <c r="H12" s="746"/>
      <c r="I12" s="30"/>
      <c r="J12" s="1">
        <f>IF(L1="Yes",SUM(H4:I11),0)</f>
        <v>0</v>
      </c>
      <c r="K12"/>
      <c r="L12"/>
      <c r="M12" s="5"/>
      <c r="N12" s="32"/>
    </row>
    <row r="13" spans="1:17" s="3" customFormat="1">
      <c r="K13"/>
      <c r="L13"/>
      <c r="M13" s="5"/>
      <c r="N13" s="32" t="s">
        <v>1231</v>
      </c>
      <c r="O13" s="30">
        <v>20</v>
      </c>
      <c r="P13" s="30">
        <v>20</v>
      </c>
      <c r="Q13" s="30">
        <f>+O13*P13</f>
        <v>400</v>
      </c>
    </row>
    <row r="14" spans="1:17" s="3" customFormat="1">
      <c r="A14" t="s">
        <v>1223</v>
      </c>
      <c r="C14" s="32"/>
      <c r="K14"/>
      <c r="L14"/>
      <c r="M14" s="5"/>
      <c r="N14" s="32" t="s">
        <v>1232</v>
      </c>
      <c r="O14" s="30">
        <v>18.3</v>
      </c>
      <c r="P14" s="30">
        <v>18.5</v>
      </c>
      <c r="Q14" s="30">
        <f t="shared" ref="Q14:Q25" si="3">+O14*P14</f>
        <v>338.55</v>
      </c>
    </row>
    <row r="15" spans="1:17">
      <c r="B15" s="97" t="s">
        <v>1493</v>
      </c>
      <c r="C15" s="97"/>
      <c r="E15" s="97" t="s">
        <v>1494</v>
      </c>
      <c r="F15" s="176">
        <v>10</v>
      </c>
      <c r="G15" s="170">
        <v>46.7</v>
      </c>
      <c r="H15" s="5">
        <f t="shared" ref="H15:H22" si="4">+F15*G15</f>
        <v>467</v>
      </c>
      <c r="I15" s="26">
        <f t="shared" ref="I15:I22" si="5">+H15*0.0725</f>
        <v>33.857499999999995</v>
      </c>
      <c r="J15"/>
      <c r="M15" s="5"/>
      <c r="N15" s="25" t="s">
        <v>1146</v>
      </c>
      <c r="O15" s="2">
        <v>18.3</v>
      </c>
      <c r="P15" s="2">
        <v>24.5</v>
      </c>
      <c r="Q15" s="30">
        <f t="shared" si="3"/>
        <v>448.35</v>
      </c>
    </row>
    <row r="16" spans="1:17">
      <c r="B16" s="97" t="s">
        <v>1393</v>
      </c>
      <c r="C16" s="97"/>
      <c r="E16" s="97"/>
      <c r="F16" s="176">
        <v>1</v>
      </c>
      <c r="G16" s="170">
        <v>-233.5</v>
      </c>
      <c r="H16" s="5">
        <f t="shared" ref="H16" si="6">+F16*G16</f>
        <v>-233.5</v>
      </c>
      <c r="I16" s="26">
        <f t="shared" si="5"/>
        <v>-16.928749999999997</v>
      </c>
      <c r="J16"/>
      <c r="M16" s="5"/>
      <c r="O16" s="2"/>
      <c r="P16" s="2"/>
      <c r="Q16" s="30"/>
    </row>
    <row r="17" spans="1:18">
      <c r="B17" s="97" t="s">
        <v>1233</v>
      </c>
      <c r="C17" s="97" t="s">
        <v>1067</v>
      </c>
      <c r="E17" s="97" t="s">
        <v>1068</v>
      </c>
      <c r="F17" s="176">
        <v>0</v>
      </c>
      <c r="G17" s="170">
        <f>35.99*5</f>
        <v>179.95000000000002</v>
      </c>
      <c r="H17" s="5">
        <f t="shared" si="4"/>
        <v>0</v>
      </c>
      <c r="I17" s="26">
        <f t="shared" si="5"/>
        <v>0</v>
      </c>
      <c r="J17"/>
      <c r="M17" s="5"/>
      <c r="N17" s="32" t="s">
        <v>1234</v>
      </c>
      <c r="O17" s="30">
        <v>24.25</v>
      </c>
      <c r="P17" s="30">
        <v>24</v>
      </c>
      <c r="Q17" s="30">
        <f t="shared" si="3"/>
        <v>582</v>
      </c>
    </row>
    <row r="18" spans="1:18">
      <c r="B18" s="97" t="s">
        <v>1233</v>
      </c>
      <c r="C18" s="97" t="s">
        <v>1069</v>
      </c>
      <c r="E18" s="97" t="s">
        <v>1068</v>
      </c>
      <c r="F18" s="176">
        <v>0</v>
      </c>
      <c r="G18" s="170">
        <f>35.99*5</f>
        <v>179.95000000000002</v>
      </c>
      <c r="H18" s="5">
        <f t="shared" si="4"/>
        <v>0</v>
      </c>
      <c r="I18" s="26">
        <f t="shared" si="5"/>
        <v>0</v>
      </c>
      <c r="J18"/>
      <c r="M18" s="5"/>
      <c r="N18" s="32" t="s">
        <v>1235</v>
      </c>
      <c r="O18" s="30">
        <v>5</v>
      </c>
      <c r="P18" s="30">
        <v>2</v>
      </c>
      <c r="Q18" s="30">
        <f t="shared" si="3"/>
        <v>10</v>
      </c>
    </row>
    <row r="19" spans="1:18">
      <c r="B19" s="97" t="s">
        <v>1070</v>
      </c>
      <c r="C19" s="97"/>
      <c r="E19" s="97" t="s">
        <v>1071</v>
      </c>
      <c r="F19" s="176">
        <v>0</v>
      </c>
      <c r="G19" s="170">
        <v>85.89</v>
      </c>
      <c r="H19" s="5">
        <f t="shared" si="4"/>
        <v>0</v>
      </c>
      <c r="I19" s="26">
        <f t="shared" si="5"/>
        <v>0</v>
      </c>
      <c r="J19"/>
      <c r="N19" s="25" t="s">
        <v>1236</v>
      </c>
      <c r="O19" s="30">
        <v>24</v>
      </c>
      <c r="P19" s="30">
        <v>36</v>
      </c>
      <c r="Q19" s="30">
        <f t="shared" si="3"/>
        <v>864</v>
      </c>
    </row>
    <row r="20" spans="1:18">
      <c r="A20" t="s">
        <v>1225</v>
      </c>
      <c r="B20" s="97"/>
      <c r="C20" s="97"/>
      <c r="E20" s="97"/>
      <c r="F20" s="176"/>
      <c r="G20" s="170"/>
      <c r="H20" s="5">
        <f t="shared" si="4"/>
        <v>0</v>
      </c>
      <c r="I20" s="26">
        <f t="shared" si="5"/>
        <v>0</v>
      </c>
      <c r="J20"/>
      <c r="N20" s="25" t="s">
        <v>1237</v>
      </c>
      <c r="O20" s="30">
        <v>6</v>
      </c>
      <c r="P20" s="30">
        <v>11</v>
      </c>
      <c r="Q20" s="30">
        <f t="shared" si="3"/>
        <v>66</v>
      </c>
    </row>
    <row r="21" spans="1:18">
      <c r="B21" s="97" t="s">
        <v>1072</v>
      </c>
      <c r="C21" s="97"/>
      <c r="E21" s="97" t="s">
        <v>1073</v>
      </c>
      <c r="F21" s="176">
        <v>0</v>
      </c>
      <c r="G21" s="170">
        <v>109.95</v>
      </c>
      <c r="H21" s="5">
        <f t="shared" si="4"/>
        <v>0</v>
      </c>
      <c r="I21" s="26">
        <f t="shared" si="5"/>
        <v>0</v>
      </c>
      <c r="J21"/>
      <c r="N21" s="25" t="s">
        <v>1238</v>
      </c>
      <c r="O21" s="30">
        <v>6</v>
      </c>
      <c r="P21" s="30">
        <v>7</v>
      </c>
      <c r="Q21" s="30">
        <f t="shared" si="3"/>
        <v>42</v>
      </c>
    </row>
    <row r="22" spans="1:18">
      <c r="B22" s="97" t="s">
        <v>1074</v>
      </c>
      <c r="C22" s="97"/>
      <c r="E22" s="97" t="s">
        <v>1075</v>
      </c>
      <c r="F22" s="176">
        <v>0</v>
      </c>
      <c r="G22" s="170">
        <v>65.64</v>
      </c>
      <c r="H22" s="5">
        <f t="shared" si="4"/>
        <v>0</v>
      </c>
      <c r="I22" s="26">
        <f t="shared" si="5"/>
        <v>0</v>
      </c>
      <c r="J22"/>
      <c r="O22" s="2"/>
      <c r="P22" s="2"/>
      <c r="Q22" s="30">
        <f t="shared" si="3"/>
        <v>0</v>
      </c>
      <c r="R22">
        <f>SUM(Q13:Q21)</f>
        <v>2750.9</v>
      </c>
    </row>
    <row r="23" spans="1:18">
      <c r="O23" s="2"/>
      <c r="P23" s="2"/>
      <c r="Q23" s="30">
        <f t="shared" si="3"/>
        <v>0</v>
      </c>
    </row>
    <row r="24" spans="1:18">
      <c r="J24"/>
      <c r="O24" s="2"/>
      <c r="P24" s="2"/>
      <c r="Q24" s="30">
        <f t="shared" si="3"/>
        <v>0</v>
      </c>
    </row>
    <row r="25" spans="1:18">
      <c r="B25" s="97" t="s">
        <v>1076</v>
      </c>
      <c r="C25" s="97"/>
      <c r="E25" s="97" t="s">
        <v>1077</v>
      </c>
      <c r="F25" s="176"/>
      <c r="G25" s="170">
        <v>33.99</v>
      </c>
      <c r="H25" s="5">
        <f>+F25*G25</f>
        <v>0</v>
      </c>
      <c r="I25" s="26">
        <f>+H25*0.0725</f>
        <v>0</v>
      </c>
      <c r="J25"/>
      <c r="O25" s="2"/>
      <c r="P25" s="2"/>
      <c r="Q25" s="30">
        <f t="shared" si="3"/>
        <v>0</v>
      </c>
    </row>
    <row r="26" spans="1:18">
      <c r="B26" s="97" t="s">
        <v>1078</v>
      </c>
      <c r="C26" s="97"/>
      <c r="E26" s="97" t="s">
        <v>1077</v>
      </c>
      <c r="F26" s="176"/>
      <c r="G26" s="170">
        <v>33.99</v>
      </c>
      <c r="H26" s="5">
        <f t="shared" ref="H26:H36" si="7">+F26*G26</f>
        <v>0</v>
      </c>
      <c r="I26" s="26">
        <f t="shared" ref="I26:I36" si="8">+H26*0.0725</f>
        <v>0</v>
      </c>
      <c r="J26"/>
    </row>
    <row r="27" spans="1:18">
      <c r="A27" t="s">
        <v>1226</v>
      </c>
      <c r="B27" s="97" t="s">
        <v>1079</v>
      </c>
      <c r="C27" s="97"/>
      <c r="E27" s="97">
        <v>185342</v>
      </c>
      <c r="F27" s="176"/>
      <c r="G27" s="176">
        <f>147/5</f>
        <v>29.4</v>
      </c>
      <c r="H27" s="5">
        <f t="shared" si="7"/>
        <v>0</v>
      </c>
      <c r="I27" s="26">
        <f t="shared" si="8"/>
        <v>0</v>
      </c>
      <c r="J27"/>
    </row>
    <row r="28" spans="1:18">
      <c r="B28" s="97" t="s">
        <v>1080</v>
      </c>
      <c r="C28" s="97"/>
      <c r="E28" s="97" t="s">
        <v>1081</v>
      </c>
      <c r="F28" s="176">
        <v>0</v>
      </c>
      <c r="G28" s="170">
        <f>5*25.79</f>
        <v>128.94999999999999</v>
      </c>
      <c r="H28" s="5">
        <f t="shared" si="7"/>
        <v>0</v>
      </c>
      <c r="I28" s="26">
        <f t="shared" si="8"/>
        <v>0</v>
      </c>
      <c r="J28"/>
    </row>
    <row r="29" spans="1:18">
      <c r="B29" s="97" t="s">
        <v>1495</v>
      </c>
      <c r="C29" s="97"/>
      <c r="E29" s="97" t="s">
        <v>1496</v>
      </c>
      <c r="F29" s="176">
        <v>10</v>
      </c>
      <c r="G29" s="170">
        <v>22.86</v>
      </c>
      <c r="H29" s="5">
        <f t="shared" ref="H29" si="9">+F29*G29</f>
        <v>228.6</v>
      </c>
      <c r="I29" s="26">
        <f t="shared" ref="I29" si="10">+H29*0.0725</f>
        <v>16.573499999999999</v>
      </c>
      <c r="J29"/>
    </row>
    <row r="30" spans="1:18">
      <c r="A30" t="s">
        <v>763</v>
      </c>
      <c r="B30" s="97"/>
      <c r="C30" s="97"/>
      <c r="E30" s="97"/>
      <c r="F30" s="176"/>
      <c r="G30" s="170"/>
      <c r="H30" s="5">
        <f t="shared" si="7"/>
        <v>0</v>
      </c>
      <c r="I30" s="26">
        <f t="shared" si="8"/>
        <v>0</v>
      </c>
      <c r="J30"/>
    </row>
    <row r="31" spans="1:18">
      <c r="B31" s="97" t="s">
        <v>1082</v>
      </c>
      <c r="C31" s="97"/>
      <c r="E31" s="97" t="s">
        <v>1083</v>
      </c>
      <c r="F31" s="176">
        <v>0</v>
      </c>
      <c r="G31" s="170">
        <f>5*63.05</f>
        <v>315.25</v>
      </c>
      <c r="H31" s="5">
        <f t="shared" si="7"/>
        <v>0</v>
      </c>
      <c r="I31" s="26">
        <f t="shared" si="8"/>
        <v>0</v>
      </c>
      <c r="J31"/>
    </row>
    <row r="32" spans="1:18">
      <c r="B32" s="97" t="s">
        <v>1084</v>
      </c>
      <c r="C32" s="97"/>
      <c r="E32" s="97">
        <v>389832</v>
      </c>
      <c r="F32" s="176">
        <v>0</v>
      </c>
      <c r="G32" s="170">
        <v>39.979999999999997</v>
      </c>
      <c r="H32" s="5">
        <f t="shared" si="7"/>
        <v>0</v>
      </c>
      <c r="I32" s="26">
        <f t="shared" si="8"/>
        <v>0</v>
      </c>
      <c r="J32"/>
    </row>
    <row r="33" spans="1:15">
      <c r="B33" s="97" t="s">
        <v>1085</v>
      </c>
      <c r="C33" s="97"/>
      <c r="E33" s="97">
        <v>985007</v>
      </c>
      <c r="F33" s="176"/>
      <c r="G33" s="170">
        <v>52.23</v>
      </c>
      <c r="H33" s="5">
        <f t="shared" si="7"/>
        <v>0</v>
      </c>
      <c r="I33" s="26">
        <f t="shared" si="8"/>
        <v>0</v>
      </c>
      <c r="J33"/>
    </row>
    <row r="34" spans="1:15">
      <c r="B34" s="97" t="s">
        <v>1086</v>
      </c>
      <c r="C34" s="97"/>
      <c r="E34" s="97">
        <v>814917</v>
      </c>
      <c r="F34" s="176"/>
      <c r="G34" s="170">
        <f>109/5</f>
        <v>21.8</v>
      </c>
      <c r="H34" s="5">
        <f t="shared" si="7"/>
        <v>0</v>
      </c>
      <c r="I34" s="26">
        <f t="shared" si="8"/>
        <v>0</v>
      </c>
      <c r="J34"/>
    </row>
    <row r="35" spans="1:15">
      <c r="B35" s="97" t="s">
        <v>1087</v>
      </c>
      <c r="C35" s="97"/>
      <c r="E35" s="97" t="s">
        <v>1088</v>
      </c>
      <c r="F35" s="176">
        <v>0</v>
      </c>
      <c r="G35" s="170">
        <v>40</v>
      </c>
      <c r="H35" s="5">
        <f t="shared" si="7"/>
        <v>0</v>
      </c>
      <c r="I35" s="26">
        <f t="shared" si="8"/>
        <v>0</v>
      </c>
      <c r="J35"/>
    </row>
    <row r="36" spans="1:15">
      <c r="B36" s="2" t="s">
        <v>1089</v>
      </c>
      <c r="E36" s="97" t="s">
        <v>1090</v>
      </c>
      <c r="F36" s="176">
        <v>0</v>
      </c>
      <c r="G36" s="170">
        <v>50.24</v>
      </c>
      <c r="H36" s="5">
        <f t="shared" si="7"/>
        <v>0</v>
      </c>
      <c r="I36" s="26">
        <f t="shared" si="8"/>
        <v>0</v>
      </c>
    </row>
    <row r="37" spans="1:15">
      <c r="A37" t="s">
        <v>577</v>
      </c>
      <c r="C37" s="32"/>
      <c r="D37" s="98">
        <v>0</v>
      </c>
      <c r="F37"/>
      <c r="G37" s="5"/>
      <c r="I37" s="1"/>
      <c r="J37"/>
    </row>
    <row r="38" spans="1:15">
      <c r="B38" s="97" t="s">
        <v>1239</v>
      </c>
      <c r="C38" s="97" t="s">
        <v>1240</v>
      </c>
      <c r="D38" s="178"/>
      <c r="E38" s="97" t="s">
        <v>1241</v>
      </c>
      <c r="F38" s="176">
        <v>0</v>
      </c>
      <c r="G38" s="170">
        <v>74.37</v>
      </c>
      <c r="H38" s="5">
        <f t="shared" ref="H38:H39" si="11">+F38*G38</f>
        <v>0</v>
      </c>
      <c r="I38" s="26">
        <f t="shared" ref="I38:I39" si="12">+H38*0.0725</f>
        <v>0</v>
      </c>
      <c r="J38"/>
    </row>
    <row r="39" spans="1:15">
      <c r="B39" s="97" t="s">
        <v>1242</v>
      </c>
      <c r="C39" s="97"/>
      <c r="E39" s="97"/>
      <c r="F39" s="176"/>
      <c r="G39" s="170"/>
      <c r="H39" s="5">
        <f t="shared" si="11"/>
        <v>0</v>
      </c>
      <c r="I39" s="26">
        <f t="shared" si="12"/>
        <v>0</v>
      </c>
      <c r="J39"/>
    </row>
    <row r="40" spans="1:15">
      <c r="D40" s="120">
        <f>+D3</f>
        <v>2750</v>
      </c>
      <c r="F40"/>
      <c r="G40" s="5"/>
      <c r="I40" s="1"/>
      <c r="J40"/>
    </row>
    <row r="41" spans="1:15">
      <c r="A41" t="s">
        <v>1243</v>
      </c>
      <c r="C41" s="32"/>
      <c r="D41" s="98">
        <v>0</v>
      </c>
      <c r="F41"/>
      <c r="G41" s="5"/>
      <c r="I41" s="1"/>
      <c r="J41"/>
    </row>
    <row r="42" spans="1:15">
      <c r="B42" s="97" t="s">
        <v>1244</v>
      </c>
      <c r="C42" s="97" t="s">
        <v>1245</v>
      </c>
      <c r="D42" s="178"/>
      <c r="E42" s="97" t="s">
        <v>1246</v>
      </c>
      <c r="F42" s="176"/>
      <c r="G42" s="170">
        <v>55.99</v>
      </c>
      <c r="H42" s="5">
        <f t="shared" ref="H42:H46" si="13">+F42*G42</f>
        <v>0</v>
      </c>
      <c r="I42" s="26">
        <f t="shared" ref="I42:I46" si="14">+H42*0.0725</f>
        <v>0</v>
      </c>
      <c r="J42"/>
    </row>
    <row r="43" spans="1:15">
      <c r="A43" t="s">
        <v>1247</v>
      </c>
      <c r="C43" s="32"/>
      <c r="D43" s="98">
        <v>500</v>
      </c>
      <c r="F43" s="176"/>
      <c r="G43" s="170"/>
      <c r="H43" s="5">
        <f t="shared" si="13"/>
        <v>0</v>
      </c>
      <c r="I43" s="26">
        <f t="shared" si="14"/>
        <v>0</v>
      </c>
      <c r="J43"/>
    </row>
    <row r="44" spans="1:15">
      <c r="B44" s="97" t="s">
        <v>1248</v>
      </c>
      <c r="C44" s="97"/>
      <c r="E44" s="97" t="s">
        <v>1249</v>
      </c>
      <c r="F44" s="176">
        <v>0</v>
      </c>
      <c r="G44" s="170">
        <v>47.98</v>
      </c>
      <c r="H44" s="5">
        <f t="shared" si="13"/>
        <v>0</v>
      </c>
      <c r="I44" s="26">
        <f t="shared" si="14"/>
        <v>0</v>
      </c>
      <c r="J44"/>
    </row>
    <row r="45" spans="1:15">
      <c r="B45" s="2" t="s">
        <v>1250</v>
      </c>
      <c r="E45" s="97" t="s">
        <v>1251</v>
      </c>
      <c r="F45" s="176">
        <v>0</v>
      </c>
      <c r="G45" s="170">
        <v>48.98</v>
      </c>
      <c r="H45" s="5">
        <f t="shared" si="13"/>
        <v>0</v>
      </c>
      <c r="I45" s="26">
        <f t="shared" si="14"/>
        <v>0</v>
      </c>
      <c r="J45"/>
      <c r="K45" s="2"/>
    </row>
    <row r="46" spans="1:15">
      <c r="F46" s="176">
        <v>0</v>
      </c>
      <c r="G46" s="170"/>
      <c r="H46" s="5">
        <f t="shared" si="13"/>
        <v>0</v>
      </c>
      <c r="I46" s="26">
        <f t="shared" si="14"/>
        <v>0</v>
      </c>
      <c r="K46" s="2"/>
    </row>
    <row r="47" spans="1:15" ht="15.75" thickBot="1">
      <c r="F47"/>
      <c r="G47" s="5"/>
      <c r="H47" s="209"/>
      <c r="I47" s="179"/>
      <c r="J47" s="29"/>
    </row>
    <row r="48" spans="1:15">
      <c r="F48" s="831" t="s">
        <v>1091</v>
      </c>
      <c r="G48" s="746"/>
      <c r="H48" s="746"/>
      <c r="I48" s="30"/>
      <c r="J48" s="5">
        <f>IF($L$1="No",SUM(H15:H47)+SUM(I15:I47),0)</f>
        <v>495.60225000000003</v>
      </c>
      <c r="O48" s="2"/>
    </row>
    <row r="50" spans="2:12">
      <c r="B50" s="2" t="s">
        <v>1092</v>
      </c>
      <c r="F50"/>
      <c r="G50" s="5"/>
      <c r="H50" s="1"/>
      <c r="I50" s="1"/>
      <c r="J50"/>
    </row>
    <row r="51" spans="2:12">
      <c r="B51" s="97" t="s">
        <v>1093</v>
      </c>
      <c r="C51" s="97"/>
      <c r="D51" s="120">
        <f>+$D$3</f>
        <v>2750</v>
      </c>
      <c r="E51" s="97" t="s">
        <v>1094</v>
      </c>
      <c r="F51" s="176">
        <v>0</v>
      </c>
      <c r="G51" s="170">
        <v>0</v>
      </c>
      <c r="H51" s="1">
        <f>IF(F51="yes",D51*#REF!,G51)</f>
        <v>0</v>
      </c>
      <c r="I51" s="1"/>
      <c r="J51"/>
    </row>
    <row r="52" spans="2:12">
      <c r="B52" s="97" t="s">
        <v>1092</v>
      </c>
      <c r="C52" s="97"/>
      <c r="D52" s="120">
        <v>200</v>
      </c>
      <c r="E52" s="97" t="s">
        <v>1023</v>
      </c>
      <c r="F52" s="176">
        <v>0</v>
      </c>
      <c r="G52" s="170">
        <v>0</v>
      </c>
      <c r="H52" s="1">
        <f>IF(F52="yes",D52*#REF!,G52)</f>
        <v>0</v>
      </c>
      <c r="I52" s="1"/>
      <c r="J52"/>
    </row>
    <row r="53" spans="2:12" ht="15.75" thickBot="1">
      <c r="B53" s="97" t="s">
        <v>1092</v>
      </c>
      <c r="C53" s="97"/>
      <c r="D53" s="120">
        <f>+$D$3</f>
        <v>2750</v>
      </c>
      <c r="E53" s="97" t="s">
        <v>1095</v>
      </c>
      <c r="F53" s="176">
        <v>0</v>
      </c>
      <c r="G53" s="170">
        <v>0</v>
      </c>
      <c r="H53" s="1">
        <f>IF(F53="yes",D53*#REF!,G53)</f>
        <v>0</v>
      </c>
      <c r="I53" s="1"/>
      <c r="J53" s="23"/>
      <c r="L53" s="3"/>
    </row>
    <row r="54" spans="2:12">
      <c r="F54"/>
      <c r="G54" s="5"/>
      <c r="H54" s="1"/>
      <c r="I54" s="1"/>
      <c r="J54" s="1">
        <f>IF($L$1="No",SUM(H51:H53)+SUM(I51:I53),0)</f>
        <v>0</v>
      </c>
      <c r="L54" s="1"/>
    </row>
    <row r="55" spans="2:12">
      <c r="F55"/>
      <c r="G55" s="5"/>
      <c r="H55" s="5" t="s">
        <v>1096</v>
      </c>
      <c r="K55" s="1">
        <f>SUM(J12:J54)</f>
        <v>495.60225000000003</v>
      </c>
    </row>
    <row r="56" spans="2:12">
      <c r="F56"/>
      <c r="G56" s="5"/>
    </row>
  </sheetData>
  <mergeCells count="5">
    <mergeCell ref="F48:H48"/>
    <mergeCell ref="K1:K2"/>
    <mergeCell ref="L1:L2"/>
    <mergeCell ref="M1:M2"/>
    <mergeCell ref="F12:H12"/>
  </mergeCells>
  <printOptions headings="1" gridLines="1"/>
  <pageMargins left="0.7" right="0.7" top="0.75" bottom="0.75" header="0.3" footer="0.3"/>
  <pageSetup fitToHeight="0"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N35"/>
  <sheetViews>
    <sheetView workbookViewId="0">
      <selection activeCell="H21" sqref="H21"/>
    </sheetView>
  </sheetViews>
  <sheetFormatPr defaultRowHeight="15"/>
  <cols>
    <col min="1" max="1" width="45.28515625" style="2" customWidth="1"/>
    <col min="2" max="2" width="6.28515625" style="2" customWidth="1"/>
    <col min="3" max="3" width="21.5703125" style="2" bestFit="1" customWidth="1"/>
    <col min="4" max="4" width="5.5703125" style="2" bestFit="1" customWidth="1"/>
    <col min="5" max="5" width="9.5703125" bestFit="1" customWidth="1"/>
    <col min="6" max="6" width="11.140625" style="5" bestFit="1" customWidth="1"/>
    <col min="7" max="7" width="6.5703125" style="5" bestFit="1" customWidth="1"/>
    <col min="8" max="8" width="9.140625" style="1"/>
    <col min="10" max="10" width="19.28515625" bestFit="1" customWidth="1"/>
  </cols>
  <sheetData>
    <row r="1" spans="1:14">
      <c r="A1" s="32" t="s">
        <v>1252</v>
      </c>
      <c r="B1" s="32"/>
      <c r="J1" s="832" t="s">
        <v>9</v>
      </c>
      <c r="K1" s="832" t="str">
        <f>IF(Profit!Q6,IF(L1,"Yes","No"),"No")</f>
        <v>Yes</v>
      </c>
      <c r="L1" s="834" t="b">
        <v>1</v>
      </c>
    </row>
    <row r="2" spans="1:14" s="3" customFormat="1" ht="15.75" thickBot="1">
      <c r="A2" s="183" t="s">
        <v>512</v>
      </c>
      <c r="B2" s="183" t="s">
        <v>1000</v>
      </c>
      <c r="C2" s="183" t="s">
        <v>1001</v>
      </c>
      <c r="D2" s="183" t="s">
        <v>513</v>
      </c>
      <c r="E2" s="183" t="s">
        <v>994</v>
      </c>
      <c r="F2" s="183" t="s">
        <v>995</v>
      </c>
      <c r="G2" s="183" t="s">
        <v>507</v>
      </c>
      <c r="H2" s="183" t="s">
        <v>996</v>
      </c>
      <c r="J2" s="833"/>
      <c r="K2" s="833"/>
      <c r="L2" s="835"/>
    </row>
    <row r="3" spans="1:14">
      <c r="A3" s="331" t="s">
        <v>1002</v>
      </c>
      <c r="B3" s="338">
        <f>+Profit!K9</f>
        <v>2750</v>
      </c>
      <c r="C3" s="327"/>
      <c r="D3" s="328"/>
      <c r="E3" s="334"/>
      <c r="F3" s="339"/>
      <c r="G3" s="335"/>
      <c r="H3" s="328"/>
      <c r="J3" s="3"/>
    </row>
    <row r="4" spans="1:14">
      <c r="A4" s="327" t="s">
        <v>1253</v>
      </c>
      <c r="B4" s="338">
        <f>+B3</f>
        <v>2750</v>
      </c>
      <c r="C4" s="327" t="s">
        <v>1094</v>
      </c>
      <c r="D4" s="457">
        <f>+B4</f>
        <v>2750</v>
      </c>
      <c r="E4" s="334">
        <v>5.75</v>
      </c>
      <c r="F4" s="339">
        <f>E4*D4</f>
        <v>15812.5</v>
      </c>
      <c r="G4" s="335"/>
      <c r="H4" s="328"/>
      <c r="J4" s="3"/>
    </row>
    <row r="5" spans="1:14" ht="15.75" thickBot="1">
      <c r="A5" s="327" t="s">
        <v>1254</v>
      </c>
      <c r="B5" s="338"/>
      <c r="C5" s="327"/>
      <c r="D5" s="457">
        <f>+B5</f>
        <v>0</v>
      </c>
      <c r="E5" s="334">
        <v>5.5</v>
      </c>
      <c r="F5" s="339">
        <f>E5*D5</f>
        <v>0</v>
      </c>
      <c r="G5" s="335">
        <f t="shared" ref="G5" si="0">+F5*0.0725</f>
        <v>0</v>
      </c>
      <c r="H5" s="315"/>
      <c r="J5" s="3"/>
    </row>
    <row r="6" spans="1:14">
      <c r="A6" s="327"/>
      <c r="B6" s="338"/>
      <c r="C6" s="327"/>
      <c r="D6" s="328"/>
      <c r="E6" s="334"/>
      <c r="F6" s="339"/>
      <c r="G6" s="335"/>
      <c r="H6" s="329">
        <f>IF(K1="Yes",SUM(F4:G5),0)</f>
        <v>15812.5</v>
      </c>
      <c r="J6" s="3"/>
      <c r="M6">
        <f>24*24</f>
        <v>576</v>
      </c>
    </row>
    <row r="7" spans="1:14">
      <c r="B7" s="120"/>
      <c r="D7"/>
      <c r="E7" s="5"/>
      <c r="F7" s="1"/>
      <c r="G7" s="26"/>
      <c r="H7"/>
      <c r="J7" s="3"/>
      <c r="M7">
        <f>12*6</f>
        <v>72</v>
      </c>
    </row>
    <row r="8" spans="1:14">
      <c r="A8" s="97" t="s">
        <v>1255</v>
      </c>
      <c r="B8" s="135">
        <v>300</v>
      </c>
      <c r="C8" s="97" t="s">
        <v>1094</v>
      </c>
      <c r="D8" s="176">
        <v>0</v>
      </c>
      <c r="E8" s="170">
        <f>8146/2526</f>
        <v>3.2248614410134602</v>
      </c>
      <c r="F8" s="339">
        <f t="shared" ref="F8:F20" si="1">B8*E8*D8</f>
        <v>0</v>
      </c>
      <c r="G8" s="26">
        <f t="shared" ref="G8:G20" si="2">+F8*0.0725</f>
        <v>0</v>
      </c>
      <c r="H8"/>
      <c r="I8" s="174"/>
      <c r="M8">
        <f>8*14/2</f>
        <v>56</v>
      </c>
    </row>
    <row r="9" spans="1:14">
      <c r="A9" s="97" t="s">
        <v>1256</v>
      </c>
      <c r="B9" s="135">
        <v>800</v>
      </c>
      <c r="C9" s="97"/>
      <c r="D9" s="176">
        <v>0</v>
      </c>
      <c r="E9" s="170">
        <v>6.22</v>
      </c>
      <c r="F9" s="339">
        <f t="shared" si="1"/>
        <v>0</v>
      </c>
      <c r="G9" s="26">
        <f t="shared" si="2"/>
        <v>0</v>
      </c>
      <c r="H9"/>
      <c r="M9">
        <f>24*26</f>
        <v>624</v>
      </c>
    </row>
    <row r="10" spans="1:14">
      <c r="A10" s="97" t="s">
        <v>1254</v>
      </c>
      <c r="B10" s="135">
        <v>1800</v>
      </c>
      <c r="C10" s="97"/>
      <c r="D10" s="176">
        <v>0</v>
      </c>
      <c r="E10" s="170">
        <v>3</v>
      </c>
      <c r="F10" s="339">
        <f t="shared" si="1"/>
        <v>0</v>
      </c>
      <c r="G10" s="26">
        <f t="shared" si="2"/>
        <v>0</v>
      </c>
      <c r="H10"/>
      <c r="M10">
        <f>22*18</f>
        <v>396</v>
      </c>
    </row>
    <row r="11" spans="1:14">
      <c r="A11" s="97"/>
      <c r="B11" s="135"/>
      <c r="C11" s="97"/>
      <c r="D11" s="176"/>
      <c r="E11" s="170"/>
      <c r="F11" s="339">
        <f t="shared" si="1"/>
        <v>0</v>
      </c>
      <c r="G11" s="26">
        <f t="shared" si="2"/>
        <v>0</v>
      </c>
      <c r="H11"/>
      <c r="M11">
        <f>18*18.5</f>
        <v>333</v>
      </c>
    </row>
    <row r="12" spans="1:14">
      <c r="A12" s="97"/>
      <c r="B12" s="135"/>
      <c r="C12" s="97"/>
      <c r="D12" s="176"/>
      <c r="E12" s="170"/>
      <c r="F12" s="339">
        <f t="shared" si="1"/>
        <v>0</v>
      </c>
      <c r="G12" s="26">
        <f t="shared" si="2"/>
        <v>0</v>
      </c>
      <c r="H12"/>
      <c r="M12">
        <v>400</v>
      </c>
    </row>
    <row r="13" spans="1:14">
      <c r="A13" s="97"/>
      <c r="B13" s="135"/>
      <c r="C13" s="97"/>
      <c r="D13" s="176"/>
      <c r="E13" s="170"/>
      <c r="F13" s="339">
        <f t="shared" si="1"/>
        <v>0</v>
      </c>
      <c r="G13" s="26">
        <f t="shared" si="2"/>
        <v>0</v>
      </c>
      <c r="H13"/>
      <c r="N13">
        <f>SUM(M6:M12)</f>
        <v>2457</v>
      </c>
    </row>
    <row r="14" spans="1:14">
      <c r="A14" s="97"/>
      <c r="B14" s="135"/>
      <c r="C14" s="97"/>
      <c r="D14" s="176"/>
      <c r="E14" s="170"/>
      <c r="F14" s="339">
        <f t="shared" si="1"/>
        <v>0</v>
      </c>
      <c r="G14" s="26">
        <f t="shared" si="2"/>
        <v>0</v>
      </c>
      <c r="H14"/>
    </row>
    <row r="15" spans="1:14">
      <c r="A15" s="97"/>
      <c r="B15" s="135"/>
      <c r="C15" s="97"/>
      <c r="D15" s="176"/>
      <c r="E15" s="170"/>
      <c r="F15" s="339">
        <f t="shared" si="1"/>
        <v>0</v>
      </c>
      <c r="G15" s="26">
        <f t="shared" si="2"/>
        <v>0</v>
      </c>
      <c r="H15"/>
    </row>
    <row r="16" spans="1:14">
      <c r="A16" s="97" t="s">
        <v>1257</v>
      </c>
      <c r="B16" s="135"/>
      <c r="C16" s="97"/>
      <c r="D16" s="176">
        <v>0</v>
      </c>
      <c r="E16" s="170">
        <v>0</v>
      </c>
      <c r="F16" s="339">
        <f t="shared" si="1"/>
        <v>0</v>
      </c>
      <c r="G16" s="26">
        <f t="shared" si="2"/>
        <v>0</v>
      </c>
      <c r="H16"/>
    </row>
    <row r="17" spans="1:11">
      <c r="A17" s="97" t="s">
        <v>1257</v>
      </c>
      <c r="B17" s="135"/>
      <c r="C17" s="97"/>
      <c r="D17" s="176">
        <v>0</v>
      </c>
      <c r="E17" s="170"/>
      <c r="F17" s="339">
        <f t="shared" si="1"/>
        <v>0</v>
      </c>
      <c r="G17" s="26">
        <f t="shared" si="2"/>
        <v>0</v>
      </c>
      <c r="H17"/>
    </row>
    <row r="18" spans="1:11">
      <c r="A18" s="97" t="s">
        <v>1257</v>
      </c>
      <c r="B18" s="135"/>
      <c r="C18" s="97"/>
      <c r="D18" s="176">
        <v>0</v>
      </c>
      <c r="E18" s="170"/>
      <c r="F18" s="339">
        <f t="shared" si="1"/>
        <v>0</v>
      </c>
      <c r="G18" s="26">
        <f t="shared" si="2"/>
        <v>0</v>
      </c>
      <c r="H18"/>
    </row>
    <row r="19" spans="1:11">
      <c r="A19" s="97" t="s">
        <v>1257</v>
      </c>
      <c r="B19" s="135"/>
      <c r="C19" s="97"/>
      <c r="D19" s="176">
        <v>0</v>
      </c>
      <c r="E19" s="170"/>
      <c r="F19" s="339">
        <f t="shared" si="1"/>
        <v>0</v>
      </c>
      <c r="G19" s="26">
        <f t="shared" si="2"/>
        <v>0</v>
      </c>
      <c r="H19"/>
    </row>
    <row r="20" spans="1:11" ht="15.75" thickBot="1">
      <c r="A20" s="97" t="s">
        <v>1258</v>
      </c>
      <c r="B20" s="135">
        <f>+$B$3</f>
        <v>2750</v>
      </c>
      <c r="C20" s="97"/>
      <c r="D20" s="176">
        <v>0</v>
      </c>
      <c r="E20" s="170">
        <v>1</v>
      </c>
      <c r="F20" s="339">
        <f t="shared" si="1"/>
        <v>0</v>
      </c>
      <c r="G20" s="26">
        <f t="shared" si="2"/>
        <v>0</v>
      </c>
      <c r="H20" s="23"/>
      <c r="K20" s="3"/>
    </row>
    <row r="21" spans="1:11">
      <c r="D21"/>
      <c r="E21" s="5"/>
      <c r="F21" s="1"/>
      <c r="G21" s="1"/>
      <c r="H21" s="14">
        <f>IF(K1="No",SUM(F8:G20),0)</f>
        <v>0</v>
      </c>
      <c r="J21" s="2"/>
    </row>
    <row r="22" spans="1:11">
      <c r="A22" s="2" t="s">
        <v>1259</v>
      </c>
      <c r="D22"/>
      <c r="F22" s="5">
        <v>0</v>
      </c>
      <c r="I22" s="14">
        <f>SUM(H6:H21)</f>
        <v>15812.5</v>
      </c>
      <c r="J22" s="2"/>
    </row>
    <row r="23" spans="1:11">
      <c r="A23" s="2" t="s">
        <v>328</v>
      </c>
      <c r="D23" t="s">
        <v>328</v>
      </c>
      <c r="E23" s="5" t="s">
        <v>328</v>
      </c>
      <c r="J23" s="2"/>
    </row>
    <row r="24" spans="1:11">
      <c r="J24" s="2"/>
      <c r="K24" s="1"/>
    </row>
    <row r="35" spans="10:10">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5"/>
  <sheetViews>
    <sheetView workbookViewId="0">
      <selection activeCell="F12" sqref="F12"/>
    </sheetView>
  </sheetViews>
  <sheetFormatPr defaultColWidth="9.140625" defaultRowHeight="15"/>
  <cols>
    <col min="1" max="1" width="15.5703125" style="2" bestFit="1" customWidth="1"/>
    <col min="2" max="2" width="15.5703125" style="2" customWidth="1"/>
    <col min="3" max="3" width="10.7109375" style="2" bestFit="1" customWidth="1"/>
    <col min="4" max="4" width="19.5703125" style="2" bestFit="1" customWidth="1"/>
    <col min="5" max="5" width="12.7109375" bestFit="1" customWidth="1"/>
    <col min="6" max="6" width="10.140625" style="5" bestFit="1" customWidth="1"/>
    <col min="7" max="7" width="9.140625" style="26"/>
    <col min="9" max="9" width="7.5703125" bestFit="1" customWidth="1"/>
    <col min="10" max="10" width="19.28515625" bestFit="1" customWidth="1"/>
    <col min="11" max="11" width="5.140625" customWidth="1"/>
    <col min="12" max="12" width="6.5703125" customWidth="1"/>
  </cols>
  <sheetData>
    <row r="1" spans="1:16" s="3" customFormat="1">
      <c r="G1" s="16"/>
      <c r="J1" s="832" t="s">
        <v>9</v>
      </c>
      <c r="K1" s="832" t="str">
        <f>IF(Profit!Q6,IF(L1,"Yes","No"),"No")</f>
        <v>Yes</v>
      </c>
      <c r="L1" s="834" t="b">
        <v>1</v>
      </c>
    </row>
    <row r="2" spans="1:16" ht="15.75" thickBot="1">
      <c r="A2" s="32" t="s">
        <v>527</v>
      </c>
      <c r="B2" s="32"/>
      <c r="C2" s="32"/>
      <c r="J2" s="833"/>
      <c r="K2" s="833"/>
      <c r="L2" s="835"/>
    </row>
    <row r="3" spans="1:16" s="22" customFormat="1">
      <c r="A3" s="3" t="s">
        <v>971</v>
      </c>
      <c r="B3" s="3" t="s">
        <v>512</v>
      </c>
      <c r="C3" s="3" t="s">
        <v>108</v>
      </c>
      <c r="D3" s="3" t="s">
        <v>1260</v>
      </c>
      <c r="E3" s="3" t="s">
        <v>993</v>
      </c>
      <c r="F3" s="8" t="s">
        <v>994</v>
      </c>
      <c r="G3" s="16" t="s">
        <v>975</v>
      </c>
      <c r="H3" s="3" t="s">
        <v>996</v>
      </c>
      <c r="J3" s="3"/>
      <c r="K3" s="3"/>
    </row>
    <row r="4" spans="1:16" s="22" customFormat="1" ht="15.75" thickBot="1">
      <c r="A4" s="328"/>
      <c r="B4" s="328" t="s">
        <v>1261</v>
      </c>
      <c r="C4" s="328"/>
      <c r="D4" s="327" t="s">
        <v>1262</v>
      </c>
      <c r="E4" s="343">
        <v>1</v>
      </c>
      <c r="F4" s="334">
        <v>16125</v>
      </c>
      <c r="G4" s="335">
        <f>+E4*F4</f>
        <v>16125</v>
      </c>
      <c r="H4" s="344"/>
      <c r="J4" s="3"/>
      <c r="K4" s="3"/>
    </row>
    <row r="5" spans="1:16" s="22" customFormat="1">
      <c r="A5" s="331"/>
      <c r="B5" s="331"/>
      <c r="C5" s="331"/>
      <c r="D5" s="331"/>
      <c r="E5" s="331"/>
      <c r="F5" s="332"/>
      <c r="G5" s="345"/>
      <c r="H5" s="346">
        <f>IF(K1="Yes",+SUM(G4),0)</f>
        <v>16125</v>
      </c>
      <c r="J5" s="3"/>
      <c r="K5" s="3"/>
    </row>
    <row r="6" spans="1:16" s="22" customFormat="1">
      <c r="A6" s="3"/>
      <c r="B6" s="3"/>
      <c r="C6" s="3"/>
      <c r="D6" s="3"/>
      <c r="E6" s="3"/>
      <c r="F6" s="8"/>
      <c r="G6" s="16"/>
      <c r="H6" s="3"/>
      <c r="J6" s="3"/>
      <c r="K6" s="3"/>
    </row>
    <row r="7" spans="1:16" s="22" customFormat="1">
      <c r="A7" s="3"/>
      <c r="B7" s="3"/>
      <c r="C7" s="3"/>
      <c r="D7" s="3"/>
      <c r="E7" s="3"/>
      <c r="F7" s="8"/>
      <c r="G7" s="16"/>
      <c r="H7" s="3"/>
      <c r="J7" s="3"/>
      <c r="K7" s="3"/>
    </row>
    <row r="8" spans="1:16">
      <c r="A8"/>
      <c r="B8" t="s">
        <v>1261</v>
      </c>
      <c r="C8"/>
      <c r="D8" s="2" t="s">
        <v>1262</v>
      </c>
      <c r="E8" s="11">
        <v>0</v>
      </c>
      <c r="F8" s="5">
        <v>6000</v>
      </c>
      <c r="G8" s="26">
        <f>+E8*F8</f>
        <v>0</v>
      </c>
    </row>
    <row r="9" spans="1:16">
      <c r="A9"/>
      <c r="B9" t="s">
        <v>1263</v>
      </c>
      <c r="C9"/>
      <c r="D9" s="2" t="s">
        <v>1264</v>
      </c>
      <c r="E9" s="11">
        <v>0</v>
      </c>
      <c r="F9" s="5">
        <v>8.98</v>
      </c>
      <c r="G9" s="26">
        <f>+E9*F9</f>
        <v>0</v>
      </c>
    </row>
    <row r="10" spans="1:16">
      <c r="A10"/>
      <c r="B10" t="s">
        <v>1265</v>
      </c>
      <c r="C10"/>
      <c r="D10" s="2" t="s">
        <v>1266</v>
      </c>
      <c r="E10" s="11">
        <v>0</v>
      </c>
      <c r="F10" s="5">
        <v>22.97</v>
      </c>
      <c r="G10" s="26">
        <f t="shared" ref="G10:G16" si="0">+E10*F10</f>
        <v>0</v>
      </c>
    </row>
    <row r="11" spans="1:16">
      <c r="A11" s="12">
        <v>46007</v>
      </c>
      <c r="B11" t="s">
        <v>1497</v>
      </c>
      <c r="C11"/>
      <c r="E11" s="11">
        <v>1</v>
      </c>
      <c r="F11" s="5">
        <v>336.23</v>
      </c>
      <c r="G11" s="26">
        <f t="shared" si="0"/>
        <v>336.23</v>
      </c>
    </row>
    <row r="12" spans="1:16">
      <c r="A12"/>
      <c r="B12" t="s">
        <v>1267</v>
      </c>
      <c r="C12"/>
      <c r="D12" s="2" t="s">
        <v>1268</v>
      </c>
      <c r="E12" s="11">
        <v>0</v>
      </c>
      <c r="F12" s="5">
        <v>44.93</v>
      </c>
      <c r="G12" s="26">
        <f t="shared" si="0"/>
        <v>0</v>
      </c>
    </row>
    <row r="13" spans="1:16">
      <c r="A13"/>
      <c r="B13" t="s">
        <v>1269</v>
      </c>
      <c r="C13"/>
      <c r="D13" s="2" t="s">
        <v>1270</v>
      </c>
      <c r="E13" s="11">
        <v>0</v>
      </c>
      <c r="F13" s="5">
        <v>5.98</v>
      </c>
      <c r="G13" s="26">
        <f t="shared" si="0"/>
        <v>0</v>
      </c>
    </row>
    <row r="14" spans="1:16">
      <c r="A14"/>
      <c r="B14" t="s">
        <v>1269</v>
      </c>
      <c r="C14"/>
      <c r="D14" s="2" t="s">
        <v>1271</v>
      </c>
      <c r="E14" s="11">
        <v>0</v>
      </c>
      <c r="F14" s="5">
        <v>4.97</v>
      </c>
      <c r="G14" s="26">
        <f t="shared" si="0"/>
        <v>0</v>
      </c>
      <c r="K14" s="32"/>
      <c r="L14" s="2"/>
      <c r="N14" s="5"/>
      <c r="O14" s="26"/>
    </row>
    <row r="15" spans="1:16">
      <c r="A15"/>
      <c r="B15" t="s">
        <v>1272</v>
      </c>
      <c r="C15"/>
      <c r="D15" s="2" t="s">
        <v>1273</v>
      </c>
      <c r="E15" s="11">
        <v>0</v>
      </c>
      <c r="F15" s="5">
        <v>23</v>
      </c>
      <c r="G15" s="26">
        <f t="shared" si="0"/>
        <v>0</v>
      </c>
      <c r="K15" s="3"/>
      <c r="L15" s="3"/>
      <c r="M15" s="3"/>
      <c r="N15" s="8"/>
      <c r="O15" s="16"/>
      <c r="P15" s="3"/>
    </row>
    <row r="16" spans="1:16">
      <c r="A16"/>
      <c r="B16" t="s">
        <v>1520</v>
      </c>
      <c r="C16" s="12">
        <v>45945</v>
      </c>
      <c r="E16" s="11">
        <v>1</v>
      </c>
      <c r="F16" s="5">
        <v>208.07</v>
      </c>
      <c r="G16" s="26">
        <f t="shared" si="0"/>
        <v>208.07</v>
      </c>
      <c r="L16" s="2"/>
      <c r="M16" s="11"/>
      <c r="N16" s="5"/>
      <c r="O16" s="26"/>
    </row>
    <row r="17" spans="1:16" ht="15.75" thickBot="1">
      <c r="A17" s="2" t="s">
        <v>1274</v>
      </c>
      <c r="B17" s="2" t="s">
        <v>1275</v>
      </c>
      <c r="C17" s="374">
        <v>45700</v>
      </c>
      <c r="E17">
        <v>0</v>
      </c>
      <c r="F17" s="5">
        <v>254.72</v>
      </c>
      <c r="G17" s="29">
        <f>+E17*F17</f>
        <v>0</v>
      </c>
      <c r="H17" s="29"/>
      <c r="L17" s="2"/>
      <c r="M17" s="11"/>
      <c r="N17" s="5"/>
      <c r="O17" s="26"/>
    </row>
    <row r="18" spans="1:16">
      <c r="E18" s="831"/>
      <c r="F18" s="746"/>
      <c r="G18" s="746"/>
      <c r="H18">
        <f>IF(K1="No",+SUM(G8:G17),0)</f>
        <v>0</v>
      </c>
      <c r="L18" s="2"/>
      <c r="M18" s="11"/>
      <c r="N18" s="5"/>
      <c r="O18" s="26"/>
    </row>
    <row r="19" spans="1:16">
      <c r="I19" s="1">
        <f>SUM(H5:H18)</f>
        <v>16125</v>
      </c>
      <c r="L19" s="2"/>
      <c r="M19" s="11"/>
      <c r="N19" s="5"/>
      <c r="O19" s="26"/>
    </row>
    <row r="20" spans="1:16">
      <c r="G20" s="2"/>
      <c r="H20" s="2"/>
      <c r="L20" s="2"/>
      <c r="M20" s="11"/>
      <c r="N20" s="5"/>
      <c r="O20" s="26"/>
    </row>
    <row r="21" spans="1:16">
      <c r="H21" s="4"/>
      <c r="L21" s="2"/>
      <c r="M21" s="11"/>
      <c r="N21" s="5"/>
      <c r="O21" s="26"/>
    </row>
    <row r="22" spans="1:16">
      <c r="L22" s="2"/>
      <c r="M22" s="11"/>
      <c r="N22" s="5"/>
      <c r="O22" s="26"/>
    </row>
    <row r="23" spans="1:16">
      <c r="L23" s="2"/>
      <c r="M23" s="11"/>
      <c r="N23" s="5"/>
      <c r="O23" s="26"/>
    </row>
    <row r="24" spans="1:16">
      <c r="K24" s="2"/>
      <c r="L24" s="2"/>
      <c r="N24" s="5"/>
      <c r="O24" s="26"/>
    </row>
    <row r="25" spans="1:16">
      <c r="K25" s="2"/>
      <c r="L25" s="2"/>
      <c r="M25" s="831"/>
      <c r="N25" s="746"/>
      <c r="O25" s="746"/>
      <c r="P25" s="4"/>
    </row>
  </sheetData>
  <mergeCells count="5">
    <mergeCell ref="E18:G18"/>
    <mergeCell ref="M25:O25"/>
    <mergeCell ref="J1:J2"/>
    <mergeCell ref="K1:K2"/>
    <mergeCell ref="L1:L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CE9D7-0525-431C-87AD-DCDBC2CDFDA7}">
  <sheetPr codeName="Sheet12"/>
  <dimension ref="A1:O107"/>
  <sheetViews>
    <sheetView workbookViewId="0">
      <pane ySplit="2" topLeftCell="A3" activePane="bottomLeft" state="frozen"/>
      <selection pane="bottomLeft" activeCell="L32" sqref="L32"/>
    </sheetView>
  </sheetViews>
  <sheetFormatPr defaultRowHeight="15"/>
  <cols>
    <col min="2" max="2" width="17.42578125" bestFit="1" customWidth="1"/>
    <col min="3" max="3" width="17.42578125" customWidth="1"/>
    <col min="4" max="4" width="111.7109375" style="25" customWidth="1"/>
    <col min="5" max="5" width="15.42578125" style="25" customWidth="1"/>
    <col min="6" max="6" width="6.5703125" style="2" bestFit="1" customWidth="1"/>
    <col min="7" max="7" width="10.140625" bestFit="1" customWidth="1"/>
    <col min="8" max="8" width="11.140625" style="5" bestFit="1" customWidth="1"/>
    <col min="9" max="9" width="9.140625" style="5"/>
    <col min="10" max="10" width="9.140625" style="1"/>
    <col min="11" max="11" width="12.7109375" bestFit="1" customWidth="1"/>
  </cols>
  <sheetData>
    <row r="1" spans="1:14">
      <c r="D1" s="32" t="s">
        <v>1384</v>
      </c>
      <c r="K1" s="832" t="s">
        <v>9</v>
      </c>
      <c r="L1" s="832" t="str">
        <f>IF(Profit!$Q$6,IF(M1,"Yes","No"),"No")</f>
        <v>Yes</v>
      </c>
      <c r="M1" s="834" t="b">
        <v>1</v>
      </c>
    </row>
    <row r="2" spans="1:14" s="3" customFormat="1" ht="15.75" thickBot="1">
      <c r="A2" s="3" t="s">
        <v>108</v>
      </c>
      <c r="C2" s="3" t="s">
        <v>971</v>
      </c>
      <c r="D2" s="3" t="s">
        <v>512</v>
      </c>
      <c r="E2" s="32" t="s">
        <v>1001</v>
      </c>
      <c r="F2" s="3" t="s">
        <v>513</v>
      </c>
      <c r="G2" s="8" t="s">
        <v>994</v>
      </c>
      <c r="H2" s="6" t="s">
        <v>995</v>
      </c>
      <c r="I2" s="13" t="s">
        <v>507</v>
      </c>
      <c r="J2" s="3" t="s">
        <v>996</v>
      </c>
      <c r="K2" s="833"/>
      <c r="L2" s="833"/>
      <c r="M2" s="835"/>
    </row>
    <row r="3" spans="1:14" s="3" customFormat="1">
      <c r="B3" s="331"/>
      <c r="C3" s="331"/>
      <c r="D3" s="536" t="s">
        <v>1002</v>
      </c>
      <c r="E3" s="536"/>
      <c r="F3" s="331"/>
      <c r="G3" s="332"/>
      <c r="H3" s="342"/>
      <c r="I3" s="333"/>
      <c r="K3"/>
      <c r="L3"/>
      <c r="M3" s="5"/>
    </row>
    <row r="4" spans="1:14" s="3" customFormat="1">
      <c r="B4" s="536" t="s">
        <v>1385</v>
      </c>
      <c r="C4" s="536"/>
      <c r="E4" s="537"/>
      <c r="F4" s="340"/>
      <c r="G4" s="334"/>
      <c r="H4" s="334"/>
      <c r="I4" s="335"/>
      <c r="K4"/>
      <c r="L4"/>
      <c r="M4" s="5"/>
    </row>
    <row r="5" spans="1:14" s="3" customFormat="1">
      <c r="B5" s="327"/>
      <c r="C5" s="327"/>
      <c r="D5" s="536" t="s">
        <v>1387</v>
      </c>
      <c r="E5" s="537" t="s">
        <v>1386</v>
      </c>
      <c r="F5" s="453">
        <v>15</v>
      </c>
      <c r="G5" s="170">
        <v>61.56</v>
      </c>
      <c r="H5" s="334">
        <f>+F5*G5</f>
        <v>923.40000000000009</v>
      </c>
      <c r="I5" s="335">
        <f t="shared" ref="I5" si="0">+H5*0.0725</f>
        <v>66.9465</v>
      </c>
      <c r="K5" s="2"/>
      <c r="L5" s="455"/>
      <c r="M5" s="5"/>
    </row>
    <row r="6" spans="1:14" s="3" customFormat="1" ht="14.25" customHeight="1">
      <c r="B6" s="327"/>
      <c r="C6" s="327"/>
      <c r="D6" s="536" t="s">
        <v>1388</v>
      </c>
      <c r="E6" s="537"/>
      <c r="F6" s="453">
        <v>2</v>
      </c>
      <c r="G6" s="170">
        <v>73.45</v>
      </c>
      <c r="H6" s="334">
        <f t="shared" ref="H6:H41" si="1">+F6*G6</f>
        <v>146.9</v>
      </c>
      <c r="I6" s="335">
        <f t="shared" ref="I6:I41" si="2">+H6*0.0725</f>
        <v>10.65025</v>
      </c>
      <c r="K6"/>
      <c r="L6"/>
      <c r="M6" s="5"/>
    </row>
    <row r="7" spans="1:14" s="3" customFormat="1">
      <c r="B7" s="327"/>
      <c r="C7" s="327"/>
      <c r="D7" s="536" t="s">
        <v>1389</v>
      </c>
      <c r="E7" s="537" t="s">
        <v>1390</v>
      </c>
      <c r="F7" s="453">
        <v>1</v>
      </c>
      <c r="G7" s="170">
        <v>89.95</v>
      </c>
      <c r="H7" s="334">
        <f t="shared" si="1"/>
        <v>89.95</v>
      </c>
      <c r="I7" s="335">
        <f t="shared" si="2"/>
        <v>6.5213749999999999</v>
      </c>
      <c r="K7"/>
      <c r="L7"/>
      <c r="M7" s="5"/>
    </row>
    <row r="8" spans="1:14" s="3" customFormat="1">
      <c r="B8" s="327" t="s">
        <v>1417</v>
      </c>
      <c r="C8" s="327"/>
      <c r="D8" s="537" t="s">
        <v>1418</v>
      </c>
      <c r="E8" s="537"/>
      <c r="F8" s="453"/>
      <c r="G8" s="170"/>
      <c r="H8" s="334">
        <f t="shared" si="1"/>
        <v>0</v>
      </c>
      <c r="I8" s="335">
        <f t="shared" si="2"/>
        <v>0</v>
      </c>
      <c r="K8"/>
      <c r="L8"/>
      <c r="M8" s="5"/>
      <c r="N8" s="32"/>
    </row>
    <row r="9" spans="1:14" s="3" customFormat="1">
      <c r="B9" s="327"/>
      <c r="C9" s="327"/>
      <c r="D9" s="537"/>
      <c r="E9" s="537"/>
      <c r="F9" s="453"/>
      <c r="G9" s="170"/>
      <c r="H9" s="334">
        <f t="shared" si="1"/>
        <v>0</v>
      </c>
      <c r="I9" s="335">
        <f t="shared" si="2"/>
        <v>0</v>
      </c>
      <c r="K9"/>
      <c r="L9"/>
      <c r="M9" s="5"/>
      <c r="N9" s="32"/>
    </row>
    <row r="10" spans="1:14" s="3" customFormat="1">
      <c r="B10" s="327" t="s">
        <v>1391</v>
      </c>
      <c r="C10" s="327"/>
      <c r="D10" s="537"/>
      <c r="E10" s="537"/>
      <c r="F10" s="453"/>
      <c r="G10" s="170"/>
      <c r="H10" s="334">
        <f t="shared" si="1"/>
        <v>0</v>
      </c>
      <c r="I10" s="335">
        <f t="shared" si="2"/>
        <v>0</v>
      </c>
      <c r="K10"/>
      <c r="L10"/>
      <c r="M10" s="5"/>
      <c r="N10" s="32"/>
    </row>
    <row r="11" spans="1:14" s="3" customFormat="1">
      <c r="A11" s="569">
        <v>45989</v>
      </c>
      <c r="B11" s="327"/>
      <c r="C11" s="327"/>
      <c r="D11" s="536" t="s">
        <v>1395</v>
      </c>
      <c r="E11" s="537" t="s">
        <v>1392</v>
      </c>
      <c r="F11" s="453">
        <v>1</v>
      </c>
      <c r="G11" s="170">
        <v>999.99</v>
      </c>
      <c r="H11" s="334">
        <f t="shared" si="1"/>
        <v>999.99</v>
      </c>
      <c r="I11" s="335">
        <f t="shared" si="2"/>
        <v>72.499274999999997</v>
      </c>
      <c r="K11"/>
      <c r="L11"/>
      <c r="M11" s="5"/>
      <c r="N11" s="32"/>
    </row>
    <row r="12" spans="1:14" s="3" customFormat="1">
      <c r="B12" s="327"/>
      <c r="C12" s="327"/>
      <c r="D12" s="537" t="s">
        <v>1407</v>
      </c>
      <c r="E12" s="537"/>
      <c r="F12" s="340"/>
      <c r="G12" s="334">
        <v>500</v>
      </c>
      <c r="H12" s="334">
        <f t="shared" si="1"/>
        <v>0</v>
      </c>
      <c r="I12" s="335">
        <f t="shared" si="2"/>
        <v>0</v>
      </c>
      <c r="K12"/>
      <c r="L12">
        <v>5</v>
      </c>
      <c r="M12" s="5"/>
    </row>
    <row r="13" spans="1:14" s="3" customFormat="1">
      <c r="B13" s="327"/>
      <c r="C13" s="327"/>
      <c r="D13" s="536"/>
      <c r="E13" s="537"/>
      <c r="F13" s="340"/>
      <c r="G13" s="334"/>
      <c r="H13" s="334">
        <f t="shared" si="1"/>
        <v>0</v>
      </c>
      <c r="I13" s="335">
        <f t="shared" si="2"/>
        <v>0</v>
      </c>
      <c r="K13"/>
      <c r="L13"/>
      <c r="M13" s="5"/>
    </row>
    <row r="14" spans="1:14" s="3" customFormat="1">
      <c r="B14" s="327" t="s">
        <v>1399</v>
      </c>
      <c r="C14" s="327"/>
      <c r="D14" s="537"/>
      <c r="E14" s="537"/>
      <c r="F14" s="453"/>
      <c r="G14" s="170"/>
      <c r="H14" s="334">
        <f t="shared" si="1"/>
        <v>0</v>
      </c>
      <c r="I14" s="335">
        <f t="shared" si="2"/>
        <v>0</v>
      </c>
      <c r="K14"/>
      <c r="L14"/>
      <c r="M14" s="5"/>
    </row>
    <row r="15" spans="1:14" s="3" customFormat="1">
      <c r="B15" s="327"/>
      <c r="C15" s="327"/>
      <c r="D15" s="537" t="s">
        <v>1401</v>
      </c>
      <c r="E15" s="537" t="s">
        <v>1402</v>
      </c>
      <c r="F15" s="453">
        <v>1</v>
      </c>
      <c r="G15" s="170">
        <v>799</v>
      </c>
      <c r="H15" s="334">
        <f t="shared" si="1"/>
        <v>799</v>
      </c>
      <c r="I15" s="335">
        <f t="shared" si="2"/>
        <v>57.927499999999995</v>
      </c>
      <c r="K15"/>
      <c r="L15"/>
      <c r="M15" s="5"/>
    </row>
    <row r="16" spans="1:14" s="3" customFormat="1">
      <c r="B16" s="327"/>
      <c r="C16" s="327"/>
      <c r="D16" s="537" t="s">
        <v>1400</v>
      </c>
      <c r="E16" s="537"/>
      <c r="F16" s="453"/>
      <c r="G16" s="170"/>
      <c r="H16" s="334">
        <f t="shared" si="1"/>
        <v>0</v>
      </c>
      <c r="I16" s="335">
        <f t="shared" si="2"/>
        <v>0</v>
      </c>
      <c r="K16"/>
      <c r="L16"/>
      <c r="M16" s="5"/>
    </row>
    <row r="17" spans="1:13" s="3" customFormat="1">
      <c r="B17" s="327"/>
      <c r="C17" s="327"/>
      <c r="D17" s="537" t="s">
        <v>1404</v>
      </c>
      <c r="E17" s="537" t="s">
        <v>1403</v>
      </c>
      <c r="F17" s="453">
        <v>6</v>
      </c>
      <c r="G17" s="170">
        <v>199.99</v>
      </c>
      <c r="H17" s="334">
        <f t="shared" si="1"/>
        <v>1199.94</v>
      </c>
      <c r="I17" s="335">
        <f t="shared" si="2"/>
        <v>86.995649999999998</v>
      </c>
      <c r="K17"/>
      <c r="L17"/>
      <c r="M17" s="5"/>
    </row>
    <row r="18" spans="1:13" s="3" customFormat="1">
      <c r="A18" s="569">
        <v>45992</v>
      </c>
      <c r="B18" s="327"/>
      <c r="C18" s="327"/>
      <c r="D18" s="537" t="s">
        <v>1477</v>
      </c>
      <c r="E18" s="537" t="s">
        <v>1406</v>
      </c>
      <c r="F18" s="453">
        <v>1</v>
      </c>
      <c r="G18" s="170">
        <v>325.18</v>
      </c>
      <c r="H18" s="334">
        <f t="shared" si="1"/>
        <v>325.18</v>
      </c>
      <c r="I18" s="335">
        <f t="shared" si="2"/>
        <v>23.57555</v>
      </c>
      <c r="K18"/>
      <c r="L18"/>
      <c r="M18" s="5"/>
    </row>
    <row r="19" spans="1:13" s="3" customFormat="1">
      <c r="A19" s="569">
        <v>45989</v>
      </c>
      <c r="B19" s="327"/>
      <c r="C19" s="327"/>
      <c r="D19" s="537" t="s">
        <v>1478</v>
      </c>
      <c r="E19" s="537"/>
      <c r="F19" s="453">
        <v>2</v>
      </c>
      <c r="G19" s="170">
        <v>71.2</v>
      </c>
      <c r="H19" s="334">
        <f t="shared" si="1"/>
        <v>142.4</v>
      </c>
      <c r="I19" s="335">
        <f t="shared" si="2"/>
        <v>10.324</v>
      </c>
      <c r="K19"/>
      <c r="L19"/>
      <c r="M19" s="5"/>
    </row>
    <row r="20" spans="1:13" s="3" customFormat="1">
      <c r="B20" s="327"/>
      <c r="C20" s="97" t="s">
        <v>1415</v>
      </c>
      <c r="D20" s="28" t="s">
        <v>1436</v>
      </c>
      <c r="E20" s="537"/>
      <c r="F20" s="340">
        <v>1</v>
      </c>
      <c r="G20" s="170">
        <v>825.83</v>
      </c>
      <c r="H20" s="334">
        <f t="shared" si="1"/>
        <v>825.83</v>
      </c>
      <c r="I20" s="335">
        <f t="shared" si="2"/>
        <v>59.872675000000001</v>
      </c>
      <c r="K20"/>
      <c r="L20"/>
      <c r="M20" s="5"/>
    </row>
    <row r="21" spans="1:13" s="3" customFormat="1">
      <c r="B21" s="327" t="s">
        <v>1413</v>
      </c>
      <c r="C21" s="327"/>
      <c r="D21" s="537"/>
      <c r="E21" s="537"/>
      <c r="F21" s="453"/>
      <c r="G21" s="170"/>
      <c r="H21" s="334">
        <f t="shared" si="1"/>
        <v>0</v>
      </c>
      <c r="I21" s="335">
        <f t="shared" si="2"/>
        <v>0</v>
      </c>
      <c r="K21"/>
      <c r="L21"/>
      <c r="M21" s="5"/>
    </row>
    <row r="22" spans="1:13" s="3" customFormat="1">
      <c r="B22" s="327"/>
      <c r="C22" s="97" t="s">
        <v>1414</v>
      </c>
      <c r="D22" s="28" t="s">
        <v>1408</v>
      </c>
      <c r="E22" s="537"/>
      <c r="F22" s="453">
        <v>1</v>
      </c>
      <c r="G22" s="170">
        <v>199</v>
      </c>
      <c r="H22" s="334">
        <f t="shared" si="1"/>
        <v>199</v>
      </c>
      <c r="I22" s="335">
        <f t="shared" si="2"/>
        <v>14.427499999999998</v>
      </c>
      <c r="K22"/>
      <c r="L22"/>
      <c r="M22" s="5"/>
    </row>
    <row r="23" spans="1:13" s="3" customFormat="1">
      <c r="B23" s="327"/>
      <c r="C23" s="97" t="s">
        <v>1414</v>
      </c>
      <c r="D23" s="28" t="s">
        <v>1409</v>
      </c>
      <c r="E23" s="537"/>
      <c r="F23" s="453">
        <v>3</v>
      </c>
      <c r="G23" s="170">
        <v>149</v>
      </c>
      <c r="H23" s="334">
        <f t="shared" si="1"/>
        <v>447</v>
      </c>
      <c r="I23" s="335">
        <f t="shared" si="2"/>
        <v>32.407499999999999</v>
      </c>
      <c r="K23"/>
      <c r="L23"/>
      <c r="M23" s="5"/>
    </row>
    <row r="24" spans="1:13" s="3" customFormat="1">
      <c r="B24" s="327"/>
      <c r="C24" s="97" t="s">
        <v>1414</v>
      </c>
      <c r="D24" s="28" t="s">
        <v>1411</v>
      </c>
      <c r="E24" s="537"/>
      <c r="F24" s="453">
        <v>1</v>
      </c>
      <c r="G24" s="170">
        <v>199</v>
      </c>
      <c r="H24" s="334">
        <f t="shared" si="1"/>
        <v>199</v>
      </c>
      <c r="I24" s="335">
        <f t="shared" si="2"/>
        <v>14.427499999999998</v>
      </c>
      <c r="K24"/>
      <c r="L24"/>
      <c r="M24" s="5"/>
    </row>
    <row r="25" spans="1:13" s="3" customFormat="1">
      <c r="B25" s="327"/>
      <c r="C25" s="97" t="s">
        <v>1414</v>
      </c>
      <c r="D25" s="28" t="s">
        <v>1410</v>
      </c>
      <c r="E25" s="537"/>
      <c r="F25" s="453">
        <v>1</v>
      </c>
      <c r="G25" s="170">
        <v>279</v>
      </c>
      <c r="H25" s="334">
        <f t="shared" si="1"/>
        <v>279</v>
      </c>
      <c r="I25" s="335">
        <f t="shared" si="2"/>
        <v>20.227499999999999</v>
      </c>
      <c r="K25"/>
      <c r="L25"/>
      <c r="M25" s="5"/>
    </row>
    <row r="26" spans="1:13" s="3" customFormat="1">
      <c r="B26" s="327"/>
      <c r="C26" s="97" t="s">
        <v>1414</v>
      </c>
      <c r="D26" s="28" t="s">
        <v>1412</v>
      </c>
      <c r="E26" s="537"/>
      <c r="F26" s="453">
        <v>1</v>
      </c>
      <c r="G26" s="170">
        <v>199</v>
      </c>
      <c r="H26" s="334">
        <f t="shared" si="1"/>
        <v>199</v>
      </c>
      <c r="I26" s="335">
        <f t="shared" si="2"/>
        <v>14.427499999999998</v>
      </c>
      <c r="K26"/>
      <c r="L26"/>
      <c r="M26" s="5"/>
    </row>
    <row r="27" spans="1:13" s="3" customFormat="1">
      <c r="A27" s="3">
        <v>17</v>
      </c>
      <c r="B27" s="327"/>
      <c r="C27" s="97" t="s">
        <v>1414</v>
      </c>
      <c r="D27" s="28" t="s">
        <v>1490</v>
      </c>
      <c r="E27" s="537"/>
      <c r="F27" s="453">
        <v>10</v>
      </c>
      <c r="G27" s="170">
        <v>169</v>
      </c>
      <c r="H27" s="334">
        <f t="shared" si="1"/>
        <v>1690</v>
      </c>
      <c r="I27" s="335">
        <f t="shared" si="2"/>
        <v>122.52499999999999</v>
      </c>
      <c r="K27"/>
      <c r="L27"/>
      <c r="M27" s="5"/>
    </row>
    <row r="28" spans="1:13" s="3" customFormat="1">
      <c r="B28" s="327"/>
      <c r="C28" s="97" t="s">
        <v>1415</v>
      </c>
      <c r="D28" s="28" t="s">
        <v>1416</v>
      </c>
      <c r="E28" s="537"/>
      <c r="F28" s="453">
        <v>1</v>
      </c>
      <c r="G28" s="170">
        <v>1490.78</v>
      </c>
      <c r="H28" s="334">
        <f t="shared" si="1"/>
        <v>1490.78</v>
      </c>
      <c r="I28" s="335">
        <f t="shared" si="2"/>
        <v>108.08154999999999</v>
      </c>
      <c r="K28"/>
      <c r="L28"/>
      <c r="M28" s="5"/>
    </row>
    <row r="29" spans="1:13" s="3" customFormat="1">
      <c r="B29" s="327"/>
      <c r="C29" s="327"/>
      <c r="D29" s="537"/>
      <c r="E29" s="537"/>
      <c r="F29" s="453"/>
      <c r="G29" s="170"/>
      <c r="H29" s="334">
        <f t="shared" si="1"/>
        <v>0</v>
      </c>
      <c r="I29" s="335">
        <f t="shared" si="2"/>
        <v>0</v>
      </c>
      <c r="K29"/>
      <c r="L29"/>
      <c r="M29" s="5"/>
    </row>
    <row r="30" spans="1:13" s="3" customFormat="1">
      <c r="B30" s="327" t="s">
        <v>1405</v>
      </c>
      <c r="C30" s="327"/>
      <c r="D30" s="537"/>
      <c r="E30" s="537"/>
      <c r="F30" s="453"/>
      <c r="G30" s="170"/>
      <c r="H30" s="334">
        <f t="shared" si="1"/>
        <v>0</v>
      </c>
      <c r="I30" s="335">
        <f t="shared" si="2"/>
        <v>0</v>
      </c>
      <c r="K30"/>
      <c r="L30"/>
      <c r="M30" s="5"/>
    </row>
    <row r="31" spans="1:13" s="3" customFormat="1">
      <c r="B31" s="327"/>
      <c r="C31" s="327"/>
      <c r="D31" s="537"/>
      <c r="E31" s="537"/>
      <c r="F31" s="453"/>
      <c r="G31" s="170"/>
      <c r="H31" s="334">
        <f t="shared" si="1"/>
        <v>0</v>
      </c>
      <c r="I31" s="335">
        <f t="shared" si="2"/>
        <v>0</v>
      </c>
      <c r="K31"/>
      <c r="L31"/>
      <c r="M31" s="5"/>
    </row>
    <row r="32" spans="1:13" s="3" customFormat="1">
      <c r="B32" s="327"/>
      <c r="C32" s="327"/>
      <c r="D32" s="537"/>
      <c r="E32" s="537"/>
      <c r="F32" s="453"/>
      <c r="G32" s="170"/>
      <c r="H32" s="334">
        <f t="shared" si="1"/>
        <v>0</v>
      </c>
      <c r="I32" s="335">
        <f t="shared" si="2"/>
        <v>0</v>
      </c>
      <c r="K32"/>
      <c r="L32"/>
      <c r="M32" s="5"/>
    </row>
    <row r="33" spans="1:13" s="3" customFormat="1">
      <c r="B33" s="327"/>
      <c r="C33" s="327"/>
      <c r="D33" s="537"/>
      <c r="E33" s="537"/>
      <c r="F33" s="453"/>
      <c r="G33" s="170"/>
      <c r="H33" s="334">
        <f t="shared" si="1"/>
        <v>0</v>
      </c>
      <c r="I33" s="335">
        <f t="shared" si="2"/>
        <v>0</v>
      </c>
      <c r="K33"/>
      <c r="L33"/>
      <c r="M33" s="5"/>
    </row>
    <row r="34" spans="1:13" s="3" customFormat="1">
      <c r="B34" s="327"/>
      <c r="C34" s="327"/>
      <c r="D34" s="537"/>
      <c r="E34" s="537"/>
      <c r="F34" s="453"/>
      <c r="G34" s="170"/>
      <c r="H34" s="334">
        <f t="shared" si="1"/>
        <v>0</v>
      </c>
      <c r="I34" s="335">
        <f t="shared" si="2"/>
        <v>0</v>
      </c>
      <c r="K34"/>
      <c r="L34"/>
      <c r="M34" s="5"/>
    </row>
    <row r="35" spans="1:13" s="3" customFormat="1">
      <c r="A35" s="569">
        <v>45989</v>
      </c>
      <c r="B35" s="327"/>
      <c r="C35" s="327"/>
      <c r="D35" s="537" t="s">
        <v>1447</v>
      </c>
      <c r="E35" s="537"/>
      <c r="F35" s="453">
        <v>4</v>
      </c>
      <c r="G35" s="170">
        <v>52.79</v>
      </c>
      <c r="H35" s="334">
        <f t="shared" si="1"/>
        <v>211.16</v>
      </c>
      <c r="I35" s="335">
        <f t="shared" si="2"/>
        <v>15.309099999999999</v>
      </c>
      <c r="K35"/>
      <c r="L35"/>
      <c r="M35" s="5"/>
    </row>
    <row r="36" spans="1:13" s="3" customFormat="1">
      <c r="B36" s="327"/>
      <c r="C36" s="327"/>
      <c r="D36" s="537" t="s">
        <v>1448</v>
      </c>
      <c r="E36" s="537"/>
      <c r="F36" s="453">
        <v>2</v>
      </c>
      <c r="G36" s="334">
        <v>23.79</v>
      </c>
      <c r="H36" s="334">
        <f t="shared" si="1"/>
        <v>47.58</v>
      </c>
      <c r="I36" s="335">
        <f t="shared" si="2"/>
        <v>3.4495499999999995</v>
      </c>
      <c r="K36"/>
      <c r="L36"/>
      <c r="M36" s="5"/>
    </row>
    <row r="37" spans="1:13" s="3" customFormat="1">
      <c r="B37" s="327"/>
      <c r="C37" s="327"/>
      <c r="D37" s="537" t="s">
        <v>1449</v>
      </c>
      <c r="E37" s="537"/>
      <c r="F37" s="453">
        <v>1</v>
      </c>
      <c r="G37" s="334">
        <v>29.74</v>
      </c>
      <c r="H37" s="334">
        <f t="shared" si="1"/>
        <v>29.74</v>
      </c>
      <c r="I37" s="335">
        <f t="shared" si="2"/>
        <v>2.1561499999999998</v>
      </c>
      <c r="K37"/>
      <c r="L37"/>
      <c r="M37" s="5"/>
    </row>
    <row r="38" spans="1:13" s="3" customFormat="1">
      <c r="B38" s="327"/>
      <c r="C38" s="327"/>
      <c r="D38" s="537" t="s">
        <v>1450</v>
      </c>
      <c r="E38" s="537"/>
      <c r="F38" s="453">
        <v>1</v>
      </c>
      <c r="G38" s="170">
        <v>29.99</v>
      </c>
      <c r="H38" s="334">
        <f t="shared" si="1"/>
        <v>29.99</v>
      </c>
      <c r="I38" s="335">
        <f t="shared" si="2"/>
        <v>2.1742749999999997</v>
      </c>
      <c r="K38"/>
      <c r="L38"/>
      <c r="M38" s="5"/>
    </row>
    <row r="39" spans="1:13" s="3" customFormat="1">
      <c r="B39" s="327"/>
      <c r="C39" s="327"/>
      <c r="D39" s="537" t="s">
        <v>1451</v>
      </c>
      <c r="E39" s="537"/>
      <c r="F39" s="453">
        <v>1</v>
      </c>
      <c r="G39" s="170">
        <v>20.99</v>
      </c>
      <c r="H39" s="334">
        <f t="shared" si="1"/>
        <v>20.99</v>
      </c>
      <c r="I39" s="335">
        <f t="shared" si="2"/>
        <v>1.5217749999999999</v>
      </c>
      <c r="K39"/>
      <c r="L39"/>
      <c r="M39" s="5"/>
    </row>
    <row r="40" spans="1:13" s="3" customFormat="1">
      <c r="B40" s="327"/>
      <c r="C40" s="327"/>
      <c r="D40" s="537"/>
      <c r="E40" s="537"/>
      <c r="F40" s="453"/>
      <c r="G40" s="170"/>
      <c r="H40" s="334">
        <f t="shared" si="1"/>
        <v>0</v>
      </c>
      <c r="I40" s="335">
        <f t="shared" si="2"/>
        <v>0</v>
      </c>
      <c r="K40"/>
      <c r="L40"/>
      <c r="M40" s="5"/>
    </row>
    <row r="41" spans="1:13" s="3" customFormat="1">
      <c r="A41" s="569">
        <v>45996</v>
      </c>
      <c r="B41" s="570"/>
      <c r="C41" s="327" t="s">
        <v>1470</v>
      </c>
      <c r="D41" s="537" t="s">
        <v>1471</v>
      </c>
      <c r="E41" s="537"/>
      <c r="F41" s="453">
        <v>2</v>
      </c>
      <c r="G41" s="334">
        <f>+(289.99+261)/2</f>
        <v>275.495</v>
      </c>
      <c r="H41" s="334">
        <f t="shared" si="1"/>
        <v>550.99</v>
      </c>
      <c r="I41" s="335">
        <f t="shared" si="2"/>
        <v>39.946774999999995</v>
      </c>
      <c r="K41"/>
      <c r="L41"/>
      <c r="M41" s="5"/>
    </row>
    <row r="42" spans="1:13" s="3" customFormat="1" ht="14.25" customHeight="1">
      <c r="A42" s="569">
        <v>45996</v>
      </c>
      <c r="B42" s="327"/>
      <c r="C42" s="327"/>
      <c r="D42" s="537" t="s">
        <v>1472</v>
      </c>
      <c r="E42" s="537"/>
      <c r="F42" s="453">
        <v>1</v>
      </c>
      <c r="G42" s="334">
        <v>0</v>
      </c>
      <c r="H42" s="334">
        <f t="shared" ref="H42:H47" si="3">+F42*G42</f>
        <v>0</v>
      </c>
      <c r="I42" s="335">
        <f t="shared" ref="I42:I47" si="4">+H42*0.0725</f>
        <v>0</v>
      </c>
      <c r="K42"/>
      <c r="L42"/>
      <c r="M42" s="5"/>
    </row>
    <row r="43" spans="1:13" s="3" customFormat="1" ht="14.25" customHeight="1">
      <c r="A43" s="569">
        <v>45996</v>
      </c>
      <c r="B43" s="327"/>
      <c r="C43" s="327"/>
      <c r="D43" s="537" t="s">
        <v>1473</v>
      </c>
      <c r="E43" s="537"/>
      <c r="F43" s="453">
        <v>3</v>
      </c>
      <c r="G43" s="334">
        <v>14.94</v>
      </c>
      <c r="H43" s="334">
        <f t="shared" si="3"/>
        <v>44.82</v>
      </c>
      <c r="I43" s="335">
        <f t="shared" si="4"/>
        <v>3.2494499999999999</v>
      </c>
      <c r="K43"/>
      <c r="L43"/>
      <c r="M43" s="5"/>
    </row>
    <row r="44" spans="1:13" s="3" customFormat="1" ht="14.25" customHeight="1">
      <c r="A44" s="569">
        <v>45996</v>
      </c>
      <c r="B44" s="327"/>
      <c r="C44" s="327"/>
      <c r="D44" s="536" t="s">
        <v>1474</v>
      </c>
      <c r="E44" s="537"/>
      <c r="F44" s="453">
        <v>5</v>
      </c>
      <c r="G44" s="334">
        <v>10.75</v>
      </c>
      <c r="H44" s="334">
        <f t="shared" si="3"/>
        <v>53.75</v>
      </c>
      <c r="I44" s="335">
        <f t="shared" si="4"/>
        <v>3.8968749999999996</v>
      </c>
      <c r="K44"/>
      <c r="L44"/>
      <c r="M44" s="5"/>
    </row>
    <row r="45" spans="1:13" s="3" customFormat="1" ht="14.25" customHeight="1">
      <c r="A45" s="569">
        <v>45996</v>
      </c>
      <c r="B45" s="327"/>
      <c r="C45" s="327"/>
      <c r="D45" s="537" t="s">
        <v>1475</v>
      </c>
      <c r="E45" s="537"/>
      <c r="F45" s="453">
        <v>4</v>
      </c>
      <c r="G45" s="170">
        <v>20.99</v>
      </c>
      <c r="H45" s="334">
        <f t="shared" si="3"/>
        <v>83.96</v>
      </c>
      <c r="I45" s="335">
        <f t="shared" si="4"/>
        <v>6.0870999999999995</v>
      </c>
      <c r="K45"/>
      <c r="L45"/>
      <c r="M45" s="5"/>
    </row>
    <row r="46" spans="1:13" s="3" customFormat="1" ht="14.25" customHeight="1">
      <c r="A46" s="569">
        <v>45996</v>
      </c>
      <c r="B46" s="327"/>
      <c r="C46" s="327"/>
      <c r="D46" s="537" t="s">
        <v>1476</v>
      </c>
      <c r="E46" s="537"/>
      <c r="F46" s="453">
        <v>7</v>
      </c>
      <c r="G46" s="170">
        <v>17.87</v>
      </c>
      <c r="H46" s="334">
        <f t="shared" si="3"/>
        <v>125.09</v>
      </c>
      <c r="I46" s="335">
        <f t="shared" si="4"/>
        <v>9.0690249999999999</v>
      </c>
      <c r="K46"/>
      <c r="L46"/>
      <c r="M46" s="5"/>
    </row>
    <row r="47" spans="1:13" s="3" customFormat="1" ht="14.25" customHeight="1">
      <c r="B47" s="327"/>
      <c r="C47" s="327"/>
      <c r="D47" s="537"/>
      <c r="E47" s="537"/>
      <c r="F47" s="453"/>
      <c r="G47" s="170"/>
      <c r="H47" s="334">
        <f t="shared" si="3"/>
        <v>0</v>
      </c>
      <c r="I47" s="335">
        <f t="shared" si="4"/>
        <v>0</v>
      </c>
      <c r="K47"/>
      <c r="L47"/>
      <c r="M47" s="5"/>
    </row>
    <row r="48" spans="1:13" s="3" customFormat="1" ht="14.25" customHeight="1">
      <c r="B48" s="327"/>
      <c r="C48" s="327"/>
      <c r="D48" s="537"/>
      <c r="E48" s="537"/>
      <c r="F48" s="453"/>
      <c r="G48" s="170"/>
      <c r="H48" s="334"/>
      <c r="I48" s="335"/>
      <c r="K48"/>
      <c r="L48"/>
      <c r="M48" s="5"/>
    </row>
    <row r="49" spans="2:13" s="3" customFormat="1" ht="14.25" customHeight="1">
      <c r="B49" s="327"/>
      <c r="C49" s="327"/>
      <c r="D49" s="536"/>
      <c r="E49" s="537"/>
      <c r="F49" s="453"/>
      <c r="G49" s="170"/>
      <c r="H49" s="334"/>
      <c r="I49" s="335"/>
      <c r="K49"/>
      <c r="L49"/>
      <c r="M49" s="5"/>
    </row>
    <row r="50" spans="2:13" s="3" customFormat="1" ht="14.25" customHeight="1">
      <c r="B50" s="327"/>
      <c r="C50" s="327"/>
      <c r="D50" s="537"/>
      <c r="E50" s="537"/>
      <c r="F50" s="453"/>
      <c r="G50" s="170"/>
      <c r="H50" s="334"/>
      <c r="I50" s="335"/>
      <c r="K50" t="s">
        <v>1059</v>
      </c>
      <c r="L50"/>
      <c r="M50" s="5"/>
    </row>
    <row r="51" spans="2:13" s="3" customFormat="1" ht="14.25" customHeight="1">
      <c r="B51" s="327"/>
      <c r="C51" s="327"/>
      <c r="D51" s="537"/>
      <c r="E51" s="537"/>
      <c r="F51" s="453"/>
      <c r="G51" s="170"/>
      <c r="H51" s="334"/>
      <c r="I51" s="335"/>
      <c r="K51"/>
      <c r="L51"/>
      <c r="M51" s="5"/>
    </row>
    <row r="52" spans="2:13" s="3" customFormat="1" ht="14.25" customHeight="1">
      <c r="B52" s="327"/>
      <c r="C52" s="327"/>
      <c r="D52" s="537"/>
      <c r="E52" s="537"/>
      <c r="F52" s="453"/>
      <c r="G52" s="170"/>
      <c r="H52" s="334"/>
      <c r="I52" s="335"/>
      <c r="K52"/>
      <c r="L52"/>
      <c r="M52" s="5"/>
    </row>
    <row r="53" spans="2:13" s="3" customFormat="1" ht="14.25" customHeight="1">
      <c r="B53" s="327"/>
      <c r="C53" s="327"/>
      <c r="D53" s="537"/>
      <c r="E53" s="537"/>
      <c r="F53" s="453"/>
      <c r="G53" s="170"/>
      <c r="H53" s="334"/>
      <c r="I53" s="335"/>
      <c r="K53"/>
      <c r="L53"/>
      <c r="M53" s="5"/>
    </row>
    <row r="54" spans="2:13" s="3" customFormat="1" ht="14.25" customHeight="1">
      <c r="B54" s="327"/>
      <c r="C54" s="327"/>
      <c r="D54" s="537"/>
      <c r="E54" s="537"/>
      <c r="F54" s="453"/>
      <c r="G54" s="170"/>
      <c r="H54" s="334"/>
      <c r="I54" s="335"/>
      <c r="K54"/>
      <c r="L54"/>
      <c r="M54" s="5"/>
    </row>
    <row r="55" spans="2:13" s="3" customFormat="1" ht="14.25" customHeight="1">
      <c r="B55" s="327"/>
      <c r="C55" s="327"/>
      <c r="D55" s="537"/>
      <c r="E55" s="537"/>
      <c r="F55" s="453"/>
      <c r="G55" s="170"/>
      <c r="H55" s="334"/>
      <c r="I55" s="335"/>
      <c r="K55"/>
      <c r="L55"/>
      <c r="M55" s="5"/>
    </row>
    <row r="56" spans="2:13" s="3" customFormat="1" ht="14.25" customHeight="1">
      <c r="B56" s="327"/>
      <c r="C56" s="327"/>
      <c r="D56" s="537"/>
      <c r="E56" s="537"/>
      <c r="F56" s="453"/>
      <c r="G56" s="170"/>
      <c r="H56" s="334"/>
      <c r="I56" s="335"/>
      <c r="K56"/>
      <c r="L56"/>
      <c r="M56" s="5"/>
    </row>
    <row r="57" spans="2:13" s="3" customFormat="1" ht="14.25" customHeight="1">
      <c r="B57" s="327"/>
      <c r="C57" s="327"/>
      <c r="D57" s="537"/>
      <c r="E57" s="537"/>
      <c r="F57" s="453"/>
      <c r="G57" s="170"/>
      <c r="H57" s="334"/>
      <c r="I57" s="335"/>
      <c r="K57"/>
      <c r="L57"/>
      <c r="M57" s="5"/>
    </row>
    <row r="58" spans="2:13" s="3" customFormat="1" ht="14.25" customHeight="1">
      <c r="B58" s="327"/>
      <c r="C58" s="327"/>
      <c r="D58" s="537"/>
      <c r="E58" s="537"/>
      <c r="F58" s="453"/>
      <c r="G58" s="170"/>
      <c r="H58" s="334"/>
      <c r="I58" s="335"/>
      <c r="K58"/>
      <c r="L58"/>
      <c r="M58" s="5"/>
    </row>
    <row r="59" spans="2:13" s="3" customFormat="1" ht="14.25" customHeight="1">
      <c r="B59" s="327"/>
      <c r="C59" s="327"/>
      <c r="D59" s="537"/>
      <c r="E59" s="537"/>
      <c r="F59" s="453"/>
      <c r="G59" s="170"/>
      <c r="H59" s="334"/>
      <c r="I59" s="335"/>
      <c r="K59"/>
      <c r="L59"/>
      <c r="M59" s="5"/>
    </row>
    <row r="60" spans="2:13" s="3" customFormat="1" ht="14.25" customHeight="1">
      <c r="B60" s="327"/>
      <c r="C60" s="327"/>
      <c r="D60" s="537"/>
      <c r="E60" s="537"/>
      <c r="F60" s="453"/>
      <c r="G60" s="170"/>
      <c r="H60" s="334"/>
      <c r="I60" s="335"/>
      <c r="K60"/>
      <c r="L60"/>
      <c r="M60" s="5"/>
    </row>
    <row r="61" spans="2:13" s="3" customFormat="1" ht="14.25" customHeight="1">
      <c r="B61" s="327"/>
      <c r="C61" s="327"/>
      <c r="D61" s="537"/>
      <c r="E61" s="537"/>
      <c r="F61" s="453"/>
      <c r="G61" s="170"/>
      <c r="H61" s="334"/>
      <c r="I61" s="335"/>
      <c r="K61"/>
      <c r="L61"/>
      <c r="M61" s="5"/>
    </row>
    <row r="62" spans="2:13" s="3" customFormat="1" ht="14.25" customHeight="1">
      <c r="B62" s="327"/>
      <c r="C62" s="327"/>
      <c r="D62" s="537"/>
      <c r="E62" s="537"/>
      <c r="F62" s="453"/>
      <c r="G62" s="170"/>
      <c r="H62" s="334"/>
      <c r="I62" s="335"/>
      <c r="K62"/>
      <c r="L62"/>
      <c r="M62" s="5"/>
    </row>
    <row r="63" spans="2:13" s="3" customFormat="1" ht="14.25" customHeight="1">
      <c r="B63" s="327"/>
      <c r="C63" s="327"/>
      <c r="D63" s="537"/>
      <c r="E63" s="537"/>
      <c r="F63" s="453"/>
      <c r="G63" s="334"/>
      <c r="H63" s="334"/>
      <c r="I63" s="335"/>
      <c r="K63"/>
      <c r="L63"/>
      <c r="M63" s="5"/>
    </row>
    <row r="64" spans="2:13">
      <c r="B64" s="327"/>
      <c r="C64" s="327"/>
      <c r="D64" s="538"/>
      <c r="E64" s="537"/>
      <c r="F64" s="341"/>
      <c r="G64" s="334"/>
      <c r="H64" s="334"/>
      <c r="I64" s="339"/>
      <c r="J64"/>
    </row>
    <row r="65" spans="1:13" s="3" customFormat="1">
      <c r="D65" s="32"/>
      <c r="E65" s="32"/>
      <c r="F65" s="831" t="s">
        <v>1065</v>
      </c>
      <c r="G65" s="746"/>
      <c r="H65" s="746"/>
      <c r="I65" s="30"/>
      <c r="J65" s="1">
        <f>IF(L1="Yes",SUM(H4:H64)+SUM(I4:I64),0)</f>
        <v>11963.1369</v>
      </c>
      <c r="K65"/>
      <c r="L65"/>
      <c r="M65" s="5"/>
    </row>
    <row r="66" spans="1:13" s="3" customFormat="1">
      <c r="D66" s="32"/>
      <c r="E66" s="32"/>
      <c r="K66"/>
      <c r="L66"/>
      <c r="M66" s="5"/>
    </row>
    <row r="67" spans="1:13" s="3" customFormat="1">
      <c r="B67"/>
      <c r="C67"/>
      <c r="D67" s="32"/>
      <c r="E67" s="32"/>
      <c r="K67"/>
      <c r="L67"/>
      <c r="M67" s="5"/>
    </row>
    <row r="68" spans="1:13">
      <c r="A68" s="110"/>
      <c r="D68" s="28" t="s">
        <v>1005</v>
      </c>
      <c r="E68" s="28" t="s">
        <v>1066</v>
      </c>
      <c r="F68" s="533">
        <f>+F5+F14+F15+F17</f>
        <v>22</v>
      </c>
      <c r="G68" s="170">
        <v>3.1988329063478509</v>
      </c>
      <c r="H68" s="5">
        <f t="shared" ref="H68:H74" si="5">+F68*G68</f>
        <v>70.374323939652726</v>
      </c>
      <c r="I68" s="26">
        <f t="shared" ref="I68:I74" si="6">+H68*0.0725</f>
        <v>5.1021384856248222</v>
      </c>
      <c r="J68"/>
      <c r="M68" s="5"/>
    </row>
    <row r="69" spans="1:13">
      <c r="A69" s="110"/>
      <c r="D69" s="28" t="s">
        <v>1008</v>
      </c>
      <c r="E69" s="28" t="s">
        <v>1068</v>
      </c>
      <c r="F69" s="533">
        <f>+F6+F7</f>
        <v>3</v>
      </c>
      <c r="G69" s="170">
        <v>6.9898989898989878</v>
      </c>
      <c r="H69" s="5">
        <f t="shared" si="5"/>
        <v>20.969696969696962</v>
      </c>
      <c r="I69" s="26">
        <f t="shared" si="6"/>
        <v>1.5203030303030296</v>
      </c>
      <c r="J69"/>
      <c r="M69" s="5"/>
    </row>
    <row r="70" spans="1:13">
      <c r="A70" s="110"/>
      <c r="D70" s="28" t="s">
        <v>1020</v>
      </c>
      <c r="E70" s="28" t="s">
        <v>1068</v>
      </c>
      <c r="F70" s="533">
        <f>+F16</f>
        <v>0</v>
      </c>
      <c r="G70" s="170">
        <v>7.782467532467531</v>
      </c>
      <c r="H70" s="5">
        <f t="shared" si="5"/>
        <v>0</v>
      </c>
      <c r="I70" s="26">
        <f t="shared" si="6"/>
        <v>0</v>
      </c>
      <c r="J70"/>
      <c r="M70" s="5"/>
    </row>
    <row r="71" spans="1:13">
      <c r="D71" s="28" t="s">
        <v>1070</v>
      </c>
      <c r="E71" s="28" t="s">
        <v>1071</v>
      </c>
      <c r="F71" s="176">
        <v>0</v>
      </c>
      <c r="G71" s="170">
        <v>85.89</v>
      </c>
      <c r="H71" s="5">
        <f t="shared" si="5"/>
        <v>0</v>
      </c>
      <c r="I71" s="26">
        <f t="shared" si="6"/>
        <v>0</v>
      </c>
      <c r="J71"/>
    </row>
    <row r="72" spans="1:13">
      <c r="D72" s="28"/>
      <c r="E72" s="28"/>
      <c r="F72" s="176"/>
      <c r="G72" s="170"/>
      <c r="H72" s="5">
        <f t="shared" si="5"/>
        <v>0</v>
      </c>
      <c r="I72" s="26">
        <f t="shared" si="6"/>
        <v>0</v>
      </c>
      <c r="J72"/>
    </row>
    <row r="73" spans="1:13">
      <c r="D73" s="28" t="s">
        <v>1072</v>
      </c>
      <c r="E73" s="28" t="s">
        <v>1073</v>
      </c>
      <c r="F73" s="176">
        <v>0</v>
      </c>
      <c r="G73" s="170">
        <v>109.95</v>
      </c>
      <c r="H73" s="5">
        <f t="shared" si="5"/>
        <v>0</v>
      </c>
      <c r="I73" s="26">
        <f t="shared" si="6"/>
        <v>0</v>
      </c>
      <c r="J73"/>
    </row>
    <row r="74" spans="1:13">
      <c r="D74" s="28" t="s">
        <v>1074</v>
      </c>
      <c r="E74" s="28" t="s">
        <v>1075</v>
      </c>
      <c r="F74" s="176">
        <v>0</v>
      </c>
      <c r="G74" s="170">
        <v>65.64</v>
      </c>
      <c r="H74" s="5">
        <f t="shared" si="5"/>
        <v>0</v>
      </c>
      <c r="I74" s="26">
        <f t="shared" si="6"/>
        <v>0</v>
      </c>
      <c r="J74"/>
    </row>
    <row r="76" spans="1:13">
      <c r="J76"/>
    </row>
    <row r="77" spans="1:13">
      <c r="D77" s="28" t="s">
        <v>1076</v>
      </c>
      <c r="E77" s="28" t="s">
        <v>1077</v>
      </c>
      <c r="F77" s="176"/>
      <c r="G77" s="170">
        <v>33.99</v>
      </c>
      <c r="H77" s="5">
        <f>+F77*G77</f>
        <v>0</v>
      </c>
      <c r="I77" s="26">
        <f>+H77*0.0725</f>
        <v>0</v>
      </c>
      <c r="J77"/>
    </row>
    <row r="78" spans="1:13">
      <c r="D78" s="28" t="s">
        <v>1078</v>
      </c>
      <c r="E78" s="28" t="s">
        <v>1077</v>
      </c>
      <c r="F78" s="176"/>
      <c r="G78" s="170">
        <v>33.99</v>
      </c>
      <c r="H78" s="5">
        <f t="shared" ref="H78:H87" si="7">+F78*G78</f>
        <v>0</v>
      </c>
      <c r="I78" s="26">
        <f t="shared" ref="I78:I87" si="8">+H78*0.0725</f>
        <v>0</v>
      </c>
      <c r="J78"/>
    </row>
    <row r="79" spans="1:13">
      <c r="D79" s="28" t="s">
        <v>1079</v>
      </c>
      <c r="E79" s="28">
        <v>185342</v>
      </c>
      <c r="F79" s="176"/>
      <c r="G79" s="176">
        <f>147/5</f>
        <v>29.4</v>
      </c>
      <c r="H79" s="5">
        <f t="shared" si="7"/>
        <v>0</v>
      </c>
      <c r="I79" s="26">
        <f t="shared" si="8"/>
        <v>0</v>
      </c>
      <c r="J79"/>
    </row>
    <row r="80" spans="1:13">
      <c r="D80" s="28" t="s">
        <v>1080</v>
      </c>
      <c r="E80" s="28" t="s">
        <v>1081</v>
      </c>
      <c r="F80" s="176">
        <v>0</v>
      </c>
      <c r="G80" s="170">
        <f>5*25.79</f>
        <v>128.94999999999999</v>
      </c>
      <c r="H80" s="5">
        <f t="shared" si="7"/>
        <v>0</v>
      </c>
      <c r="I80" s="26">
        <f t="shared" si="8"/>
        <v>0</v>
      </c>
      <c r="J80"/>
    </row>
    <row r="81" spans="4:11">
      <c r="D81" s="28"/>
      <c r="E81" s="28"/>
      <c r="F81" s="176"/>
      <c r="G81" s="170"/>
      <c r="H81" s="5">
        <f t="shared" si="7"/>
        <v>0</v>
      </c>
      <c r="I81" s="26">
        <f t="shared" si="8"/>
        <v>0</v>
      </c>
      <c r="J81"/>
    </row>
    <row r="82" spans="4:11">
      <c r="D82" s="28" t="s">
        <v>1082</v>
      </c>
      <c r="E82" s="28" t="s">
        <v>1083</v>
      </c>
      <c r="F82" s="176">
        <v>0</v>
      </c>
      <c r="G82" s="170">
        <f>5*63.05</f>
        <v>315.25</v>
      </c>
      <c r="H82" s="5">
        <f t="shared" si="7"/>
        <v>0</v>
      </c>
      <c r="I82" s="26">
        <f t="shared" si="8"/>
        <v>0</v>
      </c>
      <c r="J82"/>
    </row>
    <row r="83" spans="4:11">
      <c r="D83" s="28" t="s">
        <v>1084</v>
      </c>
      <c r="E83" s="28">
        <v>389832</v>
      </c>
      <c r="F83" s="176">
        <v>0</v>
      </c>
      <c r="G83" s="170">
        <v>39.979999999999997</v>
      </c>
      <c r="H83" s="5">
        <f t="shared" si="7"/>
        <v>0</v>
      </c>
      <c r="I83" s="26">
        <f t="shared" si="8"/>
        <v>0</v>
      </c>
      <c r="J83"/>
    </row>
    <row r="84" spans="4:11">
      <c r="D84" s="28" t="s">
        <v>1085</v>
      </c>
      <c r="E84" s="28">
        <v>985007</v>
      </c>
      <c r="F84" s="176"/>
      <c r="G84" s="170">
        <v>52.23</v>
      </c>
      <c r="H84" s="5">
        <f t="shared" si="7"/>
        <v>0</v>
      </c>
      <c r="I84" s="26">
        <f t="shared" si="8"/>
        <v>0</v>
      </c>
      <c r="J84"/>
    </row>
    <row r="85" spans="4:11">
      <c r="D85" s="28" t="s">
        <v>1086</v>
      </c>
      <c r="E85" s="28">
        <v>814917</v>
      </c>
      <c r="F85" s="176"/>
      <c r="G85" s="170">
        <f>109/5</f>
        <v>21.8</v>
      </c>
      <c r="H85" s="5">
        <f t="shared" si="7"/>
        <v>0</v>
      </c>
      <c r="I85" s="26">
        <f t="shared" si="8"/>
        <v>0</v>
      </c>
      <c r="J85"/>
    </row>
    <row r="86" spans="4:11">
      <c r="D86" s="28" t="s">
        <v>1087</v>
      </c>
      <c r="E86" s="28" t="s">
        <v>1088</v>
      </c>
      <c r="F86" s="176">
        <v>0</v>
      </c>
      <c r="G86" s="170">
        <v>40</v>
      </c>
      <c r="H86" s="5">
        <f t="shared" si="7"/>
        <v>0</v>
      </c>
      <c r="I86" s="26">
        <f t="shared" si="8"/>
        <v>0</v>
      </c>
      <c r="J86"/>
    </row>
    <row r="87" spans="4:11">
      <c r="D87" s="25" t="s">
        <v>1089</v>
      </c>
      <c r="E87" s="28" t="s">
        <v>1090</v>
      </c>
      <c r="F87" s="176">
        <v>0</v>
      </c>
      <c r="G87" s="170">
        <v>50.24</v>
      </c>
      <c r="H87" s="5">
        <f t="shared" si="7"/>
        <v>0</v>
      </c>
      <c r="I87" s="26">
        <f t="shared" si="8"/>
        <v>0</v>
      </c>
    </row>
    <row r="88" spans="4:11">
      <c r="F88"/>
      <c r="G88" s="5"/>
      <c r="I88" s="1"/>
      <c r="J88"/>
    </row>
    <row r="89" spans="4:11">
      <c r="D89" s="28"/>
      <c r="E89" s="28"/>
      <c r="F89" s="176"/>
      <c r="G89" s="170"/>
      <c r="I89" s="26"/>
      <c r="J89"/>
    </row>
    <row r="90" spans="4:11">
      <c r="D90" s="28"/>
      <c r="E90" s="28"/>
      <c r="F90" s="176"/>
      <c r="G90" s="170"/>
      <c r="I90" s="26"/>
      <c r="J90"/>
    </row>
    <row r="91" spans="4:11">
      <c r="F91"/>
      <c r="G91" s="5"/>
      <c r="I91" s="1"/>
      <c r="J91"/>
    </row>
    <row r="92" spans="4:11">
      <c r="F92"/>
      <c r="G92" s="5"/>
      <c r="I92" s="1"/>
      <c r="J92"/>
    </row>
    <row r="93" spans="4:11">
      <c r="D93" s="28"/>
      <c r="E93" s="28"/>
      <c r="F93" s="176"/>
      <c r="G93" s="170"/>
      <c r="I93" s="26"/>
      <c r="J93"/>
    </row>
    <row r="94" spans="4:11">
      <c r="F94" s="176"/>
      <c r="G94" s="170"/>
      <c r="I94" s="26"/>
      <c r="J94"/>
    </row>
    <row r="95" spans="4:11">
      <c r="D95" s="28"/>
      <c r="E95" s="28"/>
      <c r="F95" s="176"/>
      <c r="G95" s="170"/>
      <c r="I95" s="26"/>
      <c r="J95"/>
    </row>
    <row r="96" spans="4:11">
      <c r="E96" s="28"/>
      <c r="F96" s="176"/>
      <c r="G96" s="170"/>
      <c r="I96" s="26"/>
      <c r="J96"/>
      <c r="K96" s="2"/>
    </row>
    <row r="97" spans="4:15">
      <c r="F97" s="176"/>
      <c r="G97" s="170"/>
      <c r="I97" s="26"/>
      <c r="K97" s="2"/>
    </row>
    <row r="98" spans="4:15" ht="15.75" thickBot="1">
      <c r="F98"/>
      <c r="G98" s="5"/>
      <c r="H98" s="209"/>
      <c r="I98" s="179"/>
      <c r="J98" s="29"/>
    </row>
    <row r="99" spans="4:15">
      <c r="F99" s="831" t="s">
        <v>1091</v>
      </c>
      <c r="G99" s="746"/>
      <c r="H99" s="746"/>
      <c r="I99" s="30"/>
      <c r="J99" s="1">
        <f>IF($L$1="No",SUM(H68:H98)+SUM(I68:I98),0)</f>
        <v>0</v>
      </c>
      <c r="O99" s="2"/>
    </row>
    <row r="101" spans="4:15">
      <c r="D101" s="25" t="s">
        <v>1092</v>
      </c>
      <c r="F101"/>
      <c r="G101" s="5"/>
      <c r="H101" s="1"/>
      <c r="I101" s="1"/>
      <c r="J101"/>
    </row>
    <row r="102" spans="4:15">
      <c r="D102" s="28" t="s">
        <v>1093</v>
      </c>
      <c r="E102" s="28" t="s">
        <v>1094</v>
      </c>
      <c r="F102" s="176">
        <v>0</v>
      </c>
      <c r="G102" s="170">
        <v>0</v>
      </c>
      <c r="H102" s="1">
        <f>IF(F102="yes",#REF!*#REF!,G102)</f>
        <v>0</v>
      </c>
      <c r="I102" s="1"/>
      <c r="J102"/>
    </row>
    <row r="103" spans="4:15">
      <c r="D103" s="28" t="s">
        <v>1092</v>
      </c>
      <c r="E103" s="28" t="s">
        <v>1023</v>
      </c>
      <c r="F103" s="176">
        <v>0</v>
      </c>
      <c r="G103" s="170">
        <v>0</v>
      </c>
      <c r="H103" s="1">
        <f>IF(F103="yes",#REF!*#REF!,G103)</f>
        <v>0</v>
      </c>
      <c r="I103" s="1"/>
      <c r="J103"/>
    </row>
    <row r="104" spans="4:15" ht="15.75" thickBot="1">
      <c r="D104" s="28" t="s">
        <v>1092</v>
      </c>
      <c r="E104" s="28" t="s">
        <v>1095</v>
      </c>
      <c r="F104" s="176">
        <v>0</v>
      </c>
      <c r="G104" s="170">
        <v>0</v>
      </c>
      <c r="H104" s="1">
        <f>IF(F104="yes",#REF!*#REF!,G104)</f>
        <v>0</v>
      </c>
      <c r="I104" s="1"/>
      <c r="J104" s="23"/>
      <c r="L104" s="3"/>
    </row>
    <row r="105" spans="4:15">
      <c r="F105"/>
      <c r="G105" s="5"/>
      <c r="H105" s="1"/>
      <c r="I105" s="1"/>
      <c r="J105" s="1">
        <f>IF($L$1="No",SUM(H102:H104)+SUM(I102:I104),0)</f>
        <v>0</v>
      </c>
      <c r="L105" s="1"/>
    </row>
    <row r="106" spans="4:15">
      <c r="F106"/>
      <c r="G106" s="5"/>
      <c r="H106" s="5" t="s">
        <v>1096</v>
      </c>
      <c r="K106" s="1">
        <f>SUM(J65:J105)</f>
        <v>11963.1369</v>
      </c>
    </row>
    <row r="107" spans="4:15">
      <c r="F107"/>
      <c r="G107" s="5"/>
    </row>
  </sheetData>
  <mergeCells count="5">
    <mergeCell ref="K1:K2"/>
    <mergeCell ref="L1:L2"/>
    <mergeCell ref="M1:M2"/>
    <mergeCell ref="F65:H65"/>
    <mergeCell ref="F99:H99"/>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K1" sqref="K1:K2"/>
    </sheetView>
  </sheetViews>
  <sheetFormatPr defaultColWidth="9.140625" defaultRowHeight="1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c r="A1" s="3" t="s">
        <v>594</v>
      </c>
      <c r="B1" s="3"/>
      <c r="I1" s="832" t="s">
        <v>9</v>
      </c>
      <c r="J1" s="832" t="str">
        <f>IF(Profit!Q6,IF(K1,"Yes","No"),"No")</f>
        <v>Yes</v>
      </c>
      <c r="K1" s="834" t="b">
        <v>1</v>
      </c>
    </row>
    <row r="2" spans="1:11" ht="15.75" thickBot="1">
      <c r="C2" s="3"/>
      <c r="D2" s="8"/>
      <c r="E2" s="13"/>
      <c r="F2" s="13"/>
      <c r="G2" s="13"/>
      <c r="I2" s="833"/>
      <c r="J2" s="833"/>
      <c r="K2" s="835"/>
    </row>
    <row r="3" spans="1:11">
      <c r="A3" s="3" t="s">
        <v>512</v>
      </c>
      <c r="B3" s="3" t="s">
        <v>1106</v>
      </c>
      <c r="C3" s="3" t="s">
        <v>993</v>
      </c>
      <c r="D3" s="8" t="s">
        <v>994</v>
      </c>
      <c r="E3" s="13" t="s">
        <v>995</v>
      </c>
      <c r="F3" s="13" t="s">
        <v>507</v>
      </c>
      <c r="G3" s="13" t="s">
        <v>996</v>
      </c>
    </row>
    <row r="4" spans="1:11">
      <c r="A4" s="337" t="s">
        <v>1276</v>
      </c>
      <c r="B4" s="337" t="s">
        <v>1277</v>
      </c>
      <c r="C4" s="328">
        <v>4</v>
      </c>
      <c r="D4" s="334">
        <v>21.97</v>
      </c>
      <c r="E4" s="329">
        <f>+C4*D4</f>
        <v>87.88</v>
      </c>
      <c r="F4" s="335">
        <f t="shared" ref="F4:F7" si="0">+E4*0.0725</f>
        <v>6.3712999999999989</v>
      </c>
      <c r="G4" s="333"/>
    </row>
    <row r="5" spans="1:11">
      <c r="A5" s="337" t="s">
        <v>1278</v>
      </c>
      <c r="B5" s="337" t="s">
        <v>1279</v>
      </c>
      <c r="C5" s="328">
        <v>2</v>
      </c>
      <c r="D5" s="334">
        <v>79.97</v>
      </c>
      <c r="E5" s="329">
        <f t="shared" ref="E5:E7" si="1">+C5*D5</f>
        <v>159.94</v>
      </c>
      <c r="F5" s="335">
        <f t="shared" si="0"/>
        <v>11.595649999999999</v>
      </c>
      <c r="G5" s="329"/>
    </row>
    <row r="6" spans="1:11">
      <c r="A6" s="337" t="s">
        <v>1280</v>
      </c>
      <c r="B6" s="337" t="s">
        <v>1281</v>
      </c>
      <c r="C6" s="328">
        <v>1</v>
      </c>
      <c r="D6" s="334">
        <v>123</v>
      </c>
      <c r="E6" s="329">
        <f t="shared" si="1"/>
        <v>123</v>
      </c>
      <c r="F6" s="335">
        <f t="shared" si="0"/>
        <v>8.9174999999999986</v>
      </c>
      <c r="G6" s="329"/>
    </row>
    <row r="7" spans="1:11" ht="15.75" thickBot="1">
      <c r="A7" s="337" t="s">
        <v>1282</v>
      </c>
      <c r="B7" s="337" t="s">
        <v>1283</v>
      </c>
      <c r="C7" s="328">
        <v>2</v>
      </c>
      <c r="D7" s="334">
        <v>54.98</v>
      </c>
      <c r="E7" s="329">
        <f t="shared" si="1"/>
        <v>109.96</v>
      </c>
      <c r="F7" s="335">
        <f t="shared" si="0"/>
        <v>7.9720999999999993</v>
      </c>
      <c r="G7" s="336"/>
    </row>
    <row r="8" spans="1:11">
      <c r="A8" s="331"/>
      <c r="B8" s="331"/>
      <c r="C8" s="331"/>
      <c r="D8" s="332"/>
      <c r="E8" s="333"/>
      <c r="F8" s="333"/>
      <c r="G8" s="329">
        <f>IF(J1="Yes",SUM(E4:F7),0)</f>
        <v>515.63654999999994</v>
      </c>
    </row>
    <row r="9" spans="1:11">
      <c r="A9" s="3"/>
      <c r="B9" s="3"/>
      <c r="C9" s="3"/>
      <c r="D9" s="8"/>
      <c r="E9" s="13"/>
      <c r="F9" s="13"/>
    </row>
    <row r="10" spans="1:11">
      <c r="A10" s="3"/>
      <c r="B10" s="3"/>
      <c r="C10" s="3"/>
      <c r="D10" s="8"/>
      <c r="E10" s="13"/>
      <c r="F10" s="13"/>
      <c r="G10" s="13"/>
    </row>
    <row r="11" spans="1:11">
      <c r="A11" s="3" t="s">
        <v>1284</v>
      </c>
      <c r="B11" s="3" t="s">
        <v>1285</v>
      </c>
      <c r="C11" s="30">
        <v>0</v>
      </c>
      <c r="D11" s="8">
        <v>39.97</v>
      </c>
      <c r="E11" s="14">
        <f>+C11*D11</f>
        <v>0</v>
      </c>
      <c r="F11" s="26">
        <f t="shared" ref="F11:F33" si="2">+E11*0.0725</f>
        <v>0</v>
      </c>
      <c r="G11" s="13"/>
    </row>
    <row r="12" spans="1:11">
      <c r="A12" s="30" t="s">
        <v>1276</v>
      </c>
      <c r="B12" s="30" t="s">
        <v>1277</v>
      </c>
      <c r="C12">
        <v>0</v>
      </c>
      <c r="D12" s="5">
        <v>21.97</v>
      </c>
      <c r="E12" s="14">
        <f>+C12*D12</f>
        <v>0</v>
      </c>
      <c r="F12" s="26">
        <f t="shared" si="2"/>
        <v>0</v>
      </c>
    </row>
    <row r="13" spans="1:11">
      <c r="A13" s="30" t="s">
        <v>1276</v>
      </c>
      <c r="B13" s="30" t="s">
        <v>1286</v>
      </c>
      <c r="C13">
        <v>0</v>
      </c>
      <c r="D13" s="5">
        <v>29.97</v>
      </c>
      <c r="E13" s="14">
        <f>+C13*D13</f>
        <v>0</v>
      </c>
      <c r="F13" s="26">
        <f t="shared" si="2"/>
        <v>0</v>
      </c>
    </row>
    <row r="14" spans="1:11">
      <c r="A14" s="30" t="s">
        <v>1276</v>
      </c>
      <c r="B14" s="30" t="s">
        <v>1287</v>
      </c>
      <c r="C14">
        <v>0</v>
      </c>
      <c r="D14" s="5">
        <v>21.97</v>
      </c>
      <c r="E14" s="14">
        <f>+C14*D14</f>
        <v>0</v>
      </c>
      <c r="F14" s="26">
        <f t="shared" si="2"/>
        <v>0</v>
      </c>
    </row>
    <row r="15" spans="1:11">
      <c r="A15" s="30" t="s">
        <v>1276</v>
      </c>
      <c r="B15" s="30" t="s">
        <v>1288</v>
      </c>
      <c r="C15">
        <v>0</v>
      </c>
      <c r="D15" s="5">
        <v>69.97</v>
      </c>
      <c r="E15" s="14">
        <f>+C15*D15</f>
        <v>0</v>
      </c>
      <c r="F15" s="26">
        <f t="shared" si="2"/>
        <v>0</v>
      </c>
    </row>
    <row r="16" spans="1:11">
      <c r="A16" s="30" t="s">
        <v>1289</v>
      </c>
      <c r="B16" s="30" t="s">
        <v>1290</v>
      </c>
      <c r="C16">
        <v>0</v>
      </c>
      <c r="D16" s="5">
        <v>64.97</v>
      </c>
      <c r="E16" s="14">
        <f t="shared" ref="E16:E33" si="3">+C16*D16</f>
        <v>0</v>
      </c>
      <c r="F16" s="26">
        <f t="shared" si="2"/>
        <v>0</v>
      </c>
    </row>
    <row r="17" spans="1:6">
      <c r="A17" s="30" t="s">
        <v>1291</v>
      </c>
      <c r="B17" s="30" t="s">
        <v>1292</v>
      </c>
      <c r="C17">
        <v>0</v>
      </c>
      <c r="D17" s="5">
        <v>89.97</v>
      </c>
      <c r="E17" s="14">
        <f t="shared" si="3"/>
        <v>0</v>
      </c>
      <c r="F17" s="26">
        <f t="shared" si="2"/>
        <v>0</v>
      </c>
    </row>
    <row r="18" spans="1:6">
      <c r="A18" s="30" t="s">
        <v>1293</v>
      </c>
      <c r="B18" s="30">
        <v>2535475</v>
      </c>
      <c r="C18">
        <v>0</v>
      </c>
      <c r="D18" s="5">
        <v>24.98</v>
      </c>
      <c r="E18" s="14">
        <f t="shared" si="3"/>
        <v>0</v>
      </c>
      <c r="F18" s="26">
        <f t="shared" si="2"/>
        <v>0</v>
      </c>
    </row>
    <row r="19" spans="1:6">
      <c r="A19" s="30" t="s">
        <v>1294</v>
      </c>
      <c r="B19" s="30"/>
      <c r="C19">
        <v>0</v>
      </c>
      <c r="D19" s="5">
        <v>10.9</v>
      </c>
      <c r="E19" s="14">
        <f t="shared" si="3"/>
        <v>0</v>
      </c>
      <c r="F19" s="26">
        <f t="shared" si="2"/>
        <v>0</v>
      </c>
    </row>
    <row r="20" spans="1:6">
      <c r="A20" s="30" t="s">
        <v>1295</v>
      </c>
      <c r="B20" s="30" t="s">
        <v>1296</v>
      </c>
      <c r="C20">
        <v>0</v>
      </c>
      <c r="D20" s="5">
        <v>62.97</v>
      </c>
      <c r="E20" s="14">
        <f t="shared" si="3"/>
        <v>0</v>
      </c>
      <c r="F20" s="26">
        <f t="shared" si="2"/>
        <v>0</v>
      </c>
    </row>
    <row r="21" spans="1:6">
      <c r="A21" s="30" t="s">
        <v>1282</v>
      </c>
      <c r="B21" s="30" t="s">
        <v>1283</v>
      </c>
      <c r="C21">
        <v>0</v>
      </c>
      <c r="D21" s="5">
        <v>54.98</v>
      </c>
      <c r="E21" s="14">
        <f t="shared" si="3"/>
        <v>0</v>
      </c>
      <c r="F21" s="26">
        <f t="shared" si="2"/>
        <v>0</v>
      </c>
    </row>
    <row r="22" spans="1:6">
      <c r="A22" s="30" t="s">
        <v>1297</v>
      </c>
      <c r="B22" s="30" t="s">
        <v>1298</v>
      </c>
      <c r="C22">
        <v>0</v>
      </c>
      <c r="D22" s="5">
        <v>17.97</v>
      </c>
      <c r="E22" s="14">
        <f t="shared" si="3"/>
        <v>0</v>
      </c>
      <c r="F22" s="26">
        <f t="shared" si="2"/>
        <v>0</v>
      </c>
    </row>
    <row r="23" spans="1:6">
      <c r="A23" s="30" t="s">
        <v>1299</v>
      </c>
      <c r="B23" s="30" t="s">
        <v>1300</v>
      </c>
      <c r="C23">
        <v>0</v>
      </c>
      <c r="D23" s="5">
        <v>16.98</v>
      </c>
      <c r="E23" s="14">
        <f t="shared" si="3"/>
        <v>0</v>
      </c>
      <c r="F23" s="26">
        <f t="shared" si="2"/>
        <v>0</v>
      </c>
    </row>
    <row r="24" spans="1:6">
      <c r="A24" s="30" t="s">
        <v>1301</v>
      </c>
      <c r="B24" s="30" t="s">
        <v>1302</v>
      </c>
      <c r="C24">
        <v>0</v>
      </c>
      <c r="D24" s="5">
        <v>3.27</v>
      </c>
      <c r="E24" s="14">
        <f t="shared" si="3"/>
        <v>0</v>
      </c>
      <c r="F24" s="26">
        <f t="shared" si="2"/>
        <v>0</v>
      </c>
    </row>
    <row r="25" spans="1:6">
      <c r="A25" s="30" t="s">
        <v>1278</v>
      </c>
      <c r="B25" s="30" t="s">
        <v>1279</v>
      </c>
      <c r="C25">
        <v>0</v>
      </c>
      <c r="D25" s="5">
        <v>79.97</v>
      </c>
      <c r="E25" s="14">
        <f t="shared" si="3"/>
        <v>0</v>
      </c>
      <c r="F25" s="26">
        <f t="shared" si="2"/>
        <v>0</v>
      </c>
    </row>
    <row r="26" spans="1:6">
      <c r="A26" s="30" t="s">
        <v>1280</v>
      </c>
      <c r="B26" s="30" t="s">
        <v>1281</v>
      </c>
      <c r="C26">
        <v>0</v>
      </c>
      <c r="D26" s="5">
        <v>123</v>
      </c>
      <c r="E26" s="14">
        <f t="shared" si="3"/>
        <v>0</v>
      </c>
      <c r="F26" s="26">
        <f t="shared" si="2"/>
        <v>0</v>
      </c>
    </row>
    <row r="27" spans="1:6">
      <c r="A27" s="30" t="s">
        <v>1303</v>
      </c>
      <c r="B27" s="30" t="s">
        <v>1304</v>
      </c>
      <c r="C27">
        <v>0</v>
      </c>
      <c r="D27" s="5">
        <v>13.98</v>
      </c>
      <c r="E27" s="14">
        <f t="shared" si="3"/>
        <v>0</v>
      </c>
      <c r="F27" s="26">
        <f t="shared" si="2"/>
        <v>0</v>
      </c>
    </row>
    <row r="28" spans="1:6">
      <c r="A28" s="30" t="s">
        <v>1305</v>
      </c>
      <c r="B28" s="30">
        <v>39800072986</v>
      </c>
      <c r="C28">
        <v>0</v>
      </c>
      <c r="D28" s="5">
        <v>17.87</v>
      </c>
      <c r="E28" s="14">
        <f t="shared" si="3"/>
        <v>0</v>
      </c>
      <c r="F28" s="26">
        <f t="shared" si="2"/>
        <v>0</v>
      </c>
    </row>
    <row r="29" spans="1:6">
      <c r="A29" s="30" t="s">
        <v>1306</v>
      </c>
      <c r="B29" s="187">
        <v>46335120372</v>
      </c>
      <c r="C29">
        <v>0</v>
      </c>
      <c r="D29" s="5">
        <v>99.97</v>
      </c>
      <c r="E29" s="14">
        <f t="shared" si="3"/>
        <v>0</v>
      </c>
      <c r="F29" s="26">
        <f t="shared" si="2"/>
        <v>0</v>
      </c>
    </row>
    <row r="30" spans="1:6">
      <c r="A30" s="30" t="s">
        <v>1307</v>
      </c>
      <c r="B30" s="187">
        <v>792145370178</v>
      </c>
      <c r="C30">
        <v>0</v>
      </c>
      <c r="D30" s="5">
        <v>59.97</v>
      </c>
      <c r="E30" s="14">
        <f t="shared" si="3"/>
        <v>0</v>
      </c>
      <c r="F30" s="26">
        <f t="shared" si="2"/>
        <v>0</v>
      </c>
    </row>
    <row r="31" spans="1:6">
      <c r="A31" s="30" t="s">
        <v>1308</v>
      </c>
      <c r="B31" s="30">
        <v>82392573331</v>
      </c>
      <c r="C31">
        <v>0</v>
      </c>
      <c r="D31" s="5">
        <v>109</v>
      </c>
      <c r="E31" s="14">
        <f t="shared" si="3"/>
        <v>0</v>
      </c>
      <c r="F31" s="26">
        <f t="shared" si="2"/>
        <v>0</v>
      </c>
    </row>
    <row r="32" spans="1:6">
      <c r="A32" s="30" t="s">
        <v>1309</v>
      </c>
      <c r="B32" s="30">
        <v>5190530</v>
      </c>
      <c r="C32">
        <v>0</v>
      </c>
      <c r="D32" s="5">
        <v>18.98</v>
      </c>
      <c r="E32" s="14">
        <f t="shared" si="3"/>
        <v>0</v>
      </c>
      <c r="F32" s="26">
        <f t="shared" si="2"/>
        <v>0</v>
      </c>
    </row>
    <row r="33" spans="1:10" ht="15.75" thickBot="1">
      <c r="A33" s="30" t="s">
        <v>1310</v>
      </c>
      <c r="B33" s="30"/>
      <c r="C33">
        <v>0</v>
      </c>
      <c r="D33" s="5">
        <v>-19.98</v>
      </c>
      <c r="E33" s="21">
        <f t="shared" si="3"/>
        <v>0</v>
      </c>
      <c r="F33" s="21">
        <f t="shared" si="2"/>
        <v>0</v>
      </c>
      <c r="G33" s="21"/>
    </row>
    <row r="34" spans="1:10">
      <c r="A34" s="30"/>
      <c r="B34" s="30"/>
    </row>
    <row r="35" spans="1:10">
      <c r="G35" s="14">
        <f>IF(J1="No",SUM(E11:F33),0)</f>
        <v>0</v>
      </c>
      <c r="J35" s="1"/>
    </row>
    <row r="36" spans="1:10">
      <c r="H36" s="14">
        <f>SUM(G8:G35)</f>
        <v>515.63654999999994</v>
      </c>
    </row>
    <row r="38" spans="1:10">
      <c r="G38"/>
    </row>
    <row r="39" spans="1:10">
      <c r="G39"/>
    </row>
    <row r="40" spans="1:10">
      <c r="G40"/>
    </row>
    <row r="41" spans="1:10">
      <c r="G41"/>
    </row>
  </sheetData>
  <mergeCells count="3">
    <mergeCell ref="I1:I2"/>
    <mergeCell ref="J1:J2"/>
    <mergeCell ref="K1:K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K17"/>
  <sheetViews>
    <sheetView workbookViewId="0">
      <pane ySplit="2" topLeftCell="A3" activePane="bottomLeft" state="frozen"/>
      <selection pane="bottomLeft" activeCell="B13" sqref="B13"/>
    </sheetView>
  </sheetViews>
  <sheetFormatPr defaultRowHeight="15"/>
  <cols>
    <col min="2" max="2" width="24.7109375" style="2" bestFit="1" customWidth="1"/>
    <col min="3" max="3" width="15.28515625" style="18" customWidth="1"/>
    <col min="4" max="4" width="15.28515625" style="2" customWidth="1"/>
    <col min="6" max="6" width="9.140625" style="5"/>
    <col min="7" max="7" width="9.140625" style="1"/>
    <col min="9" max="9" width="19.28515625" bestFit="1" customWidth="1"/>
  </cols>
  <sheetData>
    <row r="1" spans="1:11" s="3" customFormat="1">
      <c r="B1" s="3" t="s">
        <v>1311</v>
      </c>
      <c r="C1" s="16"/>
      <c r="I1" s="832" t="s">
        <v>9</v>
      </c>
      <c r="J1" s="832" t="str">
        <f>IF(Profit!Q6,IF(K1,"Yes","No"),"No")</f>
        <v>No</v>
      </c>
      <c r="K1" s="834" t="b">
        <v>0</v>
      </c>
    </row>
    <row r="2" spans="1:11" s="15" customFormat="1" ht="15.75" thickBot="1">
      <c r="A2" s="15" t="s">
        <v>108</v>
      </c>
      <c r="B2" s="3" t="s">
        <v>1312</v>
      </c>
      <c r="C2" s="17" t="s">
        <v>1313</v>
      </c>
      <c r="D2" s="30" t="s">
        <v>1314</v>
      </c>
      <c r="E2" s="3" t="s">
        <v>993</v>
      </c>
      <c r="F2" s="8" t="s">
        <v>1315</v>
      </c>
      <c r="G2" s="6" t="s">
        <v>1316</v>
      </c>
      <c r="H2" s="15" t="s">
        <v>996</v>
      </c>
      <c r="I2" s="833"/>
      <c r="J2" s="833"/>
      <c r="K2" s="835"/>
    </row>
    <row r="4" spans="1:11">
      <c r="B4" s="2" t="s">
        <v>1317</v>
      </c>
      <c r="C4" s="18">
        <v>0.79</v>
      </c>
      <c r="D4" s="2">
        <v>500</v>
      </c>
      <c r="E4">
        <v>0</v>
      </c>
      <c r="F4" s="5">
        <v>60</v>
      </c>
      <c r="G4" s="1">
        <f>+D4*C4*E4</f>
        <v>0</v>
      </c>
    </row>
    <row r="5" spans="1:11">
      <c r="B5" s="2" t="s">
        <v>1318</v>
      </c>
      <c r="C5" s="18">
        <v>1</v>
      </c>
      <c r="D5" s="2">
        <f>24*10</f>
        <v>240</v>
      </c>
      <c r="E5">
        <v>0</v>
      </c>
      <c r="F5" s="5">
        <v>60</v>
      </c>
      <c r="G5" s="1">
        <f>+D5*C5*E5</f>
        <v>0</v>
      </c>
    </row>
    <row r="6" spans="1:11">
      <c r="B6" s="2" t="s">
        <v>1319</v>
      </c>
      <c r="C6" s="18" t="s">
        <v>1320</v>
      </c>
      <c r="E6">
        <v>3</v>
      </c>
      <c r="F6" s="5">
        <v>60</v>
      </c>
      <c r="G6" s="1">
        <f t="shared" ref="G6:G11" si="0">+E6*F6</f>
        <v>180</v>
      </c>
      <c r="H6">
        <v>180</v>
      </c>
    </row>
    <row r="7" spans="1:11">
      <c r="B7" s="2" t="s">
        <v>1319</v>
      </c>
      <c r="C7" s="18" t="s">
        <v>1321</v>
      </c>
      <c r="E7">
        <v>2</v>
      </c>
      <c r="F7" s="5">
        <v>60</v>
      </c>
      <c r="G7" s="1">
        <f t="shared" si="0"/>
        <v>120</v>
      </c>
      <c r="H7">
        <v>120</v>
      </c>
    </row>
    <row r="8" spans="1:11">
      <c r="B8" s="2" t="s">
        <v>1324</v>
      </c>
      <c r="C8" s="18" t="s">
        <v>1325</v>
      </c>
      <c r="E8">
        <v>3</v>
      </c>
      <c r="F8" s="5">
        <v>60</v>
      </c>
      <c r="G8" s="1">
        <f>+E8*F8</f>
        <v>180</v>
      </c>
    </row>
    <row r="9" spans="1:11">
      <c r="B9" s="2" t="s">
        <v>1324</v>
      </c>
      <c r="C9" s="18" t="s">
        <v>1326</v>
      </c>
      <c r="E9">
        <v>2</v>
      </c>
      <c r="F9" s="5">
        <v>60</v>
      </c>
      <c r="G9" s="1">
        <f>+E9*F9</f>
        <v>120</v>
      </c>
      <c r="H9">
        <v>1385</v>
      </c>
    </row>
    <row r="10" spans="1:11" ht="15.75" thickBot="1">
      <c r="B10" s="2" t="s">
        <v>1324</v>
      </c>
      <c r="C10" s="18" t="s">
        <v>1327</v>
      </c>
      <c r="E10">
        <v>2</v>
      </c>
      <c r="F10" s="5">
        <v>60</v>
      </c>
      <c r="G10" s="29">
        <f>+E10*F10</f>
        <v>120</v>
      </c>
    </row>
    <row r="11" spans="1:11">
      <c r="B11" s="2" t="s">
        <v>1322</v>
      </c>
      <c r="E11">
        <v>0</v>
      </c>
      <c r="F11" s="5">
        <v>1100</v>
      </c>
      <c r="G11" s="1">
        <f t="shared" si="0"/>
        <v>0</v>
      </c>
    </row>
    <row r="12" spans="1:11">
      <c r="B12" s="2" t="s">
        <v>1323</v>
      </c>
      <c r="E12">
        <v>0</v>
      </c>
      <c r="F12" s="5">
        <v>285</v>
      </c>
      <c r="G12" s="1">
        <v>0</v>
      </c>
    </row>
    <row r="13" spans="1:11">
      <c r="A13" s="110">
        <v>46195</v>
      </c>
      <c r="B13" s="2" t="s">
        <v>1752</v>
      </c>
      <c r="E13">
        <v>1</v>
      </c>
      <c r="F13" s="5">
        <v>750</v>
      </c>
      <c r="G13" s="1">
        <f>+E13*F13</f>
        <v>750</v>
      </c>
    </row>
    <row r="16" spans="1:11" ht="15.75" thickBot="1">
      <c r="G16" s="29"/>
      <c r="H16" s="23"/>
    </row>
    <row r="17" spans="4:8">
      <c r="D17" s="2">
        <f>+SUM(D4:D16)</f>
        <v>740</v>
      </c>
      <c r="G17" s="15" t="s">
        <v>996</v>
      </c>
      <c r="H17" s="1">
        <f>IF(J1="No",+SUM(G4:G16),0)</f>
        <v>1470</v>
      </c>
    </row>
  </sheetData>
  <mergeCells count="3">
    <mergeCell ref="I1:I2"/>
    <mergeCell ref="J1:J2"/>
    <mergeCell ref="K1:K2"/>
  </mergeCells>
  <printOptions headings="1" gridLines="1"/>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L27"/>
  <sheetViews>
    <sheetView workbookViewId="0">
      <pane ySplit="2" topLeftCell="A3" activePane="bottomLeft" state="frozen"/>
      <selection pane="bottomLeft" activeCell="A23" sqref="A23"/>
    </sheetView>
  </sheetViews>
  <sheetFormatPr defaultRowHeight="15"/>
  <cols>
    <col min="2" max="2" width="48" style="2" bestFit="1" customWidth="1"/>
    <col min="3" max="3" width="4.140625" style="2" bestFit="1" customWidth="1"/>
    <col min="4" max="4" width="15.28515625" style="18" customWidth="1"/>
    <col min="5" max="5" width="10.140625" bestFit="1" customWidth="1"/>
    <col min="6" max="6" width="10.140625" customWidth="1"/>
    <col min="8" max="8" width="10.140625" bestFit="1" customWidth="1"/>
    <col min="10" max="10" width="19.28515625" bestFit="1" customWidth="1"/>
    <col min="11" max="11" width="12.7109375" bestFit="1" customWidth="1"/>
  </cols>
  <sheetData>
    <row r="1" spans="1:12" s="3" customFormat="1">
      <c r="B1" s="32" t="s">
        <v>774</v>
      </c>
      <c r="C1" s="32"/>
      <c r="D1" s="16"/>
      <c r="J1" s="832" t="s">
        <v>9</v>
      </c>
      <c r="K1" s="832" t="str">
        <f>IF(Profit!Q6,IF(L1,"Yes","No"),"No")</f>
        <v>No</v>
      </c>
      <c r="L1" s="834" t="b">
        <v>0</v>
      </c>
    </row>
    <row r="2" spans="1:12" s="50" customFormat="1" ht="30.75" thickBot="1">
      <c r="A2" s="50" t="s">
        <v>108</v>
      </c>
      <c r="B2" s="50" t="s">
        <v>1312</v>
      </c>
      <c r="C2" s="50" t="s">
        <v>513</v>
      </c>
      <c r="D2" s="216" t="s">
        <v>1328</v>
      </c>
      <c r="E2" s="50" t="s">
        <v>996</v>
      </c>
      <c r="F2" s="50" t="s">
        <v>507</v>
      </c>
      <c r="G2" s="50" t="s">
        <v>1329</v>
      </c>
      <c r="H2" s="175"/>
      <c r="I2" s="216">
        <v>20</v>
      </c>
      <c r="J2" s="833"/>
      <c r="K2" s="833"/>
      <c r="L2" s="835"/>
    </row>
    <row r="4" spans="1:12">
      <c r="B4" s="2" t="s">
        <v>1330</v>
      </c>
      <c r="C4" s="2">
        <v>0</v>
      </c>
      <c r="D4" s="18">
        <v>800</v>
      </c>
      <c r="E4" s="5">
        <f>+C4*D4</f>
        <v>0</v>
      </c>
      <c r="F4" s="5"/>
    </row>
    <row r="5" spans="1:12">
      <c r="B5" s="2" t="s">
        <v>1331</v>
      </c>
      <c r="C5" s="2">
        <v>0</v>
      </c>
      <c r="D5" s="18">
        <v>28.46</v>
      </c>
      <c r="E5" s="5">
        <f t="shared" ref="E5:E18" si="0">+C5*D5</f>
        <v>0</v>
      </c>
      <c r="F5" s="5"/>
    </row>
    <row r="6" spans="1:12">
      <c r="B6" s="2" t="s">
        <v>1332</v>
      </c>
      <c r="C6" s="2">
        <v>0</v>
      </c>
      <c r="D6" s="18">
        <v>32.979999999999997</v>
      </c>
      <c r="E6" s="5">
        <f t="shared" si="0"/>
        <v>0</v>
      </c>
      <c r="F6" s="5"/>
    </row>
    <row r="7" spans="1:12">
      <c r="B7" s="2" t="s">
        <v>1333</v>
      </c>
      <c r="C7" s="2">
        <v>0</v>
      </c>
      <c r="D7" s="18">
        <v>28.47</v>
      </c>
      <c r="E7" s="5">
        <f t="shared" si="0"/>
        <v>0</v>
      </c>
      <c r="F7" s="5"/>
    </row>
    <row r="8" spans="1:12">
      <c r="B8" s="2" t="s">
        <v>1334</v>
      </c>
      <c r="E8" s="5">
        <f t="shared" si="0"/>
        <v>0</v>
      </c>
      <c r="F8" s="5"/>
    </row>
    <row r="9" spans="1:12">
      <c r="B9" s="2" t="s">
        <v>1335</v>
      </c>
      <c r="C9" s="2">
        <v>0</v>
      </c>
      <c r="D9" s="18">
        <v>1000</v>
      </c>
      <c r="E9" s="5">
        <f t="shared" si="0"/>
        <v>0</v>
      </c>
      <c r="F9" s="5"/>
    </row>
    <row r="10" spans="1:12">
      <c r="A10" s="110">
        <v>45944</v>
      </c>
      <c r="B10" s="2" t="s">
        <v>1336</v>
      </c>
      <c r="C10" s="2">
        <v>6</v>
      </c>
      <c r="D10" s="18">
        <v>59.99</v>
      </c>
      <c r="E10" s="5">
        <f t="shared" si="0"/>
        <v>359.94</v>
      </c>
      <c r="F10" s="5">
        <f>+E10*0.0725</f>
        <v>26.095649999999999</v>
      </c>
      <c r="J10" t="s">
        <v>1337</v>
      </c>
    </row>
    <row r="11" spans="1:12">
      <c r="A11" s="110">
        <v>45944</v>
      </c>
      <c r="B11" s="2" t="s">
        <v>1338</v>
      </c>
      <c r="C11" s="2">
        <v>2</v>
      </c>
      <c r="D11" s="18">
        <v>84.99</v>
      </c>
      <c r="E11" s="5">
        <f t="shared" ref="E11:E12" si="1">+C11*D11</f>
        <v>169.98</v>
      </c>
      <c r="F11" s="5">
        <f>+E11*0.0725</f>
        <v>12.323549999999999</v>
      </c>
    </row>
    <row r="12" spans="1:12">
      <c r="A12" s="110">
        <v>45944</v>
      </c>
      <c r="B12" s="2" t="s">
        <v>1339</v>
      </c>
      <c r="C12" s="2">
        <v>1</v>
      </c>
      <c r="D12" s="18">
        <v>79.989999999999995</v>
      </c>
      <c r="E12" s="5">
        <f t="shared" si="1"/>
        <v>79.989999999999995</v>
      </c>
      <c r="F12" s="5">
        <f>+E12*0.0725</f>
        <v>5.7992749999999988</v>
      </c>
    </row>
    <row r="13" spans="1:12">
      <c r="A13" s="110">
        <v>45944</v>
      </c>
      <c r="B13" s="2" t="s">
        <v>1393</v>
      </c>
      <c r="C13" s="2">
        <v>1</v>
      </c>
      <c r="D13" s="18">
        <v>-60</v>
      </c>
      <c r="E13" s="5">
        <f t="shared" si="0"/>
        <v>-60</v>
      </c>
      <c r="F13" s="5"/>
    </row>
    <row r="14" spans="1:12">
      <c r="B14" s="2" t="s">
        <v>1340</v>
      </c>
      <c r="E14" s="5">
        <f t="shared" si="0"/>
        <v>0</v>
      </c>
      <c r="F14" s="5"/>
    </row>
    <row r="15" spans="1:12">
      <c r="B15" s="2" t="s">
        <v>1341</v>
      </c>
      <c r="C15" s="2">
        <v>0</v>
      </c>
      <c r="D15" s="18">
        <v>5500</v>
      </c>
      <c r="E15" s="5">
        <f t="shared" si="0"/>
        <v>0</v>
      </c>
      <c r="F15" s="5"/>
    </row>
    <row r="16" spans="1:12">
      <c r="B16" s="2" t="s">
        <v>1342</v>
      </c>
      <c r="D16" s="18">
        <v>1604326</v>
      </c>
      <c r="E16" s="5">
        <f t="shared" si="0"/>
        <v>0</v>
      </c>
      <c r="F16" s="5"/>
    </row>
    <row r="17" spans="1:11">
      <c r="B17" s="2" t="s">
        <v>1343</v>
      </c>
      <c r="D17" s="18">
        <v>228556</v>
      </c>
      <c r="E17" s="5">
        <f t="shared" si="0"/>
        <v>0</v>
      </c>
      <c r="F17" s="5"/>
    </row>
    <row r="18" spans="1:11">
      <c r="B18" s="2" t="s">
        <v>1344</v>
      </c>
      <c r="C18" s="2">
        <v>0</v>
      </c>
      <c r="D18" s="18">
        <v>400</v>
      </c>
      <c r="E18" s="5">
        <f t="shared" si="0"/>
        <v>0</v>
      </c>
      <c r="F18" s="5"/>
      <c r="K18" s="3" t="s">
        <v>328</v>
      </c>
    </row>
    <row r="19" spans="1:11">
      <c r="B19" s="2" t="s">
        <v>1345</v>
      </c>
      <c r="C19" s="2">
        <v>0</v>
      </c>
      <c r="D19" s="18">
        <v>7.33</v>
      </c>
      <c r="E19" s="5">
        <f>+C19*D19</f>
        <v>0</v>
      </c>
      <c r="F19" s="5"/>
      <c r="K19" s="3"/>
    </row>
    <row r="20" spans="1:11">
      <c r="B20" s="2" t="s">
        <v>1346</v>
      </c>
      <c r="C20" s="2">
        <v>0</v>
      </c>
      <c r="D20" s="18">
        <v>9.9700000000000006</v>
      </c>
      <c r="E20" s="5">
        <f>+C20*D20</f>
        <v>0</v>
      </c>
      <c r="F20" s="5"/>
      <c r="K20" s="3"/>
    </row>
    <row r="21" spans="1:11">
      <c r="B21" s="2" t="s">
        <v>1347</v>
      </c>
      <c r="C21" s="2">
        <v>0</v>
      </c>
      <c r="D21" s="18">
        <v>3.98</v>
      </c>
      <c r="E21" s="5">
        <f>+C21*D21</f>
        <v>0</v>
      </c>
      <c r="F21" s="5"/>
      <c r="K21" s="3"/>
    </row>
    <row r="22" spans="1:11">
      <c r="A22" t="s">
        <v>1454</v>
      </c>
      <c r="B22" s="2" t="s">
        <v>1455</v>
      </c>
      <c r="C22" s="2">
        <v>1</v>
      </c>
      <c r="D22" s="18">
        <v>0</v>
      </c>
      <c r="E22" s="5">
        <f>+C22*D22</f>
        <v>0</v>
      </c>
      <c r="F22" s="5"/>
      <c r="J22" s="1"/>
      <c r="K22" t="s">
        <v>328</v>
      </c>
    </row>
    <row r="23" spans="1:11">
      <c r="A23" s="110">
        <v>45967</v>
      </c>
      <c r="B23" s="2" t="s">
        <v>1437</v>
      </c>
      <c r="C23" s="2">
        <v>1</v>
      </c>
      <c r="D23" s="18">
        <v>1359.72</v>
      </c>
      <c r="E23" s="5">
        <f>+C23*D23</f>
        <v>1359.72</v>
      </c>
      <c r="F23" s="5"/>
    </row>
    <row r="25" spans="1:11">
      <c r="H25" s="5">
        <f>IF(K1="No",SUM(E4:F23),0)</f>
        <v>1953.8484749999998</v>
      </c>
    </row>
    <row r="26" spans="1:11">
      <c r="K26" s="2"/>
    </row>
    <row r="27" spans="1:11">
      <c r="K27" s="2"/>
    </row>
  </sheetData>
  <mergeCells count="3">
    <mergeCell ref="J1:J2"/>
    <mergeCell ref="K1:K2"/>
    <mergeCell ref="L1:L2"/>
  </mergeCells>
  <printOptions headings="1" gridLines="1"/>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K28" sqref="K28"/>
    </sheetView>
  </sheetViews>
  <sheetFormatPr defaultRowHeight="1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row r="2" spans="1:11" s="50" customFormat="1" ht="30.75" thickBot="1">
      <c r="A2"/>
      <c r="B2" s="841" t="s">
        <v>1348</v>
      </c>
      <c r="C2" s="842"/>
      <c r="D2" s="192" t="s">
        <v>457</v>
      </c>
      <c r="E2" s="198" t="s">
        <v>1349</v>
      </c>
      <c r="F2" s="117" t="s">
        <v>1350</v>
      </c>
      <c r="G2" s="104"/>
      <c r="H2" s="101"/>
    </row>
    <row r="3" spans="1:11" ht="15.75" thickBot="1">
      <c r="B3" s="113" t="s">
        <v>459</v>
      </c>
      <c r="C3" s="114">
        <f>+SUM(E3:G3)</f>
        <v>335000</v>
      </c>
      <c r="D3" s="114"/>
      <c r="E3" s="173">
        <v>50000</v>
      </c>
      <c r="F3" s="195">
        <v>285000</v>
      </c>
      <c r="G3" s="171"/>
      <c r="I3" s="50"/>
      <c r="J3" s="50"/>
      <c r="K3" s="50"/>
    </row>
    <row r="4" spans="1:11">
      <c r="B4" s="113" t="s">
        <v>460</v>
      </c>
      <c r="C4" s="114">
        <f>+SUM(E4:$G$4)</f>
        <v>89099.277500000011</v>
      </c>
      <c r="D4" s="114"/>
      <c r="E4" s="173">
        <v>10000.13875</v>
      </c>
      <c r="F4" s="196">
        <v>79099.138750000013</v>
      </c>
      <c r="G4" s="171"/>
      <c r="I4" s="50"/>
      <c r="J4" s="50"/>
      <c r="K4" s="50"/>
    </row>
    <row r="5" spans="1:11">
      <c r="B5" s="115" t="s">
        <v>461</v>
      </c>
      <c r="C5" s="116">
        <f>+SUM(E5:G5)</f>
        <v>84974.5</v>
      </c>
      <c r="D5" s="116"/>
      <c r="E5" s="173">
        <v>0</v>
      </c>
      <c r="F5" s="196">
        <v>84974.5</v>
      </c>
      <c r="G5" s="102"/>
      <c r="I5" s="50"/>
      <c r="J5" s="50"/>
      <c r="K5" s="50"/>
    </row>
    <row r="6" spans="1:11" ht="15.75" thickBot="1">
      <c r="B6" s="103" t="s">
        <v>462</v>
      </c>
      <c r="C6" s="99">
        <f>+SUM($E$6:$G$6)</f>
        <v>91406.693999999989</v>
      </c>
      <c r="D6" s="99"/>
      <c r="E6" s="193">
        <v>30489.599999999999</v>
      </c>
      <c r="F6" s="193">
        <v>60917.093999999997</v>
      </c>
      <c r="G6" s="102"/>
      <c r="I6" s="50"/>
      <c r="J6" s="50"/>
      <c r="K6" s="50"/>
    </row>
    <row r="7" spans="1:11" ht="15.75" thickBot="1">
      <c r="B7" s="103" t="s">
        <v>463</v>
      </c>
      <c r="C7" s="99">
        <f>+SUM($E$7:$G$7)</f>
        <v>0</v>
      </c>
      <c r="D7" s="99"/>
      <c r="E7" s="173"/>
      <c r="F7" s="197"/>
      <c r="G7" s="102"/>
      <c r="I7" s="50"/>
      <c r="J7" s="50"/>
      <c r="K7" s="50"/>
    </row>
    <row r="8" spans="1:11" ht="15.75" thickBot="1">
      <c r="B8" s="103" t="s">
        <v>464</v>
      </c>
      <c r="C8" s="836">
        <f>+AVERAGE(E3:F3)</f>
        <v>167500</v>
      </c>
      <c r="D8" s="837"/>
      <c r="E8" s="843"/>
      <c r="F8" s="748"/>
      <c r="G8" s="717"/>
      <c r="I8" s="50"/>
      <c r="J8" s="50"/>
      <c r="K8" s="50"/>
    </row>
    <row r="9" spans="1:11" ht="15.75" thickBot="1">
      <c r="B9" s="103" t="s">
        <v>465</v>
      </c>
      <c r="C9" s="836">
        <f>+AVERAGE(E4:F4)</f>
        <v>44549.638750000006</v>
      </c>
      <c r="D9" s="837"/>
      <c r="E9" s="718"/>
      <c r="F9" s="760"/>
      <c r="G9" s="605"/>
      <c r="I9" s="50"/>
      <c r="J9" s="50"/>
      <c r="K9" s="50"/>
    </row>
    <row r="10" spans="1:11" ht="15.75" thickBot="1">
      <c r="B10" s="103" t="s">
        <v>466</v>
      </c>
      <c r="C10" s="836">
        <f>+AVERAGE(E5:F5)</f>
        <v>42487.25</v>
      </c>
      <c r="D10" s="837"/>
      <c r="E10" s="844" t="s">
        <v>1351</v>
      </c>
      <c r="F10" s="682"/>
      <c r="G10" s="680"/>
      <c r="I10" s="50"/>
      <c r="J10" s="50"/>
      <c r="K10" s="50"/>
    </row>
    <row r="11" spans="1:11" ht="15.75" thickBot="1">
      <c r="B11" s="103" t="s">
        <v>468</v>
      </c>
      <c r="C11" s="836">
        <f>+AVERAGE(E6:F6)</f>
        <v>45703.346999999994</v>
      </c>
      <c r="D11" s="837"/>
      <c r="E11" s="838" t="s">
        <v>1352</v>
      </c>
      <c r="F11" s="839"/>
      <c r="G11" s="840"/>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activeCell="X29" sqref="X29"/>
    </sheetView>
  </sheetViews>
  <sheetFormatPr defaultRowHeight="1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row r="2" spans="1:8" s="50" customFormat="1" ht="30.75" thickBot="1">
      <c r="A2"/>
      <c r="B2" s="841" t="s">
        <v>1353</v>
      </c>
      <c r="C2" s="842"/>
      <c r="D2" s="192" t="s">
        <v>457</v>
      </c>
      <c r="E2" s="198" t="s">
        <v>1354</v>
      </c>
      <c r="F2" s="117" t="s">
        <v>1355</v>
      </c>
      <c r="G2" s="104"/>
      <c r="H2" s="101"/>
    </row>
    <row r="3" spans="1:8" ht="15.75" thickBot="1">
      <c r="B3" s="113" t="s">
        <v>459</v>
      </c>
      <c r="C3" s="114">
        <f>+SUM(E3:G3)</f>
        <v>750000</v>
      </c>
      <c r="D3" s="114"/>
      <c r="E3" s="173">
        <v>435000</v>
      </c>
      <c r="F3" s="195">
        <v>315000</v>
      </c>
      <c r="G3" s="171"/>
    </row>
    <row r="4" spans="1:8">
      <c r="B4" s="113" t="s">
        <v>460</v>
      </c>
      <c r="C4" s="114">
        <f>+SUM(E4:$G$4)</f>
        <v>352369</v>
      </c>
      <c r="D4" s="114"/>
      <c r="E4" s="173">
        <v>249869</v>
      </c>
      <c r="F4" s="196">
        <v>102500</v>
      </c>
      <c r="G4" s="171"/>
    </row>
    <row r="5" spans="1:8">
      <c r="B5" s="115" t="s">
        <v>461</v>
      </c>
      <c r="C5" s="116">
        <f>+SUM(E5:G5)</f>
        <v>242267</v>
      </c>
      <c r="D5" s="116"/>
      <c r="E5" s="173">
        <v>98192</v>
      </c>
      <c r="F5" s="196">
        <f>+F3+-F4-F6</f>
        <v>144075</v>
      </c>
      <c r="G5" s="102"/>
    </row>
    <row r="6" spans="1:8" ht="15.75" thickBot="1">
      <c r="B6" s="103" t="s">
        <v>462</v>
      </c>
      <c r="C6" s="99">
        <f>+SUM($E$6:$G$6)</f>
        <v>155363.89666666667</v>
      </c>
      <c r="D6" s="99"/>
      <c r="E6" s="173">
        <v>86938.896666666667</v>
      </c>
      <c r="F6" s="196">
        <v>68425</v>
      </c>
      <c r="G6" s="102"/>
    </row>
    <row r="7" spans="1:8" ht="15.75" thickBot="1">
      <c r="B7" s="103" t="s">
        <v>463</v>
      </c>
      <c r="C7" s="99">
        <f>+SUM($E$7:$G$7)</f>
        <v>0</v>
      </c>
      <c r="D7" s="99"/>
      <c r="E7" s="173"/>
      <c r="F7" s="197"/>
      <c r="G7" s="102"/>
    </row>
    <row r="8" spans="1:8" ht="15.75" thickBot="1">
      <c r="B8" s="103" t="s">
        <v>464</v>
      </c>
      <c r="C8" s="836">
        <f>+AVERAGE(E3:F3)</f>
        <v>375000</v>
      </c>
      <c r="D8" s="837"/>
      <c r="E8" s="843"/>
      <c r="F8" s="748"/>
      <c r="G8" s="717"/>
    </row>
    <row r="9" spans="1:8" ht="15.75" thickBot="1">
      <c r="B9" s="103" t="s">
        <v>465</v>
      </c>
      <c r="C9" s="836">
        <f>+AVERAGE(E4:F4)</f>
        <v>176184.5</v>
      </c>
      <c r="D9" s="837"/>
      <c r="E9" s="718"/>
      <c r="F9" s="760"/>
      <c r="G9" s="605"/>
    </row>
    <row r="10" spans="1:8" ht="15.75" thickBot="1">
      <c r="B10" s="103" t="s">
        <v>466</v>
      </c>
      <c r="C10" s="836">
        <f>+AVERAGE(E5:F5)</f>
        <v>121133.5</v>
      </c>
      <c r="D10" s="837"/>
      <c r="E10" s="844" t="s">
        <v>1351</v>
      </c>
      <c r="F10" s="682"/>
      <c r="G10" s="680"/>
    </row>
    <row r="11" spans="1:8" ht="15.75" thickBot="1">
      <c r="B11" s="103" t="s">
        <v>468</v>
      </c>
      <c r="C11" s="836">
        <f>+AVERAGE(E6:F6)</f>
        <v>77681.948333333334</v>
      </c>
      <c r="D11" s="837"/>
      <c r="E11" s="838" t="s">
        <v>1352</v>
      </c>
      <c r="F11" s="839"/>
      <c r="G11" s="840"/>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row r="2" spans="1:10" s="50" customFormat="1" ht="45.75" thickBot="1">
      <c r="A2" s="106"/>
      <c r="B2" s="841" t="s">
        <v>1356</v>
      </c>
      <c r="C2" s="848"/>
      <c r="D2" s="192" t="s">
        <v>457</v>
      </c>
      <c r="E2" s="112" t="s">
        <v>1357</v>
      </c>
      <c r="F2" s="112" t="s">
        <v>1358</v>
      </c>
      <c r="G2" s="112" t="s">
        <v>1359</v>
      </c>
      <c r="H2" s="117" t="s">
        <v>1360</v>
      </c>
      <c r="I2" s="104"/>
      <c r="J2" s="101"/>
    </row>
    <row r="3" spans="1:10" ht="15.75" thickBot="1">
      <c r="A3" s="107"/>
      <c r="B3" s="113" t="s">
        <v>459</v>
      </c>
      <c r="C3" s="114">
        <f>+SUM(E3:I3)</f>
        <v>1262529</v>
      </c>
      <c r="D3" s="114"/>
      <c r="E3" s="173">
        <v>210000</v>
      </c>
      <c r="F3" s="173">
        <v>423529</v>
      </c>
      <c r="G3" s="173">
        <v>330000</v>
      </c>
      <c r="H3" s="172">
        <v>299000</v>
      </c>
      <c r="I3" s="171"/>
    </row>
    <row r="4" spans="1:10">
      <c r="A4" s="107"/>
      <c r="B4" s="113" t="s">
        <v>460</v>
      </c>
      <c r="C4" s="114">
        <f>+SUM(E4:$I$4)</f>
        <v>554594.92000000004</v>
      </c>
      <c r="D4" s="114"/>
      <c r="E4" s="173">
        <v>127000</v>
      </c>
      <c r="F4" s="173">
        <v>174585.47</v>
      </c>
      <c r="G4" s="173">
        <v>85975.790000000008</v>
      </c>
      <c r="H4" s="172">
        <v>167033.66</v>
      </c>
      <c r="I4" s="171"/>
    </row>
    <row r="5" spans="1:10">
      <c r="A5" s="107"/>
      <c r="B5" s="115" t="s">
        <v>461</v>
      </c>
      <c r="C5" s="116">
        <f>+SUM(E5:I5)</f>
        <v>148708.10749999998</v>
      </c>
      <c r="D5" s="116"/>
      <c r="E5" s="173">
        <v>15000</v>
      </c>
      <c r="F5" s="173">
        <v>12223</v>
      </c>
      <c r="G5" s="173">
        <v>82805.727499999994</v>
      </c>
      <c r="H5" s="172">
        <v>38679.380000000005</v>
      </c>
      <c r="I5" s="102"/>
    </row>
    <row r="6" spans="1:10" ht="15.75" thickBot="1">
      <c r="A6" s="107"/>
      <c r="B6" s="103" t="s">
        <v>462</v>
      </c>
      <c r="C6" s="99">
        <f>+SUM($E$6:$I$6)</f>
        <v>471212.07700000005</v>
      </c>
      <c r="D6" s="99"/>
      <c r="E6" s="173">
        <v>67485.868000000002</v>
      </c>
      <c r="F6" s="173">
        <v>154708.03800000003</v>
      </c>
      <c r="G6" s="173">
        <v>154490.20250000001</v>
      </c>
      <c r="H6" s="172">
        <v>94527.968499999988</v>
      </c>
      <c r="I6" s="102"/>
    </row>
    <row r="7" spans="1:10" ht="15.75" thickBot="1">
      <c r="A7" s="107"/>
      <c r="B7" s="103" t="s">
        <v>463</v>
      </c>
      <c r="C7" s="99">
        <f>+SUM($E$7:$I$7)</f>
        <v>15470.803800000003</v>
      </c>
      <c r="D7" s="99"/>
      <c r="E7" s="194"/>
      <c r="F7" s="201">
        <v>15470.803800000003</v>
      </c>
      <c r="G7" s="201"/>
      <c r="H7" s="203"/>
      <c r="I7" s="102"/>
    </row>
    <row r="8" spans="1:10" ht="15.75" thickBot="1">
      <c r="A8" s="107"/>
      <c r="B8" s="103" t="s">
        <v>464</v>
      </c>
      <c r="C8" s="836">
        <f>+AVERAGE(E3:H3)</f>
        <v>315632.25</v>
      </c>
      <c r="D8" s="845"/>
      <c r="E8" s="843"/>
      <c r="F8" s="748"/>
      <c r="G8" s="748"/>
      <c r="H8" s="748"/>
      <c r="I8" s="717"/>
    </row>
    <row r="9" spans="1:10" ht="15.75" thickBot="1">
      <c r="A9" s="107"/>
      <c r="B9" s="103" t="s">
        <v>465</v>
      </c>
      <c r="C9" s="836">
        <f>+AVERAGE(E4:H4)</f>
        <v>138648.73000000001</v>
      </c>
      <c r="D9" s="845"/>
      <c r="E9" s="718"/>
      <c r="F9" s="760"/>
      <c r="G9" s="760"/>
      <c r="H9" s="760"/>
      <c r="I9" s="605"/>
    </row>
    <row r="10" spans="1:10" ht="15.75" thickBot="1">
      <c r="A10" s="107"/>
      <c r="B10" s="103" t="s">
        <v>466</v>
      </c>
      <c r="C10" s="836">
        <f>+AVERAGE(E5:H5)</f>
        <v>37177.026874999996</v>
      </c>
      <c r="D10" s="845"/>
      <c r="E10" s="844" t="s">
        <v>1351</v>
      </c>
      <c r="F10" s="849"/>
      <c r="G10" s="849"/>
      <c r="H10" s="849"/>
      <c r="I10" s="850"/>
    </row>
    <row r="11" spans="1:10" ht="15.75" thickBot="1">
      <c r="B11" s="103" t="s">
        <v>468</v>
      </c>
      <c r="C11" s="836">
        <f>+AVERAGE(E6:H6)</f>
        <v>117803.01925000001</v>
      </c>
      <c r="D11" s="845"/>
      <c r="E11" s="838" t="s">
        <v>1352</v>
      </c>
      <c r="F11" s="846"/>
      <c r="G11" s="846"/>
      <c r="H11" s="846"/>
      <c r="I11" s="847"/>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row r="2" spans="1:9" s="50" customFormat="1" ht="30.75" thickBot="1">
      <c r="A2"/>
      <c r="B2" s="841" t="s">
        <v>1356</v>
      </c>
      <c r="C2" s="842"/>
      <c r="D2" s="192" t="s">
        <v>457</v>
      </c>
      <c r="E2" s="198" t="s">
        <v>1361</v>
      </c>
      <c r="F2" s="198" t="s">
        <v>1362</v>
      </c>
      <c r="G2" s="117" t="s">
        <v>1363</v>
      </c>
      <c r="H2" s="104"/>
      <c r="I2" s="101"/>
    </row>
    <row r="3" spans="1:9" ht="15.75" thickBot="1">
      <c r="B3" s="113" t="s">
        <v>459</v>
      </c>
      <c r="C3" s="114">
        <f>+SUM(E3:H3)</f>
        <v>811800</v>
      </c>
      <c r="D3" s="114"/>
      <c r="E3" s="173">
        <v>363900</v>
      </c>
      <c r="F3" s="199">
        <v>210000</v>
      </c>
      <c r="G3" s="195">
        <v>237900</v>
      </c>
      <c r="H3" s="171"/>
    </row>
    <row r="4" spans="1:9">
      <c r="B4" s="113" t="s">
        <v>460</v>
      </c>
      <c r="C4" s="114">
        <f>+SUM(E4:$H$4)</f>
        <v>401770.9</v>
      </c>
      <c r="D4" s="114"/>
      <c r="E4" s="173">
        <v>220000</v>
      </c>
      <c r="F4" s="200">
        <v>107061.9</v>
      </c>
      <c r="G4" s="196">
        <v>74709</v>
      </c>
      <c r="H4" s="171"/>
    </row>
    <row r="5" spans="1:9">
      <c r="B5" s="115" t="s">
        <v>461</v>
      </c>
      <c r="C5" s="116">
        <f>+SUM(E5:H5)</f>
        <v>146350.07515412499</v>
      </c>
      <c r="D5" s="116"/>
      <c r="E5" s="173">
        <v>27507.698</v>
      </c>
      <c r="F5" s="200">
        <v>47760.57</v>
      </c>
      <c r="G5" s="196">
        <v>71081.80715412501</v>
      </c>
      <c r="H5" s="102"/>
    </row>
    <row r="6" spans="1:9" ht="15.75" thickBot="1">
      <c r="B6" s="103" t="s">
        <v>462</v>
      </c>
      <c r="C6" s="99">
        <f>+SUM($E$6:$H$6)</f>
        <v>257067.10484587503</v>
      </c>
      <c r="D6" s="99"/>
      <c r="E6" s="173">
        <v>92658.781999999992</v>
      </c>
      <c r="F6" s="200">
        <v>64240.530000000028</v>
      </c>
      <c r="G6" s="196">
        <v>100167.792845875</v>
      </c>
      <c r="H6" s="102"/>
    </row>
    <row r="7" spans="1:9" ht="15.75" thickBot="1">
      <c r="B7" s="103" t="s">
        <v>463</v>
      </c>
      <c r="C7" s="99">
        <f>+SUM($E$7:$H$7)</f>
        <v>0</v>
      </c>
      <c r="D7" s="99"/>
      <c r="E7" s="194"/>
      <c r="F7" s="201"/>
      <c r="G7" s="202"/>
      <c r="H7" s="102"/>
    </row>
    <row r="8" spans="1:9" ht="15.75" thickBot="1">
      <c r="B8" s="103" t="s">
        <v>464</v>
      </c>
      <c r="C8" s="836">
        <f>+AVERAGE(E3:G3)</f>
        <v>270600</v>
      </c>
      <c r="D8" s="837"/>
      <c r="E8" s="843"/>
      <c r="F8" s="851"/>
      <c r="G8" s="748"/>
      <c r="H8" s="717"/>
    </row>
    <row r="9" spans="1:9" ht="15.75" thickBot="1">
      <c r="B9" s="103" t="s">
        <v>465</v>
      </c>
      <c r="C9" s="836">
        <f>+AVERAGE(E4:G4)</f>
        <v>133923.63333333333</v>
      </c>
      <c r="D9" s="837"/>
      <c r="E9" s="718"/>
      <c r="F9" s="760"/>
      <c r="G9" s="760"/>
      <c r="H9" s="605"/>
    </row>
    <row r="10" spans="1:9" ht="15.75" thickBot="1">
      <c r="B10" s="103" t="s">
        <v>466</v>
      </c>
      <c r="C10" s="836">
        <f>+AVERAGE(E5:G5)</f>
        <v>48783.358384708328</v>
      </c>
      <c r="D10" s="837"/>
      <c r="E10" s="844" t="s">
        <v>1351</v>
      </c>
      <c r="F10" s="849"/>
      <c r="G10" s="682"/>
      <c r="H10" s="680"/>
    </row>
    <row r="11" spans="1:9" ht="15.75" thickBot="1">
      <c r="B11" s="103" t="s">
        <v>468</v>
      </c>
      <c r="C11" s="836">
        <f>+AVERAGE(E6:G6)</f>
        <v>85689.034948625005</v>
      </c>
      <c r="D11" s="837"/>
      <c r="E11" s="838" t="s">
        <v>1352</v>
      </c>
      <c r="F11" s="846"/>
      <c r="G11" s="839"/>
      <c r="H11" s="840"/>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row r="2" spans="1:9" s="50" customFormat="1" ht="30.75" thickBot="1">
      <c r="A2"/>
      <c r="B2" s="841" t="s">
        <v>1356</v>
      </c>
      <c r="C2" s="842"/>
      <c r="D2" s="192" t="s">
        <v>457</v>
      </c>
      <c r="E2" s="198" t="s">
        <v>1364</v>
      </c>
      <c r="F2" s="198" t="s">
        <v>1365</v>
      </c>
      <c r="G2" s="117" t="s">
        <v>1366</v>
      </c>
      <c r="H2" s="104"/>
      <c r="I2" s="101"/>
    </row>
    <row r="3" spans="1:9" ht="15.75" thickBot="1">
      <c r="B3" s="113" t="s">
        <v>459</v>
      </c>
      <c r="C3" s="114">
        <f>+SUM(E3:H3)</f>
        <v>540000</v>
      </c>
      <c r="D3" s="114"/>
      <c r="E3" s="173">
        <v>150000</v>
      </c>
      <c r="F3" s="199">
        <v>195000</v>
      </c>
      <c r="G3" s="195">
        <v>195000</v>
      </c>
      <c r="H3" s="171"/>
    </row>
    <row r="4" spans="1:9">
      <c r="B4" s="113" t="s">
        <v>460</v>
      </c>
      <c r="C4" s="114">
        <f>+SUM(E4:$H$4)</f>
        <v>310642.71000000002</v>
      </c>
      <c r="D4" s="114"/>
      <c r="E4" s="173">
        <v>71644.86</v>
      </c>
      <c r="F4" s="200">
        <v>110309.86</v>
      </c>
      <c r="G4" s="196">
        <v>128687.99</v>
      </c>
      <c r="H4" s="171"/>
    </row>
    <row r="5" spans="1:9">
      <c r="B5" s="115" t="s">
        <v>461</v>
      </c>
      <c r="C5" s="116">
        <f>+SUM(E5:H5)</f>
        <v>49980.701499999996</v>
      </c>
      <c r="D5" s="116"/>
      <c r="E5" s="173">
        <v>6302.96</v>
      </c>
      <c r="F5" s="200">
        <v>20425.14</v>
      </c>
      <c r="G5" s="196">
        <v>23252.601500000001</v>
      </c>
      <c r="H5" s="102"/>
    </row>
    <row r="6" spans="1:9" ht="15.75" thickBot="1">
      <c r="B6" s="103" t="s">
        <v>462</v>
      </c>
      <c r="C6" s="99">
        <f>+SUM($E$6:$H$6)</f>
        <v>116039.9257777778</v>
      </c>
      <c r="D6" s="99"/>
      <c r="E6" s="173">
        <v>37694.072</v>
      </c>
      <c r="F6" s="200">
        <v>52771.490000000005</v>
      </c>
      <c r="G6" s="196">
        <v>25574.363777777784</v>
      </c>
      <c r="H6" s="102"/>
    </row>
    <row r="7" spans="1:9" ht="15.75" thickBot="1">
      <c r="B7" s="103" t="s">
        <v>463</v>
      </c>
      <c r="C7" s="99">
        <f>+SUM($E$7:$H$7)</f>
        <v>0</v>
      </c>
      <c r="D7" s="99"/>
      <c r="E7" s="194"/>
      <c r="F7" s="201"/>
      <c r="G7" s="202"/>
      <c r="H7" s="102"/>
    </row>
    <row r="8" spans="1:9" ht="15.75" thickBot="1">
      <c r="B8" s="103" t="s">
        <v>464</v>
      </c>
      <c r="C8" s="836">
        <f>+AVERAGE(E3:G3)</f>
        <v>180000</v>
      </c>
      <c r="D8" s="837"/>
      <c r="E8" s="843"/>
      <c r="F8" s="851"/>
      <c r="G8" s="748"/>
      <c r="H8" s="717"/>
    </row>
    <row r="9" spans="1:9" ht="15.75" thickBot="1">
      <c r="B9" s="103" t="s">
        <v>465</v>
      </c>
      <c r="C9" s="836">
        <f>+AVERAGE(E4:G4)</f>
        <v>103547.57</v>
      </c>
      <c r="D9" s="837"/>
      <c r="E9" s="718"/>
      <c r="F9" s="760"/>
      <c r="G9" s="760"/>
      <c r="H9" s="605"/>
    </row>
    <row r="10" spans="1:9" ht="15.75" thickBot="1">
      <c r="B10" s="103" t="s">
        <v>466</v>
      </c>
      <c r="C10" s="836">
        <f>+AVERAGE(E5:G5)</f>
        <v>16660.233833333332</v>
      </c>
      <c r="D10" s="837"/>
      <c r="E10" s="844" t="s">
        <v>1351</v>
      </c>
      <c r="F10" s="849"/>
      <c r="G10" s="682"/>
      <c r="H10" s="680"/>
    </row>
    <row r="11" spans="1:9" ht="15.75" thickBot="1">
      <c r="B11" s="103" t="s">
        <v>468</v>
      </c>
      <c r="C11" s="836">
        <f>+AVERAGE(E6:G6)</f>
        <v>38679.975259259263</v>
      </c>
      <c r="D11" s="837"/>
      <c r="E11" s="838" t="s">
        <v>1352</v>
      </c>
      <c r="F11" s="846"/>
      <c r="G11" s="839"/>
      <c r="H11" s="840"/>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cols>
    <col min="1" max="1" width="17.5703125" bestFit="1" customWidth="1"/>
    <col min="4" max="4" width="4.7109375" customWidth="1"/>
    <col min="7" max="7" width="4" customWidth="1"/>
  </cols>
  <sheetData>
    <row r="1" spans="1:14" s="3" customFormat="1">
      <c r="B1" s="789" t="s">
        <v>1367</v>
      </c>
      <c r="C1" s="790"/>
      <c r="E1" s="789" t="s">
        <v>1368</v>
      </c>
      <c r="F1" s="790"/>
      <c r="H1" s="789" t="s">
        <v>1369</v>
      </c>
      <c r="I1" s="790"/>
      <c r="L1" s="789" t="s">
        <v>1370</v>
      </c>
      <c r="M1" s="790"/>
    </row>
    <row r="2" spans="1:14">
      <c r="A2" s="2" t="s">
        <v>1371</v>
      </c>
    </row>
    <row r="3" spans="1:14">
      <c r="A3" s="2" t="s">
        <v>1372</v>
      </c>
      <c r="B3" s="218">
        <v>0.56000000000000005</v>
      </c>
      <c r="E3" s="218">
        <f>+B3</f>
        <v>0.56000000000000005</v>
      </c>
      <c r="H3" s="218">
        <f>+E3</f>
        <v>0.56000000000000005</v>
      </c>
      <c r="L3" s="218">
        <f>+E3</f>
        <v>0.56000000000000005</v>
      </c>
    </row>
    <row r="4" spans="1:14" ht="15.75" thickBot="1">
      <c r="A4" s="2" t="s">
        <v>1373</v>
      </c>
      <c r="C4" s="29">
        <f>+B2*B3*365</f>
        <v>0</v>
      </c>
      <c r="D4" s="23"/>
      <c r="E4" s="23"/>
      <c r="F4" s="29">
        <f>+E2*E3*365</f>
        <v>0</v>
      </c>
      <c r="G4" s="23"/>
      <c r="H4" s="23"/>
      <c r="I4" s="29">
        <f>+H2*H3*365</f>
        <v>0</v>
      </c>
      <c r="J4" s="23"/>
      <c r="L4" s="23"/>
      <c r="M4" s="29">
        <f>+L2*L3*365</f>
        <v>0</v>
      </c>
      <c r="N4" s="23"/>
    </row>
    <row r="5" spans="1:14">
      <c r="A5" s="2"/>
    </row>
    <row r="6" spans="1:14">
      <c r="A6" s="2"/>
      <c r="N6" s="4">
        <f>SUM(C4:N4)</f>
        <v>0</v>
      </c>
    </row>
    <row r="7" spans="1:14">
      <c r="A7" s="2"/>
    </row>
    <row r="8" spans="1:14">
      <c r="A8" s="2"/>
    </row>
    <row r="9" spans="1:14">
      <c r="A9" s="2"/>
    </row>
    <row r="12" spans="1:14">
      <c r="A12" s="3" t="s">
        <v>1374</v>
      </c>
      <c r="B12" s="789" t="s">
        <v>1367</v>
      </c>
      <c r="C12" s="790"/>
      <c r="D12" s="3"/>
      <c r="E12" s="789" t="s">
        <v>1368</v>
      </c>
      <c r="F12" s="790"/>
      <c r="G12" s="3"/>
      <c r="H12" s="789" t="s">
        <v>1369</v>
      </c>
      <c r="I12" s="790"/>
      <c r="J12" s="3"/>
      <c r="K12" s="3"/>
    </row>
    <row r="13" spans="1:14">
      <c r="A13" s="2" t="s">
        <v>1375</v>
      </c>
      <c r="B13" s="218">
        <v>0.2</v>
      </c>
      <c r="C13">
        <f>+B13*STR!$C$4</f>
        <v>0</v>
      </c>
      <c r="E13" s="218">
        <f>+B13</f>
        <v>0.2</v>
      </c>
      <c r="F13">
        <f>+E13*STR!$F$4</f>
        <v>0</v>
      </c>
      <c r="H13" s="218">
        <f>+E13</f>
        <v>0.2</v>
      </c>
      <c r="I13">
        <f>+H13*STR!$M$4</f>
        <v>0</v>
      </c>
      <c r="K13" s="4">
        <f>+C13+F13+I13</f>
        <v>0</v>
      </c>
    </row>
    <row r="14" spans="1:14" ht="15.75" thickBot="1">
      <c r="A14" s="2" t="s">
        <v>1376</v>
      </c>
      <c r="B14" s="218">
        <v>0.05</v>
      </c>
      <c r="C14">
        <f>+B14*STR!$C$4</f>
        <v>0</v>
      </c>
      <c r="E14" s="218">
        <v>0.05</v>
      </c>
      <c r="F14">
        <f>+E14*STR!$C$4</f>
        <v>0</v>
      </c>
      <c r="H14" s="218">
        <v>0.05</v>
      </c>
      <c r="I14">
        <f>+H14*STR!$C$4</f>
        <v>0</v>
      </c>
      <c r="K14" s="219">
        <f>+C14+F14+I14</f>
        <v>0</v>
      </c>
    </row>
    <row r="15" spans="1:14">
      <c r="A15" s="2"/>
      <c r="C15" s="1"/>
      <c r="F15" s="1"/>
      <c r="I15" s="1"/>
      <c r="K15" s="15"/>
    </row>
    <row r="16" spans="1:14" ht="15.75" thickBot="1">
      <c r="D16" s="24">
        <f>SUM(C13:C15)</f>
        <v>0</v>
      </c>
      <c r="E16" s="24"/>
      <c r="F16" s="24"/>
      <c r="G16" s="24">
        <f>SUM(F13:F15)</f>
        <v>0</v>
      </c>
      <c r="H16" s="24"/>
      <c r="I16" s="24"/>
      <c r="J16" s="24">
        <f>SUM(I13:I15)</f>
        <v>0</v>
      </c>
      <c r="K16" s="24"/>
    </row>
    <row r="17" spans="1:11">
      <c r="A17" s="2"/>
      <c r="K17" s="4">
        <f>SUM(K13:K14)</f>
        <v>0</v>
      </c>
    </row>
    <row r="18" spans="1:11">
      <c r="A18" s="2"/>
    </row>
    <row r="19" spans="1:11">
      <c r="A19" s="2"/>
    </row>
    <row r="20" spans="1:11">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sheetData>
    <row r="2" spans="1:3">
      <c r="A2" t="s">
        <v>1377</v>
      </c>
      <c r="C2">
        <v>1000</v>
      </c>
    </row>
    <row r="3" spans="1:3">
      <c r="A3" t="s">
        <v>1378</v>
      </c>
      <c r="C3">
        <v>9000</v>
      </c>
    </row>
    <row r="18" spans="6:7">
      <c r="F18" s="30" t="s">
        <v>1379</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xml version="1.0" encoding="utf-8"?>
<?mso-contentType ?>
<FormTemplates xmlns="http://schemas.microsoft.com/sharepoint/v3/contenttype/forms">
  <Display>DocumentLibraryForm</Display>
  <Edit>DocumentLibraryForm</Edit>
  <New>DocumentLibraryForm</New>
</FormTemplates>
</file>

<file path=customXml/item26.xml>�� 
</file>

<file path=customXml/item27.xml>�� 
</file>

<file path=customXml/item28.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Props1.xml><?xml version="1.0" encoding="utf-8"?>
<ds:datastoreItem xmlns:ds="http://schemas.openxmlformats.org/officeDocument/2006/customXml" ds:itemID="{D3B351BE-6E6B-487B-90E7-82B260EF7416}">
  <ds:schemaRefs>
    <ds:schemaRef ds:uri="http://gemini/pivotcustomization/TableXML_tblContractBase_9070fc48-9258-4968-bf00-c7618964dd56"/>
  </ds:schemaRefs>
</ds:datastoreItem>
</file>

<file path=customXml/itemProps2.xml><?xml version="1.0" encoding="utf-8"?>
<ds:datastoreItem xmlns:ds="http://schemas.openxmlformats.org/officeDocument/2006/customXml" ds:itemID="{6018C475-C22D-46FF-98C9-CC9F05209A2A}">
  <ds:schemaRefs>
    <ds:schemaRef ds:uri="http://gemini/pivotcustomization/TableXML_tblContractBase1_593a042d-2afd-4b66-b6b5-220d1618fc85"/>
  </ds:schemaRefs>
</ds:datastoreItem>
</file>

<file path=customXml/itemProps3.xml><?xml version="1.0" encoding="utf-8"?>
<ds:datastoreItem xmlns:ds="http://schemas.openxmlformats.org/officeDocument/2006/customXml" ds:itemID="{D2759F88-BB65-438C-8BFF-5A610376DD6D}">
  <ds:schemaRefs>
    <ds:schemaRef ds:uri="http://gemini/pivotcustomization/ShowHidden"/>
  </ds:schemaRefs>
</ds:datastoreItem>
</file>

<file path=customXml/itemProps4.xml><?xml version="1.0" encoding="utf-8"?>
<ds:datastoreItem xmlns:ds="http://schemas.openxmlformats.org/officeDocument/2006/customXml" ds:itemID="{5AC2386F-9B7D-4C62-AF7A-32CDC3F24190}">
  <ds:schemaRefs>
    <ds:schemaRef ds:uri="http://gemini/pivotcustomization/LinkedTableUpdateMode"/>
  </ds:schemaRefs>
</ds:datastoreItem>
</file>

<file path=customXml/itemProps5.xml><?xml version="1.0" encoding="utf-8"?>
<ds:datastoreItem xmlns:ds="http://schemas.openxmlformats.org/officeDocument/2006/customXml" ds:itemID="{49A9F260-7A5A-4B6C-823E-8B2C2F8C1344}">
  <ds:schemaRefs>
    <ds:schemaRef ds:uri="http://gemini/pivotcustomization/PowerPivotVersion"/>
  </ds:schemaRefs>
</ds:datastoreItem>
</file>

<file path=customXml/itemProps6.xml><?xml version="1.0" encoding="utf-8"?>
<ds:datastoreItem xmlns:ds="http://schemas.openxmlformats.org/officeDocument/2006/customXml" ds:itemID="{131015DF-A3B0-4FA7-AB7C-DF1D608B2A49}">
  <ds:schemaRefs>
    <ds:schemaRef ds:uri="http://gemini/pivotcustomization/TableXML_tblContractBase_e344c443-6fa0-4d37-b6b5-b15bfc5c17eb"/>
  </ds:schemaRefs>
</ds:datastoreItem>
</file>

<file path=customXml/itemProps7.xml><?xml version="1.0" encoding="utf-8"?>
<ds:datastoreItem xmlns:ds="http://schemas.openxmlformats.org/officeDocument/2006/customXml" ds:itemID="{8B995326-3A28-4DDE-8715-1EEB43C845D6}">
  <ds:schemaRefs>
    <ds:schemaRef ds:uri="http://gemini/pivotcustomization/ShowImplicitMeasures"/>
  </ds:schemaRefs>
</ds:datastoreItem>
</file>

<file path=customXml/itemProps8.xml><?xml version="1.0" encoding="utf-8"?>
<ds:datastoreItem xmlns:ds="http://schemas.openxmlformats.org/officeDocument/2006/customXml" ds:itemID="{BDC4C3E5-B595-42E1-B73C-81DDB578DE24}">
  <ds:schemaRefs>
    <ds:schemaRef ds:uri="http://gemini/pivotcustomization/TableOrder"/>
  </ds:schemaRefs>
</ds:datastoreItem>
</file>

<file path=customXml/itemProps9.xml><?xml version="1.0" encoding="utf-8"?>
<ds:datastoreItem xmlns:ds="http://schemas.openxmlformats.org/officeDocument/2006/customXml" ds:itemID="{B135EF3E-63C4-43E9-8D5B-08AA5ECD4882}">
  <ds:schemaRefs>
    <ds:schemaRef ds:uri="http://gemini/pivotcustomization/TableXML_Recap_93f76440-af07-4f37-8bb6-5797315de35b"/>
  </ds:schemaRefs>
</ds:datastoreItem>
</file>

<file path=customXml/itemProps10.xml><?xml version="1.0" encoding="utf-8"?>
<ds:datastoreItem xmlns:ds="http://schemas.openxmlformats.org/officeDocument/2006/customXml" ds:itemID="{C48CFE4C-7D3E-4360-AF74-64639691B0AC}">
  <ds:schemaRefs>
    <ds:schemaRef ds:uri="http://gemini/pivotcustomization/ClientWindowXML"/>
  </ds:schemaRefs>
</ds:datastoreItem>
</file>

<file path=customXml/itemProps11.xml><?xml version="1.0" encoding="utf-8"?>
<ds:datastoreItem xmlns:ds="http://schemas.openxmlformats.org/officeDocument/2006/customXml" ds:itemID="{F6C2FAEE-2914-49E0-A670-C94B50EDA4B0}">
  <ds:schemaRefs>
    <ds:schemaRef ds:uri="http://gemini/pivotcustomization/TableXML_qryContractGlasgow_b25a94af-3b5e-442d-a787-d64a437b4f7c"/>
  </ds:schemaRefs>
</ds:datastoreItem>
</file>

<file path=customXml/itemProps12.xml><?xml version="1.0" encoding="utf-8"?>
<ds:datastoreItem xmlns:ds="http://schemas.openxmlformats.org/officeDocument/2006/customXml" ds:itemID="{4B64A5CD-A00D-452B-AE5E-AD99F4855B2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3.xml><?xml version="1.0" encoding="utf-8"?>
<ds:datastoreItem xmlns:ds="http://schemas.openxmlformats.org/officeDocument/2006/customXml" ds:itemID="{FE9BC8D9-C47E-4106-871E-B96776270653}">
  <ds:schemaRefs>
    <ds:schemaRef ds:uri="http://gemini/pivotcustomization/IsSandboxEmbedded"/>
  </ds:schemaRefs>
</ds:datastoreItem>
</file>

<file path=customXml/itemProps14.xml><?xml version="1.0" encoding="utf-8"?>
<ds:datastoreItem xmlns:ds="http://schemas.openxmlformats.org/officeDocument/2006/customXml" ds:itemID="{FA14960B-9128-4CE7-AADD-D41FAAF63577}">
  <ds:schemaRefs>
    <ds:schemaRef ds:uri="http://gemini/pivotcustomization/RelationshipAutoDetectionEnabled"/>
  </ds:schemaRefs>
</ds:datastoreItem>
</file>

<file path=customXml/itemProps15.xml><?xml version="1.0" encoding="utf-8"?>
<ds:datastoreItem xmlns:ds="http://schemas.openxmlformats.org/officeDocument/2006/customXml" ds:itemID="{749E7063-C95A-4722-AB86-163B5E9479A3}">
  <ds:schemaRefs>
    <ds:schemaRef ds:uri="http://gemini/pivotcustomization/MeasureGridState"/>
  </ds:schemaRefs>
</ds:datastoreItem>
</file>

<file path=customXml/itemProps16.xml><?xml version="1.0" encoding="utf-8"?>
<ds:datastoreItem xmlns:ds="http://schemas.openxmlformats.org/officeDocument/2006/customXml" ds:itemID="{ECC1AE38-E7F8-4D4B-B81F-55FD61A295BA}">
  <ds:schemaRefs>
    <ds:schemaRef ds:uri="http://gemini/pivotcustomization/ErrorCache"/>
  </ds:schemaRefs>
</ds:datastoreItem>
</file>

<file path=customXml/itemProps17.xml><?xml version="1.0" encoding="utf-8"?>
<ds:datastoreItem xmlns:ds="http://schemas.openxmlformats.org/officeDocument/2006/customXml" ds:itemID="{5A9BF091-46F3-4349-B506-365D6275249C}">
  <ds:schemaRefs>
    <ds:schemaRef ds:uri="http://gemini/pivotcustomization/ManualCalcMode"/>
  </ds:schemaRefs>
</ds:datastoreItem>
</file>

<file path=customXml/itemProps18.xml><?xml version="1.0" encoding="utf-8"?>
<ds:datastoreItem xmlns:ds="http://schemas.openxmlformats.org/officeDocument/2006/customXml" ds:itemID="{4D03F662-0FAB-4DCB-A105-021F7B0913BD}">
  <ds:schemaRefs>
    <ds:schemaRef ds:uri="http://gemini/pivotcustomization/TableXML_tblUpdateContractGlasgow_d060279b-db72-4a8f-8b48-2fef7fcdfdbb"/>
  </ds:schemaRefs>
</ds:datastoreItem>
</file>

<file path=customXml/itemProps19.xml><?xml version="1.0" encoding="utf-8"?>
<ds:datastoreItem xmlns:ds="http://schemas.openxmlformats.org/officeDocument/2006/customXml" ds:itemID="{0B5F0585-149E-4DC4-A2C2-20B61C68FF27}">
  <ds:schemaRefs>
    <ds:schemaRef ds:uri="http://gemini/pivotcustomization/SandboxNonEmpty"/>
  </ds:schemaRefs>
</ds:datastoreItem>
</file>

<file path=customXml/itemProps20.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21.xml><?xml version="1.0" encoding="utf-8"?>
<ds:datastoreItem xmlns:ds="http://schemas.openxmlformats.org/officeDocument/2006/customXml" ds:itemID="{A87BEC83-A599-446F-9823-5526BB4CDC88}">
  <ds:schemaRefs>
    <ds:schemaRef ds:uri="http://gemini/pivotcustomization/TableXML_tblContractUpdate_06239ffb-a6ea-4ad1-b093-02976527e983"/>
  </ds:schemaRefs>
</ds:datastoreItem>
</file>

<file path=customXml/itemProps22.xml><?xml version="1.0" encoding="utf-8"?>
<ds:datastoreItem xmlns:ds="http://schemas.openxmlformats.org/officeDocument/2006/customXml" ds:itemID="{91C90751-2A68-4A7E-9A23-3586ED9AC4CD}">
  <ds:schemaRefs>
    <ds:schemaRef ds:uri="http://gemini/pivotcustomization/Diagrams"/>
  </ds:schemaRefs>
</ds:datastoreItem>
</file>

<file path=customXml/itemProps23.xml><?xml version="1.0" encoding="utf-8"?>
<ds:datastoreItem xmlns:ds="http://schemas.openxmlformats.org/officeDocument/2006/customXml" ds:itemID="{AB314B27-3DCC-476B-BA7B-6DB95BE31383}">
  <ds:schemaRefs>
    <ds:schemaRef ds:uri="http://gemini/pivotcustomization/TableWidget"/>
  </ds:schemaRefs>
</ds:datastoreItem>
</file>

<file path=customXml/itemProps24.xml><?xml version="1.0" encoding="utf-8"?>
<ds:datastoreItem xmlns:ds="http://schemas.openxmlformats.org/officeDocument/2006/customXml" ds:itemID="{3510C6DE-3540-4B22-A54F-1F22C6D88902}">
  <ds:schemaRefs>
    <ds:schemaRef ds:uri="http://gemini/pivotcustomization/TableXML_tblUpdateContractGlasgow 1_f48bd121-adb3-42a2-82ae-29d231611772"/>
  </ds:schemaRefs>
</ds:datastoreItem>
</file>

<file path=customXml/itemProps25.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26.xml><?xml version="1.0" encoding="utf-8"?>
<ds:datastoreItem xmlns:ds="http://schemas.openxmlformats.org/officeDocument/2006/customXml" ds:itemID="{C8DEC3D8-E357-4A8C-AFF9-645AD3C1C068}">
  <ds:schemaRefs>
    <ds:schemaRef ds:uri="http://schemas.microsoft.com/DataMashup"/>
  </ds:schemaRefs>
</ds:datastoreItem>
</file>

<file path=customXml/itemProps27.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28.xml><?xml version="1.0" encoding="utf-8"?>
<ds:datastoreItem xmlns:ds="http://schemas.openxmlformats.org/officeDocument/2006/customXml" ds:itemID="{98C4DA37-4AFD-4CD2-9A66-0C8B8DF4AF27}">
  <ds:schemaRefs>
    <ds:schemaRef ds:uri="http://purl.org/dc/terms/"/>
    <ds:schemaRef ds:uri="http://purl.org/dc/elements/1.1/"/>
    <ds:schemaRef ds:uri="http://schemas.microsoft.com/office/2006/documentManagement/types"/>
    <ds:schemaRef ds:uri="http://schemas.microsoft.com/office/infopath/2007/PartnerControls"/>
    <ds:schemaRef ds:uri="http://schemas.microsoft.com/office/2006/metadata/properties"/>
    <ds:schemaRef ds:uri="42cc25d9-27fe-4f07-accb-ded05ec47eee"/>
    <ds:schemaRef ds:uri="http://www.w3.org/XML/1998/namespace"/>
    <ds:schemaRef ds:uri="http://schemas.openxmlformats.org/package/2006/metadata/core-properties"/>
    <ds:schemaRef ds:uri="ab9fedca-001d-4cc9-b244-d9c3be5a27d3"/>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6</vt:i4>
      </vt:variant>
    </vt:vector>
  </HeadingPairs>
  <TitlesOfParts>
    <vt:vector size="43" baseType="lpstr">
      <vt:lpstr>Profit</vt:lpstr>
      <vt:lpstr>Amortization</vt:lpstr>
      <vt:lpstr>Amortization - Old</vt:lpstr>
      <vt:lpstr>Docs</vt:lpstr>
      <vt:lpstr>MOG</vt:lpstr>
      <vt:lpstr>Contact</vt:lpstr>
      <vt:lpstr>Carrying</vt:lpstr>
      <vt:lpstr>Contract</vt:lpstr>
      <vt:lpstr>Depends</vt:lpstr>
      <vt:lpstr>Glasgow</vt:lpstr>
      <vt:lpstr>Tim</vt:lpstr>
      <vt:lpstr>Others</vt:lpstr>
      <vt:lpstr>Gnatt Chart</vt:lpstr>
      <vt:lpstr>Sheet1</vt:lpstr>
      <vt:lpstr>Draws</vt:lpstr>
      <vt:lpstr>Legal</vt:lpstr>
      <vt:lpstr>Seller Advance</vt:lpstr>
      <vt:lpstr>Lumber</vt:lpstr>
      <vt:lpstr>Demo &amp; Trash Haul</vt:lpstr>
      <vt:lpstr>Appliances</vt:lpstr>
      <vt:lpstr>Plumbing Fixtures</vt:lpstr>
      <vt:lpstr>Windows &amp; Doors</vt:lpstr>
      <vt:lpstr>Cabinets</vt:lpstr>
      <vt:lpstr>Paint</vt:lpstr>
      <vt:lpstr>Flooring</vt:lpstr>
      <vt:lpstr>HVAC</vt:lpstr>
      <vt:lpstr>Smart</vt:lpstr>
      <vt:lpstr>Electrical Fixtures</vt:lpstr>
      <vt:lpstr>Landscape</vt:lpstr>
      <vt:lpstr>Exterior</vt:lpstr>
      <vt:lpstr>2024</vt:lpstr>
      <vt:lpstr>2023</vt:lpstr>
      <vt:lpstr>2022</vt:lpstr>
      <vt:lpstr>2021</vt:lpstr>
      <vt:lpstr>2020</vt:lpstr>
      <vt:lpstr>STR</vt:lpstr>
      <vt:lpstr>Furnishing</vt:lpstr>
      <vt:lpstr>Amortization!baseCost</vt:lpstr>
      <vt:lpstr>baseCost</vt:lpstr>
      <vt:lpstr>Amortization!Project_Start</vt:lpstr>
      <vt:lpstr>Project_Start</vt:lpstr>
      <vt:lpstr>Amortization!Scrolling_Increment</vt:lpstr>
      <vt:lpstr>Scrolling_Increment</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Jenny Hollinger</cp:lastModifiedBy>
  <cp:revision/>
  <cp:lastPrinted>2025-10-29T13:15:53Z</cp:lastPrinted>
  <dcterms:created xsi:type="dcterms:W3CDTF">2019-07-25T11:32:14Z</dcterms:created>
  <dcterms:modified xsi:type="dcterms:W3CDTF">2026-06-26T19:56:44Z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